
<file path=[Content_Types].xml><?xml version="1.0" encoding="utf-8"?>
<Types xmlns="http://schemas.openxmlformats.org/package/2006/content-types"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3.xml" ContentType="application/vnd.openxmlformats-officedocument.drawing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5.xml" ContentType="application/vnd.openxmlformats-officedocument.drawing+xml"/>
  <Override PartName="/xl/charts/chart36.xml" ContentType="application/vnd.openxmlformats-officedocument.drawingml.chart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7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8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9.xml" ContentType="application/vnd.openxmlformats-officedocument.drawing+xml"/>
  <Override PartName="/xl/charts/chart52.xml" ContentType="application/vnd.openxmlformats-officedocument.drawingml.chart+xml"/>
  <Override PartName="/xl/drawings/drawing10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12.xml" ContentType="application/vnd.openxmlformats-officedocument.drawingml.chartshapes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drawings/drawing13.xml" ContentType="application/vnd.openxmlformats-officedocument.drawing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drawings/drawing14.xml" ContentType="application/vnd.openxmlformats-officedocument.drawing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kvanmete/Dropbox/Research/Daily Work 2018/2018 October/"/>
    </mc:Choice>
  </mc:AlternateContent>
  <xr:revisionPtr revIDLastSave="0" documentId="8_{6E624E32-4E49-0D40-9FB6-CFE0584C053D}" xr6:coauthVersionLast="37" xr6:coauthVersionMax="37" xr10:uidLastSave="{00000000-0000-0000-0000-000000000000}"/>
  <bookViews>
    <workbookView xWindow="6380" yWindow="3300" windowWidth="32140" windowHeight="21020" tabRatio="1000" firstSheet="5" activeTab="8" xr2:uid="{00000000-000D-0000-FFFF-FFFF00000000}"/>
  </bookViews>
  <sheets>
    <sheet name="Tank Data" sheetId="1" r:id="rId1"/>
    <sheet name="Plots" sheetId="2" r:id="rId2"/>
    <sheet name="Sluice vs Recharge" sheetId="3" r:id="rId3"/>
    <sheet name="Tank 4 Recharge" sheetId="4" r:id="rId4"/>
    <sheet name="Comparison" sheetId="5" r:id="rId5"/>
    <sheet name="Recalculation_MS Data" sheetId="6" r:id="rId6"/>
    <sheet name="DSLR" sheetId="7" r:id="rId7"/>
    <sheet name="GE_WL" sheetId="8" r:id="rId8"/>
    <sheet name="Tank Data (2)" sheetId="9" r:id="rId9"/>
    <sheet name="Fig 5 WL Plot" sheetId="10" r:id="rId10"/>
    <sheet name="Water Balance Summary" sheetId="11" r:id="rId11"/>
    <sheet name="Figs 6 &amp; 7" sheetId="12" r:id="rId12"/>
    <sheet name="MLR" sheetId="13" r:id="rId13"/>
    <sheet name="Stacked Water Balance" sheetId="14" r:id="rId14"/>
    <sheet name="Crop Water Requirement" sheetId="16" r:id="rId15"/>
  </sheets>
  <externalReferences>
    <externalReference r:id="rId16"/>
    <externalReference r:id="rId17"/>
    <externalReference r:id="rId18"/>
  </externalReferences>
  <definedNames>
    <definedName name="_xlnm._FilterDatabase" localSheetId="11" hidden="1">'Figs 6 &amp; 7'!$J$4:$U$2112</definedName>
    <definedName name="ET_Plots" localSheetId="11">'Figs 6 &amp; 7'!$EX$40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P93" i="6" l="1"/>
  <c r="DP94" i="6"/>
  <c r="DP95" i="6"/>
  <c r="DP96" i="6"/>
  <c r="DP97" i="6"/>
  <c r="DP98" i="6"/>
  <c r="DP99" i="6"/>
  <c r="DP100" i="6"/>
  <c r="DP101" i="6"/>
  <c r="DP102" i="6"/>
  <c r="DP103" i="6"/>
  <c r="DP104" i="6"/>
  <c r="DP105" i="6"/>
  <c r="DP106" i="6"/>
  <c r="DP107" i="6"/>
  <c r="DP108" i="6"/>
  <c r="DP109" i="6"/>
  <c r="DP110" i="6"/>
  <c r="DP111" i="6"/>
  <c r="DP112" i="6"/>
  <c r="DP113" i="6"/>
  <c r="DP114" i="6"/>
  <c r="DP115" i="6"/>
  <c r="DP116" i="6"/>
  <c r="DP117" i="6"/>
  <c r="DP118" i="6"/>
  <c r="DP119" i="6"/>
  <c r="DP120" i="6"/>
  <c r="DP121" i="6"/>
  <c r="DP122" i="6"/>
  <c r="DP123" i="6"/>
  <c r="DP124" i="6"/>
  <c r="DP125" i="6"/>
  <c r="DP126" i="6"/>
  <c r="DP127" i="6"/>
  <c r="DP128" i="6"/>
  <c r="DP129" i="6"/>
  <c r="DP130" i="6"/>
  <c r="DP131" i="6"/>
  <c r="DP132" i="6"/>
  <c r="DP133" i="6"/>
  <c r="DP134" i="6"/>
  <c r="DP135" i="6"/>
  <c r="DP136" i="6"/>
  <c r="DP137" i="6"/>
  <c r="DP138" i="6"/>
  <c r="DP139" i="6"/>
  <c r="DP140" i="6"/>
  <c r="DP141" i="6"/>
  <c r="DP142" i="6"/>
  <c r="DP143" i="6"/>
  <c r="DP144" i="6"/>
  <c r="DR144" i="6"/>
  <c r="DP145" i="6"/>
  <c r="DR145" i="6"/>
  <c r="DD66" i="6"/>
  <c r="DH66" i="6" s="1"/>
  <c r="DL66" i="6" s="1"/>
  <c r="DP66" i="6" s="1"/>
  <c r="DD67" i="6"/>
  <c r="DH67" i="6"/>
  <c r="DL67" i="6" s="1"/>
  <c r="DP67" i="6" s="1"/>
  <c r="DN67" i="6"/>
  <c r="DR67" i="6" s="1"/>
  <c r="DD68" i="6"/>
  <c r="DH68" i="6" s="1"/>
  <c r="DL68" i="6"/>
  <c r="DP68" i="6" s="1"/>
  <c r="DD69" i="6"/>
  <c r="DH69" i="6"/>
  <c r="DL69" i="6" s="1"/>
  <c r="DP69" i="6" s="1"/>
  <c r="DD70" i="6"/>
  <c r="DH70" i="6" s="1"/>
  <c r="DL70" i="6" s="1"/>
  <c r="DP70" i="6" s="1"/>
  <c r="DD71" i="6"/>
  <c r="DH71" i="6"/>
  <c r="DL71" i="6" s="1"/>
  <c r="DP71" i="6" s="1"/>
  <c r="DD72" i="6"/>
  <c r="EA72" i="6" s="1"/>
  <c r="DH72" i="6"/>
  <c r="DL72" i="6" s="1"/>
  <c r="DP72" i="6" s="1"/>
  <c r="DG73" i="6"/>
  <c r="DK73" i="6" s="1"/>
  <c r="DO73" i="6" s="1"/>
  <c r="DD73" i="6"/>
  <c r="DH73" i="6"/>
  <c r="DL73" i="6"/>
  <c r="DP73" i="6" s="1"/>
  <c r="DD74" i="6"/>
  <c r="DH74" i="6" s="1"/>
  <c r="DL74" i="6"/>
  <c r="DP74" i="6" s="1"/>
  <c r="DN74" i="6"/>
  <c r="DR74" i="6" s="1"/>
  <c r="DD75" i="6"/>
  <c r="DH75" i="6" s="1"/>
  <c r="DL75" i="6" s="1"/>
  <c r="DP75" i="6" s="1"/>
  <c r="DN75" i="6"/>
  <c r="DR75" i="6" s="1"/>
  <c r="DD76" i="6"/>
  <c r="DH76" i="6"/>
  <c r="DL76" i="6"/>
  <c r="DP76" i="6" s="1"/>
  <c r="DD77" i="6"/>
  <c r="DH77" i="6"/>
  <c r="DL77" i="6" s="1"/>
  <c r="DP77" i="6" s="1"/>
  <c r="DD78" i="6"/>
  <c r="DH78" i="6" s="1"/>
  <c r="DL78" i="6"/>
  <c r="DP78" i="6" s="1"/>
  <c r="DD79" i="6"/>
  <c r="DG80" i="6"/>
  <c r="DK80" i="6"/>
  <c r="DO80" i="6" s="1"/>
  <c r="DD80" i="6"/>
  <c r="DH80" i="6" s="1"/>
  <c r="DL80" i="6"/>
  <c r="DP80" i="6" s="1"/>
  <c r="DD81" i="6"/>
  <c r="DH81" i="6" s="1"/>
  <c r="DL81" i="6" s="1"/>
  <c r="DP81" i="6" s="1"/>
  <c r="DG82" i="6"/>
  <c r="DK82" i="6" s="1"/>
  <c r="DO82" i="6" s="1"/>
  <c r="DD82" i="6"/>
  <c r="DH82" i="6" s="1"/>
  <c r="DL82" i="6" s="1"/>
  <c r="DP82" i="6" s="1"/>
  <c r="DK83" i="6"/>
  <c r="DO83" i="6" s="1"/>
  <c r="DD83" i="6"/>
  <c r="DH83" i="6"/>
  <c r="DL83" i="6"/>
  <c r="DP83" i="6" s="1"/>
  <c r="DD84" i="6"/>
  <c r="DH84" i="6" s="1"/>
  <c r="DL84" i="6"/>
  <c r="DP84" i="6" s="1"/>
  <c r="DD85" i="6"/>
  <c r="DH85" i="6" s="1"/>
  <c r="DL85" i="6" s="1"/>
  <c r="DP85" i="6" s="1"/>
  <c r="DM85" i="6"/>
  <c r="DQ85" i="6" s="1"/>
  <c r="DN85" i="6"/>
  <c r="DR85" i="6" s="1"/>
  <c r="DD86" i="6"/>
  <c r="DH86" i="6"/>
  <c r="DL86" i="6"/>
  <c r="DP86" i="6" s="1"/>
  <c r="DK87" i="6"/>
  <c r="DO87" i="6" s="1"/>
  <c r="DD87" i="6"/>
  <c r="DH87" i="6"/>
  <c r="DL87" i="6" s="1"/>
  <c r="DP87" i="6" s="1"/>
  <c r="DG88" i="6"/>
  <c r="DK88" i="6"/>
  <c r="DO88" i="6" s="1"/>
  <c r="DD88" i="6"/>
  <c r="DH88" i="6" s="1"/>
  <c r="DL88" i="6"/>
  <c r="DP88" i="6" s="1"/>
  <c r="DN88" i="6"/>
  <c r="DR88" i="6" s="1"/>
  <c r="DM89" i="6"/>
  <c r="DQ89" i="6" s="1"/>
  <c r="DD90" i="6"/>
  <c r="DH90" i="6"/>
  <c r="DL90" i="6" s="1"/>
  <c r="DP90" i="6" s="1"/>
  <c r="DG91" i="6"/>
  <c r="DK91" i="6" s="1"/>
  <c r="DO91" i="6" s="1"/>
  <c r="DD91" i="6"/>
  <c r="DH91" i="6" s="1"/>
  <c r="DL91" i="6" s="1"/>
  <c r="DP91" i="6" s="1"/>
  <c r="DG92" i="6"/>
  <c r="DK92" i="6"/>
  <c r="DO92" i="6" s="1"/>
  <c r="DD92" i="6"/>
  <c r="DH92" i="6"/>
  <c r="DL92" i="6"/>
  <c r="DP92" i="6" s="1"/>
  <c r="DG94" i="6"/>
  <c r="DK94" i="6"/>
  <c r="DO94" i="6" s="1"/>
  <c r="DG95" i="6"/>
  <c r="DK95" i="6"/>
  <c r="DO95" i="6" s="1"/>
  <c r="DK96" i="6"/>
  <c r="DO96" i="6" s="1"/>
  <c r="DM97" i="6"/>
  <c r="DQ97" i="6" s="1"/>
  <c r="DM100" i="6"/>
  <c r="DQ100" i="6" s="1"/>
  <c r="DM103" i="6"/>
  <c r="DQ103" i="6" s="1"/>
  <c r="DM104" i="6"/>
  <c r="DQ104" i="6" s="1"/>
  <c r="DM107" i="6"/>
  <c r="DQ107" i="6" s="1"/>
  <c r="DM110" i="6"/>
  <c r="DQ110" i="6" s="1"/>
  <c r="DM111" i="6"/>
  <c r="DQ111" i="6" s="1"/>
  <c r="DM115" i="6"/>
  <c r="DQ115" i="6" s="1"/>
  <c r="DM118" i="6"/>
  <c r="DQ118" i="6" s="1"/>
  <c r="DM121" i="6"/>
  <c r="DQ121" i="6" s="1"/>
  <c r="DM124" i="6"/>
  <c r="DQ124" i="6" s="1"/>
  <c r="DM128" i="6"/>
  <c r="DQ128" i="6" s="1"/>
  <c r="DM129" i="6"/>
  <c r="DQ129" i="6" s="1"/>
  <c r="DI131" i="6"/>
  <c r="DM131" i="6"/>
  <c r="DQ131" i="6" s="1"/>
  <c r="DJ131" i="6"/>
  <c r="DN131" i="6" s="1"/>
  <c r="DR131" i="6" s="1"/>
  <c r="DI133" i="6"/>
  <c r="DM133" i="6" s="1"/>
  <c r="DQ133" i="6" s="1"/>
  <c r="DJ133" i="6"/>
  <c r="DN133" i="6" s="1"/>
  <c r="DR133" i="6" s="1"/>
  <c r="DI135" i="6"/>
  <c r="DM135" i="6"/>
  <c r="DQ135" i="6" s="1"/>
  <c r="DM137" i="6"/>
  <c r="DQ137" i="6" s="1"/>
  <c r="DM139" i="6"/>
  <c r="DQ139" i="6" s="1"/>
  <c r="DN143" i="6"/>
  <c r="DR143" i="6" s="1"/>
  <c r="DI145" i="6"/>
  <c r="DM145" i="6" s="1"/>
  <c r="DL11" i="6"/>
  <c r="DP11" i="6" s="1"/>
  <c r="DK8" i="6"/>
  <c r="DO8" i="6" s="1"/>
  <c r="DL5" i="6"/>
  <c r="DM5" i="6"/>
  <c r="DL7" i="6"/>
  <c r="DP7" i="6" s="1"/>
  <c r="DL3" i="6"/>
  <c r="DC3" i="6"/>
  <c r="DG3" i="6"/>
  <c r="DK3" i="6" s="1"/>
  <c r="DD3" i="6"/>
  <c r="DH3" i="6" s="1"/>
  <c r="DE3" i="6"/>
  <c r="DI3" i="6"/>
  <c r="DM3" i="6" s="1"/>
  <c r="DF3" i="6"/>
  <c r="DJ3" i="6" s="1"/>
  <c r="DN3" i="6" s="1"/>
  <c r="DC4" i="6"/>
  <c r="DG4" i="6"/>
  <c r="DK4" i="6" s="1"/>
  <c r="DD4" i="6"/>
  <c r="DH4" i="6" s="1"/>
  <c r="DL4" i="6" s="1"/>
  <c r="DE4" i="6"/>
  <c r="DI4" i="6"/>
  <c r="DM4" i="6" s="1"/>
  <c r="DF4" i="6"/>
  <c r="DJ4" i="6" s="1"/>
  <c r="DN4" i="6" s="1"/>
  <c r="DC5" i="6"/>
  <c r="DG5" i="6"/>
  <c r="DK5" i="6" s="1"/>
  <c r="DD5" i="6"/>
  <c r="DH5" i="6" s="1"/>
  <c r="DE5" i="6"/>
  <c r="DI5" i="6"/>
  <c r="DF5" i="6"/>
  <c r="DJ5" i="6" s="1"/>
  <c r="DN5" i="6" s="1"/>
  <c r="DC6" i="6"/>
  <c r="DG6" i="6"/>
  <c r="DK6" i="6" s="1"/>
  <c r="DO6" i="6" s="1"/>
  <c r="DD6" i="6"/>
  <c r="DH6" i="6" s="1"/>
  <c r="DL6" i="6" s="1"/>
  <c r="DP6" i="6" s="1"/>
  <c r="DE6" i="6"/>
  <c r="DI6" i="6"/>
  <c r="DM6" i="6" s="1"/>
  <c r="DQ6" i="6" s="1"/>
  <c r="DF6" i="6"/>
  <c r="DJ6" i="6" s="1"/>
  <c r="DN6" i="6" s="1"/>
  <c r="DR6" i="6" s="1"/>
  <c r="DC7" i="6"/>
  <c r="DG7" i="6"/>
  <c r="DK7" i="6" s="1"/>
  <c r="DO7" i="6" s="1"/>
  <c r="DD7" i="6"/>
  <c r="DH7" i="6" s="1"/>
  <c r="DE7" i="6"/>
  <c r="DI7" i="6"/>
  <c r="DM7" i="6" s="1"/>
  <c r="DQ7" i="6" s="1"/>
  <c r="DF7" i="6"/>
  <c r="DJ7" i="6" s="1"/>
  <c r="DN7" i="6" s="1"/>
  <c r="DR7" i="6" s="1"/>
  <c r="DC8" i="6"/>
  <c r="DG8" i="6"/>
  <c r="DD8" i="6"/>
  <c r="DH8" i="6" s="1"/>
  <c r="DE8" i="6"/>
  <c r="DI8" i="6"/>
  <c r="DF8" i="6"/>
  <c r="DJ8" i="6" s="1"/>
  <c r="DN8" i="6" s="1"/>
  <c r="DR8" i="6" s="1"/>
  <c r="DC9" i="6"/>
  <c r="DG9" i="6"/>
  <c r="DK9" i="6" s="1"/>
  <c r="DO9" i="6" s="1"/>
  <c r="DD9" i="6"/>
  <c r="DH9" i="6" s="1"/>
  <c r="DE9" i="6"/>
  <c r="DI9" i="6"/>
  <c r="DF9" i="6"/>
  <c r="DJ9" i="6" s="1"/>
  <c r="DN9" i="6" s="1"/>
  <c r="DR9" i="6" s="1"/>
  <c r="DC10" i="6"/>
  <c r="DG10" i="6"/>
  <c r="DK10" i="6" s="1"/>
  <c r="DO10" i="6" s="1"/>
  <c r="DD10" i="6"/>
  <c r="DE10" i="6"/>
  <c r="DI10" i="6"/>
  <c r="DM10" i="6" s="1"/>
  <c r="DQ10" i="6" s="1"/>
  <c r="DF10" i="6"/>
  <c r="DJ10" i="6" s="1"/>
  <c r="DN10" i="6" s="1"/>
  <c r="DR10" i="6" s="1"/>
  <c r="DC11" i="6"/>
  <c r="DG11" i="6"/>
  <c r="DK11" i="6" s="1"/>
  <c r="DO11" i="6" s="1"/>
  <c r="DD11" i="6"/>
  <c r="DH11" i="6" s="1"/>
  <c r="DE11" i="6"/>
  <c r="DI11" i="6"/>
  <c r="DM11" i="6" s="1"/>
  <c r="DQ11" i="6" s="1"/>
  <c r="DF11" i="6"/>
  <c r="DJ11" i="6" s="1"/>
  <c r="DN11" i="6" s="1"/>
  <c r="DR11" i="6" s="1"/>
  <c r="DC12" i="6"/>
  <c r="DG12" i="6"/>
  <c r="DK12" i="6" s="1"/>
  <c r="DO12" i="6" s="1"/>
  <c r="DD12" i="6"/>
  <c r="DH12" i="6" s="1"/>
  <c r="DL12" i="6" s="1"/>
  <c r="DP12" i="6" s="1"/>
  <c r="DE12" i="6"/>
  <c r="DI12" i="6"/>
  <c r="DM12" i="6" s="1"/>
  <c r="DQ12" i="6" s="1"/>
  <c r="DF12" i="6"/>
  <c r="DJ12" i="6" s="1"/>
  <c r="DN12" i="6" s="1"/>
  <c r="DR12" i="6" s="1"/>
  <c r="DC13" i="6"/>
  <c r="DG13" i="6"/>
  <c r="DK13" i="6" s="1"/>
  <c r="DO13" i="6" s="1"/>
  <c r="DD13" i="6"/>
  <c r="DH13" i="6" s="1"/>
  <c r="DL13" i="6" s="1"/>
  <c r="DP13" i="6" s="1"/>
  <c r="DE13" i="6"/>
  <c r="DI13" i="6"/>
  <c r="DM13" i="6" s="1"/>
  <c r="DQ13" i="6" s="1"/>
  <c r="DF13" i="6"/>
  <c r="DJ13" i="6" s="1"/>
  <c r="DN13" i="6" s="1"/>
  <c r="DR13" i="6" s="1"/>
  <c r="DC14" i="6"/>
  <c r="DG14" i="6"/>
  <c r="DK14" i="6" s="1"/>
  <c r="DO14" i="6" s="1"/>
  <c r="DD14" i="6"/>
  <c r="DH14" i="6" s="1"/>
  <c r="DL14" i="6" s="1"/>
  <c r="DP14" i="6" s="1"/>
  <c r="DE14" i="6"/>
  <c r="DI14" i="6"/>
  <c r="DM14" i="6" s="1"/>
  <c r="DQ14" i="6" s="1"/>
  <c r="DF14" i="6"/>
  <c r="DJ14" i="6" s="1"/>
  <c r="DN14" i="6" s="1"/>
  <c r="DR14" i="6" s="1"/>
  <c r="DC15" i="6"/>
  <c r="DG15" i="6"/>
  <c r="DK15" i="6" s="1"/>
  <c r="DO15" i="6" s="1"/>
  <c r="DD15" i="6"/>
  <c r="DH15" i="6" s="1"/>
  <c r="DL15" i="6" s="1"/>
  <c r="DP15" i="6" s="1"/>
  <c r="DE15" i="6"/>
  <c r="DI15" i="6"/>
  <c r="DM15" i="6" s="1"/>
  <c r="DQ15" i="6" s="1"/>
  <c r="DF15" i="6"/>
  <c r="DC16" i="6"/>
  <c r="DG16" i="6"/>
  <c r="DK16" i="6" s="1"/>
  <c r="DO16" i="6" s="1"/>
  <c r="DD16" i="6"/>
  <c r="DE16" i="6"/>
  <c r="DI16" i="6"/>
  <c r="DM16" i="6" s="1"/>
  <c r="DQ16" i="6" s="1"/>
  <c r="DF16" i="6"/>
  <c r="DJ16" i="6" s="1"/>
  <c r="DN16" i="6" s="1"/>
  <c r="DR16" i="6" s="1"/>
  <c r="DC17" i="6"/>
  <c r="DG17" i="6"/>
  <c r="DK17" i="6" s="1"/>
  <c r="DO17" i="6" s="1"/>
  <c r="DD17" i="6"/>
  <c r="DH17" i="6" s="1"/>
  <c r="DL17" i="6" s="1"/>
  <c r="DP17" i="6" s="1"/>
  <c r="DE17" i="6"/>
  <c r="DI17" i="6"/>
  <c r="DM17" i="6" s="1"/>
  <c r="DQ17" i="6" s="1"/>
  <c r="DF17" i="6"/>
  <c r="DJ17" i="6" s="1"/>
  <c r="DN17" i="6" s="1"/>
  <c r="DR17" i="6" s="1"/>
  <c r="DC18" i="6"/>
  <c r="DG18" i="6"/>
  <c r="DK18" i="6" s="1"/>
  <c r="DO18" i="6" s="1"/>
  <c r="DD18" i="6"/>
  <c r="DH18" i="6" s="1"/>
  <c r="DL18" i="6" s="1"/>
  <c r="DP18" i="6" s="1"/>
  <c r="DE18" i="6"/>
  <c r="DI18" i="6"/>
  <c r="DM18" i="6" s="1"/>
  <c r="DQ18" i="6" s="1"/>
  <c r="DF18" i="6"/>
  <c r="DJ18" i="6" s="1"/>
  <c r="DN18" i="6" s="1"/>
  <c r="DR18" i="6" s="1"/>
  <c r="DC19" i="6"/>
  <c r="DG19" i="6"/>
  <c r="DK19" i="6" s="1"/>
  <c r="DO19" i="6" s="1"/>
  <c r="DD19" i="6"/>
  <c r="DH19" i="6" s="1"/>
  <c r="DL19" i="6" s="1"/>
  <c r="DP19" i="6" s="1"/>
  <c r="DE19" i="6"/>
  <c r="DI19" i="6"/>
  <c r="DM19" i="6" s="1"/>
  <c r="DQ19" i="6" s="1"/>
  <c r="DF19" i="6"/>
  <c r="DJ19" i="6" s="1"/>
  <c r="DN19" i="6" s="1"/>
  <c r="DR19" i="6" s="1"/>
  <c r="DC20" i="6"/>
  <c r="DG20" i="6"/>
  <c r="DK20" i="6" s="1"/>
  <c r="DO20" i="6" s="1"/>
  <c r="DD20" i="6"/>
  <c r="DH20" i="6" s="1"/>
  <c r="DL20" i="6" s="1"/>
  <c r="DP20" i="6" s="1"/>
  <c r="DE20" i="6"/>
  <c r="DI20" i="6"/>
  <c r="DM20" i="6" s="1"/>
  <c r="DQ20" i="6" s="1"/>
  <c r="DF20" i="6"/>
  <c r="DJ20" i="6" s="1"/>
  <c r="DN20" i="6" s="1"/>
  <c r="DR20" i="6" s="1"/>
  <c r="DC21" i="6"/>
  <c r="DG21" i="6"/>
  <c r="DK21" i="6" s="1"/>
  <c r="DO21" i="6" s="1"/>
  <c r="DD21" i="6"/>
  <c r="DH21" i="6" s="1"/>
  <c r="DL21" i="6" s="1"/>
  <c r="DP21" i="6" s="1"/>
  <c r="DE21" i="6"/>
  <c r="DI21" i="6"/>
  <c r="DM21" i="6" s="1"/>
  <c r="DQ21" i="6" s="1"/>
  <c r="DF21" i="6"/>
  <c r="DJ21" i="6" s="1"/>
  <c r="DN21" i="6" s="1"/>
  <c r="DR21" i="6" s="1"/>
  <c r="DC22" i="6"/>
  <c r="DG22" i="6"/>
  <c r="DK22" i="6" s="1"/>
  <c r="DO22" i="6" s="1"/>
  <c r="DD22" i="6"/>
  <c r="DH22" i="6" s="1"/>
  <c r="DL22" i="6" s="1"/>
  <c r="DP22" i="6" s="1"/>
  <c r="DE22" i="6"/>
  <c r="DI22" i="6"/>
  <c r="DM22" i="6" s="1"/>
  <c r="DQ22" i="6" s="1"/>
  <c r="DF22" i="6"/>
  <c r="DJ22" i="6" s="1"/>
  <c r="DN22" i="6" s="1"/>
  <c r="DR22" i="6" s="1"/>
  <c r="DC23" i="6"/>
  <c r="DG23" i="6"/>
  <c r="DK23" i="6" s="1"/>
  <c r="DO23" i="6" s="1"/>
  <c r="DD23" i="6"/>
  <c r="DH23" i="6" s="1"/>
  <c r="DL23" i="6" s="1"/>
  <c r="DP23" i="6" s="1"/>
  <c r="DE23" i="6"/>
  <c r="DI23" i="6"/>
  <c r="DM23" i="6" s="1"/>
  <c r="DQ23" i="6" s="1"/>
  <c r="DF23" i="6"/>
  <c r="DJ23" i="6" s="1"/>
  <c r="DN23" i="6" s="1"/>
  <c r="DR23" i="6" s="1"/>
  <c r="DC24" i="6"/>
  <c r="DG24" i="6"/>
  <c r="DD24" i="6"/>
  <c r="DH24" i="6" s="1"/>
  <c r="DE24" i="6"/>
  <c r="DI24" i="6"/>
  <c r="DM24" i="6" s="1"/>
  <c r="DQ24" i="6" s="1"/>
  <c r="DF24" i="6"/>
  <c r="DJ24" i="6" s="1"/>
  <c r="DC25" i="6"/>
  <c r="DG25" i="6"/>
  <c r="DK25" i="6" s="1"/>
  <c r="DO25" i="6" s="1"/>
  <c r="DD25" i="6"/>
  <c r="DH25" i="6" s="1"/>
  <c r="DL25" i="6" s="1"/>
  <c r="DP25" i="6" s="1"/>
  <c r="DE25" i="6"/>
  <c r="DI25" i="6"/>
  <c r="DM25" i="6" s="1"/>
  <c r="DQ25" i="6" s="1"/>
  <c r="DF25" i="6"/>
  <c r="DC26" i="6"/>
  <c r="DG26" i="6"/>
  <c r="DK26" i="6" s="1"/>
  <c r="DO26" i="6" s="1"/>
  <c r="DD26" i="6"/>
  <c r="DE26" i="6"/>
  <c r="DI26" i="6"/>
  <c r="DM26" i="6" s="1"/>
  <c r="DQ26" i="6" s="1"/>
  <c r="DF26" i="6"/>
  <c r="DC27" i="6"/>
  <c r="DG27" i="6"/>
  <c r="DK27" i="6" s="1"/>
  <c r="DO27" i="6" s="1"/>
  <c r="DD27" i="6"/>
  <c r="DE27" i="6"/>
  <c r="DI27" i="6"/>
  <c r="DM27" i="6" s="1"/>
  <c r="DQ27" i="6" s="1"/>
  <c r="DF27" i="6"/>
  <c r="DJ27" i="6" s="1"/>
  <c r="DN27" i="6" s="1"/>
  <c r="DR27" i="6" s="1"/>
  <c r="DC28" i="6"/>
  <c r="DG28" i="6"/>
  <c r="DK28" i="6" s="1"/>
  <c r="DO28" i="6" s="1"/>
  <c r="DD28" i="6"/>
  <c r="DE28" i="6"/>
  <c r="DI28" i="6"/>
  <c r="DM28" i="6" s="1"/>
  <c r="DQ28" i="6" s="1"/>
  <c r="DF28" i="6"/>
  <c r="DJ28" i="6" s="1"/>
  <c r="DN28" i="6" s="1"/>
  <c r="DR28" i="6" s="1"/>
  <c r="DC29" i="6"/>
  <c r="DG29" i="6"/>
  <c r="DK29" i="6" s="1"/>
  <c r="DO29" i="6" s="1"/>
  <c r="DD29" i="6"/>
  <c r="DH29" i="6" s="1"/>
  <c r="DL29" i="6" s="1"/>
  <c r="DP29" i="6" s="1"/>
  <c r="DE29" i="6"/>
  <c r="DI29" i="6"/>
  <c r="DM29" i="6" s="1"/>
  <c r="DQ29" i="6" s="1"/>
  <c r="DF29" i="6"/>
  <c r="DC30" i="6"/>
  <c r="DG30" i="6"/>
  <c r="DK30" i="6" s="1"/>
  <c r="DO30" i="6" s="1"/>
  <c r="DD30" i="6"/>
  <c r="DE30" i="6"/>
  <c r="DI30" i="6"/>
  <c r="DM30" i="6" s="1"/>
  <c r="DQ30" i="6" s="1"/>
  <c r="DF30" i="6"/>
  <c r="DJ30" i="6" s="1"/>
  <c r="DN30" i="6" s="1"/>
  <c r="DR30" i="6" s="1"/>
  <c r="DC31" i="6"/>
  <c r="DG31" i="6"/>
  <c r="DK31" i="6" s="1"/>
  <c r="DO31" i="6" s="1"/>
  <c r="DD31" i="6"/>
  <c r="DH31" i="6" s="1"/>
  <c r="DL31" i="6" s="1"/>
  <c r="DP31" i="6" s="1"/>
  <c r="DE31" i="6"/>
  <c r="DI31" i="6"/>
  <c r="DM31" i="6" s="1"/>
  <c r="DQ31" i="6" s="1"/>
  <c r="DF31" i="6"/>
  <c r="DJ31" i="6" s="1"/>
  <c r="DN31" i="6" s="1"/>
  <c r="DR31" i="6" s="1"/>
  <c r="DC32" i="6"/>
  <c r="DG32" i="6"/>
  <c r="DK32" i="6" s="1"/>
  <c r="DO32" i="6" s="1"/>
  <c r="DD32" i="6"/>
  <c r="DH32" i="6" s="1"/>
  <c r="DL32" i="6" s="1"/>
  <c r="DP32" i="6" s="1"/>
  <c r="DE32" i="6"/>
  <c r="DI32" i="6"/>
  <c r="DM32" i="6" s="1"/>
  <c r="DQ32" i="6" s="1"/>
  <c r="DF32" i="6"/>
  <c r="DJ32" i="6" s="1"/>
  <c r="DN32" i="6" s="1"/>
  <c r="DR32" i="6" s="1"/>
  <c r="DC33" i="6"/>
  <c r="DG33" i="6"/>
  <c r="DK33" i="6" s="1"/>
  <c r="DO33" i="6" s="1"/>
  <c r="DD33" i="6"/>
  <c r="DH33" i="6" s="1"/>
  <c r="DL33" i="6" s="1"/>
  <c r="DP33" i="6" s="1"/>
  <c r="DE33" i="6"/>
  <c r="DI33" i="6"/>
  <c r="DM33" i="6" s="1"/>
  <c r="DQ33" i="6" s="1"/>
  <c r="DF33" i="6"/>
  <c r="DJ33" i="6" s="1"/>
  <c r="DN33" i="6" s="1"/>
  <c r="DR33" i="6" s="1"/>
  <c r="DC34" i="6"/>
  <c r="DG34" i="6"/>
  <c r="DK34" i="6" s="1"/>
  <c r="DO34" i="6" s="1"/>
  <c r="DD34" i="6"/>
  <c r="DH34" i="6" s="1"/>
  <c r="DL34" i="6" s="1"/>
  <c r="DP34" i="6" s="1"/>
  <c r="DE34" i="6"/>
  <c r="DI34" i="6"/>
  <c r="DM34" i="6" s="1"/>
  <c r="DQ34" i="6" s="1"/>
  <c r="DF34" i="6"/>
  <c r="DJ34" i="6" s="1"/>
  <c r="DN34" i="6" s="1"/>
  <c r="DR34" i="6" s="1"/>
  <c r="DC35" i="6"/>
  <c r="DG35" i="6"/>
  <c r="DK35" i="6" s="1"/>
  <c r="DD35" i="6"/>
  <c r="DH35" i="6" s="1"/>
  <c r="DL35" i="6" s="1"/>
  <c r="DP35" i="6" s="1"/>
  <c r="DE35" i="6"/>
  <c r="DI35" i="6"/>
  <c r="DM35" i="6" s="1"/>
  <c r="DQ35" i="6" s="1"/>
  <c r="DF35" i="6"/>
  <c r="DJ35" i="6" s="1"/>
  <c r="DN35" i="6" s="1"/>
  <c r="DR35" i="6" s="1"/>
  <c r="DC36" i="6"/>
  <c r="DG36" i="6"/>
  <c r="DK36" i="6" s="1"/>
  <c r="DO36" i="6" s="1"/>
  <c r="DD36" i="6"/>
  <c r="DE36" i="6"/>
  <c r="DI36" i="6"/>
  <c r="DM36" i="6" s="1"/>
  <c r="DQ36" i="6" s="1"/>
  <c r="DF36" i="6"/>
  <c r="DJ36" i="6" s="1"/>
  <c r="DN36" i="6" s="1"/>
  <c r="DR36" i="6" s="1"/>
  <c r="DC37" i="6"/>
  <c r="DG37" i="6"/>
  <c r="DD37" i="6"/>
  <c r="DH37" i="6" s="1"/>
  <c r="DE37" i="6"/>
  <c r="DI37" i="6"/>
  <c r="DF37" i="6"/>
  <c r="DC38" i="6"/>
  <c r="DG38" i="6"/>
  <c r="DK38" i="6" s="1"/>
  <c r="DO38" i="6" s="1"/>
  <c r="DD38" i="6"/>
  <c r="DH38" i="6" s="1"/>
  <c r="DL38" i="6" s="1"/>
  <c r="DP38" i="6" s="1"/>
  <c r="DE38" i="6"/>
  <c r="DI38" i="6"/>
  <c r="DM38" i="6" s="1"/>
  <c r="DQ38" i="6" s="1"/>
  <c r="DF38" i="6"/>
  <c r="DC39" i="6"/>
  <c r="DG39" i="6"/>
  <c r="DK39" i="6" s="1"/>
  <c r="DO39" i="6" s="1"/>
  <c r="DD39" i="6"/>
  <c r="DH39" i="6" s="1"/>
  <c r="DL39" i="6" s="1"/>
  <c r="DP39" i="6" s="1"/>
  <c r="DE39" i="6"/>
  <c r="DI39" i="6"/>
  <c r="DM39" i="6" s="1"/>
  <c r="DQ39" i="6" s="1"/>
  <c r="DF39" i="6"/>
  <c r="DC40" i="6"/>
  <c r="DG40" i="6"/>
  <c r="DK40" i="6" s="1"/>
  <c r="DO40" i="6" s="1"/>
  <c r="DD40" i="6"/>
  <c r="DE40" i="6"/>
  <c r="DI40" i="6"/>
  <c r="DM40" i="6" s="1"/>
  <c r="DQ40" i="6" s="1"/>
  <c r="DF40" i="6"/>
  <c r="DC41" i="6"/>
  <c r="DG41" i="6"/>
  <c r="DK41" i="6" s="1"/>
  <c r="DO41" i="6" s="1"/>
  <c r="DD41" i="6"/>
  <c r="DH41" i="6" s="1"/>
  <c r="DL41" i="6" s="1"/>
  <c r="DP41" i="6" s="1"/>
  <c r="DE41" i="6"/>
  <c r="DI41" i="6"/>
  <c r="DM41" i="6" s="1"/>
  <c r="DQ41" i="6" s="1"/>
  <c r="DF41" i="6"/>
  <c r="DC42" i="6"/>
  <c r="DG42" i="6"/>
  <c r="DK42" i="6" s="1"/>
  <c r="DO42" i="6" s="1"/>
  <c r="DD42" i="6"/>
  <c r="DH42" i="6" s="1"/>
  <c r="DL42" i="6" s="1"/>
  <c r="DP42" i="6" s="1"/>
  <c r="DE42" i="6"/>
  <c r="DI42" i="6"/>
  <c r="DM42" i="6" s="1"/>
  <c r="DQ42" i="6" s="1"/>
  <c r="DF42" i="6"/>
  <c r="DC43" i="6"/>
  <c r="DG43" i="6"/>
  <c r="DK43" i="6" s="1"/>
  <c r="DO43" i="6" s="1"/>
  <c r="DD43" i="6"/>
  <c r="DH43" i="6" s="1"/>
  <c r="DL43" i="6" s="1"/>
  <c r="DP43" i="6" s="1"/>
  <c r="DE43" i="6"/>
  <c r="DI43" i="6"/>
  <c r="DM43" i="6" s="1"/>
  <c r="DQ43" i="6" s="1"/>
  <c r="DF43" i="6"/>
  <c r="DC44" i="6"/>
  <c r="DG44" i="6"/>
  <c r="DK44" i="6" s="1"/>
  <c r="DO44" i="6" s="1"/>
  <c r="DD44" i="6"/>
  <c r="DE44" i="6"/>
  <c r="DI44" i="6"/>
  <c r="DM44" i="6" s="1"/>
  <c r="DQ44" i="6" s="1"/>
  <c r="DF44" i="6"/>
  <c r="DC45" i="6"/>
  <c r="DG45" i="6"/>
  <c r="DK45" i="6" s="1"/>
  <c r="DO45" i="6" s="1"/>
  <c r="DD45" i="6"/>
  <c r="DH45" i="6" s="1"/>
  <c r="DL45" i="6" s="1"/>
  <c r="DP45" i="6" s="1"/>
  <c r="DE45" i="6"/>
  <c r="DI45" i="6"/>
  <c r="DM45" i="6" s="1"/>
  <c r="DQ45" i="6" s="1"/>
  <c r="DF45" i="6"/>
  <c r="DC46" i="6"/>
  <c r="DG46" i="6"/>
  <c r="DK46" i="6" s="1"/>
  <c r="DO46" i="6" s="1"/>
  <c r="DD46" i="6"/>
  <c r="DE46" i="6"/>
  <c r="DI46" i="6"/>
  <c r="DM46" i="6" s="1"/>
  <c r="DQ46" i="6" s="1"/>
  <c r="DF46" i="6"/>
  <c r="DC47" i="6"/>
  <c r="DG47" i="6"/>
  <c r="DK47" i="6" s="1"/>
  <c r="DO47" i="6" s="1"/>
  <c r="DD47" i="6"/>
  <c r="DH47" i="6" s="1"/>
  <c r="DL47" i="6" s="1"/>
  <c r="DP47" i="6" s="1"/>
  <c r="DE47" i="6"/>
  <c r="DI47" i="6"/>
  <c r="DM47" i="6" s="1"/>
  <c r="DQ47" i="6" s="1"/>
  <c r="DF47" i="6"/>
  <c r="DC48" i="6"/>
  <c r="DG48" i="6"/>
  <c r="DK48" i="6" s="1"/>
  <c r="DO48" i="6" s="1"/>
  <c r="DD48" i="6"/>
  <c r="DH48" i="6" s="1"/>
  <c r="DL48" i="6" s="1"/>
  <c r="DP48" i="6" s="1"/>
  <c r="DE48" i="6"/>
  <c r="DI48" i="6"/>
  <c r="DM48" i="6" s="1"/>
  <c r="DQ48" i="6" s="1"/>
  <c r="DF48" i="6"/>
  <c r="DJ48" i="6" s="1"/>
  <c r="DN48" i="6" s="1"/>
  <c r="DR48" i="6" s="1"/>
  <c r="DC49" i="6"/>
  <c r="DG49" i="6"/>
  <c r="DK49" i="6" s="1"/>
  <c r="DO49" i="6" s="1"/>
  <c r="DD49" i="6"/>
  <c r="DH49" i="6" s="1"/>
  <c r="DL49" i="6" s="1"/>
  <c r="DP49" i="6" s="1"/>
  <c r="DE49" i="6"/>
  <c r="DI49" i="6"/>
  <c r="DM49" i="6" s="1"/>
  <c r="DQ49" i="6" s="1"/>
  <c r="DF49" i="6"/>
  <c r="DJ49" i="6" s="1"/>
  <c r="DN49" i="6" s="1"/>
  <c r="DR49" i="6" s="1"/>
  <c r="DC50" i="6"/>
  <c r="DG50" i="6"/>
  <c r="DK50" i="6" s="1"/>
  <c r="DO50" i="6" s="1"/>
  <c r="DD50" i="6"/>
  <c r="DH50" i="6" s="1"/>
  <c r="DL50" i="6" s="1"/>
  <c r="DP50" i="6" s="1"/>
  <c r="DE50" i="6"/>
  <c r="DI50" i="6"/>
  <c r="DM50" i="6" s="1"/>
  <c r="DQ50" i="6" s="1"/>
  <c r="DF50" i="6"/>
  <c r="DJ50" i="6" s="1"/>
  <c r="DN50" i="6" s="1"/>
  <c r="DR50" i="6" s="1"/>
  <c r="DC51" i="6"/>
  <c r="DG51" i="6"/>
  <c r="DK51" i="6" s="1"/>
  <c r="DO51" i="6" s="1"/>
  <c r="DD51" i="6"/>
  <c r="DH51" i="6" s="1"/>
  <c r="DL51" i="6" s="1"/>
  <c r="DP51" i="6" s="1"/>
  <c r="DE51" i="6"/>
  <c r="DI51" i="6"/>
  <c r="DM51" i="6" s="1"/>
  <c r="DQ51" i="6" s="1"/>
  <c r="DF51" i="6"/>
  <c r="DJ51" i="6" s="1"/>
  <c r="DN51" i="6" s="1"/>
  <c r="DR51" i="6" s="1"/>
  <c r="DC52" i="6"/>
  <c r="DG52" i="6"/>
  <c r="DK52" i="6" s="1"/>
  <c r="DO52" i="6" s="1"/>
  <c r="DD52" i="6"/>
  <c r="DE52" i="6"/>
  <c r="DI52" i="6"/>
  <c r="DM52" i="6" s="1"/>
  <c r="DQ52" i="6" s="1"/>
  <c r="DF52" i="6"/>
  <c r="DC53" i="6"/>
  <c r="DG53" i="6"/>
  <c r="DK53" i="6" s="1"/>
  <c r="DO53" i="6" s="1"/>
  <c r="DD53" i="6"/>
  <c r="DE53" i="6"/>
  <c r="DI53" i="6"/>
  <c r="DM53" i="6" s="1"/>
  <c r="DQ53" i="6" s="1"/>
  <c r="DF53" i="6"/>
  <c r="DC54" i="6"/>
  <c r="DG54" i="6"/>
  <c r="DK54" i="6" s="1"/>
  <c r="DO54" i="6" s="1"/>
  <c r="DD54" i="6"/>
  <c r="DE54" i="6"/>
  <c r="DI54" i="6"/>
  <c r="DM54" i="6" s="1"/>
  <c r="DQ54" i="6" s="1"/>
  <c r="DF54" i="6"/>
  <c r="DC55" i="6"/>
  <c r="DG55" i="6"/>
  <c r="DK55" i="6" s="1"/>
  <c r="DO55" i="6" s="1"/>
  <c r="DD55" i="6"/>
  <c r="DE55" i="6"/>
  <c r="DI55" i="6"/>
  <c r="DM55" i="6" s="1"/>
  <c r="DQ55" i="6" s="1"/>
  <c r="DF55" i="6"/>
  <c r="DC56" i="6"/>
  <c r="DG56" i="6"/>
  <c r="DK56" i="6" s="1"/>
  <c r="DO56" i="6" s="1"/>
  <c r="DD56" i="6"/>
  <c r="DH56" i="6" s="1"/>
  <c r="DL56" i="6" s="1"/>
  <c r="DP56" i="6" s="1"/>
  <c r="DE56" i="6"/>
  <c r="DI56" i="6"/>
  <c r="DM56" i="6" s="1"/>
  <c r="DQ56" i="6" s="1"/>
  <c r="DF56" i="6"/>
  <c r="DJ56" i="6" s="1"/>
  <c r="DN56" i="6" s="1"/>
  <c r="DR56" i="6" s="1"/>
  <c r="DC57" i="6"/>
  <c r="DG57" i="6"/>
  <c r="DK57" i="6" s="1"/>
  <c r="DO57" i="6" s="1"/>
  <c r="DD57" i="6"/>
  <c r="DH57" i="6" s="1"/>
  <c r="DL57" i="6" s="1"/>
  <c r="DP57" i="6" s="1"/>
  <c r="DE57" i="6"/>
  <c r="DI57" i="6"/>
  <c r="DM57" i="6" s="1"/>
  <c r="DQ57" i="6" s="1"/>
  <c r="DF57" i="6"/>
  <c r="DJ57" i="6" s="1"/>
  <c r="DN57" i="6" s="1"/>
  <c r="DR57" i="6" s="1"/>
  <c r="DC58" i="6"/>
  <c r="DG58" i="6"/>
  <c r="DK58" i="6" s="1"/>
  <c r="DO58" i="6" s="1"/>
  <c r="DD58" i="6"/>
  <c r="DH58" i="6" s="1"/>
  <c r="DL58" i="6" s="1"/>
  <c r="DP58" i="6" s="1"/>
  <c r="DE58" i="6"/>
  <c r="DI58" i="6"/>
  <c r="DM58" i="6" s="1"/>
  <c r="DQ58" i="6" s="1"/>
  <c r="DF58" i="6"/>
  <c r="DJ58" i="6" s="1"/>
  <c r="DN58" i="6" s="1"/>
  <c r="DR58" i="6" s="1"/>
  <c r="DC59" i="6"/>
  <c r="DG59" i="6"/>
  <c r="DK59" i="6" s="1"/>
  <c r="DO59" i="6" s="1"/>
  <c r="DD59" i="6"/>
  <c r="DE59" i="6"/>
  <c r="DI59" i="6"/>
  <c r="DM59" i="6" s="1"/>
  <c r="DQ59" i="6" s="1"/>
  <c r="DF59" i="6"/>
  <c r="DJ59" i="6" s="1"/>
  <c r="DN59" i="6" s="1"/>
  <c r="DR59" i="6" s="1"/>
  <c r="DC60" i="6"/>
  <c r="DG60" i="6"/>
  <c r="DK60" i="6" s="1"/>
  <c r="DO60" i="6" s="1"/>
  <c r="DD60" i="6"/>
  <c r="DH60" i="6" s="1"/>
  <c r="DL60" i="6" s="1"/>
  <c r="DP60" i="6" s="1"/>
  <c r="DE60" i="6"/>
  <c r="DI60" i="6"/>
  <c r="DM60" i="6" s="1"/>
  <c r="DQ60" i="6" s="1"/>
  <c r="DF60" i="6"/>
  <c r="DJ60" i="6" s="1"/>
  <c r="DN60" i="6" s="1"/>
  <c r="DR60" i="6" s="1"/>
  <c r="DC61" i="6"/>
  <c r="DG61" i="6"/>
  <c r="DK61" i="6" s="1"/>
  <c r="DO61" i="6" s="1"/>
  <c r="DD61" i="6"/>
  <c r="DH61" i="6" s="1"/>
  <c r="DL61" i="6" s="1"/>
  <c r="DP61" i="6" s="1"/>
  <c r="DE61" i="6"/>
  <c r="DI61" i="6"/>
  <c r="DM61" i="6" s="1"/>
  <c r="DQ61" i="6" s="1"/>
  <c r="DF61" i="6"/>
  <c r="DJ61" i="6" s="1"/>
  <c r="DN61" i="6" s="1"/>
  <c r="DR61" i="6" s="1"/>
  <c r="DC62" i="6"/>
  <c r="DG62" i="6"/>
  <c r="DK62" i="6" s="1"/>
  <c r="DO62" i="6" s="1"/>
  <c r="DD62" i="6"/>
  <c r="DH62" i="6" s="1"/>
  <c r="DL62" i="6" s="1"/>
  <c r="DP62" i="6" s="1"/>
  <c r="DE62" i="6"/>
  <c r="DI62" i="6"/>
  <c r="DM62" i="6" s="1"/>
  <c r="DQ62" i="6" s="1"/>
  <c r="DF62" i="6"/>
  <c r="DJ62" i="6" s="1"/>
  <c r="DN62" i="6" s="1"/>
  <c r="DR62" i="6" s="1"/>
  <c r="DC63" i="6"/>
  <c r="DG63" i="6"/>
  <c r="DD63" i="6"/>
  <c r="DE63" i="6"/>
  <c r="DI63" i="6"/>
  <c r="DF63" i="6"/>
  <c r="DC64" i="6"/>
  <c r="DG64" i="6"/>
  <c r="DK64" i="6" s="1"/>
  <c r="DO64" i="6" s="1"/>
  <c r="DD64" i="6"/>
  <c r="DE64" i="6"/>
  <c r="DI64" i="6"/>
  <c r="DM64" i="6" s="1"/>
  <c r="DQ64" i="6" s="1"/>
  <c r="DF64" i="6"/>
  <c r="DC65" i="6"/>
  <c r="DG65" i="6"/>
  <c r="DK65" i="6" s="1"/>
  <c r="DO65" i="6" s="1"/>
  <c r="DD65" i="6"/>
  <c r="DE65" i="6"/>
  <c r="DI65" i="6"/>
  <c r="DM65" i="6" s="1"/>
  <c r="DQ65" i="6" s="1"/>
  <c r="DF65" i="6"/>
  <c r="DC66" i="6"/>
  <c r="DG66" i="6"/>
  <c r="DK66" i="6" s="1"/>
  <c r="DO66" i="6" s="1"/>
  <c r="DE66" i="6"/>
  <c r="DF66" i="6"/>
  <c r="DJ66" i="6"/>
  <c r="DN66" i="6" s="1"/>
  <c r="DR66" i="6" s="1"/>
  <c r="DC67" i="6"/>
  <c r="DE67" i="6"/>
  <c r="DF67" i="6"/>
  <c r="EC67" i="6" s="1"/>
  <c r="DJ67" i="6"/>
  <c r="DC68" i="6"/>
  <c r="DE68" i="6"/>
  <c r="DI68" i="6"/>
  <c r="DM68" i="6" s="1"/>
  <c r="DQ68" i="6" s="1"/>
  <c r="DF68" i="6"/>
  <c r="DJ68" i="6"/>
  <c r="DN68" i="6" s="1"/>
  <c r="DR68" i="6" s="1"/>
  <c r="DC69" i="6"/>
  <c r="DG69" i="6" s="1"/>
  <c r="DK69" i="6" s="1"/>
  <c r="DO69" i="6" s="1"/>
  <c r="DE69" i="6"/>
  <c r="EB69" i="6" s="1"/>
  <c r="DI69" i="6"/>
  <c r="DM69" i="6" s="1"/>
  <c r="DQ69" i="6" s="1"/>
  <c r="DF69" i="6"/>
  <c r="DJ69" i="6" s="1"/>
  <c r="DN69" i="6" s="1"/>
  <c r="DR69" i="6" s="1"/>
  <c r="DC70" i="6"/>
  <c r="DE70" i="6"/>
  <c r="DI70" i="6"/>
  <c r="DM70" i="6" s="1"/>
  <c r="DQ70" i="6" s="1"/>
  <c r="DF70" i="6"/>
  <c r="DJ70" i="6"/>
  <c r="DN70" i="6" s="1"/>
  <c r="DR70" i="6" s="1"/>
  <c r="DC71" i="6"/>
  <c r="DG71" i="6" s="1"/>
  <c r="DK71" i="6" s="1"/>
  <c r="DO71" i="6" s="1"/>
  <c r="DE71" i="6"/>
  <c r="DI71" i="6" s="1"/>
  <c r="DM71" i="6" s="1"/>
  <c r="DQ71" i="6" s="1"/>
  <c r="DF71" i="6"/>
  <c r="DC72" i="6"/>
  <c r="DG72" i="6" s="1"/>
  <c r="DK72" i="6" s="1"/>
  <c r="DO72" i="6" s="1"/>
  <c r="DE72" i="6"/>
  <c r="DI72" i="6"/>
  <c r="DM72" i="6" s="1"/>
  <c r="DQ72" i="6" s="1"/>
  <c r="DF72" i="6"/>
  <c r="DJ72" i="6" s="1"/>
  <c r="DN72" i="6" s="1"/>
  <c r="DR72" i="6" s="1"/>
  <c r="DC73" i="6"/>
  <c r="DE73" i="6"/>
  <c r="EB73" i="6" s="1"/>
  <c r="DI73" i="6"/>
  <c r="DM73" i="6" s="1"/>
  <c r="DQ73" i="6" s="1"/>
  <c r="DF73" i="6"/>
  <c r="DJ73" i="6" s="1"/>
  <c r="DN73" i="6" s="1"/>
  <c r="DR73" i="6" s="1"/>
  <c r="DC74" i="6"/>
  <c r="DG74" i="6" s="1"/>
  <c r="DK74" i="6" s="1"/>
  <c r="DO74" i="6" s="1"/>
  <c r="DE74" i="6"/>
  <c r="EB74" i="6" s="1"/>
  <c r="DI74" i="6"/>
  <c r="DM74" i="6" s="1"/>
  <c r="DQ74" i="6" s="1"/>
  <c r="DF74" i="6"/>
  <c r="DJ74" i="6"/>
  <c r="DC75" i="6"/>
  <c r="DG75" i="6" s="1"/>
  <c r="DK75" i="6" s="1"/>
  <c r="DO75" i="6" s="1"/>
  <c r="DE75" i="6"/>
  <c r="DF75" i="6"/>
  <c r="DJ75" i="6"/>
  <c r="DC76" i="6"/>
  <c r="DG76" i="6" s="1"/>
  <c r="DK76" i="6" s="1"/>
  <c r="DO76" i="6" s="1"/>
  <c r="DE76" i="6"/>
  <c r="DI76" i="6"/>
  <c r="DM76" i="6" s="1"/>
  <c r="DQ76" i="6" s="1"/>
  <c r="DF76" i="6"/>
  <c r="DJ76" i="6"/>
  <c r="DN76" i="6" s="1"/>
  <c r="DR76" i="6" s="1"/>
  <c r="DC77" i="6"/>
  <c r="DG77" i="6" s="1"/>
  <c r="DK77" i="6" s="1"/>
  <c r="DO77" i="6" s="1"/>
  <c r="DE77" i="6"/>
  <c r="EB77" i="6" s="1"/>
  <c r="DI77" i="6"/>
  <c r="DM77" i="6" s="1"/>
  <c r="DQ77" i="6" s="1"/>
  <c r="DF77" i="6"/>
  <c r="DJ77" i="6" s="1"/>
  <c r="DN77" i="6" s="1"/>
  <c r="DR77" i="6" s="1"/>
  <c r="DC78" i="6"/>
  <c r="DE78" i="6"/>
  <c r="DI78" i="6"/>
  <c r="DM78" i="6" s="1"/>
  <c r="DQ78" i="6" s="1"/>
  <c r="DF78" i="6"/>
  <c r="DJ78" i="6"/>
  <c r="DN78" i="6" s="1"/>
  <c r="DR78" i="6" s="1"/>
  <c r="DC79" i="6"/>
  <c r="DG79" i="6" s="1"/>
  <c r="DK79" i="6" s="1"/>
  <c r="DO79" i="6" s="1"/>
  <c r="DE79" i="6"/>
  <c r="DI79" i="6" s="1"/>
  <c r="DM79" i="6" s="1"/>
  <c r="DQ79" i="6" s="1"/>
  <c r="DF79" i="6"/>
  <c r="DJ79" i="6"/>
  <c r="DN79" i="6" s="1"/>
  <c r="DR79" i="6" s="1"/>
  <c r="DC80" i="6"/>
  <c r="DE80" i="6"/>
  <c r="DI80" i="6"/>
  <c r="DM80" i="6" s="1"/>
  <c r="DQ80" i="6" s="1"/>
  <c r="DF80" i="6"/>
  <c r="DJ80" i="6" s="1"/>
  <c r="DN80" i="6" s="1"/>
  <c r="DR80" i="6" s="1"/>
  <c r="DC81" i="6"/>
  <c r="DG81" i="6" s="1"/>
  <c r="DK81" i="6" s="1"/>
  <c r="DO81" i="6" s="1"/>
  <c r="DE81" i="6"/>
  <c r="DI81" i="6"/>
  <c r="DM81" i="6" s="1"/>
  <c r="DQ81" i="6" s="1"/>
  <c r="DF81" i="6"/>
  <c r="DJ81" i="6" s="1"/>
  <c r="DN81" i="6" s="1"/>
  <c r="DR81" i="6" s="1"/>
  <c r="DC82" i="6"/>
  <c r="DZ82" i="6" s="1"/>
  <c r="DE82" i="6"/>
  <c r="EB82" i="6" s="1"/>
  <c r="DI82" i="6"/>
  <c r="DM82" i="6" s="1"/>
  <c r="DQ82" i="6" s="1"/>
  <c r="DF82" i="6"/>
  <c r="DJ82" i="6"/>
  <c r="DN82" i="6" s="1"/>
  <c r="DR82" i="6" s="1"/>
  <c r="DC83" i="6"/>
  <c r="DG83" i="6" s="1"/>
  <c r="DE83" i="6"/>
  <c r="DF83" i="6"/>
  <c r="DJ83" i="6"/>
  <c r="DN83" i="6" s="1"/>
  <c r="DR83" i="6" s="1"/>
  <c r="DC84" i="6"/>
  <c r="DG84" i="6" s="1"/>
  <c r="DK84" i="6" s="1"/>
  <c r="DO84" i="6" s="1"/>
  <c r="DE84" i="6"/>
  <c r="DI84" i="6"/>
  <c r="DM84" i="6" s="1"/>
  <c r="DQ84" i="6" s="1"/>
  <c r="DF84" i="6"/>
  <c r="DJ84" i="6"/>
  <c r="DN84" i="6" s="1"/>
  <c r="DR84" i="6" s="1"/>
  <c r="DC85" i="6"/>
  <c r="DG85" i="6" s="1"/>
  <c r="DK85" i="6" s="1"/>
  <c r="DO85" i="6" s="1"/>
  <c r="DE85" i="6"/>
  <c r="DI85" i="6"/>
  <c r="DF85" i="6"/>
  <c r="DJ85" i="6" s="1"/>
  <c r="DC86" i="6"/>
  <c r="DG86" i="6" s="1"/>
  <c r="DK86" i="6" s="1"/>
  <c r="DO86" i="6" s="1"/>
  <c r="DE86" i="6"/>
  <c r="DI86" i="6"/>
  <c r="DM86" i="6" s="1"/>
  <c r="DQ86" i="6" s="1"/>
  <c r="DF86" i="6"/>
  <c r="DJ86" i="6"/>
  <c r="DN86" i="6" s="1"/>
  <c r="DR86" i="6" s="1"/>
  <c r="DC87" i="6"/>
  <c r="DG87" i="6" s="1"/>
  <c r="DE87" i="6"/>
  <c r="DI87" i="6" s="1"/>
  <c r="DM87" i="6" s="1"/>
  <c r="DQ87" i="6" s="1"/>
  <c r="DF87" i="6"/>
  <c r="DJ87" i="6"/>
  <c r="DN87" i="6" s="1"/>
  <c r="DR87" i="6" s="1"/>
  <c r="DC88" i="6"/>
  <c r="DE88" i="6"/>
  <c r="DI88" i="6"/>
  <c r="DM88" i="6" s="1"/>
  <c r="DQ88" i="6" s="1"/>
  <c r="DF88" i="6"/>
  <c r="DJ88" i="6" s="1"/>
  <c r="DC89" i="6"/>
  <c r="DG89" i="6" s="1"/>
  <c r="DK89" i="6" s="1"/>
  <c r="DO89" i="6" s="1"/>
  <c r="DD89" i="6"/>
  <c r="DH89" i="6" s="1"/>
  <c r="DE89" i="6"/>
  <c r="DI89" i="6" s="1"/>
  <c r="DF89" i="6"/>
  <c r="DJ89" i="6"/>
  <c r="DN89" i="6" s="1"/>
  <c r="DR89" i="6" s="1"/>
  <c r="DC90" i="6"/>
  <c r="DG90" i="6" s="1"/>
  <c r="DK90" i="6" s="1"/>
  <c r="DO90" i="6" s="1"/>
  <c r="DE90" i="6"/>
  <c r="DI90" i="6"/>
  <c r="DM90" i="6" s="1"/>
  <c r="DQ90" i="6" s="1"/>
  <c r="DF90" i="6"/>
  <c r="DC91" i="6"/>
  <c r="DE91" i="6"/>
  <c r="DI91" i="6"/>
  <c r="DM91" i="6" s="1"/>
  <c r="DQ91" i="6" s="1"/>
  <c r="DF91" i="6"/>
  <c r="DJ91" i="6" s="1"/>
  <c r="DN91" i="6" s="1"/>
  <c r="DR91" i="6" s="1"/>
  <c r="DC92" i="6"/>
  <c r="DE92" i="6"/>
  <c r="EB92" i="6" s="1"/>
  <c r="DI92" i="6"/>
  <c r="DM92" i="6" s="1"/>
  <c r="DQ92" i="6" s="1"/>
  <c r="DF92" i="6"/>
  <c r="DJ92" i="6"/>
  <c r="DN92" i="6" s="1"/>
  <c r="DR92" i="6" s="1"/>
  <c r="DC93" i="6"/>
  <c r="DG93" i="6" s="1"/>
  <c r="DK93" i="6" s="1"/>
  <c r="DO93" i="6" s="1"/>
  <c r="DE93" i="6"/>
  <c r="DI93" i="6" s="1"/>
  <c r="DM93" i="6" s="1"/>
  <c r="DQ93" i="6" s="1"/>
  <c r="DF93" i="6"/>
  <c r="DJ93" i="6" s="1"/>
  <c r="DN93" i="6" s="1"/>
  <c r="DR93" i="6" s="1"/>
  <c r="DC94" i="6"/>
  <c r="DE94" i="6"/>
  <c r="DI94" i="6"/>
  <c r="DM94" i="6" s="1"/>
  <c r="DQ94" i="6" s="1"/>
  <c r="DF94" i="6"/>
  <c r="DJ94" i="6"/>
  <c r="DN94" i="6" s="1"/>
  <c r="DR94" i="6" s="1"/>
  <c r="DC95" i="6"/>
  <c r="DE95" i="6"/>
  <c r="DF95" i="6"/>
  <c r="DJ95" i="6" s="1"/>
  <c r="DN95" i="6" s="1"/>
  <c r="DR95" i="6" s="1"/>
  <c r="DC96" i="6"/>
  <c r="DG96" i="6" s="1"/>
  <c r="DE96" i="6"/>
  <c r="DF96" i="6"/>
  <c r="DJ96" i="6"/>
  <c r="DN96" i="6" s="1"/>
  <c r="DR96" i="6" s="1"/>
  <c r="DC97" i="6"/>
  <c r="DG97" i="6" s="1"/>
  <c r="DK97" i="6" s="1"/>
  <c r="DO97" i="6" s="1"/>
  <c r="DE97" i="6"/>
  <c r="DI97" i="6" s="1"/>
  <c r="DF97" i="6"/>
  <c r="DJ97" i="6"/>
  <c r="DN97" i="6" s="1"/>
  <c r="DR97" i="6" s="1"/>
  <c r="DC98" i="6"/>
  <c r="DG98" i="6" s="1"/>
  <c r="DK98" i="6" s="1"/>
  <c r="DO98" i="6" s="1"/>
  <c r="DE98" i="6"/>
  <c r="DI98" i="6"/>
  <c r="DM98" i="6" s="1"/>
  <c r="DQ98" i="6" s="1"/>
  <c r="DF98" i="6"/>
  <c r="DJ98" i="6"/>
  <c r="DN98" i="6" s="1"/>
  <c r="DR98" i="6" s="1"/>
  <c r="DE99" i="6"/>
  <c r="DI99" i="6"/>
  <c r="DM99" i="6" s="1"/>
  <c r="DQ99" i="6" s="1"/>
  <c r="DF99" i="6"/>
  <c r="DJ99" i="6"/>
  <c r="DN99" i="6" s="1"/>
  <c r="DR99" i="6" s="1"/>
  <c r="DE100" i="6"/>
  <c r="DI100" i="6"/>
  <c r="DF100" i="6"/>
  <c r="DJ100" i="6"/>
  <c r="DN100" i="6" s="1"/>
  <c r="DR100" i="6" s="1"/>
  <c r="DE101" i="6"/>
  <c r="DI101" i="6"/>
  <c r="DM101" i="6" s="1"/>
  <c r="DQ101" i="6" s="1"/>
  <c r="DF101" i="6"/>
  <c r="DJ101" i="6"/>
  <c r="DN101" i="6" s="1"/>
  <c r="DR101" i="6" s="1"/>
  <c r="DE102" i="6"/>
  <c r="DI102" i="6"/>
  <c r="DM102" i="6" s="1"/>
  <c r="DQ102" i="6" s="1"/>
  <c r="DF102" i="6"/>
  <c r="DJ102" i="6"/>
  <c r="DN102" i="6" s="1"/>
  <c r="DR102" i="6" s="1"/>
  <c r="DE103" i="6"/>
  <c r="DI103" i="6"/>
  <c r="DF103" i="6"/>
  <c r="DJ103" i="6"/>
  <c r="DN103" i="6" s="1"/>
  <c r="DR103" i="6" s="1"/>
  <c r="DE104" i="6"/>
  <c r="DI104" i="6"/>
  <c r="DF104" i="6"/>
  <c r="DJ104" i="6"/>
  <c r="DN104" i="6" s="1"/>
  <c r="DR104" i="6" s="1"/>
  <c r="DE105" i="6"/>
  <c r="DI105" i="6"/>
  <c r="DM105" i="6" s="1"/>
  <c r="DQ105" i="6" s="1"/>
  <c r="DF105" i="6"/>
  <c r="DJ105" i="6"/>
  <c r="DN105" i="6" s="1"/>
  <c r="DR105" i="6" s="1"/>
  <c r="DE106" i="6"/>
  <c r="DI106" i="6"/>
  <c r="DM106" i="6" s="1"/>
  <c r="DQ106" i="6" s="1"/>
  <c r="DF106" i="6"/>
  <c r="DJ106" i="6"/>
  <c r="DN106" i="6" s="1"/>
  <c r="DR106" i="6" s="1"/>
  <c r="DE107" i="6"/>
  <c r="DI107" i="6"/>
  <c r="DF107" i="6"/>
  <c r="DJ107" i="6"/>
  <c r="DN107" i="6" s="1"/>
  <c r="DR107" i="6" s="1"/>
  <c r="DE108" i="6"/>
  <c r="DI108" i="6"/>
  <c r="DM108" i="6" s="1"/>
  <c r="DQ108" i="6" s="1"/>
  <c r="DF108" i="6"/>
  <c r="DJ108" i="6"/>
  <c r="DN108" i="6" s="1"/>
  <c r="DR108" i="6" s="1"/>
  <c r="DE109" i="6"/>
  <c r="DI109" i="6"/>
  <c r="DM109" i="6" s="1"/>
  <c r="DQ109" i="6" s="1"/>
  <c r="DF109" i="6"/>
  <c r="DJ109" i="6"/>
  <c r="DN109" i="6" s="1"/>
  <c r="DR109" i="6" s="1"/>
  <c r="DE110" i="6"/>
  <c r="DI110" i="6"/>
  <c r="DF110" i="6"/>
  <c r="DJ110" i="6"/>
  <c r="DN110" i="6" s="1"/>
  <c r="DR110" i="6" s="1"/>
  <c r="DE111" i="6"/>
  <c r="DI111" i="6"/>
  <c r="DF111" i="6"/>
  <c r="DJ111" i="6"/>
  <c r="DN111" i="6" s="1"/>
  <c r="DR111" i="6" s="1"/>
  <c r="DE112" i="6"/>
  <c r="DI112" i="6"/>
  <c r="DM112" i="6" s="1"/>
  <c r="DQ112" i="6" s="1"/>
  <c r="DF112" i="6"/>
  <c r="DJ112" i="6"/>
  <c r="DN112" i="6" s="1"/>
  <c r="DR112" i="6" s="1"/>
  <c r="DE113" i="6"/>
  <c r="DI113" i="6"/>
  <c r="DM113" i="6" s="1"/>
  <c r="DQ113" i="6" s="1"/>
  <c r="DF113" i="6"/>
  <c r="DJ113" i="6"/>
  <c r="DN113" i="6" s="1"/>
  <c r="DR113" i="6" s="1"/>
  <c r="DE114" i="6"/>
  <c r="DI114" i="6"/>
  <c r="DM114" i="6" s="1"/>
  <c r="DQ114" i="6" s="1"/>
  <c r="DF114" i="6"/>
  <c r="DJ114" i="6"/>
  <c r="DN114" i="6" s="1"/>
  <c r="DR114" i="6" s="1"/>
  <c r="DE115" i="6"/>
  <c r="DI115" i="6"/>
  <c r="DF115" i="6"/>
  <c r="DJ115" i="6"/>
  <c r="DN115" i="6" s="1"/>
  <c r="DR115" i="6" s="1"/>
  <c r="DE116" i="6"/>
  <c r="DI116" i="6"/>
  <c r="DM116" i="6" s="1"/>
  <c r="DQ116" i="6" s="1"/>
  <c r="DF116" i="6"/>
  <c r="DJ116" i="6"/>
  <c r="DN116" i="6" s="1"/>
  <c r="DR116" i="6" s="1"/>
  <c r="DE117" i="6"/>
  <c r="DI117" i="6"/>
  <c r="DM117" i="6" s="1"/>
  <c r="DQ117" i="6" s="1"/>
  <c r="DF117" i="6"/>
  <c r="DJ117" i="6"/>
  <c r="DN117" i="6" s="1"/>
  <c r="DR117" i="6" s="1"/>
  <c r="DE118" i="6"/>
  <c r="DI118" i="6"/>
  <c r="DF118" i="6"/>
  <c r="DJ118" i="6"/>
  <c r="DN118" i="6" s="1"/>
  <c r="DR118" i="6" s="1"/>
  <c r="DE119" i="6"/>
  <c r="DI119" i="6"/>
  <c r="DM119" i="6" s="1"/>
  <c r="DQ119" i="6" s="1"/>
  <c r="DF119" i="6"/>
  <c r="DJ119" i="6"/>
  <c r="DN119" i="6" s="1"/>
  <c r="DR119" i="6" s="1"/>
  <c r="DE120" i="6"/>
  <c r="DI120" i="6"/>
  <c r="DM120" i="6" s="1"/>
  <c r="DQ120" i="6" s="1"/>
  <c r="DF120" i="6"/>
  <c r="DJ120" i="6"/>
  <c r="DN120" i="6" s="1"/>
  <c r="DR120" i="6" s="1"/>
  <c r="DE121" i="6"/>
  <c r="DI121" i="6"/>
  <c r="DF121" i="6"/>
  <c r="DJ121" i="6"/>
  <c r="DN121" i="6" s="1"/>
  <c r="DR121" i="6" s="1"/>
  <c r="DE122" i="6"/>
  <c r="DI122" i="6"/>
  <c r="DM122" i="6" s="1"/>
  <c r="DQ122" i="6" s="1"/>
  <c r="DF122" i="6"/>
  <c r="DJ122" i="6"/>
  <c r="DN122" i="6" s="1"/>
  <c r="DR122" i="6" s="1"/>
  <c r="DE123" i="6"/>
  <c r="DI123" i="6"/>
  <c r="DM123" i="6" s="1"/>
  <c r="DQ123" i="6" s="1"/>
  <c r="DF123" i="6"/>
  <c r="DJ123" i="6"/>
  <c r="DN123" i="6" s="1"/>
  <c r="DR123" i="6" s="1"/>
  <c r="DE124" i="6"/>
  <c r="DI124" i="6"/>
  <c r="DF124" i="6"/>
  <c r="DJ124" i="6"/>
  <c r="DN124" i="6" s="1"/>
  <c r="DR124" i="6" s="1"/>
  <c r="DE125" i="6"/>
  <c r="DI125" i="6"/>
  <c r="DM125" i="6" s="1"/>
  <c r="DQ125" i="6" s="1"/>
  <c r="DF125" i="6"/>
  <c r="DJ125" i="6"/>
  <c r="DN125" i="6" s="1"/>
  <c r="DR125" i="6" s="1"/>
  <c r="DE126" i="6"/>
  <c r="DI126" i="6"/>
  <c r="DM126" i="6" s="1"/>
  <c r="DQ126" i="6" s="1"/>
  <c r="DF126" i="6"/>
  <c r="DJ126" i="6"/>
  <c r="DN126" i="6" s="1"/>
  <c r="DR126" i="6" s="1"/>
  <c r="DE127" i="6"/>
  <c r="DI127" i="6"/>
  <c r="DM127" i="6" s="1"/>
  <c r="DQ127" i="6" s="1"/>
  <c r="DF127" i="6"/>
  <c r="DJ127" i="6"/>
  <c r="DN127" i="6" s="1"/>
  <c r="DR127" i="6" s="1"/>
  <c r="DE128" i="6"/>
  <c r="DI128" i="6"/>
  <c r="DF128" i="6"/>
  <c r="DJ128" i="6"/>
  <c r="DN128" i="6" s="1"/>
  <c r="DR128" i="6" s="1"/>
  <c r="DE129" i="6"/>
  <c r="DI129" i="6"/>
  <c r="DF129" i="6"/>
  <c r="DJ129" i="6"/>
  <c r="DN129" i="6" s="1"/>
  <c r="DR129" i="6" s="1"/>
  <c r="DE130" i="6"/>
  <c r="DI130" i="6"/>
  <c r="DM130" i="6" s="1"/>
  <c r="DQ130" i="6" s="1"/>
  <c r="DF130" i="6"/>
  <c r="DJ130" i="6"/>
  <c r="DN130" i="6" s="1"/>
  <c r="DR130" i="6" s="1"/>
  <c r="DE131" i="6"/>
  <c r="DF131" i="6"/>
  <c r="DE132" i="6"/>
  <c r="DI132" i="6" s="1"/>
  <c r="DM132" i="6" s="1"/>
  <c r="DQ132" i="6" s="1"/>
  <c r="DF132" i="6"/>
  <c r="DJ132" i="6" s="1"/>
  <c r="DN132" i="6" s="1"/>
  <c r="DR132" i="6" s="1"/>
  <c r="DE133" i="6"/>
  <c r="DF133" i="6"/>
  <c r="DE134" i="6"/>
  <c r="DI134" i="6" s="1"/>
  <c r="DM134" i="6" s="1"/>
  <c r="DQ134" i="6" s="1"/>
  <c r="DF134" i="6"/>
  <c r="DJ134" i="6" s="1"/>
  <c r="DN134" i="6" s="1"/>
  <c r="DR134" i="6" s="1"/>
  <c r="DE135" i="6"/>
  <c r="DF135" i="6"/>
  <c r="DJ135" i="6" s="1"/>
  <c r="DN135" i="6" s="1"/>
  <c r="DR135" i="6" s="1"/>
  <c r="DE136" i="6"/>
  <c r="DI136" i="6" s="1"/>
  <c r="DM136" i="6" s="1"/>
  <c r="DQ136" i="6" s="1"/>
  <c r="DF136" i="6"/>
  <c r="DJ136" i="6" s="1"/>
  <c r="DE137" i="6"/>
  <c r="DI137" i="6" s="1"/>
  <c r="DF137" i="6"/>
  <c r="DJ137" i="6" s="1"/>
  <c r="DN137" i="6" s="1"/>
  <c r="DR137" i="6" s="1"/>
  <c r="DE138" i="6"/>
  <c r="DI138" i="6" s="1"/>
  <c r="DM138" i="6" s="1"/>
  <c r="DQ138" i="6" s="1"/>
  <c r="DF138" i="6"/>
  <c r="DJ138" i="6" s="1"/>
  <c r="DN138" i="6" s="1"/>
  <c r="DR138" i="6" s="1"/>
  <c r="DE139" i="6"/>
  <c r="DI139" i="6" s="1"/>
  <c r="DF139" i="6"/>
  <c r="DJ139" i="6" s="1"/>
  <c r="DN139" i="6" s="1"/>
  <c r="DR139" i="6" s="1"/>
  <c r="DE140" i="6"/>
  <c r="DI140" i="6" s="1"/>
  <c r="DM140" i="6" s="1"/>
  <c r="DQ140" i="6" s="1"/>
  <c r="DF140" i="6"/>
  <c r="DJ140" i="6" s="1"/>
  <c r="DN140" i="6" s="1"/>
  <c r="DR140" i="6" s="1"/>
  <c r="DE141" i="6"/>
  <c r="DI141" i="6"/>
  <c r="DF141" i="6"/>
  <c r="DJ141" i="6"/>
  <c r="DE142" i="6"/>
  <c r="DI142" i="6" s="1"/>
  <c r="DM142" i="6" s="1"/>
  <c r="DQ142" i="6" s="1"/>
  <c r="DF142" i="6"/>
  <c r="DJ142" i="6"/>
  <c r="DE143" i="6"/>
  <c r="DI143" i="6" s="1"/>
  <c r="DM143" i="6" s="1"/>
  <c r="DQ143" i="6" s="1"/>
  <c r="DF143" i="6"/>
  <c r="DJ143" i="6" s="1"/>
  <c r="DE144" i="6"/>
  <c r="DI144" i="6"/>
  <c r="DF144" i="6"/>
  <c r="DJ144" i="6" s="1"/>
  <c r="DE145" i="6"/>
  <c r="DF145" i="6"/>
  <c r="DJ145" i="6"/>
  <c r="DD2" i="6"/>
  <c r="DH2" i="6"/>
  <c r="DE2" i="6"/>
  <c r="DI2" i="6"/>
  <c r="DF2" i="6"/>
  <c r="DJ2" i="6"/>
  <c r="DC2" i="6"/>
  <c r="DG2" i="6"/>
  <c r="EI10" i="12"/>
  <c r="EM7" i="12"/>
  <c r="AJ7" i="8"/>
  <c r="AJ9" i="8"/>
  <c r="AJ10" i="8"/>
  <c r="AJ11" i="8"/>
  <c r="AJ12" i="8"/>
  <c r="AJ13" i="8"/>
  <c r="AJ14" i="8"/>
  <c r="AJ15" i="8"/>
  <c r="AJ17" i="8"/>
  <c r="AJ18" i="8"/>
  <c r="AJ19" i="8"/>
  <c r="AJ20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106" i="8"/>
  <c r="AJ107" i="8"/>
  <c r="AJ108" i="8"/>
  <c r="AJ109" i="8"/>
  <c r="AJ110" i="8"/>
  <c r="AJ111" i="8"/>
  <c r="AJ114" i="8"/>
  <c r="AJ116" i="8"/>
  <c r="AJ117" i="8"/>
  <c r="AJ118" i="8"/>
  <c r="AJ119" i="8"/>
  <c r="AJ120" i="8"/>
  <c r="AJ121" i="8"/>
  <c r="AJ122" i="8"/>
  <c r="AJ123" i="8"/>
  <c r="AJ124" i="8"/>
  <c r="AJ125" i="8"/>
  <c r="AJ126" i="8"/>
  <c r="AJ128" i="8"/>
  <c r="AJ129" i="8"/>
  <c r="AJ130" i="8"/>
  <c r="AJ131" i="8"/>
  <c r="AJ132" i="8"/>
  <c r="AJ133" i="8"/>
  <c r="AJ134" i="8"/>
  <c r="AJ135" i="8"/>
  <c r="AJ136" i="8"/>
  <c r="AJ137" i="8"/>
  <c r="AJ139" i="8"/>
  <c r="AJ140" i="8"/>
  <c r="AJ141" i="8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4" i="8"/>
  <c r="AJ155" i="8"/>
  <c r="AJ156" i="8"/>
  <c r="AJ157" i="8"/>
  <c r="AJ158" i="8"/>
  <c r="AJ159" i="8"/>
  <c r="AJ160" i="8"/>
  <c r="AJ161" i="8"/>
  <c r="AJ162" i="8"/>
  <c r="AJ163" i="8"/>
  <c r="AJ164" i="8"/>
  <c r="AJ165" i="8"/>
  <c r="AJ166" i="8"/>
  <c r="AJ167" i="8"/>
  <c r="AJ168" i="8"/>
  <c r="AJ169" i="8"/>
  <c r="AJ170" i="8"/>
  <c r="AJ171" i="8"/>
  <c r="AJ172" i="8"/>
  <c r="AJ173" i="8"/>
  <c r="AJ174" i="8"/>
  <c r="AJ175" i="8"/>
  <c r="AJ176" i="8"/>
  <c r="AJ177" i="8"/>
  <c r="AJ178" i="8"/>
  <c r="AJ179" i="8"/>
  <c r="AJ180" i="8"/>
  <c r="AJ181" i="8"/>
  <c r="AJ182" i="8"/>
  <c r="AJ183" i="8"/>
  <c r="AJ184" i="8"/>
  <c r="AJ185" i="8"/>
  <c r="AJ186" i="8"/>
  <c r="AJ187" i="8"/>
  <c r="AJ188" i="8"/>
  <c r="AJ189" i="8"/>
  <c r="AJ190" i="8"/>
  <c r="AJ191" i="8"/>
  <c r="AJ192" i="8"/>
  <c r="AJ193" i="8"/>
  <c r="AJ194" i="8"/>
  <c r="AJ195" i="8"/>
  <c r="AJ196" i="8"/>
  <c r="AJ197" i="8"/>
  <c r="AJ198" i="8"/>
  <c r="AJ199" i="8"/>
  <c r="AJ200" i="8"/>
  <c r="AJ201" i="8"/>
  <c r="AJ202" i="8"/>
  <c r="AJ203" i="8"/>
  <c r="AJ204" i="8"/>
  <c r="AJ205" i="8"/>
  <c r="AJ206" i="8"/>
  <c r="AJ207" i="8"/>
  <c r="AJ208" i="8"/>
  <c r="AJ209" i="8"/>
  <c r="AJ210" i="8"/>
  <c r="AJ211" i="8"/>
  <c r="AJ212" i="8"/>
  <c r="AJ213" i="8"/>
  <c r="AJ214" i="8"/>
  <c r="AJ215" i="8"/>
  <c r="AJ216" i="8"/>
  <c r="AJ217" i="8"/>
  <c r="AJ218" i="8"/>
  <c r="AJ219" i="8"/>
  <c r="AJ220" i="8"/>
  <c r="AJ221" i="8"/>
  <c r="AJ222" i="8"/>
  <c r="AJ223" i="8"/>
  <c r="AJ224" i="8"/>
  <c r="AJ225" i="8"/>
  <c r="AJ226" i="8"/>
  <c r="AJ227" i="8"/>
  <c r="AJ228" i="8"/>
  <c r="AJ229" i="8"/>
  <c r="AJ230" i="8"/>
  <c r="AJ231" i="8"/>
  <c r="AJ232" i="8"/>
  <c r="AJ233" i="8"/>
  <c r="AJ234" i="8"/>
  <c r="AJ235" i="8"/>
  <c r="AJ236" i="8"/>
  <c r="AJ237" i="8"/>
  <c r="AJ238" i="8"/>
  <c r="AJ239" i="8"/>
  <c r="AJ240" i="8"/>
  <c r="AJ241" i="8"/>
  <c r="AJ242" i="8"/>
  <c r="AJ243" i="8"/>
  <c r="AJ244" i="8"/>
  <c r="AJ245" i="8"/>
  <c r="AJ246" i="8"/>
  <c r="AJ247" i="8"/>
  <c r="AJ248" i="8"/>
  <c r="AJ249" i="8"/>
  <c r="AJ250" i="8"/>
  <c r="AJ251" i="8"/>
  <c r="AJ252" i="8"/>
  <c r="AJ253" i="8"/>
  <c r="AJ254" i="8"/>
  <c r="AJ255" i="8"/>
  <c r="AJ256" i="8"/>
  <c r="AJ257" i="8"/>
  <c r="AJ258" i="8"/>
  <c r="AJ259" i="8"/>
  <c r="AJ260" i="8"/>
  <c r="AJ261" i="8"/>
  <c r="AJ262" i="8"/>
  <c r="AJ263" i="8"/>
  <c r="AJ264" i="8"/>
  <c r="AJ265" i="8"/>
  <c r="AJ266" i="8"/>
  <c r="AJ267" i="8"/>
  <c r="AJ268" i="8"/>
  <c r="AJ269" i="8"/>
  <c r="AJ272" i="8"/>
  <c r="AJ273" i="8"/>
  <c r="AJ274" i="8"/>
  <c r="AJ275" i="8"/>
  <c r="AJ276" i="8"/>
  <c r="AJ277" i="8"/>
  <c r="AJ278" i="8"/>
  <c r="AJ279" i="8"/>
  <c r="AJ281" i="8"/>
  <c r="AJ282" i="8"/>
  <c r="AJ283" i="8"/>
  <c r="AJ284" i="8"/>
  <c r="AJ285" i="8"/>
  <c r="AJ286" i="8"/>
  <c r="AJ287" i="8"/>
  <c r="AJ288" i="8"/>
  <c r="AJ289" i="8"/>
  <c r="AJ290" i="8"/>
  <c r="AJ291" i="8"/>
  <c r="AJ292" i="8"/>
  <c r="AJ293" i="8"/>
  <c r="AJ294" i="8"/>
  <c r="AJ295" i="8"/>
  <c r="AJ296" i="8"/>
  <c r="AJ297" i="8"/>
  <c r="AJ298" i="8"/>
  <c r="AJ299" i="8"/>
  <c r="AJ300" i="8"/>
  <c r="AJ301" i="8"/>
  <c r="AJ302" i="8"/>
  <c r="AJ303" i="8"/>
  <c r="AJ304" i="8"/>
  <c r="AJ305" i="8"/>
  <c r="AJ306" i="8"/>
  <c r="AJ307" i="8"/>
  <c r="AJ308" i="8"/>
  <c r="AJ309" i="8"/>
  <c r="AJ310" i="8"/>
  <c r="AJ311" i="8"/>
  <c r="AJ312" i="8"/>
  <c r="AJ313" i="8"/>
  <c r="AJ314" i="8"/>
  <c r="AJ315" i="8"/>
  <c r="AJ316" i="8"/>
  <c r="AJ317" i="8"/>
  <c r="AJ318" i="8"/>
  <c r="AJ319" i="8"/>
  <c r="AJ320" i="8"/>
  <c r="AJ321" i="8"/>
  <c r="AJ322" i="8"/>
  <c r="AJ323" i="8"/>
  <c r="AJ324" i="8"/>
  <c r="AJ325" i="8"/>
  <c r="AJ326" i="8"/>
  <c r="AJ327" i="8"/>
  <c r="AJ328" i="8"/>
  <c r="AJ329" i="8"/>
  <c r="AJ330" i="8"/>
  <c r="AJ331" i="8"/>
  <c r="AJ332" i="8"/>
  <c r="AJ333" i="8"/>
  <c r="AJ334" i="8"/>
  <c r="AJ335" i="8"/>
  <c r="AJ336" i="8"/>
  <c r="AJ337" i="8"/>
  <c r="AJ338" i="8"/>
  <c r="AJ339" i="8"/>
  <c r="AJ340" i="8"/>
  <c r="AJ341" i="8"/>
  <c r="AJ342" i="8"/>
  <c r="AJ343" i="8"/>
  <c r="AJ344" i="8"/>
  <c r="AJ345" i="8"/>
  <c r="AJ346" i="8"/>
  <c r="AJ347" i="8"/>
  <c r="AJ348" i="8"/>
  <c r="AJ349" i="8"/>
  <c r="AJ350" i="8"/>
  <c r="AJ351" i="8"/>
  <c r="AJ352" i="8"/>
  <c r="AJ353" i="8"/>
  <c r="AJ354" i="8"/>
  <c r="AJ355" i="8"/>
  <c r="AJ356" i="8"/>
  <c r="AJ357" i="8"/>
  <c r="AJ358" i="8"/>
  <c r="AJ359" i="8"/>
  <c r="AJ360" i="8"/>
  <c r="AJ361" i="8"/>
  <c r="AJ362" i="8"/>
  <c r="AJ363" i="8"/>
  <c r="AJ364" i="8"/>
  <c r="AJ365" i="8"/>
  <c r="AJ366" i="8"/>
  <c r="AJ367" i="8"/>
  <c r="AJ368" i="8"/>
  <c r="AJ369" i="8"/>
  <c r="AJ370" i="8"/>
  <c r="AJ371" i="8"/>
  <c r="AJ372" i="8"/>
  <c r="AJ373" i="8"/>
  <c r="AJ374" i="8"/>
  <c r="AJ375" i="8"/>
  <c r="AJ376" i="8"/>
  <c r="AJ377" i="8"/>
  <c r="AJ378" i="8"/>
  <c r="AJ379" i="8"/>
  <c r="AJ380" i="8"/>
  <c r="AJ381" i="8"/>
  <c r="AJ382" i="8"/>
  <c r="AJ383" i="8"/>
  <c r="AJ384" i="8"/>
  <c r="AJ385" i="8"/>
  <c r="AJ386" i="8"/>
  <c r="AJ387" i="8"/>
  <c r="AJ388" i="8"/>
  <c r="AJ389" i="8"/>
  <c r="AJ390" i="8"/>
  <c r="AJ391" i="8"/>
  <c r="AJ392" i="8"/>
  <c r="AJ393" i="8"/>
  <c r="AJ394" i="8"/>
  <c r="AJ395" i="8"/>
  <c r="AJ396" i="8"/>
  <c r="AJ397" i="8"/>
  <c r="AJ398" i="8"/>
  <c r="AJ399" i="8"/>
  <c r="AJ400" i="8"/>
  <c r="AJ401" i="8"/>
  <c r="AJ402" i="8"/>
  <c r="AJ403" i="8"/>
  <c r="AJ404" i="8"/>
  <c r="AJ405" i="8"/>
  <c r="AJ406" i="8"/>
  <c r="AJ407" i="8"/>
  <c r="AJ408" i="8"/>
  <c r="AJ409" i="8"/>
  <c r="AJ410" i="8"/>
  <c r="AJ411" i="8"/>
  <c r="AJ412" i="8"/>
  <c r="AJ413" i="8"/>
  <c r="AJ414" i="8"/>
  <c r="AJ415" i="8"/>
  <c r="AJ416" i="8"/>
  <c r="AJ417" i="8"/>
  <c r="AJ418" i="8"/>
  <c r="AJ419" i="8"/>
  <c r="AJ420" i="8"/>
  <c r="AJ421" i="8"/>
  <c r="AJ422" i="8"/>
  <c r="AJ423" i="8"/>
  <c r="AJ424" i="8"/>
  <c r="AJ425" i="8"/>
  <c r="AJ426" i="8"/>
  <c r="AJ427" i="8"/>
  <c r="AJ428" i="8"/>
  <c r="AJ429" i="8"/>
  <c r="AJ430" i="8"/>
  <c r="AJ431" i="8"/>
  <c r="AJ432" i="8"/>
  <c r="AJ433" i="8"/>
  <c r="AJ434" i="8"/>
  <c r="AJ435" i="8"/>
  <c r="AJ436" i="8"/>
  <c r="AJ437" i="8"/>
  <c r="AJ438" i="8"/>
  <c r="AJ439" i="8"/>
  <c r="AJ440" i="8"/>
  <c r="AJ441" i="8"/>
  <c r="AJ6" i="8"/>
  <c r="BD3" i="7"/>
  <c r="BD4" i="7"/>
  <c r="BD5" i="7"/>
  <c r="BD6" i="7"/>
  <c r="BD7" i="7"/>
  <c r="BD8" i="7"/>
  <c r="BD9" i="7"/>
  <c r="BD10" i="7"/>
  <c r="BD11" i="7"/>
  <c r="BD12" i="7"/>
  <c r="BD13" i="7"/>
  <c r="BD14" i="7"/>
  <c r="BD15" i="7"/>
  <c r="BD16" i="7"/>
  <c r="BD17" i="7"/>
  <c r="BD18" i="7"/>
  <c r="BD19" i="7"/>
  <c r="BD20" i="7"/>
  <c r="BD21" i="7"/>
  <c r="BD22" i="7"/>
  <c r="BD23" i="7"/>
  <c r="BD24" i="7"/>
  <c r="BD25" i="7"/>
  <c r="BD26" i="7"/>
  <c r="BD27" i="7"/>
  <c r="BD28" i="7"/>
  <c r="BD29" i="7"/>
  <c r="BD30" i="7"/>
  <c r="BD31" i="7"/>
  <c r="BD32" i="7"/>
  <c r="BD33" i="7"/>
  <c r="BD34" i="7"/>
  <c r="BD35" i="7"/>
  <c r="BD36" i="7"/>
  <c r="BD37" i="7"/>
  <c r="BD38" i="7"/>
  <c r="BD39" i="7"/>
  <c r="BD40" i="7"/>
  <c r="BD41" i="7"/>
  <c r="BD42" i="7"/>
  <c r="BD43" i="7"/>
  <c r="BD44" i="7"/>
  <c r="BD45" i="7"/>
  <c r="BD46" i="7"/>
  <c r="BD47" i="7"/>
  <c r="BD48" i="7"/>
  <c r="BD49" i="7"/>
  <c r="BD50" i="7"/>
  <c r="BD51" i="7"/>
  <c r="BD52" i="7"/>
  <c r="BD53" i="7"/>
  <c r="BD54" i="7"/>
  <c r="BD55" i="7"/>
  <c r="BD56" i="7"/>
  <c r="BD57" i="7"/>
  <c r="BD58" i="7"/>
  <c r="BD59" i="7"/>
  <c r="BD60" i="7"/>
  <c r="BD61" i="7"/>
  <c r="BD62" i="7"/>
  <c r="BD63" i="7"/>
  <c r="BD64" i="7"/>
  <c r="BD65" i="7"/>
  <c r="BD66" i="7"/>
  <c r="BD67" i="7"/>
  <c r="BD68" i="7"/>
  <c r="BD69" i="7"/>
  <c r="BD70" i="7"/>
  <c r="BD71" i="7"/>
  <c r="BD72" i="7"/>
  <c r="BD73" i="7"/>
  <c r="BD74" i="7"/>
  <c r="BD75" i="7"/>
  <c r="BD76" i="7"/>
  <c r="BD77" i="7"/>
  <c r="BD78" i="7"/>
  <c r="BD79" i="7"/>
  <c r="BD80" i="7"/>
  <c r="BD81" i="7"/>
  <c r="BD82" i="7"/>
  <c r="BD83" i="7"/>
  <c r="BD84" i="7"/>
  <c r="BD85" i="7"/>
  <c r="BD86" i="7"/>
  <c r="BD87" i="7"/>
  <c r="BD88" i="7"/>
  <c r="BD89" i="7"/>
  <c r="BD90" i="7"/>
  <c r="BD91" i="7"/>
  <c r="BD92" i="7"/>
  <c r="BD93" i="7"/>
  <c r="BD94" i="7"/>
  <c r="BD95" i="7"/>
  <c r="BD96" i="7"/>
  <c r="BD97" i="7"/>
  <c r="BD98" i="7"/>
  <c r="BD99" i="7"/>
  <c r="BD100" i="7"/>
  <c r="BD101" i="7"/>
  <c r="BD102" i="7"/>
  <c r="BD103" i="7"/>
  <c r="BD104" i="7"/>
  <c r="BD105" i="7"/>
  <c r="BD106" i="7"/>
  <c r="BD107" i="7"/>
  <c r="BD108" i="7"/>
  <c r="BD109" i="7"/>
  <c r="BD110" i="7"/>
  <c r="BD111" i="7"/>
  <c r="BD112" i="7"/>
  <c r="BD113" i="7"/>
  <c r="BD114" i="7"/>
  <c r="BD115" i="7"/>
  <c r="BD116" i="7"/>
  <c r="BD117" i="7"/>
  <c r="BD118" i="7"/>
  <c r="BD119" i="7"/>
  <c r="BD120" i="7"/>
  <c r="BD121" i="7"/>
  <c r="BD122" i="7"/>
  <c r="BD123" i="7"/>
  <c r="BD124" i="7"/>
  <c r="BD125" i="7"/>
  <c r="BD126" i="7"/>
  <c r="BD127" i="7"/>
  <c r="BD128" i="7"/>
  <c r="BD129" i="7"/>
  <c r="BD2" i="7"/>
  <c r="AS3" i="7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2" i="7"/>
  <c r="AG95" i="7"/>
  <c r="AG94" i="7"/>
  <c r="AG93" i="7"/>
  <c r="AG92" i="7"/>
  <c r="AG91" i="7"/>
  <c r="AG88" i="7"/>
  <c r="AG87" i="7"/>
  <c r="AG86" i="7"/>
  <c r="AG85" i="7"/>
  <c r="AG84" i="7"/>
  <c r="AG83" i="7"/>
  <c r="AG82" i="7"/>
  <c r="AG81" i="7"/>
  <c r="AG80" i="7"/>
  <c r="AG79" i="7"/>
  <c r="AG78" i="7"/>
  <c r="AG77" i="7"/>
  <c r="AG76" i="7"/>
  <c r="AG75" i="7"/>
  <c r="AG73" i="7"/>
  <c r="AG71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2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3" i="7"/>
  <c r="V2" i="7"/>
  <c r="ED16" i="12"/>
  <c r="EE16" i="12"/>
  <c r="EF16" i="12"/>
  <c r="EG16" i="12"/>
  <c r="ED17" i="12"/>
  <c r="EE17" i="12"/>
  <c r="EF17" i="12"/>
  <c r="EG17" i="12"/>
  <c r="ED18" i="12"/>
  <c r="EE18" i="12"/>
  <c r="EF18" i="12"/>
  <c r="EG18" i="12"/>
  <c r="ED19" i="12"/>
  <c r="EE19" i="12"/>
  <c r="EF19" i="12"/>
  <c r="EG19" i="12"/>
  <c r="ED20" i="12"/>
  <c r="EE20" i="12"/>
  <c r="EF20" i="12"/>
  <c r="EG20" i="12"/>
  <c r="ED21" i="12"/>
  <c r="EE21" i="12"/>
  <c r="EF21" i="12"/>
  <c r="EG21" i="12"/>
  <c r="ED22" i="12"/>
  <c r="EE22" i="12"/>
  <c r="EF22" i="12"/>
  <c r="EG22" i="12"/>
  <c r="ED23" i="12"/>
  <c r="EE23" i="12"/>
  <c r="EF23" i="12"/>
  <c r="EG23" i="12"/>
  <c r="ED24" i="12"/>
  <c r="EE24" i="12"/>
  <c r="EF24" i="12"/>
  <c r="EG24" i="12"/>
  <c r="ED25" i="12"/>
  <c r="EE25" i="12"/>
  <c r="EF25" i="12"/>
  <c r="EG25" i="12"/>
  <c r="ED26" i="12"/>
  <c r="EE26" i="12"/>
  <c r="EF26" i="12"/>
  <c r="EG26" i="12"/>
  <c r="ED27" i="12"/>
  <c r="EE27" i="12"/>
  <c r="EF27" i="12"/>
  <c r="EG27" i="12"/>
  <c r="ED28" i="12"/>
  <c r="EE28" i="12"/>
  <c r="EF28" i="12"/>
  <c r="EG28" i="12"/>
  <c r="ED29" i="12"/>
  <c r="EE29" i="12"/>
  <c r="EF29" i="12"/>
  <c r="EG29" i="12"/>
  <c r="ED30" i="12"/>
  <c r="EE30" i="12"/>
  <c r="EF30" i="12"/>
  <c r="EG30" i="12"/>
  <c r="ED31" i="12"/>
  <c r="EE31" i="12"/>
  <c r="EF31" i="12"/>
  <c r="EG31" i="12"/>
  <c r="ED32" i="12"/>
  <c r="EE32" i="12"/>
  <c r="EF32" i="12"/>
  <c r="EG32" i="12"/>
  <c r="ED33" i="12"/>
  <c r="EE33" i="12"/>
  <c r="EF33" i="12"/>
  <c r="EG33" i="12"/>
  <c r="ED34" i="12"/>
  <c r="EE34" i="12"/>
  <c r="EF34" i="12"/>
  <c r="EG34" i="12"/>
  <c r="ED35" i="12"/>
  <c r="EE35" i="12"/>
  <c r="EF35" i="12"/>
  <c r="EG35" i="12"/>
  <c r="ED36" i="12"/>
  <c r="EE36" i="12"/>
  <c r="EF36" i="12"/>
  <c r="EG36" i="12"/>
  <c r="ED37" i="12"/>
  <c r="EE37" i="12"/>
  <c r="EF37" i="12"/>
  <c r="EG37" i="12"/>
  <c r="ED38" i="12"/>
  <c r="EE38" i="12"/>
  <c r="EF38" i="12"/>
  <c r="EG38" i="12"/>
  <c r="ED39" i="12"/>
  <c r="EE39" i="12"/>
  <c r="EF39" i="12"/>
  <c r="EG39" i="12"/>
  <c r="ED40" i="12"/>
  <c r="EE40" i="12"/>
  <c r="EF40" i="12"/>
  <c r="EG40" i="12"/>
  <c r="ED41" i="12"/>
  <c r="EE41" i="12"/>
  <c r="EF41" i="12"/>
  <c r="EG41" i="12"/>
  <c r="ED42" i="12"/>
  <c r="EE42" i="12"/>
  <c r="EF42" i="12"/>
  <c r="EG42" i="12"/>
  <c r="ED43" i="12"/>
  <c r="EE43" i="12"/>
  <c r="EF43" i="12"/>
  <c r="EG43" i="12"/>
  <c r="ED44" i="12"/>
  <c r="EE44" i="12"/>
  <c r="EF44" i="12"/>
  <c r="EG44" i="12"/>
  <c r="ED45" i="12"/>
  <c r="EE45" i="12"/>
  <c r="EF45" i="12"/>
  <c r="EG45" i="12"/>
  <c r="ED46" i="12"/>
  <c r="EE46" i="12"/>
  <c r="EF46" i="12"/>
  <c r="EG46" i="12"/>
  <c r="ED47" i="12"/>
  <c r="EE47" i="12"/>
  <c r="EF47" i="12"/>
  <c r="EG47" i="12"/>
  <c r="ED48" i="12"/>
  <c r="EE48" i="12"/>
  <c r="EF48" i="12"/>
  <c r="EG48" i="12"/>
  <c r="ED49" i="12"/>
  <c r="EE49" i="12"/>
  <c r="EF49" i="12"/>
  <c r="EG49" i="12"/>
  <c r="ED50" i="12"/>
  <c r="EE50" i="12"/>
  <c r="EF50" i="12"/>
  <c r="EG50" i="12"/>
  <c r="ED51" i="12"/>
  <c r="EE51" i="12"/>
  <c r="EF51" i="12"/>
  <c r="EG51" i="12"/>
  <c r="ED52" i="12"/>
  <c r="EE52" i="12"/>
  <c r="EF52" i="12"/>
  <c r="EG52" i="12"/>
  <c r="ED53" i="12"/>
  <c r="EE53" i="12"/>
  <c r="EF53" i="12"/>
  <c r="EG53" i="12"/>
  <c r="ED54" i="12"/>
  <c r="EE54" i="12"/>
  <c r="EF54" i="12"/>
  <c r="EG54" i="12"/>
  <c r="ED55" i="12"/>
  <c r="EE55" i="12"/>
  <c r="EF55" i="12"/>
  <c r="EG55" i="12"/>
  <c r="ED56" i="12"/>
  <c r="EE56" i="12"/>
  <c r="EF56" i="12"/>
  <c r="EG56" i="12"/>
  <c r="ED57" i="12"/>
  <c r="EE57" i="12"/>
  <c r="EF57" i="12"/>
  <c r="EG57" i="12"/>
  <c r="ED58" i="12"/>
  <c r="EE58" i="12"/>
  <c r="EF58" i="12"/>
  <c r="EG58" i="12"/>
  <c r="ED59" i="12"/>
  <c r="EE59" i="12"/>
  <c r="EF59" i="12"/>
  <c r="EG59" i="12"/>
  <c r="ED60" i="12"/>
  <c r="EE60" i="12"/>
  <c r="EF60" i="12"/>
  <c r="EG60" i="12"/>
  <c r="ED61" i="12"/>
  <c r="EE61" i="12"/>
  <c r="EF61" i="12"/>
  <c r="EG61" i="12"/>
  <c r="ED62" i="12"/>
  <c r="EE62" i="12"/>
  <c r="EF62" i="12"/>
  <c r="EG62" i="12"/>
  <c r="ED63" i="12"/>
  <c r="EE63" i="12"/>
  <c r="EF63" i="12"/>
  <c r="EG63" i="12"/>
  <c r="ED64" i="12"/>
  <c r="EE64" i="12"/>
  <c r="EF64" i="12"/>
  <c r="EG64" i="12"/>
  <c r="ED65" i="12"/>
  <c r="EE65" i="12"/>
  <c r="EF65" i="12"/>
  <c r="EG65" i="12"/>
  <c r="ED66" i="12"/>
  <c r="EE66" i="12"/>
  <c r="EF66" i="12"/>
  <c r="EG66" i="12"/>
  <c r="ED67" i="12"/>
  <c r="EE67" i="12"/>
  <c r="EF67" i="12"/>
  <c r="EG67" i="12"/>
  <c r="ED68" i="12"/>
  <c r="EE68" i="12"/>
  <c r="EF68" i="12"/>
  <c r="EG68" i="12"/>
  <c r="ED69" i="12"/>
  <c r="EE69" i="12"/>
  <c r="EF69" i="12"/>
  <c r="EG69" i="12"/>
  <c r="ED70" i="12"/>
  <c r="EE70" i="12"/>
  <c r="EF70" i="12"/>
  <c r="EG70" i="12"/>
  <c r="ED71" i="12"/>
  <c r="EE71" i="12"/>
  <c r="EF71" i="12"/>
  <c r="EG71" i="12"/>
  <c r="ED72" i="12"/>
  <c r="EE72" i="12"/>
  <c r="EF72" i="12"/>
  <c r="EG72" i="12"/>
  <c r="ED73" i="12"/>
  <c r="EE73" i="12"/>
  <c r="EF73" i="12"/>
  <c r="EG73" i="12"/>
  <c r="ED74" i="12"/>
  <c r="EE74" i="12"/>
  <c r="EF74" i="12"/>
  <c r="EG74" i="12"/>
  <c r="ED75" i="12"/>
  <c r="EE75" i="12"/>
  <c r="EF75" i="12"/>
  <c r="EG75" i="12"/>
  <c r="ED76" i="12"/>
  <c r="EE76" i="12"/>
  <c r="EF76" i="12"/>
  <c r="EG76" i="12"/>
  <c r="ED77" i="12"/>
  <c r="EE77" i="12"/>
  <c r="EF77" i="12"/>
  <c r="EG77" i="12"/>
  <c r="ED78" i="12"/>
  <c r="EE78" i="12"/>
  <c r="EF78" i="12"/>
  <c r="EG78" i="12"/>
  <c r="ED79" i="12"/>
  <c r="EE79" i="12"/>
  <c r="EF79" i="12"/>
  <c r="EG79" i="12"/>
  <c r="ED80" i="12"/>
  <c r="EE80" i="12"/>
  <c r="EF80" i="12"/>
  <c r="EG80" i="12"/>
  <c r="ED81" i="12"/>
  <c r="EE81" i="12"/>
  <c r="EF81" i="12"/>
  <c r="EG81" i="12"/>
  <c r="ED82" i="12"/>
  <c r="EE82" i="12"/>
  <c r="EF82" i="12"/>
  <c r="EG82" i="12"/>
  <c r="ED83" i="12"/>
  <c r="EE83" i="12"/>
  <c r="EF83" i="12"/>
  <c r="EG83" i="12"/>
  <c r="ED84" i="12"/>
  <c r="EE84" i="12"/>
  <c r="EF84" i="12"/>
  <c r="EG84" i="12"/>
  <c r="ED85" i="12"/>
  <c r="EE85" i="12"/>
  <c r="EF85" i="12"/>
  <c r="EG85" i="12"/>
  <c r="ED86" i="12"/>
  <c r="EE86" i="12"/>
  <c r="EF86" i="12"/>
  <c r="EG86" i="12"/>
  <c r="ED87" i="12"/>
  <c r="EE87" i="12"/>
  <c r="EF87" i="12"/>
  <c r="EG87" i="12"/>
  <c r="ED88" i="12"/>
  <c r="EE88" i="12"/>
  <c r="EF88" i="12"/>
  <c r="EG88" i="12"/>
  <c r="ED89" i="12"/>
  <c r="EE89" i="12"/>
  <c r="EF89" i="12"/>
  <c r="EG89" i="12"/>
  <c r="ED90" i="12"/>
  <c r="EE90" i="12"/>
  <c r="EF90" i="12"/>
  <c r="EG90" i="12"/>
  <c r="ED91" i="12"/>
  <c r="EE91" i="12"/>
  <c r="EF91" i="12"/>
  <c r="EG91" i="12"/>
  <c r="ED92" i="12"/>
  <c r="EE92" i="12"/>
  <c r="EF92" i="12"/>
  <c r="EG92" i="12"/>
  <c r="ED93" i="12"/>
  <c r="EE93" i="12"/>
  <c r="EF93" i="12"/>
  <c r="EG93" i="12"/>
  <c r="ED94" i="12"/>
  <c r="EE94" i="12"/>
  <c r="EF94" i="12"/>
  <c r="EG94" i="12"/>
  <c r="ED95" i="12"/>
  <c r="EE95" i="12"/>
  <c r="EF95" i="12"/>
  <c r="EG95" i="12"/>
  <c r="ED96" i="12"/>
  <c r="EE96" i="12"/>
  <c r="EF96" i="12"/>
  <c r="EG96" i="12"/>
  <c r="ED97" i="12"/>
  <c r="EE97" i="12"/>
  <c r="EF97" i="12"/>
  <c r="EG97" i="12"/>
  <c r="ED98" i="12"/>
  <c r="EE98" i="12"/>
  <c r="EF98" i="12"/>
  <c r="EG98" i="12"/>
  <c r="ED99" i="12"/>
  <c r="EE99" i="12"/>
  <c r="EF99" i="12"/>
  <c r="EG99" i="12"/>
  <c r="ED100" i="12"/>
  <c r="EE100" i="12"/>
  <c r="EF100" i="12"/>
  <c r="EG100" i="12"/>
  <c r="ED101" i="12"/>
  <c r="EE101" i="12"/>
  <c r="EF101" i="12"/>
  <c r="EG101" i="12"/>
  <c r="ED102" i="12"/>
  <c r="EE102" i="12"/>
  <c r="EF102" i="12"/>
  <c r="EG102" i="12"/>
  <c r="ED103" i="12"/>
  <c r="EE103" i="12"/>
  <c r="EF103" i="12"/>
  <c r="EG103" i="12"/>
  <c r="ED104" i="12"/>
  <c r="EE104" i="12"/>
  <c r="EF104" i="12"/>
  <c r="EG104" i="12"/>
  <c r="ED105" i="12"/>
  <c r="EE105" i="12"/>
  <c r="EF105" i="12"/>
  <c r="EG105" i="12"/>
  <c r="ED106" i="12"/>
  <c r="EE106" i="12"/>
  <c r="EF106" i="12"/>
  <c r="EG106" i="12"/>
  <c r="ED107" i="12"/>
  <c r="EE107" i="12"/>
  <c r="EF107" i="12"/>
  <c r="EG107" i="12"/>
  <c r="ED108" i="12"/>
  <c r="EE108" i="12"/>
  <c r="EF108" i="12"/>
  <c r="EG108" i="12"/>
  <c r="ED109" i="12"/>
  <c r="EE109" i="12"/>
  <c r="EF109" i="12"/>
  <c r="EG109" i="12"/>
  <c r="ED110" i="12"/>
  <c r="EE110" i="12"/>
  <c r="EF110" i="12"/>
  <c r="EG110" i="12"/>
  <c r="ED111" i="12"/>
  <c r="EE111" i="12"/>
  <c r="EF111" i="12"/>
  <c r="EG111" i="12"/>
  <c r="ED112" i="12"/>
  <c r="EE112" i="12"/>
  <c r="EF112" i="12"/>
  <c r="EG112" i="12"/>
  <c r="ED113" i="12"/>
  <c r="EE113" i="12"/>
  <c r="EF113" i="12"/>
  <c r="EG113" i="12"/>
  <c r="ED114" i="12"/>
  <c r="EE114" i="12"/>
  <c r="EF114" i="12"/>
  <c r="EG114" i="12"/>
  <c r="ED115" i="12"/>
  <c r="EE115" i="12"/>
  <c r="EF115" i="12"/>
  <c r="EG115" i="12"/>
  <c r="ED116" i="12"/>
  <c r="EE116" i="12"/>
  <c r="EF116" i="12"/>
  <c r="EG116" i="12"/>
  <c r="ED117" i="12"/>
  <c r="EE117" i="12"/>
  <c r="EF117" i="12"/>
  <c r="EG117" i="12"/>
  <c r="ED118" i="12"/>
  <c r="EE118" i="12"/>
  <c r="EF118" i="12"/>
  <c r="EG118" i="12"/>
  <c r="ED119" i="12"/>
  <c r="EE119" i="12"/>
  <c r="EF119" i="12"/>
  <c r="EG119" i="12"/>
  <c r="ED120" i="12"/>
  <c r="EE120" i="12"/>
  <c r="EF120" i="12"/>
  <c r="EG120" i="12"/>
  <c r="ED121" i="12"/>
  <c r="EE121" i="12"/>
  <c r="EF121" i="12"/>
  <c r="EG121" i="12"/>
  <c r="ED122" i="12"/>
  <c r="EE122" i="12"/>
  <c r="EF122" i="12"/>
  <c r="EG122" i="12"/>
  <c r="ED123" i="12"/>
  <c r="EE123" i="12"/>
  <c r="EF123" i="12"/>
  <c r="EG123" i="12"/>
  <c r="ED124" i="12"/>
  <c r="EE124" i="12"/>
  <c r="EF124" i="12"/>
  <c r="EG124" i="12"/>
  <c r="ED125" i="12"/>
  <c r="EE125" i="12"/>
  <c r="EF125" i="12"/>
  <c r="EG125" i="12"/>
  <c r="ED126" i="12"/>
  <c r="EE126" i="12"/>
  <c r="EF126" i="12"/>
  <c r="EG126" i="12"/>
  <c r="ED127" i="12"/>
  <c r="EE127" i="12"/>
  <c r="EF127" i="12"/>
  <c r="EG127" i="12"/>
  <c r="ED128" i="12"/>
  <c r="EE128" i="12"/>
  <c r="EF128" i="12"/>
  <c r="EG128" i="12"/>
  <c r="ED129" i="12"/>
  <c r="EE129" i="12"/>
  <c r="EF129" i="12"/>
  <c r="EG129" i="12"/>
  <c r="ED130" i="12"/>
  <c r="EE130" i="12"/>
  <c r="EF130" i="12"/>
  <c r="EG130" i="12"/>
  <c r="ED131" i="12"/>
  <c r="EE131" i="12"/>
  <c r="EF131" i="12"/>
  <c r="EG131" i="12"/>
  <c r="ED132" i="12"/>
  <c r="EE132" i="12"/>
  <c r="EF132" i="12"/>
  <c r="EG132" i="12"/>
  <c r="ED133" i="12"/>
  <c r="EE133" i="12"/>
  <c r="EF133" i="12"/>
  <c r="EG133" i="12"/>
  <c r="ED134" i="12"/>
  <c r="EE134" i="12"/>
  <c r="EF134" i="12"/>
  <c r="EG134" i="12"/>
  <c r="ED135" i="12"/>
  <c r="EE135" i="12"/>
  <c r="EF135" i="12"/>
  <c r="EG135" i="12"/>
  <c r="ED136" i="12"/>
  <c r="EE136" i="12"/>
  <c r="EF136" i="12"/>
  <c r="EG136" i="12"/>
  <c r="ED137" i="12"/>
  <c r="EE137" i="12"/>
  <c r="EF137" i="12"/>
  <c r="EG137" i="12"/>
  <c r="ED138" i="12"/>
  <c r="EE138" i="12"/>
  <c r="EF138" i="12"/>
  <c r="EG138" i="12"/>
  <c r="ED139" i="12"/>
  <c r="EE139" i="12"/>
  <c r="EF139" i="12"/>
  <c r="EG139" i="12"/>
  <c r="ED140" i="12"/>
  <c r="EE140" i="12"/>
  <c r="EF140" i="12"/>
  <c r="EG140" i="12"/>
  <c r="ED141" i="12"/>
  <c r="EE141" i="12"/>
  <c r="EF141" i="12"/>
  <c r="EG141" i="12"/>
  <c r="ED142" i="12"/>
  <c r="EE142" i="12"/>
  <c r="EF142" i="12"/>
  <c r="EG142" i="12"/>
  <c r="ED143" i="12"/>
  <c r="EE143" i="12"/>
  <c r="EF143" i="12"/>
  <c r="EG143" i="12"/>
  <c r="ED144" i="12"/>
  <c r="EE144" i="12"/>
  <c r="EF144" i="12"/>
  <c r="EG144" i="12"/>
  <c r="ED145" i="12"/>
  <c r="EE145" i="12"/>
  <c r="EF145" i="12"/>
  <c r="EG145" i="12"/>
  <c r="ED146" i="12"/>
  <c r="EE146" i="12"/>
  <c r="EF146" i="12"/>
  <c r="EG146" i="12"/>
  <c r="ED147" i="12"/>
  <c r="EE147" i="12"/>
  <c r="EF147" i="12"/>
  <c r="EG147" i="12"/>
  <c r="ED148" i="12"/>
  <c r="EE148" i="12"/>
  <c r="EF148" i="12"/>
  <c r="EG148" i="12"/>
  <c r="ED149" i="12"/>
  <c r="EE149" i="12"/>
  <c r="EF149" i="12"/>
  <c r="EG149" i="12"/>
  <c r="ED150" i="12"/>
  <c r="EE150" i="12"/>
  <c r="EF150" i="12"/>
  <c r="EG150" i="12"/>
  <c r="ED151" i="12"/>
  <c r="EE151" i="12"/>
  <c r="EF151" i="12"/>
  <c r="EG151" i="12"/>
  <c r="ED152" i="12"/>
  <c r="EE152" i="12"/>
  <c r="EF152" i="12"/>
  <c r="EG152" i="12"/>
  <c r="EE15" i="12"/>
  <c r="EF15" i="12"/>
  <c r="EG15" i="12"/>
  <c r="ED15" i="12"/>
  <c r="EC158" i="12"/>
  <c r="EC10" i="6"/>
  <c r="EC17" i="6"/>
  <c r="EC66" i="6"/>
  <c r="EB12" i="6"/>
  <c r="EB14" i="6"/>
  <c r="EB15" i="6"/>
  <c r="EB17" i="6"/>
  <c r="EB25" i="6"/>
  <c r="EB26" i="6"/>
  <c r="EB27" i="6"/>
  <c r="EB28" i="6"/>
  <c r="EB29" i="6"/>
  <c r="EB30" i="6"/>
  <c r="EB32" i="6"/>
  <c r="EB37" i="6"/>
  <c r="EB39" i="6"/>
  <c r="EB40" i="6"/>
  <c r="EB41" i="6"/>
  <c r="EB42" i="6"/>
  <c r="EB43" i="6"/>
  <c r="EB44" i="6"/>
  <c r="EB45" i="6"/>
  <c r="EB46" i="6"/>
  <c r="EB47" i="6"/>
  <c r="EB52" i="6"/>
  <c r="EB53" i="6"/>
  <c r="EB54" i="6"/>
  <c r="EB59" i="6"/>
  <c r="EB63" i="6"/>
  <c r="EB64" i="6"/>
  <c r="EB65" i="6"/>
  <c r="EB68" i="6"/>
  <c r="EB70" i="6"/>
  <c r="EB71" i="6"/>
  <c r="EB72" i="6"/>
  <c r="EB76" i="6"/>
  <c r="EB78" i="6"/>
  <c r="EB79" i="6"/>
  <c r="EB81" i="6"/>
  <c r="EB84" i="6"/>
  <c r="EB85" i="6"/>
  <c r="EB88" i="6"/>
  <c r="EB89" i="6"/>
  <c r="EB90" i="6"/>
  <c r="EB91" i="6"/>
  <c r="EB94" i="6"/>
  <c r="EB97" i="6"/>
  <c r="EA14" i="6"/>
  <c r="EA15" i="6"/>
  <c r="EA17" i="6"/>
  <c r="EA43" i="6"/>
  <c r="EF43" i="6" s="1"/>
  <c r="EK43" i="6" s="1"/>
  <c r="EA66" i="6"/>
  <c r="EA68" i="6"/>
  <c r="EA69" i="6"/>
  <c r="EA71" i="6"/>
  <c r="EA73" i="6"/>
  <c r="EA74" i="6"/>
  <c r="EA75" i="6"/>
  <c r="EA76" i="6"/>
  <c r="EA77" i="6"/>
  <c r="EA78" i="6"/>
  <c r="DZ14" i="6"/>
  <c r="DZ16" i="6"/>
  <c r="DZ29" i="6"/>
  <c r="DZ30" i="6"/>
  <c r="DZ32" i="6"/>
  <c r="DZ36" i="6"/>
  <c r="DZ37" i="6"/>
  <c r="DZ38" i="6"/>
  <c r="DZ41" i="6"/>
  <c r="DZ42" i="6"/>
  <c r="DZ43" i="6"/>
  <c r="DZ44" i="6"/>
  <c r="DZ45" i="6"/>
  <c r="DZ46" i="6"/>
  <c r="DZ47" i="6"/>
  <c r="DZ52" i="6"/>
  <c r="DZ53" i="6"/>
  <c r="DZ54" i="6"/>
  <c r="DZ55" i="6"/>
  <c r="DZ59" i="6"/>
  <c r="DZ63" i="6"/>
  <c r="DZ64" i="6"/>
  <c r="DZ65" i="6"/>
  <c r="DZ66" i="6"/>
  <c r="DZ69" i="6"/>
  <c r="DZ71" i="6"/>
  <c r="DZ72" i="6"/>
  <c r="DZ73" i="6"/>
  <c r="DZ74" i="6"/>
  <c r="DZ75" i="6"/>
  <c r="DZ76" i="6"/>
  <c r="DZ77" i="6"/>
  <c r="DZ79" i="6"/>
  <c r="DZ81" i="6"/>
  <c r="AS149" i="6"/>
  <c r="AS150" i="6" s="1"/>
  <c r="AR149" i="6"/>
  <c r="AR150" i="6" s="1"/>
  <c r="AQ149" i="6"/>
  <c r="AQ150" i="6"/>
  <c r="AP149" i="6"/>
  <c r="AP150" i="6" s="1"/>
  <c r="DN24" i="12"/>
  <c r="DO24" i="12"/>
  <c r="DP24" i="12"/>
  <c r="DQ24" i="12"/>
  <c r="DN25" i="12"/>
  <c r="DO25" i="12"/>
  <c r="DP25" i="12"/>
  <c r="DQ25" i="12"/>
  <c r="DN26" i="12"/>
  <c r="DO26" i="12"/>
  <c r="DP26" i="12"/>
  <c r="DQ26" i="12"/>
  <c r="DN27" i="12"/>
  <c r="DO27" i="12"/>
  <c r="DP27" i="12"/>
  <c r="DQ27" i="12"/>
  <c r="DN28" i="12"/>
  <c r="DO28" i="12"/>
  <c r="DP28" i="12"/>
  <c r="DQ28" i="12"/>
  <c r="DN29" i="12"/>
  <c r="DO29" i="12"/>
  <c r="DP29" i="12"/>
  <c r="DQ29" i="12"/>
  <c r="DN30" i="12"/>
  <c r="DO30" i="12"/>
  <c r="DP30" i="12"/>
  <c r="DQ30" i="12"/>
  <c r="DN31" i="12"/>
  <c r="DO31" i="12"/>
  <c r="DP31" i="12"/>
  <c r="DQ31" i="12"/>
  <c r="DN32" i="12"/>
  <c r="DO32" i="12"/>
  <c r="DP32" i="12"/>
  <c r="DQ32" i="12"/>
  <c r="DN33" i="12"/>
  <c r="DO33" i="12"/>
  <c r="DP33" i="12"/>
  <c r="DQ33" i="12"/>
  <c r="DN34" i="12"/>
  <c r="DO34" i="12"/>
  <c r="DP34" i="12"/>
  <c r="DQ34" i="12"/>
  <c r="DN35" i="12"/>
  <c r="DO35" i="12"/>
  <c r="DP35" i="12"/>
  <c r="DQ35" i="12"/>
  <c r="DN36" i="12"/>
  <c r="DO36" i="12"/>
  <c r="DP36" i="12"/>
  <c r="DQ36" i="12"/>
  <c r="DN37" i="12"/>
  <c r="DO37" i="12"/>
  <c r="DP37" i="12"/>
  <c r="DQ37" i="12"/>
  <c r="DN38" i="12"/>
  <c r="DO38" i="12"/>
  <c r="DP38" i="12"/>
  <c r="DQ38" i="12"/>
  <c r="DN39" i="12"/>
  <c r="DO39" i="12"/>
  <c r="DP39" i="12"/>
  <c r="DQ39" i="12"/>
  <c r="DN40" i="12"/>
  <c r="DO40" i="12"/>
  <c r="DP40" i="12"/>
  <c r="DQ40" i="12"/>
  <c r="DN41" i="12"/>
  <c r="DO41" i="12"/>
  <c r="DP41" i="12"/>
  <c r="DQ41" i="12"/>
  <c r="DN42" i="12"/>
  <c r="DO42" i="12"/>
  <c r="DP42" i="12"/>
  <c r="DQ42" i="12"/>
  <c r="DN43" i="12"/>
  <c r="DO43" i="12"/>
  <c r="DP43" i="12"/>
  <c r="DQ43" i="12"/>
  <c r="DN44" i="12"/>
  <c r="DO44" i="12"/>
  <c r="DP44" i="12"/>
  <c r="DQ44" i="12"/>
  <c r="DN45" i="12"/>
  <c r="DO45" i="12"/>
  <c r="DP45" i="12"/>
  <c r="DQ45" i="12"/>
  <c r="DN46" i="12"/>
  <c r="DO46" i="12"/>
  <c r="DP46" i="12"/>
  <c r="DQ46" i="12"/>
  <c r="DN47" i="12"/>
  <c r="DO47" i="12"/>
  <c r="DP47" i="12"/>
  <c r="DQ47" i="12"/>
  <c r="DN48" i="12"/>
  <c r="DO48" i="12"/>
  <c r="DP48" i="12"/>
  <c r="DQ48" i="12"/>
  <c r="DN49" i="12"/>
  <c r="DO49" i="12"/>
  <c r="DP49" i="12"/>
  <c r="DQ49" i="12"/>
  <c r="DN50" i="12"/>
  <c r="DO50" i="12"/>
  <c r="DP50" i="12"/>
  <c r="DQ50" i="12"/>
  <c r="DN51" i="12"/>
  <c r="DO51" i="12"/>
  <c r="DP51" i="12"/>
  <c r="DQ51" i="12"/>
  <c r="DN52" i="12"/>
  <c r="DO52" i="12"/>
  <c r="DP52" i="12"/>
  <c r="DQ52" i="12"/>
  <c r="DN53" i="12"/>
  <c r="DO53" i="12"/>
  <c r="DP53" i="12"/>
  <c r="DQ53" i="12"/>
  <c r="DN54" i="12"/>
  <c r="DO54" i="12"/>
  <c r="DP54" i="12"/>
  <c r="DQ54" i="12"/>
  <c r="DN55" i="12"/>
  <c r="DO55" i="12"/>
  <c r="DP55" i="12"/>
  <c r="DQ55" i="12"/>
  <c r="DN56" i="12"/>
  <c r="DO56" i="12"/>
  <c r="DP56" i="12"/>
  <c r="DQ56" i="12"/>
  <c r="DN57" i="12"/>
  <c r="DO57" i="12"/>
  <c r="DP57" i="12"/>
  <c r="DQ57" i="12"/>
  <c r="DN58" i="12"/>
  <c r="DO58" i="12"/>
  <c r="DP58" i="12"/>
  <c r="DQ58" i="12"/>
  <c r="DN59" i="12"/>
  <c r="DO59" i="12"/>
  <c r="DP59" i="12"/>
  <c r="DQ59" i="12"/>
  <c r="DN60" i="12"/>
  <c r="DO60" i="12"/>
  <c r="DP60" i="12"/>
  <c r="DQ60" i="12"/>
  <c r="DN61" i="12"/>
  <c r="DO61" i="12"/>
  <c r="DP61" i="12"/>
  <c r="DQ61" i="12"/>
  <c r="DN62" i="12"/>
  <c r="DO62" i="12"/>
  <c r="DP62" i="12"/>
  <c r="DQ62" i="12"/>
  <c r="DN63" i="12"/>
  <c r="DO63" i="12"/>
  <c r="DP63" i="12"/>
  <c r="DQ63" i="12"/>
  <c r="DN64" i="12"/>
  <c r="DO64" i="12"/>
  <c r="DP64" i="12"/>
  <c r="DQ64" i="12"/>
  <c r="DN65" i="12"/>
  <c r="DO65" i="12"/>
  <c r="DP65" i="12"/>
  <c r="DQ65" i="12"/>
  <c r="DN66" i="12"/>
  <c r="DO66" i="12"/>
  <c r="DP66" i="12"/>
  <c r="DQ66" i="12"/>
  <c r="DN67" i="12"/>
  <c r="DO67" i="12"/>
  <c r="DP67" i="12"/>
  <c r="DQ67" i="12"/>
  <c r="DN68" i="12"/>
  <c r="DO68" i="12"/>
  <c r="DP68" i="12"/>
  <c r="DQ68" i="12"/>
  <c r="DN69" i="12"/>
  <c r="DO69" i="12"/>
  <c r="DP69" i="12"/>
  <c r="DQ69" i="12"/>
  <c r="DN70" i="12"/>
  <c r="DO70" i="12"/>
  <c r="DP70" i="12"/>
  <c r="DQ70" i="12"/>
  <c r="DN71" i="12"/>
  <c r="DO71" i="12"/>
  <c r="DP71" i="12"/>
  <c r="DQ71" i="12"/>
  <c r="DN72" i="12"/>
  <c r="DO72" i="12"/>
  <c r="DP72" i="12"/>
  <c r="DQ72" i="12"/>
  <c r="DN73" i="12"/>
  <c r="DO73" i="12"/>
  <c r="DP73" i="12"/>
  <c r="DQ73" i="12"/>
  <c r="DN74" i="12"/>
  <c r="DO74" i="12"/>
  <c r="DP74" i="12"/>
  <c r="DQ74" i="12"/>
  <c r="DN75" i="12"/>
  <c r="DO75" i="12"/>
  <c r="DP75" i="12"/>
  <c r="DQ75" i="12"/>
  <c r="DN76" i="12"/>
  <c r="DO76" i="12"/>
  <c r="DP76" i="12"/>
  <c r="DQ76" i="12"/>
  <c r="DN77" i="12"/>
  <c r="DO77" i="12"/>
  <c r="DP77" i="12"/>
  <c r="DQ77" i="12"/>
  <c r="DN78" i="12"/>
  <c r="DO78" i="12"/>
  <c r="DP78" i="12"/>
  <c r="DQ78" i="12"/>
  <c r="DN79" i="12"/>
  <c r="DO79" i="12"/>
  <c r="DP79" i="12"/>
  <c r="DQ79" i="12"/>
  <c r="DN80" i="12"/>
  <c r="DO80" i="12"/>
  <c r="DP80" i="12"/>
  <c r="DQ80" i="12"/>
  <c r="DN81" i="12"/>
  <c r="DO81" i="12"/>
  <c r="DP81" i="12"/>
  <c r="DQ81" i="12"/>
  <c r="DN82" i="12"/>
  <c r="DO82" i="12"/>
  <c r="DP82" i="12"/>
  <c r="DQ82" i="12"/>
  <c r="DN83" i="12"/>
  <c r="DO83" i="12"/>
  <c r="DP83" i="12"/>
  <c r="DQ83" i="12"/>
  <c r="DN84" i="12"/>
  <c r="DO84" i="12"/>
  <c r="DP84" i="12"/>
  <c r="DQ84" i="12"/>
  <c r="DN85" i="12"/>
  <c r="DO85" i="12"/>
  <c r="DP85" i="12"/>
  <c r="DQ85" i="12"/>
  <c r="DN86" i="12"/>
  <c r="DO86" i="12"/>
  <c r="DP86" i="12"/>
  <c r="DQ86" i="12"/>
  <c r="DN87" i="12"/>
  <c r="DO87" i="12"/>
  <c r="DP87" i="12"/>
  <c r="DQ87" i="12"/>
  <c r="DN88" i="12"/>
  <c r="DO88" i="12"/>
  <c r="DP88" i="12"/>
  <c r="DQ88" i="12"/>
  <c r="DN89" i="12"/>
  <c r="DO89" i="12"/>
  <c r="DP89" i="12"/>
  <c r="DQ89" i="12"/>
  <c r="DN90" i="12"/>
  <c r="DO90" i="12"/>
  <c r="DP90" i="12"/>
  <c r="DQ90" i="12"/>
  <c r="DN91" i="12"/>
  <c r="DO91" i="12"/>
  <c r="DP91" i="12"/>
  <c r="DQ91" i="12"/>
  <c r="DN92" i="12"/>
  <c r="DO92" i="12"/>
  <c r="DP92" i="12"/>
  <c r="DQ92" i="12"/>
  <c r="DN93" i="12"/>
  <c r="DO93" i="12"/>
  <c r="DP93" i="12"/>
  <c r="DQ93" i="12"/>
  <c r="DN94" i="12"/>
  <c r="DO94" i="12"/>
  <c r="DP94" i="12"/>
  <c r="DQ94" i="12"/>
  <c r="DN95" i="12"/>
  <c r="DO95" i="12"/>
  <c r="DP95" i="12"/>
  <c r="DQ95" i="12"/>
  <c r="DN96" i="12"/>
  <c r="DO96" i="12"/>
  <c r="DP96" i="12"/>
  <c r="DQ96" i="12"/>
  <c r="DN97" i="12"/>
  <c r="DO97" i="12"/>
  <c r="DP97" i="12"/>
  <c r="DQ97" i="12"/>
  <c r="DN98" i="12"/>
  <c r="DO98" i="12"/>
  <c r="DP98" i="12"/>
  <c r="DQ98" i="12"/>
  <c r="DN99" i="12"/>
  <c r="DO99" i="12"/>
  <c r="DP99" i="12"/>
  <c r="DQ99" i="12"/>
  <c r="DN100" i="12"/>
  <c r="DO100" i="12"/>
  <c r="DP100" i="12"/>
  <c r="DQ100" i="12"/>
  <c r="DN101" i="12"/>
  <c r="DO101" i="12"/>
  <c r="DP101" i="12"/>
  <c r="DQ101" i="12"/>
  <c r="DN102" i="12"/>
  <c r="DO102" i="12"/>
  <c r="DP102" i="12"/>
  <c r="DQ102" i="12"/>
  <c r="DN103" i="12"/>
  <c r="DO103" i="12"/>
  <c r="DP103" i="12"/>
  <c r="DQ103" i="12"/>
  <c r="DN104" i="12"/>
  <c r="DO104" i="12"/>
  <c r="DP104" i="12"/>
  <c r="DQ104" i="12"/>
  <c r="DN105" i="12"/>
  <c r="DO105" i="12"/>
  <c r="DP105" i="12"/>
  <c r="DQ105" i="12"/>
  <c r="DN106" i="12"/>
  <c r="DO106" i="12"/>
  <c r="DP106" i="12"/>
  <c r="DQ106" i="12"/>
  <c r="DN107" i="12"/>
  <c r="DO107" i="12"/>
  <c r="DP107" i="12"/>
  <c r="DQ107" i="12"/>
  <c r="DN108" i="12"/>
  <c r="DO108" i="12"/>
  <c r="DP108" i="12"/>
  <c r="DQ108" i="12"/>
  <c r="DN109" i="12"/>
  <c r="DO109" i="12"/>
  <c r="DP109" i="12"/>
  <c r="DQ109" i="12"/>
  <c r="DN110" i="12"/>
  <c r="DO110" i="12"/>
  <c r="DP110" i="12"/>
  <c r="DQ110" i="12"/>
  <c r="DN111" i="12"/>
  <c r="DO111" i="12"/>
  <c r="DP111" i="12"/>
  <c r="DQ111" i="12"/>
  <c r="DN112" i="12"/>
  <c r="DO112" i="12"/>
  <c r="DP112" i="12"/>
  <c r="DQ112" i="12"/>
  <c r="DN113" i="12"/>
  <c r="DO113" i="12"/>
  <c r="DP113" i="12"/>
  <c r="DQ113" i="12"/>
  <c r="DN114" i="12"/>
  <c r="DO114" i="12"/>
  <c r="DP114" i="12"/>
  <c r="DQ114" i="12"/>
  <c r="DN115" i="12"/>
  <c r="DO115" i="12"/>
  <c r="DP115" i="12"/>
  <c r="DQ115" i="12"/>
  <c r="DN116" i="12"/>
  <c r="DO116" i="12"/>
  <c r="DP116" i="12"/>
  <c r="DQ116" i="12"/>
  <c r="DN117" i="12"/>
  <c r="DO117" i="12"/>
  <c r="DP117" i="12"/>
  <c r="DQ117" i="12"/>
  <c r="DN118" i="12"/>
  <c r="DO118" i="12"/>
  <c r="DP118" i="12"/>
  <c r="DQ118" i="12"/>
  <c r="DN119" i="12"/>
  <c r="DO119" i="12"/>
  <c r="DP119" i="12"/>
  <c r="DQ119" i="12"/>
  <c r="DN120" i="12"/>
  <c r="DO120" i="12"/>
  <c r="DP120" i="12"/>
  <c r="DQ120" i="12"/>
  <c r="DN121" i="12"/>
  <c r="DO121" i="12"/>
  <c r="DP121" i="12"/>
  <c r="DQ121" i="12"/>
  <c r="DN122" i="12"/>
  <c r="DO122" i="12"/>
  <c r="DP122" i="12"/>
  <c r="DQ122" i="12"/>
  <c r="DN123" i="12"/>
  <c r="DO123" i="12"/>
  <c r="DP123" i="12"/>
  <c r="DQ123" i="12"/>
  <c r="DN124" i="12"/>
  <c r="DO124" i="12"/>
  <c r="DP124" i="12"/>
  <c r="DQ124" i="12"/>
  <c r="DN125" i="12"/>
  <c r="DO125" i="12"/>
  <c r="DP125" i="12"/>
  <c r="DQ125" i="12"/>
  <c r="DN126" i="12"/>
  <c r="DO126" i="12"/>
  <c r="DP126" i="12"/>
  <c r="DQ126" i="12"/>
  <c r="DN127" i="12"/>
  <c r="DO127" i="12"/>
  <c r="DP127" i="12"/>
  <c r="DQ127" i="12"/>
  <c r="DN128" i="12"/>
  <c r="DO128" i="12"/>
  <c r="DP128" i="12"/>
  <c r="DQ128" i="12"/>
  <c r="DN129" i="12"/>
  <c r="DO129" i="12"/>
  <c r="DP129" i="12"/>
  <c r="DQ129" i="12"/>
  <c r="DN130" i="12"/>
  <c r="DO130" i="12"/>
  <c r="DP130" i="12"/>
  <c r="DQ130" i="12"/>
  <c r="DN131" i="12"/>
  <c r="DO131" i="12"/>
  <c r="DP131" i="12"/>
  <c r="DQ131" i="12"/>
  <c r="DN132" i="12"/>
  <c r="DO132" i="12"/>
  <c r="DP132" i="12"/>
  <c r="DQ132" i="12"/>
  <c r="DN133" i="12"/>
  <c r="DO133" i="12"/>
  <c r="DP133" i="12"/>
  <c r="DQ133" i="12"/>
  <c r="DN134" i="12"/>
  <c r="DO134" i="12"/>
  <c r="DP134" i="12"/>
  <c r="DQ134" i="12"/>
  <c r="DN135" i="12"/>
  <c r="DO135" i="12"/>
  <c r="DP135" i="12"/>
  <c r="DQ135" i="12"/>
  <c r="DN136" i="12"/>
  <c r="DO136" i="12"/>
  <c r="DP136" i="12"/>
  <c r="DQ136" i="12"/>
  <c r="DN137" i="12"/>
  <c r="DO137" i="12"/>
  <c r="DP137" i="12"/>
  <c r="DQ137" i="12"/>
  <c r="DN16" i="12"/>
  <c r="DO16" i="12"/>
  <c r="DP16" i="12"/>
  <c r="DQ16" i="12"/>
  <c r="DN17" i="12"/>
  <c r="DO17" i="12"/>
  <c r="DP17" i="12"/>
  <c r="DQ17" i="12"/>
  <c r="DN18" i="12"/>
  <c r="DO18" i="12"/>
  <c r="DP18" i="12"/>
  <c r="DQ18" i="12"/>
  <c r="DN19" i="12"/>
  <c r="DO19" i="12"/>
  <c r="DP19" i="12"/>
  <c r="DQ19" i="12"/>
  <c r="DN20" i="12"/>
  <c r="DO20" i="12"/>
  <c r="DP20" i="12"/>
  <c r="DQ20" i="12"/>
  <c r="DN21" i="12"/>
  <c r="DO21" i="12"/>
  <c r="DP21" i="12"/>
  <c r="DQ21" i="12"/>
  <c r="DN22" i="12"/>
  <c r="DO22" i="12"/>
  <c r="DP22" i="12"/>
  <c r="DQ22" i="12"/>
  <c r="DN23" i="12"/>
  <c r="DO23" i="12"/>
  <c r="DP23" i="12"/>
  <c r="DQ23" i="12"/>
  <c r="DO15" i="12"/>
  <c r="DP15" i="12"/>
  <c r="DQ15" i="12"/>
  <c r="DN15" i="12"/>
  <c r="DK138" i="12"/>
  <c r="CI50" i="11"/>
  <c r="CS59" i="11" s="1"/>
  <c r="CD50" i="11"/>
  <c r="CI49" i="11"/>
  <c r="CD49" i="11"/>
  <c r="CI48" i="11"/>
  <c r="CD48" i="11"/>
  <c r="CS57" i="11"/>
  <c r="CI47" i="11"/>
  <c r="CD47" i="11"/>
  <c r="CS56" i="11"/>
  <c r="CR59" i="11"/>
  <c r="CR57" i="11"/>
  <c r="CR56" i="11"/>
  <c r="CQ59" i="11"/>
  <c r="CQ57" i="11"/>
  <c r="CN57" i="11" s="1"/>
  <c r="CQ56" i="11"/>
  <c r="CP59" i="11"/>
  <c r="CP57" i="11"/>
  <c r="CP56" i="11"/>
  <c r="CO59" i="11"/>
  <c r="CN59" i="11" s="1"/>
  <c r="CO57" i="11"/>
  <c r="CO56" i="11"/>
  <c r="CN56" i="11" s="1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91" i="16"/>
  <c r="AX92" i="16"/>
  <c r="AX93" i="16"/>
  <c r="AX94" i="16"/>
  <c r="AX95" i="16"/>
  <c r="AX96" i="16"/>
  <c r="AX97" i="16"/>
  <c r="AX98" i="16"/>
  <c r="AX99" i="16"/>
  <c r="AX100" i="16"/>
  <c r="AX101" i="16"/>
  <c r="AX102" i="16"/>
  <c r="AX103" i="16"/>
  <c r="AX104" i="16"/>
  <c r="AX105" i="16"/>
  <c r="AX106" i="16"/>
  <c r="AX107" i="16"/>
  <c r="V7" i="16"/>
  <c r="F7" i="16"/>
  <c r="N7" i="16" s="1"/>
  <c r="AG7" i="16" s="1"/>
  <c r="AI7" i="16" s="1"/>
  <c r="AY7" i="16" s="1"/>
  <c r="V8" i="16"/>
  <c r="F8" i="16"/>
  <c r="N8" i="16" s="1"/>
  <c r="V9" i="16"/>
  <c r="F9" i="16"/>
  <c r="N9" i="16" s="1"/>
  <c r="AG9" i="16" s="1"/>
  <c r="AI9" i="16" s="1"/>
  <c r="AY9" i="16" s="1"/>
  <c r="V10" i="16"/>
  <c r="AG10" i="16" s="1"/>
  <c r="AI10" i="16" s="1"/>
  <c r="F10" i="16"/>
  <c r="N10" i="16" s="1"/>
  <c r="AY10" i="16"/>
  <c r="V11" i="16"/>
  <c r="F11" i="16"/>
  <c r="N11" i="16"/>
  <c r="AG11" i="16"/>
  <c r="AI11" i="16" s="1"/>
  <c r="AY11" i="16" s="1"/>
  <c r="V12" i="16"/>
  <c r="AG12" i="16" s="1"/>
  <c r="AI12" i="16" s="1"/>
  <c r="F12" i="16"/>
  <c r="N12" i="16" s="1"/>
  <c r="AY12" i="16"/>
  <c r="V13" i="16"/>
  <c r="F13" i="16"/>
  <c r="N13" i="16" s="1"/>
  <c r="AG13" i="16"/>
  <c r="AI13" i="16" s="1"/>
  <c r="AY13" i="16"/>
  <c r="V14" i="16"/>
  <c r="AG14" i="16" s="1"/>
  <c r="AI14" i="16" s="1"/>
  <c r="AY14" i="16" s="1"/>
  <c r="F14" i="16"/>
  <c r="N14" i="16" s="1"/>
  <c r="V15" i="16"/>
  <c r="F15" i="16"/>
  <c r="N15" i="16"/>
  <c r="AG15" i="16"/>
  <c r="AI15" i="16" s="1"/>
  <c r="AY15" i="16" s="1"/>
  <c r="V16" i="16"/>
  <c r="F16" i="16"/>
  <c r="N16" i="16" s="1"/>
  <c r="AG16" i="16"/>
  <c r="AI16" i="16" s="1"/>
  <c r="AY16" i="16"/>
  <c r="V17" i="16"/>
  <c r="F17" i="16"/>
  <c r="N17" i="16" s="1"/>
  <c r="AG17" i="16"/>
  <c r="AI17" i="16" s="1"/>
  <c r="AY17" i="16"/>
  <c r="V18" i="16"/>
  <c r="F18" i="16"/>
  <c r="N18" i="16" s="1"/>
  <c r="AG18" i="16"/>
  <c r="AI18" i="16"/>
  <c r="AY18" i="16" s="1"/>
  <c r="V19" i="16"/>
  <c r="F19" i="16"/>
  <c r="N19" i="16" s="1"/>
  <c r="AG19" i="16" s="1"/>
  <c r="V20" i="16"/>
  <c r="F20" i="16"/>
  <c r="N20" i="16" s="1"/>
  <c r="AG20" i="16"/>
  <c r="V21" i="16"/>
  <c r="F21" i="16"/>
  <c r="N21" i="16" s="1"/>
  <c r="AG21" i="16"/>
  <c r="AI21" i="16" s="1"/>
  <c r="AY21" i="16" s="1"/>
  <c r="V22" i="16"/>
  <c r="F22" i="16"/>
  <c r="N22" i="16" s="1"/>
  <c r="AG22" i="16"/>
  <c r="AI22" i="16" s="1"/>
  <c r="AY22" i="16" s="1"/>
  <c r="V23" i="16"/>
  <c r="F23" i="16"/>
  <c r="N23" i="16" s="1"/>
  <c r="AG23" i="16" s="1"/>
  <c r="V24" i="16"/>
  <c r="F24" i="16"/>
  <c r="N24" i="16" s="1"/>
  <c r="V25" i="16"/>
  <c r="F25" i="16"/>
  <c r="N25" i="16" s="1"/>
  <c r="AG25" i="16" s="1"/>
  <c r="AI25" i="16" s="1"/>
  <c r="AY25" i="16" s="1"/>
  <c r="V26" i="16"/>
  <c r="AG26" i="16" s="1"/>
  <c r="AI26" i="16" s="1"/>
  <c r="F26" i="16"/>
  <c r="N26" i="16" s="1"/>
  <c r="AY26" i="16"/>
  <c r="V27" i="16"/>
  <c r="F27" i="16"/>
  <c r="N27" i="16"/>
  <c r="AG27" i="16"/>
  <c r="AI27" i="16" s="1"/>
  <c r="AY27" i="16" s="1"/>
  <c r="V28" i="16"/>
  <c r="AG28" i="16" s="1"/>
  <c r="F28" i="16"/>
  <c r="N28" i="16" s="1"/>
  <c r="V29" i="16"/>
  <c r="F29" i="16"/>
  <c r="N29" i="16" s="1"/>
  <c r="AG29" i="16"/>
  <c r="AI29" i="16" s="1"/>
  <c r="AY29" i="16"/>
  <c r="V30" i="16"/>
  <c r="AG30" i="16" s="1"/>
  <c r="AI30" i="16" s="1"/>
  <c r="F30" i="16"/>
  <c r="N30" i="16" s="1"/>
  <c r="AY30" i="16"/>
  <c r="V31" i="16"/>
  <c r="F31" i="16"/>
  <c r="N31" i="16"/>
  <c r="AG31" i="16"/>
  <c r="V32" i="16"/>
  <c r="F32" i="16"/>
  <c r="N32" i="16" s="1"/>
  <c r="AG32" i="16"/>
  <c r="AI32" i="16" s="1"/>
  <c r="AY32" i="16"/>
  <c r="V33" i="16"/>
  <c r="F33" i="16"/>
  <c r="N33" i="16" s="1"/>
  <c r="AG33" i="16"/>
  <c r="AI33" i="16" s="1"/>
  <c r="AY33" i="16"/>
  <c r="V34" i="16"/>
  <c r="F34" i="16"/>
  <c r="N34" i="16" s="1"/>
  <c r="AG34" i="16"/>
  <c r="AI34" i="16"/>
  <c r="AY34" i="16" s="1"/>
  <c r="V35" i="16"/>
  <c r="F35" i="16"/>
  <c r="N35" i="16" s="1"/>
  <c r="AG35" i="16" s="1"/>
  <c r="AI35" i="16" s="1"/>
  <c r="AY35" i="16" s="1"/>
  <c r="V36" i="16"/>
  <c r="F36" i="16"/>
  <c r="N36" i="16" s="1"/>
  <c r="AG36" i="16" s="1"/>
  <c r="V37" i="16"/>
  <c r="F37" i="16"/>
  <c r="N37" i="16" s="1"/>
  <c r="AG37" i="16"/>
  <c r="V38" i="16"/>
  <c r="F38" i="16"/>
  <c r="N38" i="16" s="1"/>
  <c r="AG38" i="16"/>
  <c r="V39" i="16"/>
  <c r="F39" i="16"/>
  <c r="N39" i="16" s="1"/>
  <c r="AG39" i="16" s="1"/>
  <c r="AI39" i="16" s="1"/>
  <c r="AY39" i="16" s="1"/>
  <c r="V40" i="16"/>
  <c r="F40" i="16"/>
  <c r="N40" i="16" s="1"/>
  <c r="V41" i="16"/>
  <c r="F41" i="16"/>
  <c r="N41" i="16" s="1"/>
  <c r="AG41" i="16" s="1"/>
  <c r="AI41" i="16" s="1"/>
  <c r="AY41" i="16" s="1"/>
  <c r="V42" i="16"/>
  <c r="AG42" i="16" s="1"/>
  <c r="AI42" i="16" s="1"/>
  <c r="F42" i="16"/>
  <c r="N42" i="16" s="1"/>
  <c r="AY42" i="16"/>
  <c r="V43" i="16"/>
  <c r="F43" i="16"/>
  <c r="N43" i="16"/>
  <c r="AG43" i="16"/>
  <c r="V44" i="16"/>
  <c r="AG44" i="16" s="1"/>
  <c r="AI44" i="16" s="1"/>
  <c r="F44" i="16"/>
  <c r="N44" i="16" s="1"/>
  <c r="AY44" i="16"/>
  <c r="V45" i="16"/>
  <c r="F45" i="16"/>
  <c r="N45" i="16" s="1"/>
  <c r="AG45" i="16"/>
  <c r="AI45" i="16" s="1"/>
  <c r="AY45" i="16"/>
  <c r="V46" i="16"/>
  <c r="AG46" i="16" s="1"/>
  <c r="AI46" i="16" s="1"/>
  <c r="AY46" i="16" s="1"/>
  <c r="F46" i="16"/>
  <c r="N46" i="16" s="1"/>
  <c r="V47" i="16"/>
  <c r="F47" i="16"/>
  <c r="N47" i="16"/>
  <c r="AG47" i="16"/>
  <c r="AI47" i="16" s="1"/>
  <c r="AY47" i="16" s="1"/>
  <c r="V48" i="16"/>
  <c r="F48" i="16"/>
  <c r="N48" i="16" s="1"/>
  <c r="AG48" i="16"/>
  <c r="AI48" i="16" s="1"/>
  <c r="AY48" i="16"/>
  <c r="V49" i="16"/>
  <c r="F49" i="16"/>
  <c r="N49" i="16" s="1"/>
  <c r="AG49" i="16"/>
  <c r="AI49" i="16" s="1"/>
  <c r="AY49" i="16"/>
  <c r="V50" i="16"/>
  <c r="F50" i="16"/>
  <c r="N50" i="16" s="1"/>
  <c r="AG50" i="16"/>
  <c r="AI50" i="16"/>
  <c r="AY50" i="16" s="1"/>
  <c r="V51" i="16"/>
  <c r="F51" i="16"/>
  <c r="N51" i="16" s="1"/>
  <c r="AG51" i="16" s="1"/>
  <c r="AI51" i="16" s="1"/>
  <c r="AY51" i="16" s="1"/>
  <c r="V52" i="16"/>
  <c r="F52" i="16"/>
  <c r="N52" i="16" s="1"/>
  <c r="AG52" i="16"/>
  <c r="V53" i="16"/>
  <c r="F53" i="16"/>
  <c r="N53" i="16" s="1"/>
  <c r="AG53" i="16"/>
  <c r="AI53" i="16" s="1"/>
  <c r="AY53" i="16" s="1"/>
  <c r="V54" i="16"/>
  <c r="F54" i="16"/>
  <c r="N54" i="16" s="1"/>
  <c r="AG54" i="16"/>
  <c r="AI54" i="16" s="1"/>
  <c r="AY54" i="16" s="1"/>
  <c r="V55" i="16"/>
  <c r="F55" i="16"/>
  <c r="N55" i="16" s="1"/>
  <c r="AG55" i="16" s="1"/>
  <c r="V56" i="16"/>
  <c r="F56" i="16"/>
  <c r="N56" i="16" s="1"/>
  <c r="V57" i="16"/>
  <c r="F57" i="16"/>
  <c r="N57" i="16" s="1"/>
  <c r="AG57" i="16" s="1"/>
  <c r="AI57" i="16" s="1"/>
  <c r="AY57" i="16" s="1"/>
  <c r="V58" i="16"/>
  <c r="AG58" i="16" s="1"/>
  <c r="AI58" i="16" s="1"/>
  <c r="F58" i="16"/>
  <c r="N58" i="16" s="1"/>
  <c r="AY58" i="16"/>
  <c r="V59" i="16"/>
  <c r="F59" i="16"/>
  <c r="N59" i="16"/>
  <c r="AG59" i="16"/>
  <c r="AI59" i="16" s="1"/>
  <c r="AY59" i="16" s="1"/>
  <c r="V60" i="16"/>
  <c r="AG60" i="16" s="1"/>
  <c r="F60" i="16"/>
  <c r="N60" i="16" s="1"/>
  <c r="V61" i="16"/>
  <c r="F61" i="16"/>
  <c r="N61" i="16" s="1"/>
  <c r="AG61" i="16"/>
  <c r="AI61" i="16" s="1"/>
  <c r="AY61" i="16"/>
  <c r="V62" i="16"/>
  <c r="AG62" i="16" s="1"/>
  <c r="AI62" i="16" s="1"/>
  <c r="F62" i="16"/>
  <c r="N62" i="16" s="1"/>
  <c r="AY62" i="16"/>
  <c r="V63" i="16"/>
  <c r="F63" i="16"/>
  <c r="N63" i="16"/>
  <c r="AG63" i="16"/>
  <c r="V64" i="16"/>
  <c r="F64" i="16"/>
  <c r="N64" i="16" s="1"/>
  <c r="AG64" i="16"/>
  <c r="AI64" i="16" s="1"/>
  <c r="AY64" i="16"/>
  <c r="V65" i="16"/>
  <c r="F65" i="16"/>
  <c r="N65" i="16" s="1"/>
  <c r="AG65" i="16"/>
  <c r="AI65" i="16" s="1"/>
  <c r="AY65" i="16"/>
  <c r="V66" i="16"/>
  <c r="F66" i="16"/>
  <c r="N66" i="16" s="1"/>
  <c r="AG66" i="16"/>
  <c r="AI66" i="16"/>
  <c r="AY66" i="16" s="1"/>
  <c r="V67" i="16"/>
  <c r="F67" i="16"/>
  <c r="N67" i="16" s="1"/>
  <c r="AG67" i="16" s="1"/>
  <c r="AI67" i="16" s="1"/>
  <c r="AY67" i="16" s="1"/>
  <c r="V68" i="16"/>
  <c r="F68" i="16"/>
  <c r="N68" i="16" s="1"/>
  <c r="AG68" i="16" s="1"/>
  <c r="V69" i="16"/>
  <c r="F69" i="16"/>
  <c r="N69" i="16" s="1"/>
  <c r="AG69" i="16" s="1"/>
  <c r="AI69" i="16" s="1"/>
  <c r="AY69" i="16" s="1"/>
  <c r="V70" i="16"/>
  <c r="F70" i="16"/>
  <c r="N70" i="16" s="1"/>
  <c r="AG70" i="16"/>
  <c r="AI70" i="16" s="1"/>
  <c r="AY70" i="16" s="1"/>
  <c r="V71" i="16"/>
  <c r="F71" i="16"/>
  <c r="N71" i="16" s="1"/>
  <c r="AG71" i="16" s="1"/>
  <c r="AI71" i="16" s="1"/>
  <c r="AY71" i="16" s="1"/>
  <c r="V72" i="16"/>
  <c r="F72" i="16"/>
  <c r="N72" i="16" s="1"/>
  <c r="V73" i="16"/>
  <c r="F73" i="16"/>
  <c r="N73" i="16" s="1"/>
  <c r="AG73" i="16" s="1"/>
  <c r="AI73" i="16" s="1"/>
  <c r="AY73" i="16" s="1"/>
  <c r="V74" i="16"/>
  <c r="AG74" i="16" s="1"/>
  <c r="AI74" i="16" s="1"/>
  <c r="F74" i="16"/>
  <c r="N74" i="16" s="1"/>
  <c r="AY74" i="16"/>
  <c r="V75" i="16"/>
  <c r="F75" i="16"/>
  <c r="N75" i="16"/>
  <c r="AG75" i="16"/>
  <c r="AI75" i="16" s="1"/>
  <c r="AY75" i="16" s="1"/>
  <c r="V76" i="16"/>
  <c r="AG76" i="16" s="1"/>
  <c r="AI76" i="16" s="1"/>
  <c r="F76" i="16"/>
  <c r="N76" i="16" s="1"/>
  <c r="AY76" i="16"/>
  <c r="V77" i="16"/>
  <c r="F77" i="16"/>
  <c r="N77" i="16" s="1"/>
  <c r="AG77" i="16"/>
  <c r="AI77" i="16" s="1"/>
  <c r="AY77" i="16"/>
  <c r="V78" i="16"/>
  <c r="AG78" i="16" s="1"/>
  <c r="AI78" i="16" s="1"/>
  <c r="AY78" i="16" s="1"/>
  <c r="F78" i="16"/>
  <c r="N78" i="16" s="1"/>
  <c r="V79" i="16"/>
  <c r="F79" i="16"/>
  <c r="N79" i="16"/>
  <c r="AG79" i="16"/>
  <c r="AI79" i="16" s="1"/>
  <c r="AY79" i="16" s="1"/>
  <c r="V80" i="16"/>
  <c r="F80" i="16"/>
  <c r="N80" i="16" s="1"/>
  <c r="AG80" i="16"/>
  <c r="AI80" i="16" s="1"/>
  <c r="AY80" i="16"/>
  <c r="V81" i="16"/>
  <c r="F81" i="16"/>
  <c r="N81" i="16" s="1"/>
  <c r="AG81" i="16"/>
  <c r="AI81" i="16" s="1"/>
  <c r="AY81" i="16"/>
  <c r="V82" i="16"/>
  <c r="F82" i="16"/>
  <c r="N82" i="16" s="1"/>
  <c r="AG82" i="16"/>
  <c r="AI82" i="16"/>
  <c r="AY82" i="16" s="1"/>
  <c r="V83" i="16"/>
  <c r="F83" i="16"/>
  <c r="N83" i="16" s="1"/>
  <c r="AG83" i="16" s="1"/>
  <c r="V84" i="16"/>
  <c r="F84" i="16"/>
  <c r="N84" i="16" s="1"/>
  <c r="AG84" i="16"/>
  <c r="V85" i="16"/>
  <c r="F85" i="16"/>
  <c r="N85" i="16" s="1"/>
  <c r="AG85" i="16"/>
  <c r="AI85" i="16" s="1"/>
  <c r="AY85" i="16" s="1"/>
  <c r="V86" i="16"/>
  <c r="F86" i="16"/>
  <c r="N86" i="16" s="1"/>
  <c r="AG86" i="16"/>
  <c r="AI86" i="16" s="1"/>
  <c r="AY86" i="16" s="1"/>
  <c r="V87" i="16"/>
  <c r="F87" i="16"/>
  <c r="N87" i="16" s="1"/>
  <c r="AG87" i="16" s="1"/>
  <c r="V88" i="16"/>
  <c r="F88" i="16"/>
  <c r="N88" i="16" s="1"/>
  <c r="V89" i="16"/>
  <c r="F89" i="16"/>
  <c r="N89" i="16" s="1"/>
  <c r="AG89" i="16" s="1"/>
  <c r="V90" i="16"/>
  <c r="AG90" i="16" s="1"/>
  <c r="AI90" i="16" s="1"/>
  <c r="F90" i="16"/>
  <c r="N90" i="16" s="1"/>
  <c r="AY90" i="16"/>
  <c r="V91" i="16"/>
  <c r="F91" i="16"/>
  <c r="N91" i="16"/>
  <c r="AG91" i="16"/>
  <c r="AI91" i="16" s="1"/>
  <c r="AY91" i="16" s="1"/>
  <c r="V92" i="16"/>
  <c r="AG92" i="16" s="1"/>
  <c r="F92" i="16"/>
  <c r="N92" i="16" s="1"/>
  <c r="V93" i="16"/>
  <c r="F93" i="16"/>
  <c r="N93" i="16" s="1"/>
  <c r="AG93" i="16"/>
  <c r="AI93" i="16" s="1"/>
  <c r="AY93" i="16"/>
  <c r="V94" i="16"/>
  <c r="AG94" i="16" s="1"/>
  <c r="AI94" i="16" s="1"/>
  <c r="F94" i="16"/>
  <c r="N94" i="16" s="1"/>
  <c r="AY94" i="16"/>
  <c r="V95" i="16"/>
  <c r="F95" i="16"/>
  <c r="N95" i="16"/>
  <c r="AG95" i="16"/>
  <c r="V96" i="16"/>
  <c r="F96" i="16"/>
  <c r="N96" i="16" s="1"/>
  <c r="AG96" i="16" s="1"/>
  <c r="AI96" i="16" s="1"/>
  <c r="AY96" i="16"/>
  <c r="V97" i="16"/>
  <c r="F97" i="16"/>
  <c r="N97" i="16" s="1"/>
  <c r="AG97" i="16" s="1"/>
  <c r="AI97" i="16" s="1"/>
  <c r="AY97" i="16"/>
  <c r="V98" i="16"/>
  <c r="F98" i="16"/>
  <c r="N98" i="16" s="1"/>
  <c r="AG98" i="16"/>
  <c r="AI98" i="16"/>
  <c r="AY98" i="16" s="1"/>
  <c r="V99" i="16"/>
  <c r="F99" i="16"/>
  <c r="N99" i="16" s="1"/>
  <c r="AG99" i="16" s="1"/>
  <c r="AI99" i="16" s="1"/>
  <c r="AY99" i="16" s="1"/>
  <c r="V100" i="16"/>
  <c r="F100" i="16"/>
  <c r="N100" i="16" s="1"/>
  <c r="AG100" i="16"/>
  <c r="V101" i="16"/>
  <c r="F101" i="16"/>
  <c r="N101" i="16" s="1"/>
  <c r="AG101" i="16"/>
  <c r="AI101" i="16" s="1"/>
  <c r="AY101" i="16" s="1"/>
  <c r="V102" i="16"/>
  <c r="AG102" i="16" s="1"/>
  <c r="F102" i="16"/>
  <c r="N102" i="16" s="1"/>
  <c r="V103" i="16"/>
  <c r="F103" i="16"/>
  <c r="N103" i="16" s="1"/>
  <c r="AG103" i="16"/>
  <c r="AI103" i="16" s="1"/>
  <c r="AY103" i="16" s="1"/>
  <c r="V104" i="16"/>
  <c r="AG104" i="16" s="1"/>
  <c r="AI104" i="16" s="1"/>
  <c r="AY104" i="16" s="1"/>
  <c r="F104" i="16"/>
  <c r="N104" i="16" s="1"/>
  <c r="V105" i="16"/>
  <c r="F105" i="16"/>
  <c r="N105" i="16" s="1"/>
  <c r="AG105" i="16" s="1"/>
  <c r="AI105" i="16" s="1"/>
  <c r="AY105" i="16"/>
  <c r="V106" i="16"/>
  <c r="AG106" i="16" s="1"/>
  <c r="F106" i="16"/>
  <c r="N106" i="16" s="1"/>
  <c r="AI106" i="16"/>
  <c r="AY106" i="16"/>
  <c r="V107" i="16"/>
  <c r="F107" i="16"/>
  <c r="N107" i="16"/>
  <c r="AG107" i="16"/>
  <c r="AI107" i="16" s="1"/>
  <c r="AY107" i="16" s="1"/>
  <c r="S108" i="16"/>
  <c r="X108" i="16" s="1"/>
  <c r="K108" i="16"/>
  <c r="Z108" i="16"/>
  <c r="S109" i="16"/>
  <c r="K109" i="16"/>
  <c r="X109" i="16" s="1"/>
  <c r="Z109" i="16"/>
  <c r="AW109" i="16" s="1"/>
  <c r="AY109" i="16"/>
  <c r="S110" i="16"/>
  <c r="X110" i="16" s="1"/>
  <c r="K110" i="16"/>
  <c r="Z110" i="16"/>
  <c r="AW110" i="16"/>
  <c r="AY110" i="16" s="1"/>
  <c r="S111" i="16"/>
  <c r="K111" i="16"/>
  <c r="X111" i="16" s="1"/>
  <c r="S112" i="16"/>
  <c r="K112" i="16"/>
  <c r="S113" i="16"/>
  <c r="K113" i="16"/>
  <c r="X113" i="16" s="1"/>
  <c r="S114" i="16"/>
  <c r="X114" i="16" s="1"/>
  <c r="K114" i="16"/>
  <c r="Z114" i="16"/>
  <c r="AW114" i="16" s="1"/>
  <c r="S115" i="16"/>
  <c r="K115" i="16"/>
  <c r="X115" i="16" s="1"/>
  <c r="S116" i="16"/>
  <c r="K116" i="16"/>
  <c r="S117" i="16"/>
  <c r="K117" i="16"/>
  <c r="X117" i="16" s="1"/>
  <c r="Z117" i="16"/>
  <c r="S118" i="16"/>
  <c r="X118" i="16" s="1"/>
  <c r="K118" i="16"/>
  <c r="S119" i="16"/>
  <c r="K119" i="16"/>
  <c r="X119" i="16" s="1"/>
  <c r="S120" i="16"/>
  <c r="K120" i="16"/>
  <c r="S121" i="16"/>
  <c r="K121" i="16"/>
  <c r="X121" i="16" s="1"/>
  <c r="Z121" i="16" s="1"/>
  <c r="AW121" i="16" s="1"/>
  <c r="AY121" i="16"/>
  <c r="S122" i="16"/>
  <c r="X122" i="16" s="1"/>
  <c r="Z122" i="16" s="1"/>
  <c r="K122" i="16"/>
  <c r="S123" i="16"/>
  <c r="K123" i="16"/>
  <c r="X123" i="16"/>
  <c r="AK123" i="16" s="1"/>
  <c r="Z123" i="16"/>
  <c r="AW123" i="16" s="1"/>
  <c r="AY123" i="16" s="1"/>
  <c r="S124" i="16"/>
  <c r="X124" i="16" s="1"/>
  <c r="K124" i="16"/>
  <c r="S125" i="16"/>
  <c r="K125" i="16"/>
  <c r="X125" i="16" s="1"/>
  <c r="Z125" i="16"/>
  <c r="AW125" i="16" s="1"/>
  <c r="AY125" i="16"/>
  <c r="S126" i="16"/>
  <c r="X126" i="16" s="1"/>
  <c r="K126" i="16"/>
  <c r="Z126" i="16"/>
  <c r="AM126" i="16" s="1"/>
  <c r="AW126" i="16"/>
  <c r="S127" i="16"/>
  <c r="K127" i="16"/>
  <c r="X127" i="16"/>
  <c r="S128" i="16"/>
  <c r="K128" i="16"/>
  <c r="X128" i="16"/>
  <c r="Z128" i="16" s="1"/>
  <c r="AM128" i="16" s="1"/>
  <c r="AW128" i="16"/>
  <c r="AY128" i="16" s="1"/>
  <c r="S129" i="16"/>
  <c r="K129" i="16"/>
  <c r="S130" i="16"/>
  <c r="K130" i="16"/>
  <c r="X130" i="16"/>
  <c r="Z130" i="16"/>
  <c r="S131" i="16"/>
  <c r="K131" i="16"/>
  <c r="X131" i="16"/>
  <c r="S132" i="16"/>
  <c r="X132" i="16" s="1"/>
  <c r="K132" i="16"/>
  <c r="S133" i="16"/>
  <c r="X133" i="16" s="1"/>
  <c r="K133" i="16"/>
  <c r="S134" i="16"/>
  <c r="K134" i="16"/>
  <c r="X134" i="16"/>
  <c r="S135" i="16"/>
  <c r="K135" i="16"/>
  <c r="X135" i="16" s="1"/>
  <c r="S136" i="16"/>
  <c r="X136" i="16" s="1"/>
  <c r="Z136" i="16" s="1"/>
  <c r="AM136" i="16" s="1"/>
  <c r="K136" i="16"/>
  <c r="AW136" i="16"/>
  <c r="S137" i="16"/>
  <c r="K137" i="16"/>
  <c r="S138" i="16"/>
  <c r="X138" i="16" s="1"/>
  <c r="K138" i="16"/>
  <c r="Z138" i="16"/>
  <c r="S139" i="16"/>
  <c r="K139" i="16"/>
  <c r="X139" i="16"/>
  <c r="S140" i="16"/>
  <c r="X140" i="16" s="1"/>
  <c r="K140" i="16"/>
  <c r="S141" i="16"/>
  <c r="X141" i="16" s="1"/>
  <c r="Z141" i="16" s="1"/>
  <c r="K141" i="16"/>
  <c r="AW141" i="16"/>
  <c r="S142" i="16"/>
  <c r="K142" i="16"/>
  <c r="X142" i="16"/>
  <c r="Z142" i="16" s="1"/>
  <c r="S143" i="16"/>
  <c r="K143" i="16"/>
  <c r="X143" i="16" s="1"/>
  <c r="S144" i="16"/>
  <c r="K144" i="16"/>
  <c r="X144" i="16"/>
  <c r="Z144" i="16" s="1"/>
  <c r="AM144" i="16" s="1"/>
  <c r="AW144" i="16"/>
  <c r="S145" i="16"/>
  <c r="K145" i="16"/>
  <c r="S146" i="16"/>
  <c r="K146" i="16"/>
  <c r="X146" i="16"/>
  <c r="Z146" i="16"/>
  <c r="AW146" i="16" s="1"/>
  <c r="S147" i="16"/>
  <c r="K147" i="16"/>
  <c r="X147" i="16" s="1"/>
  <c r="S148" i="16"/>
  <c r="K148" i="16"/>
  <c r="X148" i="16"/>
  <c r="Z148" i="16" s="1"/>
  <c r="S149" i="16"/>
  <c r="K149" i="16"/>
  <c r="S150" i="16"/>
  <c r="X150" i="16" s="1"/>
  <c r="K150" i="16"/>
  <c r="S151" i="16"/>
  <c r="K151" i="16"/>
  <c r="X151" i="16" s="1"/>
  <c r="S152" i="16"/>
  <c r="X152" i="16" s="1"/>
  <c r="Z152" i="16" s="1"/>
  <c r="K152" i="16"/>
  <c r="S153" i="16"/>
  <c r="X153" i="16" s="1"/>
  <c r="Z153" i="16" s="1"/>
  <c r="AW153" i="16" s="1"/>
  <c r="K153" i="16"/>
  <c r="AY153" i="16"/>
  <c r="S154" i="16"/>
  <c r="X154" i="16" s="1"/>
  <c r="K154" i="16"/>
  <c r="Z154" i="16"/>
  <c r="AM154" i="16" s="1"/>
  <c r="AW154" i="16"/>
  <c r="S155" i="16"/>
  <c r="K155" i="16"/>
  <c r="X155" i="16"/>
  <c r="S156" i="16"/>
  <c r="K156" i="16"/>
  <c r="X156" i="16"/>
  <c r="Z156" i="16" s="1"/>
  <c r="AM156" i="16" s="1"/>
  <c r="AW156" i="16"/>
  <c r="S157" i="16"/>
  <c r="X157" i="16" s="1"/>
  <c r="Z157" i="16" s="1"/>
  <c r="K157" i="16"/>
  <c r="AW157" i="16"/>
  <c r="AY157" i="16"/>
  <c r="S158" i="16"/>
  <c r="K158" i="16"/>
  <c r="X158" i="16"/>
  <c r="Z158" i="16"/>
  <c r="S159" i="16"/>
  <c r="K159" i="16"/>
  <c r="X159" i="16" s="1"/>
  <c r="S160" i="16"/>
  <c r="K160" i="16"/>
  <c r="X160" i="16"/>
  <c r="S161" i="16"/>
  <c r="K161" i="16"/>
  <c r="AT7" i="16"/>
  <c r="AT8" i="16"/>
  <c r="AT9" i="16"/>
  <c r="AT10" i="16"/>
  <c r="AT11" i="16"/>
  <c r="AT12" i="16"/>
  <c r="AT13" i="16"/>
  <c r="AT14" i="16"/>
  <c r="AT15" i="16"/>
  <c r="AT16" i="16"/>
  <c r="AT17" i="16"/>
  <c r="AT18" i="16"/>
  <c r="AT19" i="16"/>
  <c r="AT20" i="16"/>
  <c r="AT21" i="16"/>
  <c r="AT22" i="16"/>
  <c r="AT23" i="16"/>
  <c r="AT24" i="16"/>
  <c r="AT25" i="16"/>
  <c r="AT26" i="16"/>
  <c r="AT27" i="16"/>
  <c r="AT28" i="16"/>
  <c r="AT29" i="16"/>
  <c r="AT30" i="16"/>
  <c r="AT31" i="16"/>
  <c r="AT32" i="16"/>
  <c r="AT33" i="16"/>
  <c r="AT34" i="16"/>
  <c r="AT35" i="16"/>
  <c r="AT36" i="16"/>
  <c r="AT37" i="16"/>
  <c r="AT38" i="16"/>
  <c r="AT39" i="16"/>
  <c r="AT40" i="16"/>
  <c r="AT41" i="16"/>
  <c r="AT42" i="16"/>
  <c r="AT43" i="16"/>
  <c r="AT44" i="16"/>
  <c r="AT45" i="16"/>
  <c r="AT46" i="16"/>
  <c r="AT47" i="16"/>
  <c r="AT48" i="16"/>
  <c r="AT49" i="16"/>
  <c r="AT50" i="16"/>
  <c r="AT51" i="16"/>
  <c r="AT52" i="16"/>
  <c r="AT53" i="16"/>
  <c r="AT54" i="16"/>
  <c r="AT55" i="16"/>
  <c r="AT56" i="16"/>
  <c r="AT57" i="16"/>
  <c r="AT58" i="16"/>
  <c r="AT59" i="16"/>
  <c r="AT60" i="16"/>
  <c r="AT61" i="16"/>
  <c r="AT62" i="16"/>
  <c r="AT63" i="16"/>
  <c r="AT64" i="16"/>
  <c r="AT65" i="16"/>
  <c r="AT66" i="16"/>
  <c r="AT67" i="16"/>
  <c r="AT68" i="16"/>
  <c r="AT69" i="16"/>
  <c r="AT70" i="16"/>
  <c r="AT71" i="16"/>
  <c r="AT72" i="16"/>
  <c r="AT73" i="16"/>
  <c r="AT74" i="16"/>
  <c r="AT75" i="16"/>
  <c r="AT76" i="16"/>
  <c r="AT77" i="16"/>
  <c r="AT78" i="16"/>
  <c r="AT79" i="16"/>
  <c r="AT80" i="16"/>
  <c r="AT81" i="16"/>
  <c r="AT82" i="16"/>
  <c r="AT83" i="16"/>
  <c r="AT84" i="16"/>
  <c r="AT85" i="16"/>
  <c r="AT86" i="16"/>
  <c r="AT87" i="16"/>
  <c r="AT88" i="16"/>
  <c r="AT89" i="16"/>
  <c r="AT90" i="16"/>
  <c r="AT91" i="16"/>
  <c r="AT92" i="16"/>
  <c r="AT93" i="16"/>
  <c r="AT94" i="16"/>
  <c r="AT95" i="16"/>
  <c r="AT96" i="16"/>
  <c r="AT97" i="16"/>
  <c r="AT98" i="16"/>
  <c r="AT99" i="16"/>
  <c r="AT100" i="16"/>
  <c r="AT101" i="16"/>
  <c r="AT102" i="16"/>
  <c r="AT103" i="16"/>
  <c r="AT104" i="16"/>
  <c r="AT105" i="16"/>
  <c r="AT106" i="16"/>
  <c r="AT107" i="16"/>
  <c r="AT108" i="16"/>
  <c r="AT109" i="16"/>
  <c r="AT110" i="16"/>
  <c r="AT111" i="16"/>
  <c r="AT112" i="16"/>
  <c r="AT113" i="16"/>
  <c r="AT114" i="16"/>
  <c r="AT115" i="16"/>
  <c r="AT116" i="16"/>
  <c r="AT117" i="16"/>
  <c r="AT118" i="16"/>
  <c r="AT119" i="16"/>
  <c r="AT120" i="16"/>
  <c r="AT121" i="16"/>
  <c r="AT122" i="16"/>
  <c r="AT123" i="16"/>
  <c r="AT124" i="16"/>
  <c r="AT125" i="16"/>
  <c r="AT126" i="16"/>
  <c r="AT127" i="16"/>
  <c r="AT128" i="16"/>
  <c r="AT129" i="16"/>
  <c r="AT130" i="16"/>
  <c r="AT131" i="16"/>
  <c r="AT132" i="16"/>
  <c r="AT133" i="16"/>
  <c r="AT134" i="16"/>
  <c r="AT135" i="16"/>
  <c r="AT136" i="16"/>
  <c r="AT137" i="16"/>
  <c r="AT138" i="16"/>
  <c r="AT139" i="16"/>
  <c r="AT140" i="16"/>
  <c r="Q7" i="16"/>
  <c r="U7" i="16" s="1"/>
  <c r="AD7" i="16" s="1"/>
  <c r="M7" i="16"/>
  <c r="AF7" i="16"/>
  <c r="AU7" i="16" s="1"/>
  <c r="Q8" i="16"/>
  <c r="U8" i="16" s="1"/>
  <c r="M8" i="16"/>
  <c r="AD8" i="16"/>
  <c r="AF8" i="16" s="1"/>
  <c r="AU8" i="16" s="1"/>
  <c r="Q9" i="16"/>
  <c r="U9" i="16"/>
  <c r="M9" i="16"/>
  <c r="Q10" i="16"/>
  <c r="U10" i="16" s="1"/>
  <c r="AD10" i="16" s="1"/>
  <c r="M10" i="16"/>
  <c r="Q11" i="16"/>
  <c r="U11" i="16"/>
  <c r="AD11" i="16" s="1"/>
  <c r="M11" i="16"/>
  <c r="Q12" i="16"/>
  <c r="U12" i="16" s="1"/>
  <c r="M12" i="16"/>
  <c r="Q13" i="16"/>
  <c r="U13" i="16"/>
  <c r="AD13" i="16" s="1"/>
  <c r="AF13" i="16" s="1"/>
  <c r="M13" i="16"/>
  <c r="AU13" i="16"/>
  <c r="Q14" i="16"/>
  <c r="U14" i="16" s="1"/>
  <c r="AD14" i="16" s="1"/>
  <c r="M14" i="16"/>
  <c r="AF14" i="16"/>
  <c r="AU14" i="16" s="1"/>
  <c r="Q15" i="16"/>
  <c r="U15" i="16" s="1"/>
  <c r="AD15" i="16" s="1"/>
  <c r="M15" i="16"/>
  <c r="Q16" i="16"/>
  <c r="U16" i="16" s="1"/>
  <c r="M16" i="16"/>
  <c r="AD16" i="16" s="1"/>
  <c r="Q17" i="16"/>
  <c r="U17" i="16"/>
  <c r="AD17" i="16" s="1"/>
  <c r="AF17" i="16" s="1"/>
  <c r="AU17" i="16" s="1"/>
  <c r="M17" i="16"/>
  <c r="Q18" i="16"/>
  <c r="U18" i="16" s="1"/>
  <c r="AD18" i="16" s="1"/>
  <c r="M18" i="16"/>
  <c r="U19" i="16"/>
  <c r="E19" i="16"/>
  <c r="M19" i="16"/>
  <c r="U20" i="16"/>
  <c r="AD20" i="16" s="1"/>
  <c r="E20" i="16"/>
  <c r="M20" i="16"/>
  <c r="AF20" i="16"/>
  <c r="AU20" i="16" s="1"/>
  <c r="U21" i="16"/>
  <c r="AD21" i="16" s="1"/>
  <c r="E21" i="16"/>
  <c r="M21" i="16"/>
  <c r="AF21" i="16"/>
  <c r="AU21" i="16" s="1"/>
  <c r="U22" i="16"/>
  <c r="E22" i="16"/>
  <c r="M22" i="16"/>
  <c r="AD22" i="16" s="1"/>
  <c r="U23" i="16"/>
  <c r="E23" i="16"/>
  <c r="M23" i="16"/>
  <c r="U24" i="16"/>
  <c r="E24" i="16"/>
  <c r="M24" i="16"/>
  <c r="AD24" i="16"/>
  <c r="AF24" i="16" s="1"/>
  <c r="AU24" i="16" s="1"/>
  <c r="U25" i="16"/>
  <c r="E25" i="16"/>
  <c r="M25" i="16"/>
  <c r="U26" i="16"/>
  <c r="E26" i="16"/>
  <c r="M26" i="16"/>
  <c r="AD26" i="16" s="1"/>
  <c r="U27" i="16"/>
  <c r="E27" i="16"/>
  <c r="M27" i="16"/>
  <c r="U28" i="16"/>
  <c r="AD28" i="16" s="1"/>
  <c r="AS28" i="16" s="1"/>
  <c r="E28" i="16"/>
  <c r="M28" i="16"/>
  <c r="U29" i="16"/>
  <c r="AD29" i="16" s="1"/>
  <c r="AS29" i="16" s="1"/>
  <c r="E29" i="16"/>
  <c r="M29" i="16"/>
  <c r="U30" i="16"/>
  <c r="E30" i="16"/>
  <c r="M30" i="16"/>
  <c r="AD30" i="16"/>
  <c r="U31" i="16"/>
  <c r="E31" i="16"/>
  <c r="M31" i="16"/>
  <c r="U32" i="16"/>
  <c r="E32" i="16"/>
  <c r="M32" i="16"/>
  <c r="AD32" i="16"/>
  <c r="U33" i="16"/>
  <c r="E33" i="16"/>
  <c r="M33" i="16"/>
  <c r="U34" i="16"/>
  <c r="E34" i="16"/>
  <c r="M34" i="16"/>
  <c r="AD34" i="16" s="1"/>
  <c r="AF34" i="16" s="1"/>
  <c r="AU34" i="16" s="1"/>
  <c r="U35" i="16"/>
  <c r="E35" i="16"/>
  <c r="M35" i="16"/>
  <c r="U36" i="16"/>
  <c r="AD36" i="16" s="1"/>
  <c r="E36" i="16"/>
  <c r="M36" i="16"/>
  <c r="AF36" i="16"/>
  <c r="AU36" i="16" s="1"/>
  <c r="U37" i="16"/>
  <c r="AD37" i="16" s="1"/>
  <c r="AS37" i="16" s="1"/>
  <c r="E37" i="16"/>
  <c r="M37" i="16"/>
  <c r="AF37" i="16"/>
  <c r="AU37" i="16" s="1"/>
  <c r="U38" i="16"/>
  <c r="E38" i="16"/>
  <c r="M38" i="16"/>
  <c r="AD38" i="16" s="1"/>
  <c r="U39" i="16"/>
  <c r="E39" i="16"/>
  <c r="M39" i="16"/>
  <c r="U40" i="16"/>
  <c r="E40" i="16"/>
  <c r="M40" i="16"/>
  <c r="AD40" i="16"/>
  <c r="U41" i="16"/>
  <c r="E41" i="16"/>
  <c r="M41" i="16"/>
  <c r="U42" i="16"/>
  <c r="E42" i="16"/>
  <c r="M42" i="16"/>
  <c r="AD42" i="16" s="1"/>
  <c r="U43" i="16"/>
  <c r="E43" i="16"/>
  <c r="M43" i="16"/>
  <c r="U44" i="16"/>
  <c r="AD44" i="16" s="1"/>
  <c r="AS44" i="16" s="1"/>
  <c r="E44" i="16"/>
  <c r="M44" i="16"/>
  <c r="U45" i="16"/>
  <c r="AD45" i="16" s="1"/>
  <c r="AS45" i="16" s="1"/>
  <c r="E45" i="16"/>
  <c r="M45" i="16"/>
  <c r="U46" i="16"/>
  <c r="E46" i="16"/>
  <c r="M46" i="16"/>
  <c r="AD46" i="16"/>
  <c r="U47" i="16"/>
  <c r="E47" i="16"/>
  <c r="M47" i="16"/>
  <c r="U48" i="16"/>
  <c r="E48" i="16"/>
  <c r="M48" i="16"/>
  <c r="AD48" i="16"/>
  <c r="AF48" i="16" s="1"/>
  <c r="AU48" i="16" s="1"/>
  <c r="U49" i="16"/>
  <c r="E49" i="16"/>
  <c r="M49" i="16"/>
  <c r="U50" i="16"/>
  <c r="E50" i="16"/>
  <c r="M50" i="16"/>
  <c r="AD50" i="16" s="1"/>
  <c r="AF50" i="16" s="1"/>
  <c r="AU50" i="16" s="1"/>
  <c r="U51" i="16"/>
  <c r="E51" i="16"/>
  <c r="M51" i="16"/>
  <c r="U52" i="16"/>
  <c r="AD52" i="16" s="1"/>
  <c r="AS52" i="16" s="1"/>
  <c r="E52" i="16"/>
  <c r="M52" i="16"/>
  <c r="AF52" i="16"/>
  <c r="AU52" i="16" s="1"/>
  <c r="AV52" i="16" s="1"/>
  <c r="U53" i="16"/>
  <c r="AD53" i="16" s="1"/>
  <c r="E53" i="16"/>
  <c r="M53" i="16"/>
  <c r="AF53" i="16"/>
  <c r="AU53" i="16" s="1"/>
  <c r="U54" i="16"/>
  <c r="E54" i="16"/>
  <c r="M54" i="16"/>
  <c r="AD54" i="16" s="1"/>
  <c r="U55" i="16"/>
  <c r="E55" i="16"/>
  <c r="M55" i="16"/>
  <c r="U56" i="16"/>
  <c r="E56" i="16"/>
  <c r="M56" i="16"/>
  <c r="AD56" i="16"/>
  <c r="U57" i="16"/>
  <c r="E57" i="16"/>
  <c r="M57" i="16"/>
  <c r="U58" i="16"/>
  <c r="E58" i="16"/>
  <c r="M58" i="16"/>
  <c r="AD58" i="16" s="1"/>
  <c r="U59" i="16"/>
  <c r="E59" i="16"/>
  <c r="M59" i="16"/>
  <c r="U60" i="16"/>
  <c r="AD60" i="16" s="1"/>
  <c r="AF60" i="16" s="1"/>
  <c r="AU60" i="16" s="1"/>
  <c r="E60" i="16"/>
  <c r="M60" i="16"/>
  <c r="U61" i="16"/>
  <c r="AD61" i="16" s="1"/>
  <c r="AS61" i="16" s="1"/>
  <c r="E61" i="16"/>
  <c r="M61" i="16"/>
  <c r="U62" i="16"/>
  <c r="E62" i="16"/>
  <c r="M62" i="16"/>
  <c r="AD62" i="16"/>
  <c r="U63" i="16"/>
  <c r="E63" i="16"/>
  <c r="M63" i="16"/>
  <c r="U64" i="16"/>
  <c r="E64" i="16"/>
  <c r="M64" i="16"/>
  <c r="AD64" i="16"/>
  <c r="AF64" i="16" s="1"/>
  <c r="AU64" i="16" s="1"/>
  <c r="U65" i="16"/>
  <c r="E65" i="16"/>
  <c r="M65" i="16"/>
  <c r="U66" i="16"/>
  <c r="E66" i="16"/>
  <c r="M66" i="16"/>
  <c r="AD66" i="16" s="1"/>
  <c r="U67" i="16"/>
  <c r="E67" i="16"/>
  <c r="M67" i="16"/>
  <c r="U68" i="16"/>
  <c r="AD68" i="16" s="1"/>
  <c r="E68" i="16"/>
  <c r="M68" i="16"/>
  <c r="AF68" i="16"/>
  <c r="AU68" i="16" s="1"/>
  <c r="U69" i="16"/>
  <c r="AD69" i="16" s="1"/>
  <c r="E69" i="16"/>
  <c r="M69" i="16"/>
  <c r="AF69" i="16"/>
  <c r="AU69" i="16" s="1"/>
  <c r="U70" i="16"/>
  <c r="E70" i="16"/>
  <c r="M70" i="16"/>
  <c r="AD70" i="16" s="1"/>
  <c r="U71" i="16"/>
  <c r="E71" i="16"/>
  <c r="M71" i="16"/>
  <c r="U72" i="16"/>
  <c r="E72" i="16"/>
  <c r="M72" i="16"/>
  <c r="AD72" i="16"/>
  <c r="U73" i="16"/>
  <c r="E73" i="16"/>
  <c r="M73" i="16"/>
  <c r="U74" i="16"/>
  <c r="E74" i="16"/>
  <c r="M74" i="16"/>
  <c r="AD74" i="16" s="1"/>
  <c r="AF74" i="16" s="1"/>
  <c r="AU74" i="16" s="1"/>
  <c r="U75" i="16"/>
  <c r="E75" i="16"/>
  <c r="M75" i="16"/>
  <c r="U76" i="16"/>
  <c r="AD76" i="16" s="1"/>
  <c r="AS76" i="16" s="1"/>
  <c r="E76" i="16"/>
  <c r="M76" i="16"/>
  <c r="U77" i="16"/>
  <c r="AD77" i="16" s="1"/>
  <c r="AS77" i="16" s="1"/>
  <c r="E77" i="16"/>
  <c r="M77" i="16"/>
  <c r="U78" i="16"/>
  <c r="E78" i="16"/>
  <c r="M78" i="16"/>
  <c r="AD78" i="16"/>
  <c r="U79" i="16"/>
  <c r="E79" i="16"/>
  <c r="M79" i="16"/>
  <c r="U80" i="16"/>
  <c r="E80" i="16"/>
  <c r="M80" i="16"/>
  <c r="AD80" i="16"/>
  <c r="U81" i="16"/>
  <c r="E81" i="16"/>
  <c r="M81" i="16"/>
  <c r="U82" i="16"/>
  <c r="E82" i="16"/>
  <c r="M82" i="16"/>
  <c r="AD82" i="16" s="1"/>
  <c r="AF82" i="16" s="1"/>
  <c r="AU82" i="16" s="1"/>
  <c r="U83" i="16"/>
  <c r="E83" i="16"/>
  <c r="M83" i="16"/>
  <c r="U84" i="16"/>
  <c r="AD84" i="16" s="1"/>
  <c r="E84" i="16"/>
  <c r="M84" i="16"/>
  <c r="AF84" i="16"/>
  <c r="AU84" i="16" s="1"/>
  <c r="U85" i="16"/>
  <c r="AD85" i="16" s="1"/>
  <c r="E85" i="16"/>
  <c r="M85" i="16"/>
  <c r="AF85" i="16"/>
  <c r="AU85" i="16" s="1"/>
  <c r="U86" i="16"/>
  <c r="E86" i="16"/>
  <c r="M86" i="16"/>
  <c r="AD86" i="16" s="1"/>
  <c r="U87" i="16"/>
  <c r="E87" i="16"/>
  <c r="M87" i="16"/>
  <c r="U88" i="16"/>
  <c r="E88" i="16"/>
  <c r="M88" i="16"/>
  <c r="AD88" i="16"/>
  <c r="AF88" i="16" s="1"/>
  <c r="AU88" i="16" s="1"/>
  <c r="U89" i="16"/>
  <c r="E89" i="16"/>
  <c r="M89" i="16"/>
  <c r="U90" i="16"/>
  <c r="E90" i="16"/>
  <c r="M90" i="16"/>
  <c r="AD90" i="16" s="1"/>
  <c r="U91" i="16"/>
  <c r="E91" i="16"/>
  <c r="M91" i="16"/>
  <c r="U92" i="16"/>
  <c r="AD92" i="16" s="1"/>
  <c r="AF92" i="16" s="1"/>
  <c r="AU92" i="16" s="1"/>
  <c r="E92" i="16"/>
  <c r="M92" i="16"/>
  <c r="U93" i="16"/>
  <c r="AD93" i="16" s="1"/>
  <c r="AS93" i="16" s="1"/>
  <c r="E93" i="16"/>
  <c r="M93" i="16"/>
  <c r="U94" i="16"/>
  <c r="E94" i="16"/>
  <c r="M94" i="16"/>
  <c r="AD94" i="16"/>
  <c r="U95" i="16"/>
  <c r="E95" i="16"/>
  <c r="M95" i="16"/>
  <c r="U96" i="16"/>
  <c r="E96" i="16"/>
  <c r="M96" i="16"/>
  <c r="AD96" i="16"/>
  <c r="AF96" i="16" s="1"/>
  <c r="AU96" i="16" s="1"/>
  <c r="U97" i="16"/>
  <c r="E97" i="16"/>
  <c r="M97" i="16"/>
  <c r="U98" i="16"/>
  <c r="E98" i="16"/>
  <c r="M98" i="16"/>
  <c r="AD98" i="16" s="1"/>
  <c r="AF98" i="16" s="1"/>
  <c r="AU98" i="16" s="1"/>
  <c r="U99" i="16"/>
  <c r="E99" i="16"/>
  <c r="M99" i="16"/>
  <c r="U100" i="16"/>
  <c r="AD100" i="16" s="1"/>
  <c r="E100" i="16"/>
  <c r="M100" i="16"/>
  <c r="AF100" i="16"/>
  <c r="AU100" i="16" s="1"/>
  <c r="U101" i="16"/>
  <c r="AD101" i="16" s="1"/>
  <c r="E101" i="16"/>
  <c r="M101" i="16"/>
  <c r="AF101" i="16"/>
  <c r="AU101" i="16" s="1"/>
  <c r="U102" i="16"/>
  <c r="E102" i="16"/>
  <c r="M102" i="16"/>
  <c r="AD102" i="16" s="1"/>
  <c r="U103" i="16"/>
  <c r="E103" i="16"/>
  <c r="M103" i="16"/>
  <c r="U104" i="16"/>
  <c r="E104" i="16"/>
  <c r="M104" i="16"/>
  <c r="AD104" i="16"/>
  <c r="AF104" i="16" s="1"/>
  <c r="AU104" i="16" s="1"/>
  <c r="U105" i="16"/>
  <c r="E105" i="16"/>
  <c r="M105" i="16"/>
  <c r="U106" i="16"/>
  <c r="E106" i="16"/>
  <c r="M106" i="16"/>
  <c r="AD106" i="16" s="1"/>
  <c r="U107" i="16"/>
  <c r="E107" i="16"/>
  <c r="M107" i="16"/>
  <c r="U108" i="16"/>
  <c r="AD108" i="16" s="1"/>
  <c r="AF108" i="16" s="1"/>
  <c r="AU108" i="16" s="1"/>
  <c r="E108" i="16"/>
  <c r="M108" i="16"/>
  <c r="U109" i="16"/>
  <c r="AD109" i="16" s="1"/>
  <c r="AF109" i="16" s="1"/>
  <c r="AU109" i="16" s="1"/>
  <c r="E109" i="16"/>
  <c r="M109" i="16"/>
  <c r="U110" i="16"/>
  <c r="E110" i="16"/>
  <c r="M110" i="16"/>
  <c r="AD110" i="16"/>
  <c r="U111" i="16"/>
  <c r="E111" i="16"/>
  <c r="M111" i="16"/>
  <c r="U112" i="16"/>
  <c r="E112" i="16"/>
  <c r="M112" i="16"/>
  <c r="AD112" i="16"/>
  <c r="AF112" i="16" s="1"/>
  <c r="AU112" i="16" s="1"/>
  <c r="U113" i="16"/>
  <c r="E113" i="16"/>
  <c r="M113" i="16"/>
  <c r="U114" i="16"/>
  <c r="E114" i="16"/>
  <c r="M114" i="16"/>
  <c r="AD114" i="16" s="1"/>
  <c r="U115" i="16"/>
  <c r="E115" i="16"/>
  <c r="M115" i="16"/>
  <c r="U116" i="16"/>
  <c r="AD116" i="16" s="1"/>
  <c r="E116" i="16"/>
  <c r="M116" i="16"/>
  <c r="AF116" i="16"/>
  <c r="AU116" i="16" s="1"/>
  <c r="U117" i="16"/>
  <c r="AD117" i="16" s="1"/>
  <c r="AS117" i="16" s="1"/>
  <c r="E117" i="16"/>
  <c r="M117" i="16"/>
  <c r="AF117" i="16"/>
  <c r="AU117" i="16" s="1"/>
  <c r="U118" i="16"/>
  <c r="E118" i="16"/>
  <c r="M118" i="16"/>
  <c r="AD118" i="16" s="1"/>
  <c r="U119" i="16"/>
  <c r="E119" i="16"/>
  <c r="M119" i="16"/>
  <c r="U120" i="16"/>
  <c r="E120" i="16"/>
  <c r="M120" i="16"/>
  <c r="AD120" i="16"/>
  <c r="AF120" i="16" s="1"/>
  <c r="AU120" i="16" s="1"/>
  <c r="U121" i="16"/>
  <c r="E121" i="16"/>
  <c r="M121" i="16"/>
  <c r="U122" i="16"/>
  <c r="E122" i="16"/>
  <c r="M122" i="16"/>
  <c r="AD122" i="16" s="1"/>
  <c r="U123" i="16"/>
  <c r="E123" i="16"/>
  <c r="M123" i="16"/>
  <c r="U124" i="16"/>
  <c r="AD124" i="16" s="1"/>
  <c r="AS124" i="16" s="1"/>
  <c r="E124" i="16"/>
  <c r="M124" i="16"/>
  <c r="U125" i="16"/>
  <c r="AD125" i="16" s="1"/>
  <c r="AF125" i="16" s="1"/>
  <c r="AU125" i="16" s="1"/>
  <c r="E125" i="16"/>
  <c r="M125" i="16"/>
  <c r="U126" i="16"/>
  <c r="E126" i="16"/>
  <c r="M126" i="16"/>
  <c r="AD126" i="16"/>
  <c r="AF126" i="16" s="1"/>
  <c r="AU126" i="16" s="1"/>
  <c r="U127" i="16"/>
  <c r="E127" i="16"/>
  <c r="M127" i="16"/>
  <c r="U128" i="16"/>
  <c r="E128" i="16"/>
  <c r="M128" i="16"/>
  <c r="AD128" i="16"/>
  <c r="U129" i="16"/>
  <c r="E129" i="16"/>
  <c r="M129" i="16"/>
  <c r="U130" i="16"/>
  <c r="E130" i="16"/>
  <c r="M130" i="16"/>
  <c r="AD130" i="16" s="1"/>
  <c r="U131" i="16"/>
  <c r="E131" i="16"/>
  <c r="M131" i="16"/>
  <c r="U132" i="16"/>
  <c r="AD132" i="16" s="1"/>
  <c r="E132" i="16"/>
  <c r="M132" i="16"/>
  <c r="AF132" i="16"/>
  <c r="AU132" i="16" s="1"/>
  <c r="U133" i="16"/>
  <c r="AD133" i="16" s="1"/>
  <c r="E133" i="16"/>
  <c r="M133" i="16"/>
  <c r="AF133" i="16"/>
  <c r="AU133" i="16" s="1"/>
  <c r="U134" i="16"/>
  <c r="E134" i="16"/>
  <c r="M134" i="16"/>
  <c r="AD134" i="16" s="1"/>
  <c r="U135" i="16"/>
  <c r="E135" i="16"/>
  <c r="M135" i="16"/>
  <c r="U136" i="16"/>
  <c r="E136" i="16"/>
  <c r="M136" i="16"/>
  <c r="AD136" i="16"/>
  <c r="AF136" i="16" s="1"/>
  <c r="AU136" i="16" s="1"/>
  <c r="U137" i="16"/>
  <c r="E137" i="16"/>
  <c r="M137" i="16"/>
  <c r="U138" i="16"/>
  <c r="E138" i="16"/>
  <c r="M138" i="16"/>
  <c r="AD138" i="16" s="1"/>
  <c r="U139" i="16"/>
  <c r="M139" i="16"/>
  <c r="AD139" i="16"/>
  <c r="AF139" i="16" s="1"/>
  <c r="AU139" i="16" s="1"/>
  <c r="U140" i="16"/>
  <c r="M140" i="16"/>
  <c r="U141" i="16"/>
  <c r="M141" i="16"/>
  <c r="AD141" i="16"/>
  <c r="AF141" i="16" s="1"/>
  <c r="AU141" i="16" s="1"/>
  <c r="U142" i="16"/>
  <c r="M142" i="16"/>
  <c r="AD142" i="16" s="1"/>
  <c r="AF142" i="16"/>
  <c r="AU142" i="16" s="1"/>
  <c r="U143" i="16"/>
  <c r="M143" i="16"/>
  <c r="U144" i="16"/>
  <c r="M144" i="16"/>
  <c r="U145" i="16"/>
  <c r="AD145" i="16" s="1"/>
  <c r="M145" i="16"/>
  <c r="AF145" i="16"/>
  <c r="AU145" i="16" s="1"/>
  <c r="U146" i="16"/>
  <c r="M146" i="16"/>
  <c r="AD146" i="16"/>
  <c r="AF146" i="16" s="1"/>
  <c r="AU146" i="16" s="1"/>
  <c r="U147" i="16"/>
  <c r="M147" i="16"/>
  <c r="AD147" i="16"/>
  <c r="AF147" i="16" s="1"/>
  <c r="AU147" i="16" s="1"/>
  <c r="U148" i="16"/>
  <c r="AD148" i="16" s="1"/>
  <c r="M148" i="16"/>
  <c r="AF148" i="16"/>
  <c r="AU148" i="16" s="1"/>
  <c r="U149" i="16"/>
  <c r="M149" i="16"/>
  <c r="AD149" i="16"/>
  <c r="AF149" i="16" s="1"/>
  <c r="AU149" i="16" s="1"/>
  <c r="U150" i="16"/>
  <c r="M150" i="16"/>
  <c r="AD150" i="16" s="1"/>
  <c r="AF150" i="16" s="1"/>
  <c r="AU150" i="16" s="1"/>
  <c r="U151" i="16"/>
  <c r="M151" i="16"/>
  <c r="AD151" i="16"/>
  <c r="AF151" i="16" s="1"/>
  <c r="AU151" i="16" s="1"/>
  <c r="U152" i="16"/>
  <c r="M152" i="16"/>
  <c r="U153" i="16"/>
  <c r="M153" i="16"/>
  <c r="AD153" i="16"/>
  <c r="AF153" i="16" s="1"/>
  <c r="AU153" i="16" s="1"/>
  <c r="U154" i="16"/>
  <c r="M154" i="16"/>
  <c r="AD154" i="16" s="1"/>
  <c r="AF154" i="16" s="1"/>
  <c r="AU154" i="16" s="1"/>
  <c r="U155" i="16"/>
  <c r="M155" i="16"/>
  <c r="AD155" i="16" s="1"/>
  <c r="AF155" i="16" s="1"/>
  <c r="AU155" i="16" s="1"/>
  <c r="U156" i="16"/>
  <c r="AD156" i="16" s="1"/>
  <c r="M156" i="16"/>
  <c r="AF156" i="16"/>
  <c r="AU156" i="16" s="1"/>
  <c r="U157" i="16"/>
  <c r="AD157" i="16" s="1"/>
  <c r="AF157" i="16" s="1"/>
  <c r="AU157" i="16" s="1"/>
  <c r="M157" i="16"/>
  <c r="U158" i="16"/>
  <c r="M158" i="16"/>
  <c r="AD158" i="16" s="1"/>
  <c r="AF158" i="16" s="1"/>
  <c r="AU158" i="16" s="1"/>
  <c r="U159" i="16"/>
  <c r="AD159" i="16" s="1"/>
  <c r="AF159" i="16" s="1"/>
  <c r="AU159" i="16" s="1"/>
  <c r="M159" i="16"/>
  <c r="U160" i="16"/>
  <c r="M160" i="16"/>
  <c r="U161" i="16"/>
  <c r="AD161" i="16" s="1"/>
  <c r="M161" i="16"/>
  <c r="AF161" i="16"/>
  <c r="AU161" i="16" s="1"/>
  <c r="AP7" i="16"/>
  <c r="AP8" i="16"/>
  <c r="AP9" i="16"/>
  <c r="AP10" i="16"/>
  <c r="AP11" i="16"/>
  <c r="AP12" i="16"/>
  <c r="AP13" i="16"/>
  <c r="AP14" i="16"/>
  <c r="AP15" i="16"/>
  <c r="AP16" i="16"/>
  <c r="AP17" i="16"/>
  <c r="AP18" i="16"/>
  <c r="AP19" i="16"/>
  <c r="AP20" i="16"/>
  <c r="AP21" i="16"/>
  <c r="AP22" i="16"/>
  <c r="AP23" i="16"/>
  <c r="AP24" i="16"/>
  <c r="AP25" i="16"/>
  <c r="AP26" i="16"/>
  <c r="AP27" i="16"/>
  <c r="AP28" i="16"/>
  <c r="AP29" i="16"/>
  <c r="AP30" i="16"/>
  <c r="AP31" i="16"/>
  <c r="AP32" i="16"/>
  <c r="AP33" i="16"/>
  <c r="AP34" i="16"/>
  <c r="AP35" i="16"/>
  <c r="AP36" i="16"/>
  <c r="AP37" i="16"/>
  <c r="AP38" i="16"/>
  <c r="AP39" i="16"/>
  <c r="AP40" i="16"/>
  <c r="AP41" i="16"/>
  <c r="AP42" i="16"/>
  <c r="AP43" i="16"/>
  <c r="AP44" i="16"/>
  <c r="AP45" i="16"/>
  <c r="AP46" i="16"/>
  <c r="AP47" i="16"/>
  <c r="AP48" i="16"/>
  <c r="AP49" i="16"/>
  <c r="AP50" i="16"/>
  <c r="AP51" i="16"/>
  <c r="AP52" i="16"/>
  <c r="AP53" i="16"/>
  <c r="AP54" i="16"/>
  <c r="AP55" i="16"/>
  <c r="AP56" i="16"/>
  <c r="AP57" i="16"/>
  <c r="AP58" i="16"/>
  <c r="AP59" i="16"/>
  <c r="AP60" i="16"/>
  <c r="AP61" i="16"/>
  <c r="AP62" i="16"/>
  <c r="AP63" i="16"/>
  <c r="AP64" i="16"/>
  <c r="AP65" i="16"/>
  <c r="AP66" i="16"/>
  <c r="AP67" i="16"/>
  <c r="AP68" i="16"/>
  <c r="AP69" i="16"/>
  <c r="AP70" i="16"/>
  <c r="AP71" i="16"/>
  <c r="AP72" i="16"/>
  <c r="AP73" i="16"/>
  <c r="AP74" i="16"/>
  <c r="AP75" i="16"/>
  <c r="AP76" i="16"/>
  <c r="AP77" i="16"/>
  <c r="AP78" i="16"/>
  <c r="AP79" i="16"/>
  <c r="AP80" i="16"/>
  <c r="AP81" i="16"/>
  <c r="AP82" i="16"/>
  <c r="AP83" i="16"/>
  <c r="AP84" i="16"/>
  <c r="AP85" i="16"/>
  <c r="AP86" i="16"/>
  <c r="AP87" i="16"/>
  <c r="AP88" i="16"/>
  <c r="AP89" i="16"/>
  <c r="AP90" i="16"/>
  <c r="AP91" i="16"/>
  <c r="AP92" i="16"/>
  <c r="AP93" i="16"/>
  <c r="AP94" i="16"/>
  <c r="AP95" i="16"/>
  <c r="AP96" i="16"/>
  <c r="AP97" i="16"/>
  <c r="AP98" i="16"/>
  <c r="AP99" i="16"/>
  <c r="AP100" i="16"/>
  <c r="AP101" i="16"/>
  <c r="AP102" i="16"/>
  <c r="AP103" i="16"/>
  <c r="AP104" i="16"/>
  <c r="AP105" i="16"/>
  <c r="AP106" i="16"/>
  <c r="AP107" i="16"/>
  <c r="AP108" i="16"/>
  <c r="AP109" i="16"/>
  <c r="AP110" i="16"/>
  <c r="AP111" i="16"/>
  <c r="AP112" i="16"/>
  <c r="AP113" i="16"/>
  <c r="AP114" i="16"/>
  <c r="AP115" i="16"/>
  <c r="AP116" i="16"/>
  <c r="AP117" i="16"/>
  <c r="AP118" i="16"/>
  <c r="AP119" i="16"/>
  <c r="AP120" i="16"/>
  <c r="AP121" i="16"/>
  <c r="AP122" i="16"/>
  <c r="AP123" i="16"/>
  <c r="AP124" i="16"/>
  <c r="AP125" i="16"/>
  <c r="AP126" i="16"/>
  <c r="AP127" i="16"/>
  <c r="P7" i="16"/>
  <c r="T7" i="16" s="1"/>
  <c r="AA7" i="16" s="1"/>
  <c r="AC7" i="16" s="1"/>
  <c r="L7" i="16"/>
  <c r="AQ7" i="16"/>
  <c r="P8" i="16"/>
  <c r="T8" i="16" s="1"/>
  <c r="AA8" i="16" s="1"/>
  <c r="AO8" i="16" s="1"/>
  <c r="L8" i="16"/>
  <c r="AC8" i="16"/>
  <c r="AQ8" i="16" s="1"/>
  <c r="AR8" i="16" s="1"/>
  <c r="P9" i="16"/>
  <c r="T9" i="16" s="1"/>
  <c r="AA9" i="16" s="1"/>
  <c r="L9" i="16"/>
  <c r="P10" i="16"/>
  <c r="T10" i="16" s="1"/>
  <c r="L10" i="16"/>
  <c r="AA10" i="16" s="1"/>
  <c r="AO10" i="16" s="1"/>
  <c r="AC10" i="16"/>
  <c r="AQ10" i="16" s="1"/>
  <c r="P11" i="16"/>
  <c r="T11" i="16"/>
  <c r="AA11" i="16" s="1"/>
  <c r="L11" i="16"/>
  <c r="AC11" i="16"/>
  <c r="AQ11" i="16" s="1"/>
  <c r="AR11" i="16" s="1"/>
  <c r="P12" i="16"/>
  <c r="T12" i="16" s="1"/>
  <c r="L12" i="16"/>
  <c r="P13" i="16"/>
  <c r="T13" i="16"/>
  <c r="AA13" i="16" s="1"/>
  <c r="L13" i="16"/>
  <c r="P14" i="16"/>
  <c r="T14" i="16" s="1"/>
  <c r="L14" i="16"/>
  <c r="P15" i="16"/>
  <c r="T15" i="16"/>
  <c r="AA15" i="16" s="1"/>
  <c r="L15" i="16"/>
  <c r="AC15" i="16"/>
  <c r="AQ15" i="16" s="1"/>
  <c r="AR15" i="16" s="1"/>
  <c r="P16" i="16"/>
  <c r="T16" i="16" s="1"/>
  <c r="L16" i="16"/>
  <c r="AA16" i="16"/>
  <c r="P17" i="16"/>
  <c r="T17" i="16" s="1"/>
  <c r="AA17" i="16" s="1"/>
  <c r="L17" i="16"/>
  <c r="P18" i="16"/>
  <c r="T18" i="16" s="1"/>
  <c r="L18" i="16"/>
  <c r="AA18" i="16" s="1"/>
  <c r="P19" i="16"/>
  <c r="T19" i="16"/>
  <c r="L19" i="16"/>
  <c r="P20" i="16"/>
  <c r="T20" i="16" s="1"/>
  <c r="L20" i="16"/>
  <c r="AA20" i="16" s="1"/>
  <c r="P21" i="16"/>
  <c r="T21" i="16"/>
  <c r="L21" i="16"/>
  <c r="P22" i="16"/>
  <c r="T22" i="16" s="1"/>
  <c r="L22" i="16"/>
  <c r="P23" i="16"/>
  <c r="T23" i="16" s="1"/>
  <c r="AA23" i="16" s="1"/>
  <c r="AC23" i="16" s="1"/>
  <c r="L23" i="16"/>
  <c r="AQ23" i="16"/>
  <c r="AR23" i="16" s="1"/>
  <c r="P24" i="16"/>
  <c r="T24" i="16" s="1"/>
  <c r="L24" i="16"/>
  <c r="AA24" i="16"/>
  <c r="AO24" i="16" s="1"/>
  <c r="AC24" i="16"/>
  <c r="AQ24" i="16" s="1"/>
  <c r="AR24" i="16" s="1"/>
  <c r="P25" i="16"/>
  <c r="T25" i="16" s="1"/>
  <c r="L25" i="16"/>
  <c r="P26" i="16"/>
  <c r="T26" i="16" s="1"/>
  <c r="L26" i="16"/>
  <c r="AA26" i="16" s="1"/>
  <c r="P27" i="16"/>
  <c r="T27" i="16"/>
  <c r="AA27" i="16" s="1"/>
  <c r="AC27" i="16" s="1"/>
  <c r="AQ27" i="16" s="1"/>
  <c r="L27" i="16"/>
  <c r="P28" i="16"/>
  <c r="T28" i="16" s="1"/>
  <c r="L28" i="16"/>
  <c r="AA28" i="16" s="1"/>
  <c r="P29" i="16"/>
  <c r="T29" i="16" s="1"/>
  <c r="AA29" i="16" s="1"/>
  <c r="AC29" i="16" s="1"/>
  <c r="AQ29" i="16" s="1"/>
  <c r="L29" i="16"/>
  <c r="P30" i="16"/>
  <c r="T30" i="16" s="1"/>
  <c r="AA30" i="16" s="1"/>
  <c r="AO30" i="16" s="1"/>
  <c r="L30" i="16"/>
  <c r="AC30" i="16"/>
  <c r="AQ30" i="16"/>
  <c r="P31" i="16"/>
  <c r="T31" i="16" s="1"/>
  <c r="L31" i="16"/>
  <c r="AA31" i="16"/>
  <c r="AC31" i="16"/>
  <c r="AQ31" i="16" s="1"/>
  <c r="P32" i="16"/>
  <c r="T32" i="16" s="1"/>
  <c r="L32" i="16"/>
  <c r="P33" i="16"/>
  <c r="T33" i="16" s="1"/>
  <c r="L33" i="16"/>
  <c r="AA33" i="16" s="1"/>
  <c r="AC33" i="16"/>
  <c r="AQ33" i="16" s="1"/>
  <c r="P34" i="16"/>
  <c r="T34" i="16"/>
  <c r="AA34" i="16" s="1"/>
  <c r="AO34" i="16" s="1"/>
  <c r="L34" i="16"/>
  <c r="AC34" i="16"/>
  <c r="AQ34" i="16" s="1"/>
  <c r="P35" i="16"/>
  <c r="T35" i="16" s="1"/>
  <c r="L35" i="16"/>
  <c r="AA35" i="16" s="1"/>
  <c r="AC35" i="16" s="1"/>
  <c r="AQ35" i="16" s="1"/>
  <c r="P36" i="16"/>
  <c r="T36" i="16" s="1"/>
  <c r="L36" i="16"/>
  <c r="P37" i="16"/>
  <c r="T37" i="16" s="1"/>
  <c r="L37" i="16"/>
  <c r="AA37" i="16"/>
  <c r="AC37" i="16" s="1"/>
  <c r="AQ37" i="16" s="1"/>
  <c r="P38" i="16"/>
  <c r="T38" i="16"/>
  <c r="L38" i="16"/>
  <c r="P39" i="16"/>
  <c r="T39" i="16" s="1"/>
  <c r="L39" i="16"/>
  <c r="P40" i="16"/>
  <c r="T40" i="16"/>
  <c r="L40" i="16"/>
  <c r="P41" i="16"/>
  <c r="T41" i="16" s="1"/>
  <c r="L41" i="16"/>
  <c r="T42" i="16"/>
  <c r="AA42" i="16" s="1"/>
  <c r="AO42" i="16" s="1"/>
  <c r="D42" i="16"/>
  <c r="L42" i="16" s="1"/>
  <c r="AC42" i="16"/>
  <c r="AQ42" i="16" s="1"/>
  <c r="AR42" i="16" s="1"/>
  <c r="T43" i="16"/>
  <c r="D43" i="16"/>
  <c r="L43" i="16"/>
  <c r="AA43" i="16" s="1"/>
  <c r="T44" i="16"/>
  <c r="D44" i="16"/>
  <c r="H44" i="16" s="1"/>
  <c r="L44" i="16"/>
  <c r="T45" i="16"/>
  <c r="D45" i="16"/>
  <c r="L45" i="16"/>
  <c r="T46" i="16"/>
  <c r="D46" i="16"/>
  <c r="L46" i="16" s="1"/>
  <c r="T47" i="16"/>
  <c r="D47" i="16"/>
  <c r="L47" i="16"/>
  <c r="AA47" i="16" s="1"/>
  <c r="T48" i="16"/>
  <c r="D48" i="16"/>
  <c r="H48" i="16" s="1"/>
  <c r="L48" i="16"/>
  <c r="T49" i="16"/>
  <c r="D49" i="16"/>
  <c r="L49" i="16"/>
  <c r="T50" i="16"/>
  <c r="AA50" i="16" s="1"/>
  <c r="D50" i="16"/>
  <c r="L50" i="16" s="1"/>
  <c r="T51" i="16"/>
  <c r="AA51" i="16" s="1"/>
  <c r="AC51" i="16" s="1"/>
  <c r="AQ51" i="16" s="1"/>
  <c r="D51" i="16"/>
  <c r="L51" i="16"/>
  <c r="T52" i="16"/>
  <c r="D52" i="16"/>
  <c r="T53" i="16"/>
  <c r="AA53" i="16" s="1"/>
  <c r="AC53" i="16" s="1"/>
  <c r="AQ53" i="16" s="1"/>
  <c r="D53" i="16"/>
  <c r="L53" i="16"/>
  <c r="T54" i="16"/>
  <c r="AA54" i="16" s="1"/>
  <c r="D54" i="16"/>
  <c r="L54" i="16" s="1"/>
  <c r="T55" i="16"/>
  <c r="D55" i="16"/>
  <c r="L55" i="16"/>
  <c r="AA55" i="16"/>
  <c r="T56" i="16"/>
  <c r="D56" i="16"/>
  <c r="L56" i="16"/>
  <c r="T57" i="16"/>
  <c r="D57" i="16"/>
  <c r="L57" i="16"/>
  <c r="T58" i="16"/>
  <c r="AA58" i="16" s="1"/>
  <c r="AO58" i="16" s="1"/>
  <c r="D58" i="16"/>
  <c r="L58" i="16" s="1"/>
  <c r="AC58" i="16"/>
  <c r="AQ58" i="16" s="1"/>
  <c r="AR58" i="16" s="1"/>
  <c r="T59" i="16"/>
  <c r="AA59" i="16" s="1"/>
  <c r="D59" i="16"/>
  <c r="L59" i="16"/>
  <c r="T60" i="16"/>
  <c r="D60" i="16"/>
  <c r="L60" i="16" s="1"/>
  <c r="T61" i="16"/>
  <c r="D61" i="16"/>
  <c r="L61" i="16"/>
  <c r="T62" i="16"/>
  <c r="D62" i="16"/>
  <c r="T63" i="16"/>
  <c r="D63" i="16"/>
  <c r="L63" i="16"/>
  <c r="AA63" i="16"/>
  <c r="T64" i="16"/>
  <c r="D64" i="16"/>
  <c r="L64" i="16" s="1"/>
  <c r="T65" i="16"/>
  <c r="AA65" i="16" s="1"/>
  <c r="AC65" i="16" s="1"/>
  <c r="AQ65" i="16" s="1"/>
  <c r="D65" i="16"/>
  <c r="L65" i="16"/>
  <c r="T66" i="16"/>
  <c r="D66" i="16"/>
  <c r="T67" i="16"/>
  <c r="D67" i="16"/>
  <c r="L67" i="16"/>
  <c r="T68" i="16"/>
  <c r="D68" i="16"/>
  <c r="L68" i="16" s="1"/>
  <c r="T69" i="16"/>
  <c r="AA69" i="16" s="1"/>
  <c r="D69" i="16"/>
  <c r="L69" i="16"/>
  <c r="AC69" i="16"/>
  <c r="AQ69" i="16" s="1"/>
  <c r="AR69" i="16" s="1"/>
  <c r="T70" i="16"/>
  <c r="D70" i="16"/>
  <c r="L70" i="16" s="1"/>
  <c r="T71" i="16"/>
  <c r="AA71" i="16" s="1"/>
  <c r="AO71" i="16" s="1"/>
  <c r="D71" i="16"/>
  <c r="L71" i="16"/>
  <c r="T72" i="16"/>
  <c r="D72" i="16"/>
  <c r="L72" i="16"/>
  <c r="T73" i="16"/>
  <c r="AA73" i="16" s="1"/>
  <c r="AC73" i="16" s="1"/>
  <c r="AQ73" i="16" s="1"/>
  <c r="D73" i="16"/>
  <c r="L73" i="16"/>
  <c r="T74" i="16"/>
  <c r="AA74" i="16" s="1"/>
  <c r="D74" i="16"/>
  <c r="L74" i="16" s="1"/>
  <c r="T75" i="16"/>
  <c r="AA75" i="16" s="1"/>
  <c r="D75" i="16"/>
  <c r="L75" i="16"/>
  <c r="T76" i="16"/>
  <c r="D76" i="16"/>
  <c r="L76" i="16"/>
  <c r="T77" i="16"/>
  <c r="D77" i="16"/>
  <c r="L77" i="16"/>
  <c r="T78" i="16"/>
  <c r="D78" i="16"/>
  <c r="L78" i="16" s="1"/>
  <c r="T79" i="16"/>
  <c r="D79" i="16"/>
  <c r="L79" i="16"/>
  <c r="AA79" i="16"/>
  <c r="T80" i="16"/>
  <c r="D80" i="16"/>
  <c r="L80" i="16"/>
  <c r="T81" i="16"/>
  <c r="AA81" i="16" s="1"/>
  <c r="AC81" i="16" s="1"/>
  <c r="AQ81" i="16" s="1"/>
  <c r="D81" i="16"/>
  <c r="L81" i="16"/>
  <c r="T82" i="16"/>
  <c r="D82" i="16"/>
  <c r="L82" i="16" s="1"/>
  <c r="T83" i="16"/>
  <c r="D83" i="16"/>
  <c r="L83" i="16"/>
  <c r="T84" i="16"/>
  <c r="D84" i="16"/>
  <c r="L84" i="16" s="1"/>
  <c r="T85" i="16"/>
  <c r="AA85" i="16" s="1"/>
  <c r="AO85" i="16" s="1"/>
  <c r="D85" i="16"/>
  <c r="L85" i="16"/>
  <c r="T86" i="16"/>
  <c r="AA86" i="16" s="1"/>
  <c r="D86" i="16"/>
  <c r="L86" i="16" s="1"/>
  <c r="T87" i="16"/>
  <c r="AA87" i="16" s="1"/>
  <c r="D87" i="16"/>
  <c r="L87" i="16"/>
  <c r="T88" i="16"/>
  <c r="D88" i="16"/>
  <c r="L88" i="16"/>
  <c r="T89" i="16"/>
  <c r="AA89" i="16" s="1"/>
  <c r="AO89" i="16" s="1"/>
  <c r="D89" i="16"/>
  <c r="L89" i="16"/>
  <c r="T90" i="16"/>
  <c r="AA90" i="16" s="1"/>
  <c r="AO90" i="16" s="1"/>
  <c r="D90" i="16"/>
  <c r="L90" i="16" s="1"/>
  <c r="T91" i="16"/>
  <c r="AA91" i="16" s="1"/>
  <c r="D91" i="16"/>
  <c r="L91" i="16"/>
  <c r="T92" i="16"/>
  <c r="D92" i="16"/>
  <c r="L92" i="16"/>
  <c r="T93" i="16"/>
  <c r="D93" i="16"/>
  <c r="L93" i="16"/>
  <c r="T94" i="16"/>
  <c r="D94" i="16"/>
  <c r="L94" i="16" s="1"/>
  <c r="T95" i="16"/>
  <c r="D95" i="16"/>
  <c r="L95" i="16"/>
  <c r="AA95" i="16"/>
  <c r="T96" i="16"/>
  <c r="D96" i="16"/>
  <c r="L96" i="16"/>
  <c r="T97" i="16"/>
  <c r="AA97" i="16" s="1"/>
  <c r="AC97" i="16" s="1"/>
  <c r="AQ97" i="16" s="1"/>
  <c r="D97" i="16"/>
  <c r="L97" i="16"/>
  <c r="T98" i="16"/>
  <c r="D98" i="16"/>
  <c r="L98" i="16" s="1"/>
  <c r="T99" i="16"/>
  <c r="AA99" i="16" s="1"/>
  <c r="D99" i="16"/>
  <c r="L99" i="16"/>
  <c r="T100" i="16"/>
  <c r="D100" i="16"/>
  <c r="T101" i="16"/>
  <c r="AA101" i="16" s="1"/>
  <c r="D101" i="16"/>
  <c r="L101" i="16"/>
  <c r="AC101" i="16"/>
  <c r="AQ101" i="16" s="1"/>
  <c r="T102" i="16"/>
  <c r="D102" i="16"/>
  <c r="L102" i="16" s="1"/>
  <c r="T103" i="16"/>
  <c r="D103" i="16"/>
  <c r="L103" i="16"/>
  <c r="AA103" i="16"/>
  <c r="T104" i="16"/>
  <c r="D104" i="16"/>
  <c r="L104" i="16"/>
  <c r="T105" i="16"/>
  <c r="D105" i="16"/>
  <c r="L105" i="16"/>
  <c r="T106" i="16"/>
  <c r="AA106" i="16" s="1"/>
  <c r="AO106" i="16" s="1"/>
  <c r="D106" i="16"/>
  <c r="L106" i="16" s="1"/>
  <c r="AC106" i="16"/>
  <c r="AQ106" i="16" s="1"/>
  <c r="AR106" i="16" s="1"/>
  <c r="T107" i="16"/>
  <c r="D107" i="16"/>
  <c r="L107" i="16"/>
  <c r="AA107" i="16" s="1"/>
  <c r="T108" i="16"/>
  <c r="D108" i="16"/>
  <c r="H108" i="16" s="1"/>
  <c r="L108" i="16"/>
  <c r="T109" i="16"/>
  <c r="D109" i="16"/>
  <c r="L109" i="16"/>
  <c r="T110" i="16"/>
  <c r="D110" i="16"/>
  <c r="L110" i="16" s="1"/>
  <c r="T111" i="16"/>
  <c r="D111" i="16"/>
  <c r="L111" i="16"/>
  <c r="AA111" i="16" s="1"/>
  <c r="T112" i="16"/>
  <c r="D112" i="16"/>
  <c r="L112" i="16"/>
  <c r="T113" i="16"/>
  <c r="D113" i="16"/>
  <c r="L113" i="16"/>
  <c r="T114" i="16"/>
  <c r="AA114" i="16" s="1"/>
  <c r="D114" i="16"/>
  <c r="L114" i="16" s="1"/>
  <c r="T115" i="16"/>
  <c r="AA115" i="16" s="1"/>
  <c r="AC115" i="16" s="1"/>
  <c r="AQ115" i="16" s="1"/>
  <c r="D115" i="16"/>
  <c r="L115" i="16"/>
  <c r="T116" i="16"/>
  <c r="D116" i="16"/>
  <c r="L116" i="16" s="1"/>
  <c r="T117" i="16"/>
  <c r="AA117" i="16" s="1"/>
  <c r="AC117" i="16" s="1"/>
  <c r="AQ117" i="16" s="1"/>
  <c r="D117" i="16"/>
  <c r="L117" i="16"/>
  <c r="T118" i="16"/>
  <c r="AA118" i="16" s="1"/>
  <c r="D118" i="16"/>
  <c r="L118" i="16" s="1"/>
  <c r="T119" i="16"/>
  <c r="D119" i="16"/>
  <c r="L119" i="16"/>
  <c r="AA119" i="16"/>
  <c r="T120" i="16"/>
  <c r="D120" i="16"/>
  <c r="L120" i="16"/>
  <c r="T121" i="16"/>
  <c r="D121" i="16"/>
  <c r="L121" i="16"/>
  <c r="T122" i="16"/>
  <c r="AA122" i="16" s="1"/>
  <c r="AO122" i="16" s="1"/>
  <c r="D122" i="16"/>
  <c r="L122" i="16" s="1"/>
  <c r="AC122" i="16"/>
  <c r="AQ122" i="16" s="1"/>
  <c r="T123" i="16"/>
  <c r="AA123" i="16" s="1"/>
  <c r="D123" i="16"/>
  <c r="L123" i="16"/>
  <c r="T124" i="16"/>
  <c r="D124" i="16"/>
  <c r="L124" i="16" s="1"/>
  <c r="T125" i="16"/>
  <c r="D125" i="16"/>
  <c r="L125" i="16"/>
  <c r="T126" i="16"/>
  <c r="D126" i="16"/>
  <c r="T127" i="16"/>
  <c r="D127" i="16"/>
  <c r="L127" i="16"/>
  <c r="AA127" i="16"/>
  <c r="T128" i="16"/>
  <c r="D128" i="16"/>
  <c r="T129" i="16"/>
  <c r="AA129" i="16" s="1"/>
  <c r="AO129" i="16" s="1"/>
  <c r="D129" i="16"/>
  <c r="L129" i="16"/>
  <c r="T130" i="16"/>
  <c r="D130" i="16"/>
  <c r="T131" i="16"/>
  <c r="D131" i="16"/>
  <c r="L131" i="16"/>
  <c r="T132" i="16"/>
  <c r="D132" i="16"/>
  <c r="L132" i="16" s="1"/>
  <c r="T133" i="16"/>
  <c r="AA133" i="16" s="1"/>
  <c r="D133" i="16"/>
  <c r="L133" i="16"/>
  <c r="AO133" i="16"/>
  <c r="T134" i="16"/>
  <c r="D134" i="16"/>
  <c r="T135" i="16"/>
  <c r="AA135" i="16" s="1"/>
  <c r="AC135" i="16" s="1"/>
  <c r="D135" i="16"/>
  <c r="L135" i="16"/>
  <c r="T136" i="16"/>
  <c r="D136" i="16"/>
  <c r="L136" i="16"/>
  <c r="T137" i="16"/>
  <c r="AA137" i="16" s="1"/>
  <c r="AC137" i="16" s="1"/>
  <c r="D137" i="16"/>
  <c r="L137" i="16"/>
  <c r="T138" i="16"/>
  <c r="AA138" i="16" s="1"/>
  <c r="AO138" i="16" s="1"/>
  <c r="AQ138" i="16" s="1"/>
  <c r="D138" i="16"/>
  <c r="L138" i="16" s="1"/>
  <c r="T139" i="16"/>
  <c r="AA139" i="16" s="1"/>
  <c r="D139" i="16"/>
  <c r="L139" i="16"/>
  <c r="T140" i="16"/>
  <c r="D140" i="16"/>
  <c r="L140" i="16"/>
  <c r="T141" i="16"/>
  <c r="D141" i="16"/>
  <c r="L141" i="16"/>
  <c r="T142" i="16"/>
  <c r="D142" i="16"/>
  <c r="L142" i="16" s="1"/>
  <c r="T143" i="16"/>
  <c r="D143" i="16"/>
  <c r="L143" i="16"/>
  <c r="AA143" i="16"/>
  <c r="T144" i="16"/>
  <c r="D144" i="16"/>
  <c r="L144" i="16"/>
  <c r="T145" i="16"/>
  <c r="AA145" i="16" s="1"/>
  <c r="AO145" i="16" s="1"/>
  <c r="AQ145" i="16" s="1"/>
  <c r="D145" i="16"/>
  <c r="L145" i="16"/>
  <c r="T146" i="16"/>
  <c r="D146" i="16"/>
  <c r="T147" i="16"/>
  <c r="D147" i="16"/>
  <c r="L147" i="16"/>
  <c r="T148" i="16"/>
  <c r="D148" i="16"/>
  <c r="T149" i="16"/>
  <c r="AA149" i="16" s="1"/>
  <c r="AO149" i="16" s="1"/>
  <c r="D149" i="16"/>
  <c r="L149" i="16"/>
  <c r="T150" i="16"/>
  <c r="AA150" i="16" s="1"/>
  <c r="AO150" i="16" s="1"/>
  <c r="D150" i="16"/>
  <c r="L150" i="16" s="1"/>
  <c r="T151" i="16"/>
  <c r="AA151" i="16" s="1"/>
  <c r="D151" i="16"/>
  <c r="L151" i="16"/>
  <c r="T152" i="16"/>
  <c r="D152" i="16"/>
  <c r="L152" i="16"/>
  <c r="T153" i="16"/>
  <c r="AA153" i="16" s="1"/>
  <c r="AC153" i="16" s="1"/>
  <c r="D153" i="16"/>
  <c r="L153" i="16"/>
  <c r="T154" i="16"/>
  <c r="AA154" i="16" s="1"/>
  <c r="AO154" i="16" s="1"/>
  <c r="AQ154" i="16" s="1"/>
  <c r="D154" i="16"/>
  <c r="L154" i="16" s="1"/>
  <c r="T155" i="16"/>
  <c r="AA155" i="16" s="1"/>
  <c r="D155" i="16"/>
  <c r="L155" i="16"/>
  <c r="T156" i="16"/>
  <c r="D156" i="16"/>
  <c r="H156" i="16" s="1"/>
  <c r="L156" i="16"/>
  <c r="T157" i="16"/>
  <c r="D157" i="16"/>
  <c r="L157" i="16"/>
  <c r="T158" i="16"/>
  <c r="D158" i="16"/>
  <c r="T159" i="16"/>
  <c r="D159" i="16"/>
  <c r="L159" i="16"/>
  <c r="AA159" i="16"/>
  <c r="T160" i="16"/>
  <c r="D160" i="16"/>
  <c r="H160" i="16" s="1"/>
  <c r="L160" i="16"/>
  <c r="T161" i="16"/>
  <c r="AA161" i="16" s="1"/>
  <c r="AO161" i="16" s="1"/>
  <c r="AQ161" i="16" s="1"/>
  <c r="D161" i="16"/>
  <c r="L161" i="16"/>
  <c r="O7" i="16"/>
  <c r="S7" i="16"/>
  <c r="K7" i="16"/>
  <c r="O8" i="16"/>
  <c r="S8" i="16" s="1"/>
  <c r="K8" i="16"/>
  <c r="X8" i="16"/>
  <c r="AK8" i="16" s="1"/>
  <c r="AN8" i="16" s="1"/>
  <c r="Z8" i="16"/>
  <c r="AM8" i="16" s="1"/>
  <c r="O9" i="16"/>
  <c r="S9" i="16"/>
  <c r="K9" i="16"/>
  <c r="O10" i="16"/>
  <c r="S10" i="16" s="1"/>
  <c r="X10" i="16" s="1"/>
  <c r="Z10" i="16" s="1"/>
  <c r="AM10" i="16" s="1"/>
  <c r="K10" i="16"/>
  <c r="O11" i="16"/>
  <c r="S11" i="16"/>
  <c r="K11" i="16"/>
  <c r="X11" i="16"/>
  <c r="O12" i="16"/>
  <c r="S12" i="16"/>
  <c r="K12" i="16"/>
  <c r="X12" i="16"/>
  <c r="O13" i="16"/>
  <c r="S13" i="16"/>
  <c r="X13" i="16" s="1"/>
  <c r="K13" i="16"/>
  <c r="O14" i="16"/>
  <c r="S14" i="16" s="1"/>
  <c r="K14" i="16"/>
  <c r="X14" i="16"/>
  <c r="O15" i="16"/>
  <c r="S15" i="16"/>
  <c r="K15" i="16"/>
  <c r="O16" i="16"/>
  <c r="S16" i="16" s="1"/>
  <c r="X16" i="16" s="1"/>
  <c r="Z16" i="16" s="1"/>
  <c r="AM16" i="16" s="1"/>
  <c r="K16" i="16"/>
  <c r="O17" i="16"/>
  <c r="S17" i="16"/>
  <c r="K17" i="16"/>
  <c r="X17" i="16"/>
  <c r="O18" i="16"/>
  <c r="S18" i="16" s="1"/>
  <c r="X18" i="16" s="1"/>
  <c r="K18" i="16"/>
  <c r="Z18" i="16"/>
  <c r="AM18" i="16"/>
  <c r="AN18" i="16" s="1"/>
  <c r="O19" i="16"/>
  <c r="S19" i="16"/>
  <c r="K19" i="16"/>
  <c r="X19" i="16"/>
  <c r="O20" i="16"/>
  <c r="S20" i="16"/>
  <c r="X20" i="16" s="1"/>
  <c r="Z20" i="16" s="1"/>
  <c r="K20" i="16"/>
  <c r="AM20" i="16"/>
  <c r="O21" i="16"/>
  <c r="S21" i="16"/>
  <c r="K21" i="16"/>
  <c r="X21" i="16"/>
  <c r="O22" i="16"/>
  <c r="S22" i="16" s="1"/>
  <c r="X22" i="16" s="1"/>
  <c r="K22" i="16"/>
  <c r="O23" i="16"/>
  <c r="S23" i="16"/>
  <c r="K23" i="16"/>
  <c r="O24" i="16"/>
  <c r="S24" i="16" s="1"/>
  <c r="K24" i="16"/>
  <c r="X24" i="16"/>
  <c r="O25" i="16"/>
  <c r="S25" i="16"/>
  <c r="K25" i="16"/>
  <c r="O26" i="16"/>
  <c r="S26" i="16"/>
  <c r="X26" i="16" s="1"/>
  <c r="Z26" i="16" s="1"/>
  <c r="K26" i="16"/>
  <c r="AM26" i="16"/>
  <c r="AN26" i="16" s="1"/>
  <c r="O27" i="16"/>
  <c r="S27" i="16"/>
  <c r="K27" i="16"/>
  <c r="X27" i="16"/>
  <c r="O28" i="16"/>
  <c r="S28" i="16"/>
  <c r="K28" i="16"/>
  <c r="X28" i="16"/>
  <c r="O29" i="16"/>
  <c r="S29" i="16"/>
  <c r="K29" i="16"/>
  <c r="X29" i="16"/>
  <c r="O30" i="16"/>
  <c r="S30" i="16" s="1"/>
  <c r="X30" i="16" s="1"/>
  <c r="Z30" i="16" s="1"/>
  <c r="AM30" i="16" s="1"/>
  <c r="K30" i="16"/>
  <c r="O31" i="16"/>
  <c r="S31" i="16"/>
  <c r="X31" i="16" s="1"/>
  <c r="K31" i="16"/>
  <c r="O32" i="16"/>
  <c r="S32" i="16"/>
  <c r="X32" i="16" s="1"/>
  <c r="Z32" i="16" s="1"/>
  <c r="AM32" i="16" s="1"/>
  <c r="K32" i="16"/>
  <c r="O33" i="16"/>
  <c r="S33" i="16"/>
  <c r="K33" i="16"/>
  <c r="X33" i="16" s="1"/>
  <c r="O34" i="16"/>
  <c r="S34" i="16" s="1"/>
  <c r="X34" i="16" s="1"/>
  <c r="K34" i="16"/>
  <c r="Z34" i="16"/>
  <c r="AM34" i="16" s="1"/>
  <c r="O35" i="16"/>
  <c r="S35" i="16"/>
  <c r="K35" i="16"/>
  <c r="X35" i="16" s="1"/>
  <c r="O36" i="16"/>
  <c r="S36" i="16"/>
  <c r="X36" i="16" s="1"/>
  <c r="K36" i="16"/>
  <c r="O37" i="16"/>
  <c r="S37" i="16"/>
  <c r="X37" i="16" s="1"/>
  <c r="Z37" i="16" s="1"/>
  <c r="AM37" i="16" s="1"/>
  <c r="K37" i="16"/>
  <c r="O38" i="16"/>
  <c r="S38" i="16" s="1"/>
  <c r="X38" i="16" s="1"/>
  <c r="AK38" i="16" s="1"/>
  <c r="K38" i="16"/>
  <c r="Z38" i="16"/>
  <c r="AM38" i="16" s="1"/>
  <c r="O39" i="16"/>
  <c r="S39" i="16"/>
  <c r="K39" i="16"/>
  <c r="O40" i="16"/>
  <c r="S40" i="16" s="1"/>
  <c r="X40" i="16" s="1"/>
  <c r="K40" i="16"/>
  <c r="Z40" i="16"/>
  <c r="AM40" i="16" s="1"/>
  <c r="O41" i="16"/>
  <c r="S41" i="16"/>
  <c r="X41" i="16" s="1"/>
  <c r="Z41" i="16" s="1"/>
  <c r="AM41" i="16" s="1"/>
  <c r="K41" i="16"/>
  <c r="S42" i="16"/>
  <c r="K42" i="16"/>
  <c r="S43" i="16"/>
  <c r="K43" i="16"/>
  <c r="X43" i="16"/>
  <c r="S44" i="16"/>
  <c r="K44" i="16"/>
  <c r="X44" i="16" s="1"/>
  <c r="AK44" i="16" s="1"/>
  <c r="Z44" i="16"/>
  <c r="AM44" i="16" s="1"/>
  <c r="S45" i="16"/>
  <c r="X45" i="16" s="1"/>
  <c r="Z45" i="16" s="1"/>
  <c r="K45" i="16"/>
  <c r="AM45" i="16"/>
  <c r="S46" i="16"/>
  <c r="X46" i="16" s="1"/>
  <c r="K46" i="16"/>
  <c r="S47" i="16"/>
  <c r="X47" i="16" s="1"/>
  <c r="AK47" i="16" s="1"/>
  <c r="K47" i="16"/>
  <c r="Z47" i="16"/>
  <c r="AM47" i="16" s="1"/>
  <c r="AN47" i="16" s="1"/>
  <c r="S48" i="16"/>
  <c r="K48" i="16"/>
  <c r="X48" i="16"/>
  <c r="Z48" i="16" s="1"/>
  <c r="AM48" i="16" s="1"/>
  <c r="S49" i="16"/>
  <c r="X49" i="16" s="1"/>
  <c r="K49" i="16"/>
  <c r="S50" i="16"/>
  <c r="X50" i="16" s="1"/>
  <c r="AK50" i="16" s="1"/>
  <c r="K50" i="16"/>
  <c r="Z50" i="16"/>
  <c r="AM50" i="16" s="1"/>
  <c r="AN50" i="16" s="1"/>
  <c r="S51" i="16"/>
  <c r="K51" i="16"/>
  <c r="X51" i="16"/>
  <c r="S52" i="16"/>
  <c r="K52" i="16"/>
  <c r="X52" i="16" s="1"/>
  <c r="Z52" i="16"/>
  <c r="AM52" i="16" s="1"/>
  <c r="S53" i="16"/>
  <c r="K53" i="16"/>
  <c r="X53" i="16" s="1"/>
  <c r="Z53" i="16" s="1"/>
  <c r="AM53" i="16"/>
  <c r="S54" i="16"/>
  <c r="K54" i="16"/>
  <c r="S55" i="16"/>
  <c r="K55" i="16"/>
  <c r="X55" i="16"/>
  <c r="AK55" i="16" s="1"/>
  <c r="Z55" i="16"/>
  <c r="AM55" i="16" s="1"/>
  <c r="S56" i="16"/>
  <c r="K56" i="16"/>
  <c r="X56" i="16" s="1"/>
  <c r="Z56" i="16" s="1"/>
  <c r="AM56" i="16" s="1"/>
  <c r="S57" i="16"/>
  <c r="X57" i="16" s="1"/>
  <c r="K57" i="16"/>
  <c r="S58" i="16"/>
  <c r="K58" i="16"/>
  <c r="S59" i="16"/>
  <c r="X59" i="16" s="1"/>
  <c r="K59" i="16"/>
  <c r="S60" i="16"/>
  <c r="K60" i="16"/>
  <c r="X60" i="16" s="1"/>
  <c r="Z60" i="16"/>
  <c r="AM60" i="16" s="1"/>
  <c r="AN60" i="16" s="1"/>
  <c r="S61" i="16"/>
  <c r="K61" i="16"/>
  <c r="S62" i="16"/>
  <c r="X62" i="16" s="1"/>
  <c r="K62" i="16"/>
  <c r="S63" i="16"/>
  <c r="X63" i="16" s="1"/>
  <c r="AK63" i="16" s="1"/>
  <c r="K63" i="16"/>
  <c r="Z63" i="16"/>
  <c r="AM63" i="16" s="1"/>
  <c r="AN63" i="16" s="1"/>
  <c r="S64" i="16"/>
  <c r="K64" i="16"/>
  <c r="X64" i="16"/>
  <c r="Z64" i="16" s="1"/>
  <c r="AM64" i="16" s="1"/>
  <c r="S65" i="16"/>
  <c r="K65" i="16"/>
  <c r="X65" i="16"/>
  <c r="S66" i="16"/>
  <c r="X66" i="16" s="1"/>
  <c r="K66" i="16"/>
  <c r="Z66" i="16"/>
  <c r="AM66" i="16" s="1"/>
  <c r="S67" i="16"/>
  <c r="K67" i="16"/>
  <c r="X67" i="16"/>
  <c r="S68" i="16"/>
  <c r="K68" i="16"/>
  <c r="X68" i="16"/>
  <c r="Z68" i="16" s="1"/>
  <c r="AM68" i="16" s="1"/>
  <c r="S69" i="16"/>
  <c r="K69" i="16"/>
  <c r="X69" i="16"/>
  <c r="S70" i="16"/>
  <c r="K70" i="16"/>
  <c r="S71" i="16"/>
  <c r="K71" i="16"/>
  <c r="X71" i="16"/>
  <c r="S72" i="16"/>
  <c r="K72" i="16"/>
  <c r="X72" i="16"/>
  <c r="Z72" i="16" s="1"/>
  <c r="AM72" i="16" s="1"/>
  <c r="S73" i="16"/>
  <c r="K73" i="16"/>
  <c r="X73" i="16"/>
  <c r="Z73" i="16" s="1"/>
  <c r="AM73" i="16" s="1"/>
  <c r="S74" i="16"/>
  <c r="X74" i="16" s="1"/>
  <c r="Z74" i="16" s="1"/>
  <c r="AM74" i="16" s="1"/>
  <c r="K74" i="16"/>
  <c r="S75" i="16"/>
  <c r="X75" i="16" s="1"/>
  <c r="K75" i="16"/>
  <c r="S76" i="16"/>
  <c r="K76" i="16"/>
  <c r="X76" i="16" s="1"/>
  <c r="S77" i="16"/>
  <c r="X77" i="16" s="1"/>
  <c r="K77" i="16"/>
  <c r="S78" i="16"/>
  <c r="K78" i="16"/>
  <c r="S79" i="16"/>
  <c r="X79" i="16" s="1"/>
  <c r="AK79" i="16" s="1"/>
  <c r="K79" i="16"/>
  <c r="S80" i="16"/>
  <c r="K80" i="16"/>
  <c r="X80" i="16"/>
  <c r="S81" i="16"/>
  <c r="K81" i="16"/>
  <c r="X81" i="16"/>
  <c r="S82" i="16"/>
  <c r="X82" i="16" s="1"/>
  <c r="K82" i="16"/>
  <c r="S83" i="16"/>
  <c r="X83" i="16" s="1"/>
  <c r="K83" i="16"/>
  <c r="S84" i="16"/>
  <c r="K84" i="16"/>
  <c r="X84" i="16" s="1"/>
  <c r="S85" i="16"/>
  <c r="K85" i="16"/>
  <c r="X85" i="16" s="1"/>
  <c r="Z85" i="16" s="1"/>
  <c r="AM85" i="16"/>
  <c r="S86" i="16"/>
  <c r="K86" i="16"/>
  <c r="S87" i="16"/>
  <c r="K87" i="16"/>
  <c r="X87" i="16"/>
  <c r="AK87" i="16" s="1"/>
  <c r="Z87" i="16"/>
  <c r="AM87" i="16" s="1"/>
  <c r="S88" i="16"/>
  <c r="K88" i="16"/>
  <c r="X88" i="16" s="1"/>
  <c r="Z88" i="16" s="1"/>
  <c r="AM88" i="16" s="1"/>
  <c r="S89" i="16"/>
  <c r="K89" i="16"/>
  <c r="X89" i="16"/>
  <c r="Z89" i="16" s="1"/>
  <c r="AM89" i="16" s="1"/>
  <c r="S90" i="16"/>
  <c r="K90" i="16"/>
  <c r="S91" i="16"/>
  <c r="X91" i="16" s="1"/>
  <c r="K91" i="16"/>
  <c r="S92" i="16"/>
  <c r="K92" i="16"/>
  <c r="X92" i="16" s="1"/>
  <c r="AK92" i="16" s="1"/>
  <c r="Z92" i="16"/>
  <c r="AM92" i="16" s="1"/>
  <c r="S93" i="16"/>
  <c r="K93" i="16"/>
  <c r="S94" i="16"/>
  <c r="X94" i="16" s="1"/>
  <c r="Z94" i="16" s="1"/>
  <c r="AM94" i="16" s="1"/>
  <c r="K94" i="16"/>
  <c r="S95" i="16"/>
  <c r="X95" i="16" s="1"/>
  <c r="K95" i="16"/>
  <c r="S96" i="16"/>
  <c r="K96" i="16"/>
  <c r="X96" i="16"/>
  <c r="Z96" i="16"/>
  <c r="AM96" i="16" s="1"/>
  <c r="S97" i="16"/>
  <c r="X97" i="16" s="1"/>
  <c r="K97" i="16"/>
  <c r="S98" i="16"/>
  <c r="X98" i="16" s="1"/>
  <c r="Z98" i="16" s="1"/>
  <c r="K98" i="16"/>
  <c r="AM98" i="16"/>
  <c r="S99" i="16"/>
  <c r="X99" i="16" s="1"/>
  <c r="AK99" i="16" s="1"/>
  <c r="K99" i="16"/>
  <c r="Z99" i="16"/>
  <c r="AM99" i="16" s="1"/>
  <c r="AN99" i="16" s="1"/>
  <c r="S100" i="16"/>
  <c r="K100" i="16"/>
  <c r="X100" i="16"/>
  <c r="S101" i="16"/>
  <c r="K101" i="16"/>
  <c r="X101" i="16"/>
  <c r="S102" i="16"/>
  <c r="K102" i="16"/>
  <c r="S103" i="16"/>
  <c r="K103" i="16"/>
  <c r="X103" i="16"/>
  <c r="S104" i="16"/>
  <c r="K104" i="16"/>
  <c r="X104" i="16"/>
  <c r="S105" i="16"/>
  <c r="K105" i="16"/>
  <c r="S106" i="16"/>
  <c r="K106" i="16"/>
  <c r="S107" i="16"/>
  <c r="K107" i="16"/>
  <c r="X107" i="16"/>
  <c r="AM109" i="16"/>
  <c r="AM110" i="16"/>
  <c r="AM121" i="16"/>
  <c r="AM123" i="16"/>
  <c r="AM125" i="16"/>
  <c r="AM141" i="16"/>
  <c r="AM146" i="16"/>
  <c r="AM153" i="16"/>
  <c r="AN153" i="16" s="1"/>
  <c r="AM157" i="16"/>
  <c r="AN157" i="16" s="1"/>
  <c r="AL7" i="16"/>
  <c r="AL8" i="16"/>
  <c r="AL9" i="16"/>
  <c r="AL10" i="16"/>
  <c r="AL11" i="16"/>
  <c r="AL12" i="16"/>
  <c r="AL13" i="16"/>
  <c r="AL14" i="16"/>
  <c r="AL15" i="16"/>
  <c r="AL16" i="16"/>
  <c r="AL17" i="16"/>
  <c r="AL18" i="16"/>
  <c r="AL19" i="16"/>
  <c r="AL20" i="16"/>
  <c r="AL21" i="16"/>
  <c r="AL22" i="16"/>
  <c r="AL23" i="16"/>
  <c r="AL24" i="16"/>
  <c r="AL25" i="16"/>
  <c r="AL26" i="16"/>
  <c r="AL27" i="16"/>
  <c r="AL28" i="16"/>
  <c r="AL29" i="16"/>
  <c r="AL30" i="16"/>
  <c r="AL31" i="16"/>
  <c r="AL32" i="16"/>
  <c r="AL33" i="16"/>
  <c r="AL34" i="16"/>
  <c r="AL35" i="16"/>
  <c r="AL36" i="16"/>
  <c r="AL37" i="16"/>
  <c r="AL38" i="16"/>
  <c r="AL39" i="16"/>
  <c r="AL40" i="16"/>
  <c r="AL41" i="16"/>
  <c r="AL42" i="16"/>
  <c r="AL43" i="16"/>
  <c r="AL44" i="16"/>
  <c r="AL45" i="16"/>
  <c r="AL46" i="16"/>
  <c r="AL47" i="16"/>
  <c r="AL48" i="16"/>
  <c r="AL49" i="16"/>
  <c r="AL50" i="16"/>
  <c r="AL51" i="16"/>
  <c r="AL52" i="16"/>
  <c r="AL53" i="16"/>
  <c r="AL54" i="16"/>
  <c r="AL55" i="16"/>
  <c r="AL56" i="16"/>
  <c r="AL57" i="16"/>
  <c r="AL58" i="16"/>
  <c r="AL59" i="16"/>
  <c r="AL60" i="16"/>
  <c r="AL61" i="16"/>
  <c r="AL62" i="16"/>
  <c r="AL63" i="16"/>
  <c r="AL64" i="16"/>
  <c r="AL65" i="16"/>
  <c r="AL66" i="16"/>
  <c r="AL67" i="16"/>
  <c r="AL68" i="16"/>
  <c r="AL69" i="16"/>
  <c r="AL70" i="16"/>
  <c r="AL71" i="16"/>
  <c r="AL72" i="16"/>
  <c r="AL73" i="16"/>
  <c r="AL74" i="16"/>
  <c r="AL75" i="16"/>
  <c r="AL76" i="16"/>
  <c r="AL77" i="16"/>
  <c r="AL78" i="16"/>
  <c r="AL79" i="16"/>
  <c r="AL80" i="16"/>
  <c r="AL81" i="16"/>
  <c r="AL82" i="16"/>
  <c r="AL83" i="16"/>
  <c r="AL84" i="16"/>
  <c r="AL85" i="16"/>
  <c r="AL86" i="16"/>
  <c r="AL87" i="16"/>
  <c r="AL88" i="16"/>
  <c r="AL89" i="16"/>
  <c r="AL90" i="16"/>
  <c r="AL91" i="16"/>
  <c r="AL92" i="16"/>
  <c r="AL93" i="16"/>
  <c r="AL94" i="16"/>
  <c r="AL95" i="16"/>
  <c r="AL96" i="16"/>
  <c r="AL97" i="16"/>
  <c r="AL98" i="16"/>
  <c r="AL99" i="16"/>
  <c r="AL100" i="16"/>
  <c r="AL101" i="16"/>
  <c r="AL102" i="16"/>
  <c r="AL103" i="16"/>
  <c r="AL104" i="16"/>
  <c r="AL105" i="16"/>
  <c r="AL106" i="16"/>
  <c r="AL107" i="16"/>
  <c r="AL108" i="16"/>
  <c r="AL109" i="16"/>
  <c r="AL110" i="16"/>
  <c r="AL111" i="16"/>
  <c r="AL112" i="16"/>
  <c r="AL113" i="16"/>
  <c r="AL114" i="16"/>
  <c r="AL115" i="16"/>
  <c r="AL116" i="16"/>
  <c r="AL117" i="16"/>
  <c r="AL118" i="16"/>
  <c r="AL119" i="16"/>
  <c r="AL120" i="16"/>
  <c r="AL121" i="16"/>
  <c r="AL122" i="16"/>
  <c r="AL123" i="16"/>
  <c r="AL124" i="16"/>
  <c r="AL125" i="16"/>
  <c r="AL126" i="16"/>
  <c r="AL127" i="16"/>
  <c r="AL128" i="16"/>
  <c r="AL129" i="16"/>
  <c r="AL130" i="16"/>
  <c r="AL131" i="16"/>
  <c r="AL132" i="16"/>
  <c r="AL133" i="16"/>
  <c r="AL134" i="16"/>
  <c r="AL135" i="16"/>
  <c r="AL136" i="16"/>
  <c r="AL137" i="16"/>
  <c r="AL138" i="16"/>
  <c r="AL139" i="16"/>
  <c r="AL140" i="16"/>
  <c r="AL141" i="16"/>
  <c r="AL142" i="16"/>
  <c r="AL143" i="16"/>
  <c r="AL144" i="16"/>
  <c r="AL145" i="16"/>
  <c r="AL146" i="16"/>
  <c r="AL147" i="16"/>
  <c r="AL148" i="16"/>
  <c r="AL149" i="16"/>
  <c r="AL150" i="16"/>
  <c r="AL151" i="16"/>
  <c r="AL152" i="16"/>
  <c r="AL153" i="16"/>
  <c r="AL154" i="16"/>
  <c r="AL155" i="16"/>
  <c r="AL156" i="16"/>
  <c r="AL157" i="16"/>
  <c r="AL158" i="16"/>
  <c r="AL159" i="16"/>
  <c r="AL160" i="16"/>
  <c r="AL161" i="16"/>
  <c r="AL162" i="16"/>
  <c r="AW7" i="16"/>
  <c r="AZ7" i="16"/>
  <c r="AW9" i="16"/>
  <c r="AZ9" i="16" s="1"/>
  <c r="AW10" i="16"/>
  <c r="AW11" i="16"/>
  <c r="AZ11" i="16" s="1"/>
  <c r="AW12" i="16"/>
  <c r="AW13" i="16"/>
  <c r="AZ13" i="16"/>
  <c r="AW15" i="16"/>
  <c r="AZ15" i="16"/>
  <c r="AW16" i="16"/>
  <c r="AZ16" i="16" s="1"/>
  <c r="AW17" i="16"/>
  <c r="AZ17" i="16" s="1"/>
  <c r="AW18" i="16"/>
  <c r="AZ18" i="16" s="1"/>
  <c r="AW21" i="16"/>
  <c r="AZ21" i="16" s="1"/>
  <c r="AW22" i="16"/>
  <c r="AZ22" i="16" s="1"/>
  <c r="AW25" i="16"/>
  <c r="AZ25" i="16" s="1"/>
  <c r="AW26" i="16"/>
  <c r="AZ26" i="16" s="1"/>
  <c r="AW27" i="16"/>
  <c r="AZ27" i="16"/>
  <c r="AW29" i="16"/>
  <c r="AZ29" i="16" s="1"/>
  <c r="AW30" i="16"/>
  <c r="AZ30" i="16" s="1"/>
  <c r="AW32" i="16"/>
  <c r="AZ32" i="16" s="1"/>
  <c r="AW33" i="16"/>
  <c r="AZ33" i="16" s="1"/>
  <c r="AW34" i="16"/>
  <c r="AZ34" i="16" s="1"/>
  <c r="AW35" i="16"/>
  <c r="AZ35" i="16"/>
  <c r="AW39" i="16"/>
  <c r="AZ39" i="16"/>
  <c r="AW41" i="16"/>
  <c r="AZ41" i="16" s="1"/>
  <c r="AW42" i="16"/>
  <c r="AZ42" i="16" s="1"/>
  <c r="AW44" i="16"/>
  <c r="AW45" i="16"/>
  <c r="AW46" i="16"/>
  <c r="AZ46" i="16" s="1"/>
  <c r="AW47" i="16"/>
  <c r="AZ47" i="16"/>
  <c r="AW48" i="16"/>
  <c r="AZ48" i="16" s="1"/>
  <c r="AW49" i="16"/>
  <c r="AZ49" i="16" s="1"/>
  <c r="AW50" i="16"/>
  <c r="AZ50" i="16" s="1"/>
  <c r="AW51" i="16"/>
  <c r="AZ51" i="16" s="1"/>
  <c r="AW53" i="16"/>
  <c r="AZ53" i="16"/>
  <c r="AW54" i="16"/>
  <c r="AZ54" i="16" s="1"/>
  <c r="AW57" i="16"/>
  <c r="AZ57" i="16" s="1"/>
  <c r="AW58" i="16"/>
  <c r="AZ58" i="16" s="1"/>
  <c r="AW59" i="16"/>
  <c r="AZ59" i="16"/>
  <c r="AW61" i="16"/>
  <c r="AZ61" i="16"/>
  <c r="AW62" i="16"/>
  <c r="AW64" i="16"/>
  <c r="AZ64" i="16" s="1"/>
  <c r="AW65" i="16"/>
  <c r="AZ65" i="16" s="1"/>
  <c r="AW66" i="16"/>
  <c r="AW67" i="16"/>
  <c r="AZ67" i="16" s="1"/>
  <c r="AW70" i="16"/>
  <c r="AZ70" i="16" s="1"/>
  <c r="AW71" i="16"/>
  <c r="AZ71" i="16"/>
  <c r="AW73" i="16"/>
  <c r="AZ73" i="16" s="1"/>
  <c r="AW74" i="16"/>
  <c r="AZ74" i="16" s="1"/>
  <c r="AW75" i="16"/>
  <c r="AZ75" i="16" s="1"/>
  <c r="AW76" i="16"/>
  <c r="AW77" i="16"/>
  <c r="AZ77" i="16"/>
  <c r="AW78" i="16"/>
  <c r="AZ78" i="16" s="1"/>
  <c r="AW80" i="16"/>
  <c r="AZ80" i="16" s="1"/>
  <c r="AW81" i="16"/>
  <c r="AZ81" i="16" s="1"/>
  <c r="AW82" i="16"/>
  <c r="AZ82" i="16" s="1"/>
  <c r="AW85" i="16"/>
  <c r="AZ85" i="16" s="1"/>
  <c r="AW86" i="16"/>
  <c r="AZ86" i="16" s="1"/>
  <c r="AW90" i="16"/>
  <c r="AZ90" i="16" s="1"/>
  <c r="AW91" i="16"/>
  <c r="AZ91" i="16" s="1"/>
  <c r="AW93" i="16"/>
  <c r="AZ93" i="16"/>
  <c r="AW94" i="16"/>
  <c r="AZ94" i="16" s="1"/>
  <c r="AW96" i="16"/>
  <c r="AW97" i="16"/>
  <c r="AZ97" i="16" s="1"/>
  <c r="AW98" i="16"/>
  <c r="AZ98" i="16" s="1"/>
  <c r="AW99" i="16"/>
  <c r="AZ99" i="16" s="1"/>
  <c r="AW101" i="16"/>
  <c r="AZ101" i="16" s="1"/>
  <c r="AW103" i="16"/>
  <c r="AZ103" i="16"/>
  <c r="AW105" i="16"/>
  <c r="AZ105" i="16" s="1"/>
  <c r="AW106" i="16"/>
  <c r="AW107" i="16"/>
  <c r="AZ107" i="16" s="1"/>
  <c r="AZ110" i="16"/>
  <c r="AZ123" i="16"/>
  <c r="AZ128" i="16"/>
  <c r="AS7" i="16"/>
  <c r="AS8" i="16"/>
  <c r="AV8" i="16" s="1"/>
  <c r="AS13" i="16"/>
  <c r="AV13" i="16" s="1"/>
  <c r="AS14" i="16"/>
  <c r="AV14" i="16"/>
  <c r="AS17" i="16"/>
  <c r="AV17" i="16" s="1"/>
  <c r="AS20" i="16"/>
  <c r="AV20" i="16" s="1"/>
  <c r="AS21" i="16"/>
  <c r="AS24" i="16"/>
  <c r="AV24" i="16" s="1"/>
  <c r="AS34" i="16"/>
  <c r="AV34" i="16"/>
  <c r="AS36" i="16"/>
  <c r="AS50" i="16"/>
  <c r="AV50" i="16" s="1"/>
  <c r="AS53" i="16"/>
  <c r="AS68" i="16"/>
  <c r="AS69" i="16"/>
  <c r="AV69" i="16" s="1"/>
  <c r="AS74" i="16"/>
  <c r="AV74" i="16" s="1"/>
  <c r="AS82" i="16"/>
  <c r="AV82" i="16" s="1"/>
  <c r="AS84" i="16"/>
  <c r="AS85" i="16"/>
  <c r="AS88" i="16"/>
  <c r="AV88" i="16" s="1"/>
  <c r="AS98" i="16"/>
  <c r="AV98" i="16" s="1"/>
  <c r="AS100" i="16"/>
  <c r="AS101" i="16"/>
  <c r="AV101" i="16" s="1"/>
  <c r="AS104" i="16"/>
  <c r="AV104" i="16"/>
  <c r="AS109" i="16"/>
  <c r="AS116" i="16"/>
  <c r="AS120" i="16"/>
  <c r="AV120" i="16" s="1"/>
  <c r="AS125" i="16"/>
  <c r="AV125" i="16" s="1"/>
  <c r="AS132" i="16"/>
  <c r="AS133" i="16"/>
  <c r="AS136" i="16"/>
  <c r="AV136" i="16"/>
  <c r="AS139" i="16"/>
  <c r="AV139" i="16" s="1"/>
  <c r="V141" i="16"/>
  <c r="N141" i="16"/>
  <c r="AG141" i="16"/>
  <c r="AS141" i="16" s="1"/>
  <c r="AV141" i="16" s="1"/>
  <c r="V142" i="16"/>
  <c r="N142" i="16"/>
  <c r="AG142" i="16" s="1"/>
  <c r="AS142" i="16"/>
  <c r="AV142" i="16" s="1"/>
  <c r="V143" i="16"/>
  <c r="N143" i="16"/>
  <c r="V144" i="16"/>
  <c r="N144" i="16"/>
  <c r="V145" i="16"/>
  <c r="AG145" i="16" s="1"/>
  <c r="N145" i="16"/>
  <c r="AS145" i="16"/>
  <c r="AV145" i="16" s="1"/>
  <c r="V146" i="16"/>
  <c r="N146" i="16"/>
  <c r="AG146" i="16"/>
  <c r="V147" i="16"/>
  <c r="N147" i="16"/>
  <c r="AG147" i="16"/>
  <c r="AS147" i="16" s="1"/>
  <c r="AV147" i="16" s="1"/>
  <c r="V148" i="16"/>
  <c r="AG148" i="16" s="1"/>
  <c r="N148" i="16"/>
  <c r="AS148" i="16"/>
  <c r="AV148" i="16" s="1"/>
  <c r="V149" i="16"/>
  <c r="N149" i="16"/>
  <c r="AG149" i="16"/>
  <c r="AS149" i="16" s="1"/>
  <c r="AV149" i="16" s="1"/>
  <c r="V150" i="16"/>
  <c r="N150" i="16"/>
  <c r="AG150" i="16"/>
  <c r="V151" i="16"/>
  <c r="N151" i="16"/>
  <c r="AG151" i="16"/>
  <c r="AS151" i="16" s="1"/>
  <c r="AV151" i="16" s="1"/>
  <c r="V152" i="16"/>
  <c r="N152" i="16"/>
  <c r="V153" i="16"/>
  <c r="N153" i="16"/>
  <c r="AG153" i="16"/>
  <c r="AS153" i="16" s="1"/>
  <c r="AV153" i="16" s="1"/>
  <c r="V154" i="16"/>
  <c r="N154" i="16"/>
  <c r="AG154" i="16"/>
  <c r="V155" i="16"/>
  <c r="N155" i="16"/>
  <c r="AG155" i="16"/>
  <c r="AS155" i="16" s="1"/>
  <c r="V156" i="16"/>
  <c r="AG156" i="16" s="1"/>
  <c r="AS156" i="16" s="1"/>
  <c r="N156" i="16"/>
  <c r="V157" i="16"/>
  <c r="AG157" i="16" s="1"/>
  <c r="AS157" i="16" s="1"/>
  <c r="AV157" i="16" s="1"/>
  <c r="N157" i="16"/>
  <c r="V158" i="16"/>
  <c r="N158" i="16"/>
  <c r="AG158" i="16" s="1"/>
  <c r="V159" i="16"/>
  <c r="AG159" i="16" s="1"/>
  <c r="N159" i="16"/>
  <c r="V160" i="16"/>
  <c r="N160" i="16"/>
  <c r="V161" i="16"/>
  <c r="AG161" i="16" s="1"/>
  <c r="N161" i="16"/>
  <c r="AS161" i="16"/>
  <c r="AV161" i="16" s="1"/>
  <c r="AO7" i="16"/>
  <c r="AO11" i="16"/>
  <c r="AO15" i="16"/>
  <c r="AO23" i="16"/>
  <c r="AO27" i="16"/>
  <c r="AR27" i="16"/>
  <c r="AR30" i="16"/>
  <c r="AO31" i="16"/>
  <c r="AR31" i="16"/>
  <c r="AO33" i="16"/>
  <c r="AR34" i="16"/>
  <c r="AO35" i="16"/>
  <c r="AR35" i="16" s="1"/>
  <c r="AO37" i="16"/>
  <c r="AR37" i="16" s="1"/>
  <c r="AO51" i="16"/>
  <c r="AR51" i="16" s="1"/>
  <c r="AO53" i="16"/>
  <c r="AR53" i="16" s="1"/>
  <c r="AO65" i="16"/>
  <c r="AR65" i="16" s="1"/>
  <c r="AO69" i="16"/>
  <c r="AO73" i="16"/>
  <c r="AO81" i="16"/>
  <c r="AR81" i="16" s="1"/>
  <c r="AO97" i="16"/>
  <c r="AR97" i="16" s="1"/>
  <c r="AO101" i="16"/>
  <c r="AR101" i="16"/>
  <c r="AO117" i="16"/>
  <c r="AR117" i="16" s="1"/>
  <c r="AR122" i="16"/>
  <c r="AR145" i="16"/>
  <c r="AR154" i="16"/>
  <c r="AR161" i="16"/>
  <c r="AK16" i="16"/>
  <c r="AN16" i="16" s="1"/>
  <c r="AK18" i="16"/>
  <c r="AK20" i="16"/>
  <c r="AK26" i="16"/>
  <c r="AK30" i="16"/>
  <c r="AK32" i="16"/>
  <c r="AK34" i="16"/>
  <c r="AN34" i="16" s="1"/>
  <c r="AK40" i="16"/>
  <c r="AK41" i="16"/>
  <c r="AN41" i="16" s="1"/>
  <c r="AK45" i="16"/>
  <c r="AK52" i="16"/>
  <c r="AN52" i="16" s="1"/>
  <c r="AK53" i="16"/>
  <c r="AN53" i="16" s="1"/>
  <c r="AK60" i="16"/>
  <c r="AK66" i="16"/>
  <c r="AK68" i="16"/>
  <c r="AN68" i="16" s="1"/>
  <c r="AK72" i="16"/>
  <c r="AN72" i="16" s="1"/>
  <c r="AK88" i="16"/>
  <c r="AN88" i="16" s="1"/>
  <c r="AK89" i="16"/>
  <c r="AN89" i="16" s="1"/>
  <c r="AK96" i="16"/>
  <c r="AN96" i="16" s="1"/>
  <c r="AK98" i="16"/>
  <c r="AK108" i="16"/>
  <c r="AK109" i="16"/>
  <c r="AK110" i="16"/>
  <c r="AK114" i="16"/>
  <c r="AK117" i="16"/>
  <c r="AK121" i="16"/>
  <c r="AK122" i="16"/>
  <c r="AK125" i="16"/>
  <c r="AK126" i="16"/>
  <c r="AN126" i="16" s="1"/>
  <c r="AK128" i="16"/>
  <c r="AN128" i="16" s="1"/>
  <c r="AK130" i="16"/>
  <c r="AK136" i="16"/>
  <c r="AN136" i="16" s="1"/>
  <c r="AK138" i="16"/>
  <c r="AK141" i="16"/>
  <c r="AK142" i="16"/>
  <c r="AK144" i="16"/>
  <c r="AN144" i="16" s="1"/>
  <c r="AK146" i="16"/>
  <c r="AK148" i="16"/>
  <c r="AK153" i="16"/>
  <c r="AK154" i="16"/>
  <c r="AK156" i="16"/>
  <c r="AK157" i="16"/>
  <c r="AK158" i="16"/>
  <c r="AN30" i="16"/>
  <c r="AN45" i="16"/>
  <c r="AN55" i="16"/>
  <c r="AN66" i="16"/>
  <c r="AN87" i="16"/>
  <c r="AN98" i="16"/>
  <c r="AN109" i="16"/>
  <c r="AN110" i="16"/>
  <c r="AN121" i="16"/>
  <c r="AN123" i="16"/>
  <c r="AN125" i="16"/>
  <c r="AN141" i="16"/>
  <c r="AN146" i="16"/>
  <c r="AN154" i="16"/>
  <c r="AN156" i="16"/>
  <c r="BP135" i="6"/>
  <c r="CB2" i="6"/>
  <c r="CB3" i="6"/>
  <c r="CB4" i="6"/>
  <c r="CB5" i="6"/>
  <c r="CB6" i="6"/>
  <c r="CB7" i="6"/>
  <c r="CB8" i="6"/>
  <c r="CB9" i="6"/>
  <c r="CB10" i="6"/>
  <c r="CB11" i="6"/>
  <c r="CB12" i="6"/>
  <c r="CB13" i="6"/>
  <c r="CB14" i="6"/>
  <c r="CB15" i="6"/>
  <c r="CB16" i="6"/>
  <c r="CB17" i="6"/>
  <c r="CB18" i="6"/>
  <c r="CB19" i="6"/>
  <c r="CB20" i="6"/>
  <c r="CB21" i="6"/>
  <c r="CB22" i="6"/>
  <c r="CB23" i="6"/>
  <c r="CB24" i="6"/>
  <c r="CB25" i="6"/>
  <c r="CB26" i="6"/>
  <c r="CB27" i="6"/>
  <c r="CB28" i="6"/>
  <c r="CB29" i="6"/>
  <c r="CB30" i="6"/>
  <c r="CB31" i="6"/>
  <c r="CB32" i="6"/>
  <c r="CB33" i="6"/>
  <c r="CB34" i="6"/>
  <c r="CB35" i="6"/>
  <c r="CB36" i="6"/>
  <c r="CB37" i="6"/>
  <c r="CB38" i="6"/>
  <c r="CB39" i="6"/>
  <c r="CB40" i="6"/>
  <c r="CB41" i="6"/>
  <c r="CB42" i="6"/>
  <c r="CB43" i="6"/>
  <c r="CB44" i="6"/>
  <c r="CB45" i="6"/>
  <c r="CB46" i="6"/>
  <c r="CB47" i="6"/>
  <c r="CB48" i="6"/>
  <c r="CB49" i="6"/>
  <c r="CB50" i="6"/>
  <c r="CB51" i="6"/>
  <c r="CB52" i="6"/>
  <c r="CB53" i="6"/>
  <c r="CB54" i="6"/>
  <c r="CB55" i="6"/>
  <c r="CB56" i="6"/>
  <c r="CB57" i="6"/>
  <c r="CB58" i="6"/>
  <c r="CB59" i="6"/>
  <c r="CB60" i="6"/>
  <c r="CB61" i="6"/>
  <c r="CB62" i="6"/>
  <c r="CB63" i="6"/>
  <c r="CB64" i="6"/>
  <c r="CB65" i="6"/>
  <c r="CB66" i="6"/>
  <c r="CB67" i="6"/>
  <c r="CB68" i="6"/>
  <c r="CB69" i="6"/>
  <c r="CB70" i="6"/>
  <c r="CB71" i="6"/>
  <c r="CB72" i="6"/>
  <c r="CB73" i="6"/>
  <c r="CB74" i="6"/>
  <c r="CB75" i="6"/>
  <c r="CB76" i="6"/>
  <c r="CB77" i="6"/>
  <c r="CB78" i="6"/>
  <c r="CB79" i="6"/>
  <c r="CB80" i="6"/>
  <c r="CB81" i="6"/>
  <c r="CB82" i="6"/>
  <c r="CB83" i="6"/>
  <c r="CB84" i="6"/>
  <c r="CB85" i="6"/>
  <c r="CB86" i="6"/>
  <c r="CB87" i="6"/>
  <c r="CB88" i="6"/>
  <c r="CB89" i="6"/>
  <c r="CB90" i="6"/>
  <c r="CB91" i="6"/>
  <c r="CB94" i="6"/>
  <c r="CA2" i="6"/>
  <c r="CA3" i="6"/>
  <c r="CA4" i="6"/>
  <c r="CA5" i="6"/>
  <c r="CA6" i="6"/>
  <c r="CA7" i="6"/>
  <c r="CA8" i="6"/>
  <c r="CA9" i="6"/>
  <c r="CA10" i="6"/>
  <c r="CA11" i="6"/>
  <c r="CA12" i="6"/>
  <c r="CA13" i="6"/>
  <c r="CA14" i="6"/>
  <c r="CA15" i="6"/>
  <c r="CA16" i="6"/>
  <c r="CA17" i="6"/>
  <c r="CA18" i="6"/>
  <c r="CA19" i="6"/>
  <c r="CA20" i="6"/>
  <c r="CA21" i="6"/>
  <c r="CA22" i="6"/>
  <c r="CA23" i="6"/>
  <c r="CA24" i="6"/>
  <c r="CA25" i="6"/>
  <c r="CA26" i="6"/>
  <c r="CA27" i="6"/>
  <c r="CA28" i="6"/>
  <c r="CA29" i="6"/>
  <c r="CA30" i="6"/>
  <c r="CA31" i="6"/>
  <c r="CA32" i="6"/>
  <c r="CA33" i="6"/>
  <c r="CA34" i="6"/>
  <c r="CA35" i="6"/>
  <c r="CA36" i="6"/>
  <c r="CA37" i="6"/>
  <c r="CA38" i="6"/>
  <c r="CA39" i="6"/>
  <c r="CA40" i="6"/>
  <c r="CA41" i="6"/>
  <c r="CA42" i="6"/>
  <c r="CA43" i="6"/>
  <c r="CA44" i="6"/>
  <c r="CA45" i="6"/>
  <c r="CA46" i="6"/>
  <c r="CA47" i="6"/>
  <c r="CA48" i="6"/>
  <c r="CA49" i="6"/>
  <c r="CA50" i="6"/>
  <c r="CA51" i="6"/>
  <c r="CA52" i="6"/>
  <c r="CA53" i="6"/>
  <c r="CA54" i="6"/>
  <c r="CA55" i="6"/>
  <c r="CA56" i="6"/>
  <c r="CA57" i="6"/>
  <c r="CA58" i="6"/>
  <c r="CA59" i="6"/>
  <c r="CA60" i="6"/>
  <c r="CA61" i="6"/>
  <c r="CA62" i="6"/>
  <c r="CA63" i="6"/>
  <c r="CA64" i="6"/>
  <c r="CA65" i="6"/>
  <c r="CA66" i="6"/>
  <c r="CA67" i="6"/>
  <c r="CA68" i="6"/>
  <c r="CA69" i="6"/>
  <c r="CA70" i="6"/>
  <c r="CA71" i="6"/>
  <c r="CA72" i="6"/>
  <c r="CA73" i="6"/>
  <c r="CA74" i="6"/>
  <c r="CA75" i="6"/>
  <c r="CA76" i="6"/>
  <c r="CA77" i="6"/>
  <c r="CA78" i="6"/>
  <c r="CA79" i="6"/>
  <c r="CA80" i="6"/>
  <c r="CA81" i="6"/>
  <c r="CA82" i="6"/>
  <c r="CA83" i="6"/>
  <c r="CA84" i="6"/>
  <c r="CA85" i="6"/>
  <c r="CA86" i="6"/>
  <c r="CA87" i="6"/>
  <c r="CA88" i="6"/>
  <c r="CA89" i="6"/>
  <c r="CA90" i="6"/>
  <c r="CA91" i="6"/>
  <c r="BZ2" i="6"/>
  <c r="BZ3" i="6"/>
  <c r="BZ4" i="6"/>
  <c r="BZ5" i="6"/>
  <c r="GJ5" i="6" s="1"/>
  <c r="BZ6" i="6"/>
  <c r="GJ6" i="6" s="1"/>
  <c r="BZ7" i="6"/>
  <c r="BZ8" i="6"/>
  <c r="BZ9" i="6"/>
  <c r="BZ10" i="6"/>
  <c r="GJ10" i="6" s="1"/>
  <c r="BZ11" i="6"/>
  <c r="BZ12" i="6"/>
  <c r="BZ13" i="6"/>
  <c r="GJ13" i="6" s="1"/>
  <c r="BZ14" i="6"/>
  <c r="GJ14" i="6" s="1"/>
  <c r="BZ15" i="6"/>
  <c r="BZ16" i="6"/>
  <c r="BZ17" i="6"/>
  <c r="GJ17" i="6" s="1"/>
  <c r="BZ18" i="6"/>
  <c r="BZ19" i="6"/>
  <c r="BZ20" i="6"/>
  <c r="BZ21" i="6"/>
  <c r="GJ21" i="6" s="1"/>
  <c r="BZ22" i="6"/>
  <c r="GJ22" i="6" s="1"/>
  <c r="BZ23" i="6"/>
  <c r="BZ24" i="6"/>
  <c r="BZ25" i="6"/>
  <c r="BZ26" i="6"/>
  <c r="GJ26" i="6" s="1"/>
  <c r="BZ27" i="6"/>
  <c r="BZ28" i="6"/>
  <c r="BZ29" i="6"/>
  <c r="GJ29" i="6" s="1"/>
  <c r="BZ30" i="6"/>
  <c r="GJ30" i="6" s="1"/>
  <c r="BZ31" i="6"/>
  <c r="BZ32" i="6"/>
  <c r="BZ33" i="6"/>
  <c r="GJ33" i="6" s="1"/>
  <c r="BZ34" i="6"/>
  <c r="GJ34" i="6" s="1"/>
  <c r="BZ35" i="6"/>
  <c r="BZ36" i="6"/>
  <c r="BZ37" i="6"/>
  <c r="BZ38" i="6"/>
  <c r="GJ38" i="6" s="1"/>
  <c r="BZ39" i="6"/>
  <c r="BZ40" i="6"/>
  <c r="BZ41" i="6"/>
  <c r="GJ41" i="6" s="1"/>
  <c r="BZ42" i="6"/>
  <c r="GJ42" i="6" s="1"/>
  <c r="BZ43" i="6"/>
  <c r="BZ44" i="6"/>
  <c r="BZ45" i="6"/>
  <c r="BZ46" i="6"/>
  <c r="BZ47" i="6"/>
  <c r="BZ48" i="6"/>
  <c r="BZ49" i="6"/>
  <c r="GJ49" i="6" s="1"/>
  <c r="BZ50" i="6"/>
  <c r="GJ50" i="6" s="1"/>
  <c r="BZ51" i="6"/>
  <c r="BZ52" i="6"/>
  <c r="BZ53" i="6"/>
  <c r="BZ54" i="6"/>
  <c r="GJ54" i="6" s="1"/>
  <c r="BZ55" i="6"/>
  <c r="BZ56" i="6"/>
  <c r="BZ57" i="6"/>
  <c r="GJ57" i="6" s="1"/>
  <c r="BZ58" i="6"/>
  <c r="GJ58" i="6" s="1"/>
  <c r="BZ59" i="6"/>
  <c r="BZ60" i="6"/>
  <c r="BZ61" i="6"/>
  <c r="BZ62" i="6"/>
  <c r="BZ63" i="6"/>
  <c r="BZ64" i="6"/>
  <c r="BZ65" i="6"/>
  <c r="GJ65" i="6" s="1"/>
  <c r="BZ66" i="6"/>
  <c r="GJ66" i="6" s="1"/>
  <c r="BZ67" i="6"/>
  <c r="BZ68" i="6"/>
  <c r="BZ69" i="6"/>
  <c r="GJ69" i="6" s="1"/>
  <c r="BZ70" i="6"/>
  <c r="GJ70" i="6" s="1"/>
  <c r="BZ71" i="6"/>
  <c r="BZ72" i="6"/>
  <c r="BZ73" i="6"/>
  <c r="BZ74" i="6"/>
  <c r="GJ74" i="6" s="1"/>
  <c r="BZ75" i="6"/>
  <c r="BZ76" i="6"/>
  <c r="BZ77" i="6"/>
  <c r="GJ77" i="6" s="1"/>
  <c r="BZ78" i="6"/>
  <c r="GJ78" i="6" s="1"/>
  <c r="BZ79" i="6"/>
  <c r="BZ80" i="6"/>
  <c r="BZ81" i="6"/>
  <c r="GJ81" i="6" s="1"/>
  <c r="BZ82" i="6"/>
  <c r="GJ82" i="6" s="1"/>
  <c r="BZ83" i="6"/>
  <c r="BZ84" i="6"/>
  <c r="BZ85" i="6"/>
  <c r="GJ85" i="6" s="1"/>
  <c r="BZ86" i="6"/>
  <c r="GJ86" i="6" s="1"/>
  <c r="BZ87" i="6"/>
  <c r="BZ88" i="6"/>
  <c r="BZ89" i="6"/>
  <c r="BZ90" i="6"/>
  <c r="GJ90" i="6" s="1"/>
  <c r="BZ91" i="6"/>
  <c r="BY2" i="6"/>
  <c r="BY3" i="6"/>
  <c r="BY4" i="6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4" i="6"/>
  <c r="GL92" i="6"/>
  <c r="GK92" i="6"/>
  <c r="GJ92" i="6"/>
  <c r="GI92" i="6"/>
  <c r="GL91" i="6"/>
  <c r="GK91" i="6"/>
  <c r="CH91" i="6"/>
  <c r="GJ91" i="6"/>
  <c r="GI91" i="6"/>
  <c r="GI3" i="6"/>
  <c r="CH3" i="6"/>
  <c r="GJ3" i="6"/>
  <c r="GK3" i="6"/>
  <c r="GL3" i="6"/>
  <c r="GI4" i="6"/>
  <c r="CH4" i="6"/>
  <c r="GK4" i="6"/>
  <c r="GL4" i="6"/>
  <c r="GI5" i="6"/>
  <c r="CH5" i="6"/>
  <c r="GK5" i="6"/>
  <c r="GL5" i="6"/>
  <c r="GI6" i="6"/>
  <c r="CH6" i="6"/>
  <c r="GK6" i="6"/>
  <c r="GL6" i="6"/>
  <c r="GI7" i="6"/>
  <c r="CH7" i="6"/>
  <c r="GJ7" i="6"/>
  <c r="GK7" i="6"/>
  <c r="GL7" i="6"/>
  <c r="GI8" i="6"/>
  <c r="CH8" i="6"/>
  <c r="GK8" i="6"/>
  <c r="GL8" i="6"/>
  <c r="GI9" i="6"/>
  <c r="CH9" i="6"/>
  <c r="GJ9" i="6"/>
  <c r="GK9" i="6"/>
  <c r="GL9" i="6"/>
  <c r="GI10" i="6"/>
  <c r="CH10" i="6"/>
  <c r="GK10" i="6"/>
  <c r="GL10" i="6"/>
  <c r="GI11" i="6"/>
  <c r="CH11" i="6"/>
  <c r="GK11" i="6"/>
  <c r="GL11" i="6"/>
  <c r="GI12" i="6"/>
  <c r="CH12" i="6"/>
  <c r="GJ12" i="6" s="1"/>
  <c r="GK12" i="6"/>
  <c r="GL12" i="6"/>
  <c r="GI13" i="6"/>
  <c r="CH13" i="6"/>
  <c r="GK13" i="6"/>
  <c r="GL13" i="6"/>
  <c r="GI14" i="6"/>
  <c r="CH14" i="6"/>
  <c r="GK14" i="6"/>
  <c r="GL14" i="6"/>
  <c r="GI15" i="6"/>
  <c r="CH15" i="6"/>
  <c r="GJ15" i="6"/>
  <c r="GK15" i="6"/>
  <c r="GL15" i="6"/>
  <c r="GI16" i="6"/>
  <c r="CH16" i="6"/>
  <c r="GK16" i="6"/>
  <c r="GL16" i="6"/>
  <c r="GI17" i="6"/>
  <c r="CH17" i="6"/>
  <c r="GK17" i="6"/>
  <c r="GL17" i="6"/>
  <c r="GI18" i="6"/>
  <c r="CH18" i="6"/>
  <c r="GJ18" i="6"/>
  <c r="GK18" i="6"/>
  <c r="GL18" i="6"/>
  <c r="GI19" i="6"/>
  <c r="CH19" i="6"/>
  <c r="GJ19" i="6" s="1"/>
  <c r="GK19" i="6"/>
  <c r="GL19" i="6"/>
  <c r="GI20" i="6"/>
  <c r="CH20" i="6"/>
  <c r="GK20" i="6"/>
  <c r="GL20" i="6"/>
  <c r="GI21" i="6"/>
  <c r="CH21" i="6"/>
  <c r="GK21" i="6"/>
  <c r="GL21" i="6"/>
  <c r="GI22" i="6"/>
  <c r="CH22" i="6"/>
  <c r="GK22" i="6"/>
  <c r="GL22" i="6"/>
  <c r="GI23" i="6"/>
  <c r="CH23" i="6"/>
  <c r="GJ23" i="6"/>
  <c r="GK23" i="6"/>
  <c r="GL23" i="6"/>
  <c r="GI24" i="6"/>
  <c r="CH24" i="6"/>
  <c r="GK24" i="6"/>
  <c r="GL24" i="6"/>
  <c r="GI25" i="6"/>
  <c r="CH25" i="6"/>
  <c r="GJ25" i="6"/>
  <c r="GK25" i="6"/>
  <c r="GL25" i="6"/>
  <c r="GI26" i="6"/>
  <c r="CH26" i="6"/>
  <c r="GK26" i="6"/>
  <c r="GL26" i="6"/>
  <c r="GI27" i="6"/>
  <c r="CH27" i="6"/>
  <c r="GK27" i="6"/>
  <c r="GL27" i="6"/>
  <c r="GI28" i="6"/>
  <c r="CH28" i="6"/>
  <c r="GJ28" i="6" s="1"/>
  <c r="GK28" i="6"/>
  <c r="GL28" i="6"/>
  <c r="GI29" i="6"/>
  <c r="CH29" i="6"/>
  <c r="GK29" i="6"/>
  <c r="GL29" i="6"/>
  <c r="GI30" i="6"/>
  <c r="CH30" i="6"/>
  <c r="GK30" i="6"/>
  <c r="GL30" i="6"/>
  <c r="GI31" i="6"/>
  <c r="CH31" i="6"/>
  <c r="GJ31" i="6"/>
  <c r="GK31" i="6"/>
  <c r="GL31" i="6"/>
  <c r="GI32" i="6"/>
  <c r="CH32" i="6"/>
  <c r="GK32" i="6"/>
  <c r="GL32" i="6"/>
  <c r="GI33" i="6"/>
  <c r="CH33" i="6"/>
  <c r="GK33" i="6"/>
  <c r="GL33" i="6"/>
  <c r="GI34" i="6"/>
  <c r="CH34" i="6"/>
  <c r="GK34" i="6"/>
  <c r="GL34" i="6"/>
  <c r="GI35" i="6"/>
  <c r="CH35" i="6"/>
  <c r="GJ35" i="6"/>
  <c r="GK35" i="6"/>
  <c r="GL35" i="6"/>
  <c r="GI36" i="6"/>
  <c r="CH36" i="6"/>
  <c r="GK36" i="6"/>
  <c r="GL36" i="6"/>
  <c r="GI37" i="6"/>
  <c r="CH37" i="6"/>
  <c r="GJ37" i="6"/>
  <c r="GK37" i="6"/>
  <c r="GL37" i="6"/>
  <c r="GI38" i="6"/>
  <c r="CH38" i="6"/>
  <c r="GK38" i="6"/>
  <c r="GL38" i="6"/>
  <c r="GI39" i="6"/>
  <c r="CH39" i="6"/>
  <c r="GJ39" i="6"/>
  <c r="GK39" i="6"/>
  <c r="GL39" i="6"/>
  <c r="GI40" i="6"/>
  <c r="CH40" i="6"/>
  <c r="GK40" i="6"/>
  <c r="GL40" i="6"/>
  <c r="GI41" i="6"/>
  <c r="CH41" i="6"/>
  <c r="GK41" i="6"/>
  <c r="GL41" i="6"/>
  <c r="GI42" i="6"/>
  <c r="CH42" i="6"/>
  <c r="GK42" i="6"/>
  <c r="GL42" i="6"/>
  <c r="GI43" i="6"/>
  <c r="CH43" i="6"/>
  <c r="GK43" i="6"/>
  <c r="GL43" i="6"/>
  <c r="GI44" i="6"/>
  <c r="CH44" i="6"/>
  <c r="GJ44" i="6" s="1"/>
  <c r="GK44" i="6"/>
  <c r="GL44" i="6"/>
  <c r="GI45" i="6"/>
  <c r="CH45" i="6"/>
  <c r="GJ45" i="6"/>
  <c r="GK45" i="6"/>
  <c r="GL45" i="6"/>
  <c r="GI46" i="6"/>
  <c r="CH46" i="6"/>
  <c r="GJ46" i="6"/>
  <c r="GK46" i="6"/>
  <c r="GL46" i="6"/>
  <c r="GI47" i="6"/>
  <c r="CH47" i="6"/>
  <c r="GK47" i="6"/>
  <c r="GL47" i="6"/>
  <c r="GI48" i="6"/>
  <c r="CH48" i="6"/>
  <c r="GJ48" i="6" s="1"/>
  <c r="GK48" i="6"/>
  <c r="GL48" i="6"/>
  <c r="GI49" i="6"/>
  <c r="CH49" i="6"/>
  <c r="GK49" i="6"/>
  <c r="GL49" i="6"/>
  <c r="GI50" i="6"/>
  <c r="CH50" i="6"/>
  <c r="GK50" i="6"/>
  <c r="GL50" i="6"/>
  <c r="GI51" i="6"/>
  <c r="CH51" i="6"/>
  <c r="GJ51" i="6"/>
  <c r="GK51" i="6"/>
  <c r="GL51" i="6"/>
  <c r="GI52" i="6"/>
  <c r="CH52" i="6"/>
  <c r="GJ52" i="6" s="1"/>
  <c r="GK52" i="6"/>
  <c r="GL52" i="6"/>
  <c r="GI53" i="6"/>
  <c r="CH53" i="6"/>
  <c r="GJ53" i="6"/>
  <c r="GK53" i="6"/>
  <c r="GL53" i="6"/>
  <c r="GI54" i="6"/>
  <c r="CH54" i="6"/>
  <c r="GK54" i="6"/>
  <c r="GL54" i="6"/>
  <c r="GI55" i="6"/>
  <c r="CH55" i="6"/>
  <c r="GJ55" i="6"/>
  <c r="GK55" i="6"/>
  <c r="GL55" i="6"/>
  <c r="GI56" i="6"/>
  <c r="CH56" i="6"/>
  <c r="GJ56" i="6" s="1"/>
  <c r="GK56" i="6"/>
  <c r="GL56" i="6"/>
  <c r="GI57" i="6"/>
  <c r="CH57" i="6"/>
  <c r="GK57" i="6"/>
  <c r="GL57" i="6"/>
  <c r="GI58" i="6"/>
  <c r="CH58" i="6"/>
  <c r="GK58" i="6"/>
  <c r="GL58" i="6"/>
  <c r="GI59" i="6"/>
  <c r="CH59" i="6"/>
  <c r="GK59" i="6"/>
  <c r="GL59" i="6"/>
  <c r="GI60" i="6"/>
  <c r="CH60" i="6"/>
  <c r="GJ60" i="6" s="1"/>
  <c r="GK60" i="6"/>
  <c r="GL60" i="6"/>
  <c r="GI61" i="6"/>
  <c r="CH61" i="6"/>
  <c r="GJ61" i="6"/>
  <c r="GK61" i="6"/>
  <c r="GL61" i="6"/>
  <c r="GI62" i="6"/>
  <c r="CH62" i="6"/>
  <c r="CL62" i="6" s="1"/>
  <c r="CP62" i="6" s="1"/>
  <c r="GK62" i="6"/>
  <c r="GL62" i="6"/>
  <c r="GI63" i="6"/>
  <c r="CH63" i="6"/>
  <c r="GJ63" i="6"/>
  <c r="GK63" i="6"/>
  <c r="GL63" i="6"/>
  <c r="GI64" i="6"/>
  <c r="CH64" i="6"/>
  <c r="GJ64" i="6" s="1"/>
  <c r="GK64" i="6"/>
  <c r="GL64" i="6"/>
  <c r="GI65" i="6"/>
  <c r="CH65" i="6"/>
  <c r="GK65" i="6"/>
  <c r="GL65" i="6"/>
  <c r="GI66" i="6"/>
  <c r="CH66" i="6"/>
  <c r="GK66" i="6"/>
  <c r="GL66" i="6"/>
  <c r="GI67" i="6"/>
  <c r="CH67" i="6"/>
  <c r="GJ67" i="6"/>
  <c r="GK67" i="6"/>
  <c r="GL67" i="6"/>
  <c r="GI68" i="6"/>
  <c r="CH68" i="6"/>
  <c r="GJ68" i="6" s="1"/>
  <c r="GK68" i="6"/>
  <c r="GL68" i="6"/>
  <c r="GI69" i="6"/>
  <c r="CH69" i="6"/>
  <c r="GK69" i="6"/>
  <c r="GL69" i="6"/>
  <c r="GI70" i="6"/>
  <c r="CH70" i="6"/>
  <c r="GK70" i="6"/>
  <c r="GL70" i="6"/>
  <c r="GI71" i="6"/>
  <c r="CH71" i="6"/>
  <c r="GJ71" i="6"/>
  <c r="GK71" i="6"/>
  <c r="GL71" i="6"/>
  <c r="GI72" i="6"/>
  <c r="CH72" i="6"/>
  <c r="GJ72" i="6" s="1"/>
  <c r="GK72" i="6"/>
  <c r="GL72" i="6"/>
  <c r="GI73" i="6"/>
  <c r="CH73" i="6"/>
  <c r="GJ73" i="6"/>
  <c r="GK73" i="6"/>
  <c r="GL73" i="6"/>
  <c r="GI74" i="6"/>
  <c r="CH74" i="6"/>
  <c r="GK74" i="6"/>
  <c r="GL74" i="6"/>
  <c r="GI75" i="6"/>
  <c r="CH75" i="6"/>
  <c r="GK75" i="6"/>
  <c r="GL75" i="6"/>
  <c r="GI76" i="6"/>
  <c r="CH76" i="6"/>
  <c r="GJ76" i="6" s="1"/>
  <c r="GK76" i="6"/>
  <c r="GL76" i="6"/>
  <c r="GI77" i="6"/>
  <c r="CH77" i="6"/>
  <c r="GK77" i="6"/>
  <c r="GL77" i="6"/>
  <c r="GI78" i="6"/>
  <c r="CH78" i="6"/>
  <c r="GK78" i="6"/>
  <c r="GL78" i="6"/>
  <c r="GI79" i="6"/>
  <c r="CH79" i="6"/>
  <c r="GJ79" i="6"/>
  <c r="GK79" i="6"/>
  <c r="GL79" i="6"/>
  <c r="GI80" i="6"/>
  <c r="CH80" i="6"/>
  <c r="GJ80" i="6" s="1"/>
  <c r="GK80" i="6"/>
  <c r="GL80" i="6"/>
  <c r="GI81" i="6"/>
  <c r="CH81" i="6"/>
  <c r="GK81" i="6"/>
  <c r="GL81" i="6"/>
  <c r="GI82" i="6"/>
  <c r="CH82" i="6"/>
  <c r="GK82" i="6"/>
  <c r="GL82" i="6"/>
  <c r="GI83" i="6"/>
  <c r="CH83" i="6"/>
  <c r="GK83" i="6"/>
  <c r="GL83" i="6"/>
  <c r="GI84" i="6"/>
  <c r="CH84" i="6"/>
  <c r="GK84" i="6"/>
  <c r="GL84" i="6"/>
  <c r="GI85" i="6"/>
  <c r="CH85" i="6"/>
  <c r="GK85" i="6"/>
  <c r="GL85" i="6"/>
  <c r="GI86" i="6"/>
  <c r="CH86" i="6"/>
  <c r="GK86" i="6"/>
  <c r="GL86" i="6"/>
  <c r="GI87" i="6"/>
  <c r="CH87" i="6"/>
  <c r="GJ87" i="6"/>
  <c r="GK87" i="6"/>
  <c r="GL87" i="6"/>
  <c r="GI88" i="6"/>
  <c r="CH88" i="6"/>
  <c r="GJ88" i="6" s="1"/>
  <c r="GK88" i="6"/>
  <c r="GL88" i="6"/>
  <c r="GI89" i="6"/>
  <c r="CH89" i="6"/>
  <c r="GJ89" i="6"/>
  <c r="GK89" i="6"/>
  <c r="GL89" i="6"/>
  <c r="GI90" i="6"/>
  <c r="CH90" i="6"/>
  <c r="GK90" i="6"/>
  <c r="GL90" i="6"/>
  <c r="GL2" i="6"/>
  <c r="GK2" i="6"/>
  <c r="GI2" i="6"/>
  <c r="CH2" i="6"/>
  <c r="CJ2" i="6"/>
  <c r="CF2" i="6"/>
  <c r="EM2" i="6"/>
  <c r="EW2" i="6"/>
  <c r="CJ3" i="6"/>
  <c r="CF3" i="6"/>
  <c r="CN3" i="6"/>
  <c r="CR3" i="6"/>
  <c r="FD3" i="6" s="1"/>
  <c r="FK3" i="6"/>
  <c r="FU3" i="6" s="1"/>
  <c r="EM3" i="6"/>
  <c r="EW3" i="6"/>
  <c r="CJ4" i="6"/>
  <c r="CN4" i="6" s="1"/>
  <c r="CR4" i="6" s="1"/>
  <c r="FD4" i="6" s="1"/>
  <c r="FK4" i="6" s="1"/>
  <c r="CF4" i="6"/>
  <c r="ER4" i="6"/>
  <c r="EW4" i="6" s="1"/>
  <c r="EM4" i="6"/>
  <c r="CJ5" i="6"/>
  <c r="CN5" i="6" s="1"/>
  <c r="CR5" i="6" s="1"/>
  <c r="FD5" i="6" s="1"/>
  <c r="FK5" i="6" s="1"/>
  <c r="FU5" i="6" s="1"/>
  <c r="CF5" i="6"/>
  <c r="ER5" i="6"/>
  <c r="EW5" i="6" s="1"/>
  <c r="EM5" i="6"/>
  <c r="CJ6" i="6"/>
  <c r="CF6" i="6"/>
  <c r="CN6" i="6" s="1"/>
  <c r="CR6" i="6" s="1"/>
  <c r="ER6" i="6"/>
  <c r="FD6" i="6"/>
  <c r="FK6" i="6" s="1"/>
  <c r="FU6" i="6" s="1"/>
  <c r="EW6" i="6"/>
  <c r="EM6" i="6"/>
  <c r="CJ7" i="6"/>
  <c r="CF7" i="6"/>
  <c r="CN7" i="6"/>
  <c r="CR7" i="6" s="1"/>
  <c r="FD7" i="6" s="1"/>
  <c r="FK7" i="6" s="1"/>
  <c r="ER7" i="6"/>
  <c r="EW7" i="6"/>
  <c r="EM7" i="6"/>
  <c r="CJ8" i="6"/>
  <c r="CF8" i="6"/>
  <c r="ER8" i="6"/>
  <c r="EW8" i="6"/>
  <c r="EM8" i="6"/>
  <c r="CJ9" i="6"/>
  <c r="CF9" i="6"/>
  <c r="CN9" i="6"/>
  <c r="CR9" i="6" s="1"/>
  <c r="ER9" i="6"/>
  <c r="EW9" i="6" s="1"/>
  <c r="EM9" i="6"/>
  <c r="CJ10" i="6"/>
  <c r="CF10" i="6"/>
  <c r="CN10" i="6"/>
  <c r="CR10" i="6" s="1"/>
  <c r="FD10" i="6" s="1"/>
  <c r="FK10" i="6" s="1"/>
  <c r="FP10" i="6" s="1"/>
  <c r="EH10" i="6"/>
  <c r="ER10" i="6"/>
  <c r="EW10" i="6" s="1"/>
  <c r="EM10" i="6"/>
  <c r="FU10" i="6"/>
  <c r="CJ11" i="6"/>
  <c r="CF11" i="6"/>
  <c r="CN11" i="6"/>
  <c r="CR11" i="6" s="1"/>
  <c r="ER11" i="6"/>
  <c r="EW11" i="6"/>
  <c r="CJ12" i="6"/>
  <c r="CF12" i="6"/>
  <c r="CN12" i="6"/>
  <c r="CR12" i="6" s="1"/>
  <c r="ER12" i="6"/>
  <c r="EW12" i="6"/>
  <c r="CJ13" i="6"/>
  <c r="CF13" i="6"/>
  <c r="CN13" i="6"/>
  <c r="CR13" i="6" s="1"/>
  <c r="ER13" i="6"/>
  <c r="EW13" i="6"/>
  <c r="CJ14" i="6"/>
  <c r="CF14" i="6"/>
  <c r="CN14" i="6"/>
  <c r="CR14" i="6" s="1"/>
  <c r="ER14" i="6"/>
  <c r="EW14" i="6" s="1"/>
  <c r="CJ15" i="6"/>
  <c r="CN15" i="6" s="1"/>
  <c r="CR15" i="6" s="1"/>
  <c r="CF15" i="6"/>
  <c r="ER15" i="6"/>
  <c r="EW15" i="6" s="1"/>
  <c r="CJ16" i="6"/>
  <c r="CF16" i="6"/>
  <c r="CN16" i="6"/>
  <c r="CR16" i="6"/>
  <c r="EH17" i="6"/>
  <c r="ER16" i="6"/>
  <c r="EW16" i="6" s="1"/>
  <c r="CJ17" i="6"/>
  <c r="CN17" i="6" s="1"/>
  <c r="CR17" i="6" s="1"/>
  <c r="FD17" i="6" s="1"/>
  <c r="FK17" i="6" s="1"/>
  <c r="CF17" i="6"/>
  <c r="ER17" i="6"/>
  <c r="EM17" i="6"/>
  <c r="EW17" i="6"/>
  <c r="CJ18" i="6"/>
  <c r="CF18" i="6"/>
  <c r="CN18" i="6"/>
  <c r="CR18" i="6"/>
  <c r="ER18" i="6"/>
  <c r="EW18" i="6" s="1"/>
  <c r="CJ19" i="6"/>
  <c r="CF19" i="6"/>
  <c r="ER19" i="6"/>
  <c r="EW19" i="6"/>
  <c r="CJ20" i="6"/>
  <c r="CF20" i="6"/>
  <c r="ER20" i="6"/>
  <c r="EW20" i="6" s="1"/>
  <c r="CJ21" i="6"/>
  <c r="CF21" i="6"/>
  <c r="CN21" i="6"/>
  <c r="CR21" i="6" s="1"/>
  <c r="ER21" i="6"/>
  <c r="EW21" i="6"/>
  <c r="CJ22" i="6"/>
  <c r="CN22" i="6" s="1"/>
  <c r="CR22" i="6" s="1"/>
  <c r="CF22" i="6"/>
  <c r="ER22" i="6"/>
  <c r="EW22" i="6" s="1"/>
  <c r="CJ23" i="6"/>
  <c r="CF23" i="6"/>
  <c r="ER23" i="6"/>
  <c r="EW23" i="6"/>
  <c r="CJ24" i="6"/>
  <c r="CF24" i="6"/>
  <c r="CN24" i="6"/>
  <c r="CR24" i="6" s="1"/>
  <c r="ER24" i="6"/>
  <c r="EW24" i="6"/>
  <c r="CJ25" i="6"/>
  <c r="CF25" i="6"/>
  <c r="CN25" i="6" s="1"/>
  <c r="CR25" i="6"/>
  <c r="ER25" i="6"/>
  <c r="EW25" i="6"/>
  <c r="CJ26" i="6"/>
  <c r="CN26" i="6" s="1"/>
  <c r="CR26" i="6" s="1"/>
  <c r="CF26" i="6"/>
  <c r="ER26" i="6"/>
  <c r="EW26" i="6" s="1"/>
  <c r="CJ27" i="6"/>
  <c r="CF27" i="6"/>
  <c r="ER27" i="6"/>
  <c r="EW27" i="6" s="1"/>
  <c r="CJ28" i="6"/>
  <c r="CF28" i="6"/>
  <c r="ER28" i="6"/>
  <c r="EW28" i="6" s="1"/>
  <c r="CJ29" i="6"/>
  <c r="CF29" i="6"/>
  <c r="CN29" i="6"/>
  <c r="CR29" i="6"/>
  <c r="ER29" i="6"/>
  <c r="EW29" i="6"/>
  <c r="CJ30" i="6"/>
  <c r="CN30" i="6" s="1"/>
  <c r="CR30" i="6" s="1"/>
  <c r="CF30" i="6"/>
  <c r="ER30" i="6"/>
  <c r="EW30" i="6" s="1"/>
  <c r="CJ31" i="6"/>
  <c r="CF31" i="6"/>
  <c r="ER31" i="6"/>
  <c r="EW31" i="6" s="1"/>
  <c r="CJ32" i="6"/>
  <c r="CF32" i="6"/>
  <c r="ER32" i="6"/>
  <c r="EW32" i="6" s="1"/>
  <c r="CJ33" i="6"/>
  <c r="CN33" i="6" s="1"/>
  <c r="CR33" i="6" s="1"/>
  <c r="CF33" i="6"/>
  <c r="ER33" i="6"/>
  <c r="EW33" i="6" s="1"/>
  <c r="CJ34" i="6"/>
  <c r="CF34" i="6"/>
  <c r="CN34" i="6"/>
  <c r="CR34" i="6" s="1"/>
  <c r="ER34" i="6"/>
  <c r="EW34" i="6"/>
  <c r="CJ35" i="6"/>
  <c r="CN35" i="6" s="1"/>
  <c r="CR35" i="6" s="1"/>
  <c r="CF35" i="6"/>
  <c r="ER35" i="6"/>
  <c r="EW35" i="6" s="1"/>
  <c r="CJ36" i="6"/>
  <c r="CF36" i="6"/>
  <c r="ER36" i="6"/>
  <c r="EW36" i="6"/>
  <c r="CJ37" i="6"/>
  <c r="CF37" i="6"/>
  <c r="CN37" i="6"/>
  <c r="CR37" i="6" s="1"/>
  <c r="ER37" i="6"/>
  <c r="EW37" i="6"/>
  <c r="CJ38" i="6"/>
  <c r="CF38" i="6"/>
  <c r="CN38" i="6"/>
  <c r="CR38" i="6" s="1"/>
  <c r="ER38" i="6"/>
  <c r="EW38" i="6"/>
  <c r="CJ39" i="6"/>
  <c r="CF39" i="6"/>
  <c r="CN39" i="6" s="1"/>
  <c r="CR39" i="6" s="1"/>
  <c r="ER39" i="6"/>
  <c r="EW39" i="6"/>
  <c r="CJ40" i="6"/>
  <c r="CF40" i="6"/>
  <c r="CN40" i="6" s="1"/>
  <c r="CR40" i="6" s="1"/>
  <c r="ER40" i="6"/>
  <c r="EW40" i="6"/>
  <c r="CJ41" i="6"/>
  <c r="CF41" i="6"/>
  <c r="CN41" i="6" s="1"/>
  <c r="CR41" i="6"/>
  <c r="ER41" i="6"/>
  <c r="EW41" i="6" s="1"/>
  <c r="CJ42" i="6"/>
  <c r="CF42" i="6"/>
  <c r="CN42" i="6"/>
  <c r="CR42" i="6"/>
  <c r="ER42" i="6"/>
  <c r="EW42" i="6"/>
  <c r="CJ43" i="6"/>
  <c r="CF43" i="6"/>
  <c r="CN43" i="6" s="1"/>
  <c r="CR43" i="6"/>
  <c r="ER43" i="6"/>
  <c r="EW43" i="6" s="1"/>
  <c r="CJ44" i="6"/>
  <c r="CF44" i="6"/>
  <c r="CN44" i="6"/>
  <c r="CR44" i="6"/>
  <c r="ER44" i="6"/>
  <c r="EW44" i="6"/>
  <c r="CJ45" i="6"/>
  <c r="CF45" i="6"/>
  <c r="CN45" i="6" s="1"/>
  <c r="CR45" i="6"/>
  <c r="ER45" i="6"/>
  <c r="EW45" i="6"/>
  <c r="CJ46" i="6"/>
  <c r="CF46" i="6"/>
  <c r="CN46" i="6"/>
  <c r="CR46" i="6" s="1"/>
  <c r="ER46" i="6"/>
  <c r="EW46" i="6"/>
  <c r="CJ47" i="6"/>
  <c r="CF47" i="6"/>
  <c r="CN47" i="6" s="1"/>
  <c r="CR47" i="6" s="1"/>
  <c r="ER47" i="6"/>
  <c r="EW47" i="6"/>
  <c r="CJ48" i="6"/>
  <c r="CF48" i="6"/>
  <c r="CN48" i="6" s="1"/>
  <c r="CR48" i="6" s="1"/>
  <c r="ER48" i="6"/>
  <c r="EW48" i="6" s="1"/>
  <c r="CJ49" i="6"/>
  <c r="CF49" i="6"/>
  <c r="ER49" i="6"/>
  <c r="EW49" i="6" s="1"/>
  <c r="CJ50" i="6"/>
  <c r="CF50" i="6"/>
  <c r="CN50" i="6"/>
  <c r="CR50" i="6" s="1"/>
  <c r="ER50" i="6"/>
  <c r="EW50" i="6"/>
  <c r="CJ51" i="6"/>
  <c r="CF51" i="6"/>
  <c r="CN51" i="6"/>
  <c r="CR51" i="6" s="1"/>
  <c r="ER51" i="6"/>
  <c r="EW51" i="6"/>
  <c r="CJ52" i="6"/>
  <c r="CF52" i="6"/>
  <c r="CN52" i="6"/>
  <c r="CR52" i="6" s="1"/>
  <c r="ER52" i="6"/>
  <c r="EW52" i="6" s="1"/>
  <c r="CJ53" i="6"/>
  <c r="CF53" i="6"/>
  <c r="CN53" i="6" s="1"/>
  <c r="CR53" i="6"/>
  <c r="ER53" i="6"/>
  <c r="EW53" i="6"/>
  <c r="CJ54" i="6"/>
  <c r="CF54" i="6"/>
  <c r="CN54" i="6"/>
  <c r="CR54" i="6" s="1"/>
  <c r="ER54" i="6"/>
  <c r="EW54" i="6" s="1"/>
  <c r="CJ55" i="6"/>
  <c r="CF55" i="6"/>
  <c r="CN55" i="6" s="1"/>
  <c r="CR55" i="6" s="1"/>
  <c r="ER55" i="6"/>
  <c r="EW55" i="6" s="1"/>
  <c r="CJ56" i="6"/>
  <c r="CF56" i="6"/>
  <c r="CN56" i="6" s="1"/>
  <c r="CR56" i="6" s="1"/>
  <c r="ER56" i="6"/>
  <c r="EW56" i="6" s="1"/>
  <c r="CJ57" i="6"/>
  <c r="CF57" i="6"/>
  <c r="ER57" i="6"/>
  <c r="EW57" i="6" s="1"/>
  <c r="CJ58" i="6"/>
  <c r="CF58" i="6"/>
  <c r="CN58" i="6"/>
  <c r="CR58" i="6" s="1"/>
  <c r="ER58" i="6"/>
  <c r="EW58" i="6"/>
  <c r="CJ59" i="6"/>
  <c r="CF59" i="6"/>
  <c r="CN59" i="6"/>
  <c r="CR59" i="6" s="1"/>
  <c r="ER59" i="6"/>
  <c r="EW59" i="6"/>
  <c r="CJ60" i="6"/>
  <c r="CF60" i="6"/>
  <c r="CN60" i="6"/>
  <c r="CR60" i="6" s="1"/>
  <c r="ER60" i="6"/>
  <c r="EW60" i="6" s="1"/>
  <c r="CJ61" i="6"/>
  <c r="CF61" i="6"/>
  <c r="ER61" i="6"/>
  <c r="EW61" i="6" s="1"/>
  <c r="CJ62" i="6"/>
  <c r="CN62" i="6" s="1"/>
  <c r="CR62" i="6" s="1"/>
  <c r="CF62" i="6"/>
  <c r="ER62" i="6"/>
  <c r="EW62" i="6" s="1"/>
  <c r="CJ63" i="6"/>
  <c r="CF63" i="6"/>
  <c r="CN63" i="6"/>
  <c r="CR63" i="6" s="1"/>
  <c r="ER63" i="6"/>
  <c r="EW63" i="6" s="1"/>
  <c r="CJ64" i="6"/>
  <c r="CF64" i="6"/>
  <c r="CN64" i="6" s="1"/>
  <c r="CR64" i="6" s="1"/>
  <c r="ER64" i="6"/>
  <c r="EW64" i="6" s="1"/>
  <c r="CJ65" i="6"/>
  <c r="CF65" i="6"/>
  <c r="CN65" i="6"/>
  <c r="CR65" i="6"/>
  <c r="ER65" i="6"/>
  <c r="EW65" i="6" s="1"/>
  <c r="CJ66" i="6"/>
  <c r="CF66" i="6"/>
  <c r="CN66" i="6" s="1"/>
  <c r="CR66" i="6" s="1"/>
  <c r="EH66" i="6"/>
  <c r="ER66" i="6"/>
  <c r="EW66" i="6" s="1"/>
  <c r="FD66" i="6"/>
  <c r="FK66" i="6" s="1"/>
  <c r="EM66" i="6"/>
  <c r="CJ67" i="6"/>
  <c r="CF67" i="6"/>
  <c r="CN67" i="6"/>
  <c r="CR67" i="6"/>
  <c r="FD67" i="6" s="1"/>
  <c r="FK67" i="6" s="1"/>
  <c r="FU67" i="6" s="1"/>
  <c r="EH67" i="6"/>
  <c r="ER67" i="6"/>
  <c r="EW67" i="6" s="1"/>
  <c r="EM67" i="6"/>
  <c r="CJ68" i="6"/>
  <c r="CF68" i="6"/>
  <c r="CN68" i="6"/>
  <c r="CR68" i="6"/>
  <c r="ER68" i="6"/>
  <c r="EW68" i="6"/>
  <c r="CJ69" i="6"/>
  <c r="CN69" i="6" s="1"/>
  <c r="CR69" i="6" s="1"/>
  <c r="CF69" i="6"/>
  <c r="ER69" i="6"/>
  <c r="EW69" i="6" s="1"/>
  <c r="CJ70" i="6"/>
  <c r="CF70" i="6"/>
  <c r="ER70" i="6"/>
  <c r="EW70" i="6" s="1"/>
  <c r="CJ71" i="6"/>
  <c r="CF71" i="6"/>
  <c r="CN71" i="6"/>
  <c r="CR71" i="6" s="1"/>
  <c r="CJ72" i="6"/>
  <c r="CN72" i="6" s="1"/>
  <c r="CR72" i="6" s="1"/>
  <c r="FD72" i="6" s="1"/>
  <c r="CF72" i="6"/>
  <c r="EC72" i="6"/>
  <c r="EH72" i="6"/>
  <c r="EM72" i="6" s="1"/>
  <c r="FK72" i="6"/>
  <c r="FU72" i="6" s="1"/>
  <c r="CJ73" i="6"/>
  <c r="CF73" i="6"/>
  <c r="EC74" i="6"/>
  <c r="EH74" i="6" s="1"/>
  <c r="EM74" i="6" s="1"/>
  <c r="CJ74" i="6"/>
  <c r="CF74" i="6"/>
  <c r="CN74" i="6"/>
  <c r="CR74" i="6" s="1"/>
  <c r="FD74" i="6"/>
  <c r="FK74" i="6" s="1"/>
  <c r="CJ75" i="6"/>
  <c r="CF75" i="6"/>
  <c r="EC75" i="6"/>
  <c r="EH75" i="6"/>
  <c r="EM75" i="6" s="1"/>
  <c r="CJ76" i="6"/>
  <c r="CF76" i="6"/>
  <c r="EC76" i="6"/>
  <c r="EH76" i="6"/>
  <c r="EM76" i="6" s="1"/>
  <c r="CJ77" i="6"/>
  <c r="CF77" i="6"/>
  <c r="CN77" i="6"/>
  <c r="CR77" i="6"/>
  <c r="FD77" i="6" s="1"/>
  <c r="FK77" i="6" s="1"/>
  <c r="EC77" i="6"/>
  <c r="EH77" i="6"/>
  <c r="EM77" i="6" s="1"/>
  <c r="CJ78" i="6"/>
  <c r="CF78" i="6"/>
  <c r="CN78" i="6"/>
  <c r="CR78" i="6" s="1"/>
  <c r="EC78" i="6"/>
  <c r="EH78" i="6" s="1"/>
  <c r="EM78" i="6" s="1"/>
  <c r="CJ79" i="6"/>
  <c r="CN79" i="6" s="1"/>
  <c r="CR79" i="6" s="1"/>
  <c r="FD79" i="6" s="1"/>
  <c r="CF79" i="6"/>
  <c r="EC79" i="6"/>
  <c r="EH79" i="6"/>
  <c r="EM79" i="6" s="1"/>
  <c r="FK79" i="6"/>
  <c r="CJ80" i="6"/>
  <c r="CF80" i="6"/>
  <c r="EC81" i="6"/>
  <c r="EH81" i="6" s="1"/>
  <c r="EM81" i="6" s="1"/>
  <c r="CJ81" i="6"/>
  <c r="CF81" i="6"/>
  <c r="CN81" i="6"/>
  <c r="CR81" i="6" s="1"/>
  <c r="FD81" i="6"/>
  <c r="FK81" i="6" s="1"/>
  <c r="CJ82" i="6"/>
  <c r="CF82" i="6"/>
  <c r="EC82" i="6"/>
  <c r="EH82" i="6"/>
  <c r="EM82" i="6" s="1"/>
  <c r="CJ83" i="6"/>
  <c r="CF83" i="6"/>
  <c r="EC83" i="6"/>
  <c r="EH83" i="6"/>
  <c r="EM83" i="6" s="1"/>
  <c r="CJ84" i="6"/>
  <c r="CF84" i="6"/>
  <c r="CN84" i="6"/>
  <c r="CR84" i="6"/>
  <c r="FD84" i="6" s="1"/>
  <c r="FK84" i="6" s="1"/>
  <c r="FP84" i="6" s="1"/>
  <c r="EC84" i="6"/>
  <c r="EH84" i="6"/>
  <c r="EM84" i="6" s="1"/>
  <c r="CJ85" i="6"/>
  <c r="CF85" i="6"/>
  <c r="CN85" i="6"/>
  <c r="CR85" i="6" s="1"/>
  <c r="EC85" i="6"/>
  <c r="EH85" i="6" s="1"/>
  <c r="CJ86" i="6"/>
  <c r="CN86" i="6" s="1"/>
  <c r="CR86" i="6" s="1"/>
  <c r="CF86" i="6"/>
  <c r="EC88" i="6"/>
  <c r="EH88" i="6"/>
  <c r="EM88" i="6" s="1"/>
  <c r="CJ87" i="6"/>
  <c r="CN87" i="6" s="1"/>
  <c r="CR87" i="6" s="1"/>
  <c r="CF87" i="6"/>
  <c r="EC89" i="6"/>
  <c r="EH89" i="6"/>
  <c r="EM89" i="6" s="1"/>
  <c r="CJ88" i="6"/>
  <c r="CF88" i="6"/>
  <c r="CJ89" i="6"/>
  <c r="CF89" i="6"/>
  <c r="CN89" i="6"/>
  <c r="CR89" i="6"/>
  <c r="FD89" i="6" s="1"/>
  <c r="FK89" i="6" s="1"/>
  <c r="CJ90" i="6"/>
  <c r="CF90" i="6"/>
  <c r="CN90" i="6"/>
  <c r="CR90" i="6"/>
  <c r="CJ91" i="6"/>
  <c r="CF91" i="6"/>
  <c r="CN91" i="6"/>
  <c r="CR91" i="6"/>
  <c r="FD91" i="6" s="1"/>
  <c r="FK91" i="6" s="1"/>
  <c r="EC91" i="6"/>
  <c r="EH91" i="6" s="1"/>
  <c r="EM91" i="6"/>
  <c r="EC92" i="6"/>
  <c r="EH92" i="6" s="1"/>
  <c r="EC93" i="6"/>
  <c r="EH93" i="6"/>
  <c r="EM93" i="6" s="1"/>
  <c r="FD93" i="6"/>
  <c r="FK93" i="6" s="1"/>
  <c r="EC94" i="6"/>
  <c r="EH94" i="6" s="1"/>
  <c r="EC95" i="6"/>
  <c r="EH95" i="6"/>
  <c r="FD95" i="6" s="1"/>
  <c r="FK95" i="6"/>
  <c r="FP95" i="6" s="1"/>
  <c r="EM95" i="6"/>
  <c r="EC96" i="6"/>
  <c r="EH96" i="6"/>
  <c r="EM96" i="6" s="1"/>
  <c r="FD96" i="6"/>
  <c r="FK96" i="6" s="1"/>
  <c r="EC97" i="6"/>
  <c r="EH97" i="6"/>
  <c r="EM97" i="6" s="1"/>
  <c r="FD97" i="6"/>
  <c r="FK97" i="6"/>
  <c r="FP97" i="6" s="1"/>
  <c r="FU97" i="6"/>
  <c r="EC98" i="6"/>
  <c r="EH98" i="6" s="1"/>
  <c r="EM98" i="6" s="1"/>
  <c r="FD98" i="6"/>
  <c r="FK98" i="6"/>
  <c r="EC99" i="6"/>
  <c r="EH99" i="6"/>
  <c r="EC100" i="6"/>
  <c r="EH100" i="6" s="1"/>
  <c r="EC101" i="6"/>
  <c r="EH101" i="6"/>
  <c r="EM101" i="6" s="1"/>
  <c r="FD101" i="6"/>
  <c r="FK101" i="6" s="1"/>
  <c r="EC103" i="6"/>
  <c r="EH103" i="6" s="1"/>
  <c r="EC104" i="6"/>
  <c r="EH104" i="6"/>
  <c r="EM104" i="6" s="1"/>
  <c r="FD104" i="6"/>
  <c r="FK104" i="6" s="1"/>
  <c r="EC105" i="6"/>
  <c r="EH105" i="6" s="1"/>
  <c r="EC106" i="6"/>
  <c r="EH106" i="6"/>
  <c r="FD106" i="6" s="1"/>
  <c r="FK106" i="6"/>
  <c r="EM106" i="6"/>
  <c r="EC107" i="6"/>
  <c r="EH107" i="6"/>
  <c r="EM107" i="6" s="1"/>
  <c r="FD107" i="6"/>
  <c r="FK107" i="6" s="1"/>
  <c r="EC108" i="6"/>
  <c r="EH108" i="6"/>
  <c r="EM108" i="6" s="1"/>
  <c r="FD108" i="6"/>
  <c r="FK108" i="6"/>
  <c r="FU108" i="6"/>
  <c r="EC109" i="6"/>
  <c r="EH109" i="6" s="1"/>
  <c r="EM109" i="6" s="1"/>
  <c r="FD109" i="6"/>
  <c r="FK109" i="6"/>
  <c r="EC110" i="6"/>
  <c r="EH110" i="6"/>
  <c r="EC111" i="6"/>
  <c r="EH111" i="6" s="1"/>
  <c r="EC112" i="6"/>
  <c r="EH112" i="6"/>
  <c r="EM112" i="6" s="1"/>
  <c r="FD112" i="6"/>
  <c r="FK112" i="6" s="1"/>
  <c r="EC113" i="6"/>
  <c r="EH113" i="6" s="1"/>
  <c r="EC114" i="6"/>
  <c r="EH114" i="6"/>
  <c r="FD114" i="6" s="1"/>
  <c r="FK114" i="6"/>
  <c r="EM114" i="6"/>
  <c r="EC115" i="6"/>
  <c r="EH115" i="6"/>
  <c r="EM115" i="6" s="1"/>
  <c r="FD115" i="6"/>
  <c r="FK115" i="6" s="1"/>
  <c r="EC116" i="6"/>
  <c r="EH116" i="6"/>
  <c r="EM116" i="6" s="1"/>
  <c r="FD116" i="6"/>
  <c r="FK116" i="6"/>
  <c r="FU116" i="6"/>
  <c r="EC117" i="6"/>
  <c r="EH117" i="6" s="1"/>
  <c r="EM117" i="6" s="1"/>
  <c r="FD117" i="6"/>
  <c r="FK117" i="6"/>
  <c r="EC118" i="6"/>
  <c r="EH118" i="6"/>
  <c r="EC119" i="6"/>
  <c r="EH119" i="6" s="1"/>
  <c r="EC120" i="6"/>
  <c r="EH120" i="6"/>
  <c r="EM120" i="6" s="1"/>
  <c r="FD120" i="6"/>
  <c r="FK120" i="6" s="1"/>
  <c r="EC121" i="6"/>
  <c r="EH121" i="6" s="1"/>
  <c r="EC122" i="6"/>
  <c r="EH122" i="6"/>
  <c r="FD122" i="6" s="1"/>
  <c r="FK122" i="6"/>
  <c r="EM122" i="6"/>
  <c r="EC123" i="6"/>
  <c r="EH123" i="6"/>
  <c r="EM123" i="6" s="1"/>
  <c r="FD123" i="6"/>
  <c r="FK123" i="6" s="1"/>
  <c r="EC124" i="6"/>
  <c r="EH124" i="6"/>
  <c r="EM124" i="6" s="1"/>
  <c r="FD124" i="6"/>
  <c r="FK124" i="6"/>
  <c r="FU124" i="6"/>
  <c r="EC125" i="6"/>
  <c r="EH125" i="6" s="1"/>
  <c r="EM125" i="6" s="1"/>
  <c r="FD125" i="6"/>
  <c r="FK125" i="6"/>
  <c r="EC126" i="6"/>
  <c r="EH126" i="6"/>
  <c r="EC127" i="6"/>
  <c r="EH127" i="6" s="1"/>
  <c r="EC128" i="6"/>
  <c r="EH128" i="6"/>
  <c r="EM128" i="6" s="1"/>
  <c r="FD128" i="6"/>
  <c r="FK128" i="6" s="1"/>
  <c r="EC129" i="6"/>
  <c r="EH129" i="6" s="1"/>
  <c r="EH130" i="6"/>
  <c r="FD130" i="6"/>
  <c r="FK130" i="6" s="1"/>
  <c r="EM130" i="6"/>
  <c r="FU130" i="6"/>
  <c r="EH131" i="6"/>
  <c r="FD131" i="6"/>
  <c r="FK131" i="6"/>
  <c r="EM131" i="6"/>
  <c r="FD132" i="6"/>
  <c r="FK132" i="6"/>
  <c r="FU132" i="6" s="1"/>
  <c r="FD136" i="6"/>
  <c r="FK136" i="6"/>
  <c r="FU136" i="6"/>
  <c r="FD138" i="6"/>
  <c r="FK138" i="6"/>
  <c r="FK137" i="6"/>
  <c r="FP137" i="6" s="1"/>
  <c r="FU137" i="6"/>
  <c r="FU138" i="6"/>
  <c r="FD139" i="6"/>
  <c r="FK139" i="6" s="1"/>
  <c r="FP139" i="6" s="1"/>
  <c r="FU139" i="6"/>
  <c r="FD140" i="6"/>
  <c r="FK140" i="6" s="1"/>
  <c r="FU140" i="6"/>
  <c r="FD141" i="6"/>
  <c r="FK141" i="6" s="1"/>
  <c r="FD142" i="6"/>
  <c r="FK142" i="6" s="1"/>
  <c r="FU142" i="6"/>
  <c r="FD143" i="6"/>
  <c r="FK143" i="6" s="1"/>
  <c r="FP143" i="6" s="1"/>
  <c r="FU143" i="6"/>
  <c r="FD144" i="6"/>
  <c r="FK144" i="6" s="1"/>
  <c r="FU144" i="6"/>
  <c r="FD145" i="6"/>
  <c r="FK145" i="6" s="1"/>
  <c r="DF146" i="6"/>
  <c r="FD146" i="6" s="1"/>
  <c r="FK146" i="6"/>
  <c r="FU146" i="6" s="1"/>
  <c r="CI2" i="6"/>
  <c r="CM2" i="6" s="1"/>
  <c r="CQ2" i="6" s="1"/>
  <c r="FC2" i="6" s="1"/>
  <c r="CE2" i="6"/>
  <c r="FJ2" i="6"/>
  <c r="FT2" i="6" s="1"/>
  <c r="EV2" i="6"/>
  <c r="EL2" i="6"/>
  <c r="GA2" i="6"/>
  <c r="CI3" i="6"/>
  <c r="CE3" i="6"/>
  <c r="CM3" i="6"/>
  <c r="CQ3" i="6"/>
  <c r="FC3" i="6" s="1"/>
  <c r="FJ3" i="6" s="1"/>
  <c r="FT3" i="6" s="1"/>
  <c r="EL3" i="6"/>
  <c r="EV3" i="6"/>
  <c r="CI4" i="6"/>
  <c r="CE4" i="6"/>
  <c r="EQ4" i="6"/>
  <c r="EV4" i="6" s="1"/>
  <c r="EL4" i="6"/>
  <c r="CI5" i="6"/>
  <c r="CE5" i="6"/>
  <c r="CM5" i="6"/>
  <c r="CQ5" i="6" s="1"/>
  <c r="EQ5" i="6"/>
  <c r="EV5" i="6" s="1"/>
  <c r="EL5" i="6"/>
  <c r="CI6" i="6"/>
  <c r="CE6" i="6"/>
  <c r="CM6" i="6"/>
  <c r="CQ6" i="6" s="1"/>
  <c r="FC6" i="6" s="1"/>
  <c r="FJ6" i="6" s="1"/>
  <c r="FT6" i="6" s="1"/>
  <c r="EQ6" i="6"/>
  <c r="EV6" i="6"/>
  <c r="EL6" i="6"/>
  <c r="CI7" i="6"/>
  <c r="CE7" i="6"/>
  <c r="CM7" i="6"/>
  <c r="CQ7" i="6"/>
  <c r="FC7" i="6" s="1"/>
  <c r="FJ7" i="6" s="1"/>
  <c r="EQ7" i="6"/>
  <c r="EL7" i="6"/>
  <c r="EV7" i="6"/>
  <c r="CI8" i="6"/>
  <c r="CE8" i="6"/>
  <c r="EQ8" i="6"/>
  <c r="EV8" i="6"/>
  <c r="EL8" i="6"/>
  <c r="CI9" i="6"/>
  <c r="CE9" i="6"/>
  <c r="CM9" i="6"/>
  <c r="CQ9" i="6" s="1"/>
  <c r="FC9" i="6" s="1"/>
  <c r="FJ9" i="6" s="1"/>
  <c r="EQ9" i="6"/>
  <c r="EV9" i="6" s="1"/>
  <c r="EL9" i="6"/>
  <c r="CI10" i="6"/>
  <c r="CE10" i="6"/>
  <c r="CM10" i="6" s="1"/>
  <c r="CQ10" i="6" s="1"/>
  <c r="EQ10" i="6"/>
  <c r="FC10" i="6"/>
  <c r="FJ10" i="6" s="1"/>
  <c r="EV10" i="6"/>
  <c r="EL10" i="6"/>
  <c r="CI11" i="6"/>
  <c r="CE11" i="6"/>
  <c r="CM11" i="6"/>
  <c r="CQ11" i="6" s="1"/>
  <c r="FC11" i="6" s="1"/>
  <c r="FJ11" i="6" s="1"/>
  <c r="EQ11" i="6"/>
  <c r="EV11" i="6"/>
  <c r="EL11" i="6"/>
  <c r="CI12" i="6"/>
  <c r="CE12" i="6"/>
  <c r="EG12" i="6"/>
  <c r="EQ12" i="6"/>
  <c r="EV12" i="6" s="1"/>
  <c r="EL12" i="6"/>
  <c r="CI13" i="6"/>
  <c r="CM13" i="6" s="1"/>
  <c r="CQ13" i="6" s="1"/>
  <c r="FC13" i="6" s="1"/>
  <c r="FJ13" i="6" s="1"/>
  <c r="CE13" i="6"/>
  <c r="EG14" i="6"/>
  <c r="EL14" i="6" s="1"/>
  <c r="EG13" i="6"/>
  <c r="EL13" i="6" s="1"/>
  <c r="EQ13" i="6"/>
  <c r="EV13" i="6"/>
  <c r="CI14" i="6"/>
  <c r="CM14" i="6" s="1"/>
  <c r="CQ14" i="6" s="1"/>
  <c r="FC14" i="6" s="1"/>
  <c r="CE14" i="6"/>
  <c r="EQ14" i="6"/>
  <c r="EV14" i="6" s="1"/>
  <c r="FJ14" i="6"/>
  <c r="CI15" i="6"/>
  <c r="CM15" i="6" s="1"/>
  <c r="CQ15" i="6" s="1"/>
  <c r="CE15" i="6"/>
  <c r="EG15" i="6"/>
  <c r="EG16" i="6" s="1"/>
  <c r="EQ15" i="6"/>
  <c r="EV15" i="6" s="1"/>
  <c r="EL15" i="6"/>
  <c r="CI16" i="6"/>
  <c r="CE16" i="6"/>
  <c r="EG17" i="6"/>
  <c r="EQ16" i="6"/>
  <c r="EV16" i="6"/>
  <c r="CI17" i="6"/>
  <c r="CM17" i="6" s="1"/>
  <c r="CQ17" i="6" s="1"/>
  <c r="CE17" i="6"/>
  <c r="EQ17" i="6"/>
  <c r="EV17" i="6" s="1"/>
  <c r="CI18" i="6"/>
  <c r="CE18" i="6"/>
  <c r="EG25" i="6"/>
  <c r="EL25" i="6" s="1"/>
  <c r="EQ18" i="6"/>
  <c r="EV18" i="6"/>
  <c r="CI19" i="6"/>
  <c r="CM19" i="6" s="1"/>
  <c r="CQ19" i="6" s="1"/>
  <c r="CE19" i="6"/>
  <c r="EG26" i="6"/>
  <c r="EL26" i="6" s="1"/>
  <c r="EQ19" i="6"/>
  <c r="EV19" i="6" s="1"/>
  <c r="CI20" i="6"/>
  <c r="CE20" i="6"/>
  <c r="CM20" i="6" s="1"/>
  <c r="CQ20" i="6" s="1"/>
  <c r="EG27" i="6"/>
  <c r="EQ20" i="6"/>
  <c r="EV20" i="6"/>
  <c r="CI21" i="6"/>
  <c r="CE21" i="6"/>
  <c r="CM21" i="6"/>
  <c r="CQ21" i="6" s="1"/>
  <c r="EG28" i="6"/>
  <c r="EQ21" i="6"/>
  <c r="EV21" i="6" s="1"/>
  <c r="CI22" i="6"/>
  <c r="CM22" i="6" s="1"/>
  <c r="CQ22" i="6" s="1"/>
  <c r="CE22" i="6"/>
  <c r="EG29" i="6"/>
  <c r="EQ22" i="6"/>
  <c r="EV22" i="6"/>
  <c r="CI23" i="6"/>
  <c r="CM23" i="6" s="1"/>
  <c r="CQ23" i="6" s="1"/>
  <c r="CE23" i="6"/>
  <c r="EG32" i="6"/>
  <c r="EQ23" i="6"/>
  <c r="EV23" i="6"/>
  <c r="CI24" i="6"/>
  <c r="CE24" i="6"/>
  <c r="CM24" i="6"/>
  <c r="CQ24" i="6" s="1"/>
  <c r="EQ24" i="6"/>
  <c r="EV24" i="6" s="1"/>
  <c r="CI25" i="6"/>
  <c r="CM25" i="6" s="1"/>
  <c r="CQ25" i="6" s="1"/>
  <c r="FC25" i="6" s="1"/>
  <c r="FJ25" i="6" s="1"/>
  <c r="CE25" i="6"/>
  <c r="EQ25" i="6"/>
  <c r="EV25" i="6" s="1"/>
  <c r="CI26" i="6"/>
  <c r="CM26" i="6" s="1"/>
  <c r="CQ26" i="6" s="1"/>
  <c r="FC26" i="6" s="1"/>
  <c r="FJ26" i="6" s="1"/>
  <c r="CE26" i="6"/>
  <c r="EQ26" i="6"/>
  <c r="EV26" i="6" s="1"/>
  <c r="CI27" i="6"/>
  <c r="CE27" i="6"/>
  <c r="CM27" i="6"/>
  <c r="CQ27" i="6"/>
  <c r="FC27" i="6" s="1"/>
  <c r="FJ27" i="6" s="1"/>
  <c r="FT27" i="6" s="1"/>
  <c r="EQ27" i="6"/>
  <c r="EV27" i="6"/>
  <c r="EL27" i="6"/>
  <c r="CI28" i="6"/>
  <c r="CM28" i="6" s="1"/>
  <c r="CQ28" i="6" s="1"/>
  <c r="FC28" i="6" s="1"/>
  <c r="FJ28" i="6" s="1"/>
  <c r="CE28" i="6"/>
  <c r="EQ28" i="6"/>
  <c r="EV28" i="6" s="1"/>
  <c r="EL28" i="6"/>
  <c r="CI29" i="6"/>
  <c r="CE29" i="6"/>
  <c r="EQ29" i="6"/>
  <c r="EV29" i="6" s="1"/>
  <c r="EL29" i="6"/>
  <c r="CI30" i="6"/>
  <c r="CE30" i="6"/>
  <c r="CM30" i="6"/>
  <c r="CQ30" i="6" s="1"/>
  <c r="EQ30" i="6"/>
  <c r="EV30" i="6" s="1"/>
  <c r="CI31" i="6"/>
  <c r="CE31" i="6"/>
  <c r="CM31" i="6"/>
  <c r="CQ31" i="6" s="1"/>
  <c r="EQ31" i="6"/>
  <c r="EV31" i="6"/>
  <c r="CI32" i="6"/>
  <c r="CM32" i="6" s="1"/>
  <c r="CQ32" i="6" s="1"/>
  <c r="FC32" i="6" s="1"/>
  <c r="FJ32" i="6" s="1"/>
  <c r="CE32" i="6"/>
  <c r="EQ32" i="6"/>
  <c r="EV32" i="6" s="1"/>
  <c r="EL32" i="6"/>
  <c r="CI33" i="6"/>
  <c r="CE33" i="6"/>
  <c r="EG37" i="6"/>
  <c r="EQ33" i="6"/>
  <c r="EV33" i="6"/>
  <c r="CI34" i="6"/>
  <c r="CM34" i="6" s="1"/>
  <c r="CQ34" i="6" s="1"/>
  <c r="CE34" i="6"/>
  <c r="EQ34" i="6"/>
  <c r="EV34" i="6"/>
  <c r="CI35" i="6"/>
  <c r="CM35" i="6" s="1"/>
  <c r="CQ35" i="6" s="1"/>
  <c r="CE35" i="6"/>
  <c r="EQ35" i="6"/>
  <c r="EV35" i="6"/>
  <c r="CI36" i="6"/>
  <c r="CM36" i="6" s="1"/>
  <c r="CQ36" i="6" s="1"/>
  <c r="CE36" i="6"/>
  <c r="EQ36" i="6"/>
  <c r="EV36" i="6"/>
  <c r="CI37" i="6"/>
  <c r="CM37" i="6" s="1"/>
  <c r="CQ37" i="6" s="1"/>
  <c r="FC37" i="6" s="1"/>
  <c r="CE37" i="6"/>
  <c r="EQ37" i="6"/>
  <c r="EV37" i="6" s="1"/>
  <c r="FJ37" i="6"/>
  <c r="CI38" i="6"/>
  <c r="CM38" i="6" s="1"/>
  <c r="CQ38" i="6" s="1"/>
  <c r="CE38" i="6"/>
  <c r="EG39" i="6"/>
  <c r="EL39" i="6" s="1"/>
  <c r="EG38" i="6"/>
  <c r="EL38" i="6" s="1"/>
  <c r="EQ38" i="6"/>
  <c r="EV38" i="6"/>
  <c r="CI39" i="6"/>
  <c r="CM39" i="6" s="1"/>
  <c r="CQ39" i="6" s="1"/>
  <c r="FC39" i="6" s="1"/>
  <c r="FJ39" i="6" s="1"/>
  <c r="CE39" i="6"/>
  <c r="EQ39" i="6"/>
  <c r="EV39" i="6" s="1"/>
  <c r="CI40" i="6"/>
  <c r="CM40" i="6" s="1"/>
  <c r="CQ40" i="6" s="1"/>
  <c r="FC40" i="6" s="1"/>
  <c r="FJ40" i="6" s="1"/>
  <c r="CE40" i="6"/>
  <c r="EG40" i="6"/>
  <c r="EQ40" i="6"/>
  <c r="EV40" i="6" s="1"/>
  <c r="EL40" i="6"/>
  <c r="CI41" i="6"/>
  <c r="CE41" i="6"/>
  <c r="EG41" i="6"/>
  <c r="EL41" i="6" s="1"/>
  <c r="EQ41" i="6"/>
  <c r="EV41" i="6"/>
  <c r="CI42" i="6"/>
  <c r="CE42" i="6"/>
  <c r="EG42" i="6"/>
  <c r="EQ42" i="6"/>
  <c r="EV42" i="6"/>
  <c r="EL42" i="6"/>
  <c r="CI43" i="6"/>
  <c r="CE43" i="6"/>
  <c r="EG43" i="6"/>
  <c r="EQ43" i="6"/>
  <c r="EV43" i="6" s="1"/>
  <c r="EL43" i="6"/>
  <c r="CI44" i="6"/>
  <c r="CM44" i="6" s="1"/>
  <c r="CQ44" i="6" s="1"/>
  <c r="FC44" i="6" s="1"/>
  <c r="FJ44" i="6" s="1"/>
  <c r="CE44" i="6"/>
  <c r="EG44" i="6"/>
  <c r="EQ44" i="6"/>
  <c r="EV44" i="6" s="1"/>
  <c r="EL44" i="6"/>
  <c r="CI45" i="6"/>
  <c r="CE45" i="6"/>
  <c r="EG45" i="6"/>
  <c r="EL45" i="6" s="1"/>
  <c r="EQ45" i="6"/>
  <c r="EV45" i="6"/>
  <c r="CI46" i="6"/>
  <c r="CE46" i="6"/>
  <c r="EG46" i="6"/>
  <c r="EQ46" i="6"/>
  <c r="EV46" i="6"/>
  <c r="EL46" i="6"/>
  <c r="CI47" i="6"/>
  <c r="CE47" i="6"/>
  <c r="EG47" i="6"/>
  <c r="EQ47" i="6"/>
  <c r="EV47" i="6" s="1"/>
  <c r="EL47" i="6"/>
  <c r="CI48" i="6"/>
  <c r="CM48" i="6" s="1"/>
  <c r="CQ48" i="6" s="1"/>
  <c r="CE48" i="6"/>
  <c r="EG52" i="6"/>
  <c r="EG48" i="6"/>
  <c r="EQ48" i="6"/>
  <c r="EV48" i="6"/>
  <c r="CI49" i="6"/>
  <c r="CM49" i="6" s="1"/>
  <c r="CQ49" i="6" s="1"/>
  <c r="CE49" i="6"/>
  <c r="EQ49" i="6"/>
  <c r="EV49" i="6"/>
  <c r="CI50" i="6"/>
  <c r="CE50" i="6"/>
  <c r="CM50" i="6"/>
  <c r="CQ50" i="6" s="1"/>
  <c r="EQ50" i="6"/>
  <c r="EV50" i="6"/>
  <c r="CI51" i="6"/>
  <c r="CE51" i="6"/>
  <c r="CM51" i="6"/>
  <c r="CQ51" i="6"/>
  <c r="EQ51" i="6"/>
  <c r="EV51" i="6"/>
  <c r="CI52" i="6"/>
  <c r="CM52" i="6" s="1"/>
  <c r="CQ52" i="6" s="1"/>
  <c r="CE52" i="6"/>
  <c r="EQ52" i="6"/>
  <c r="EV52" i="6" s="1"/>
  <c r="EL52" i="6"/>
  <c r="CI53" i="6"/>
  <c r="CE53" i="6"/>
  <c r="EG53" i="6"/>
  <c r="EL53" i="6" s="1"/>
  <c r="EQ53" i="6"/>
  <c r="EV53" i="6"/>
  <c r="CI54" i="6"/>
  <c r="CE54" i="6"/>
  <c r="EG54" i="6"/>
  <c r="EQ54" i="6"/>
  <c r="EV54" i="6"/>
  <c r="EL54" i="6"/>
  <c r="CI55" i="6"/>
  <c r="CE55" i="6"/>
  <c r="EG59" i="6"/>
  <c r="EG55" i="6"/>
  <c r="EL55" i="6" s="1"/>
  <c r="EQ55" i="6"/>
  <c r="EV55" i="6"/>
  <c r="CI56" i="6"/>
  <c r="CE56" i="6"/>
  <c r="CM56" i="6"/>
  <c r="CQ56" i="6" s="1"/>
  <c r="EQ56" i="6"/>
  <c r="EV56" i="6"/>
  <c r="CI57" i="6"/>
  <c r="CE57" i="6"/>
  <c r="CM57" i="6"/>
  <c r="CQ57" i="6"/>
  <c r="EQ57" i="6"/>
  <c r="EV57" i="6"/>
  <c r="CI58" i="6"/>
  <c r="CM58" i="6" s="1"/>
  <c r="CQ58" i="6" s="1"/>
  <c r="CE58" i="6"/>
  <c r="EQ58" i="6"/>
  <c r="EV58" i="6"/>
  <c r="CI59" i="6"/>
  <c r="CM59" i="6" s="1"/>
  <c r="CQ59" i="6" s="1"/>
  <c r="FC59" i="6" s="1"/>
  <c r="CE59" i="6"/>
  <c r="EQ59" i="6"/>
  <c r="EV59" i="6" s="1"/>
  <c r="FJ59" i="6"/>
  <c r="EL59" i="6"/>
  <c r="CI60" i="6"/>
  <c r="CM60" i="6" s="1"/>
  <c r="CQ60" i="6" s="1"/>
  <c r="FC60" i="6" s="1"/>
  <c r="FJ60" i="6" s="1"/>
  <c r="CE60" i="6"/>
  <c r="EG63" i="6"/>
  <c r="EG60" i="6"/>
  <c r="EQ60" i="6"/>
  <c r="EL60" i="6"/>
  <c r="EV60" i="6"/>
  <c r="CI61" i="6"/>
  <c r="CM61" i="6" s="1"/>
  <c r="CQ61" i="6" s="1"/>
  <c r="CE61" i="6"/>
  <c r="EG61" i="6"/>
  <c r="EQ61" i="6"/>
  <c r="EV61" i="6"/>
  <c r="CI62" i="6"/>
  <c r="CM62" i="6" s="1"/>
  <c r="CQ62" i="6" s="1"/>
  <c r="CE62" i="6"/>
  <c r="EQ62" i="6"/>
  <c r="EV62" i="6"/>
  <c r="CI63" i="6"/>
  <c r="CM63" i="6" s="1"/>
  <c r="CQ63" i="6" s="1"/>
  <c r="CE63" i="6"/>
  <c r="EQ63" i="6"/>
  <c r="EV63" i="6" s="1"/>
  <c r="EL63" i="6"/>
  <c r="CI64" i="6"/>
  <c r="CE64" i="6"/>
  <c r="EG64" i="6"/>
  <c r="EQ64" i="6"/>
  <c r="EV64" i="6"/>
  <c r="EL64" i="6"/>
  <c r="CI65" i="6"/>
  <c r="CE65" i="6"/>
  <c r="EG65" i="6"/>
  <c r="EQ65" i="6"/>
  <c r="EV65" i="6"/>
  <c r="EL65" i="6"/>
  <c r="CI66" i="6"/>
  <c r="CE66" i="6"/>
  <c r="EQ66" i="6"/>
  <c r="EV66" i="6" s="1"/>
  <c r="CI67" i="6"/>
  <c r="CM67" i="6" s="1"/>
  <c r="CQ67" i="6" s="1"/>
  <c r="CE67" i="6"/>
  <c r="EQ67" i="6"/>
  <c r="EV67" i="6" s="1"/>
  <c r="CI68" i="6"/>
  <c r="CE68" i="6"/>
  <c r="EG68" i="6"/>
  <c r="EQ68" i="6"/>
  <c r="EV68" i="6"/>
  <c r="EL68" i="6"/>
  <c r="CI69" i="6"/>
  <c r="CM69" i="6" s="1"/>
  <c r="CQ69" i="6" s="1"/>
  <c r="CE69" i="6"/>
  <c r="EG69" i="6"/>
  <c r="EQ69" i="6"/>
  <c r="EV69" i="6" s="1"/>
  <c r="EL69" i="6"/>
  <c r="CI70" i="6"/>
  <c r="CE70" i="6"/>
  <c r="EG70" i="6"/>
  <c r="EL70" i="6" s="1"/>
  <c r="EQ70" i="6"/>
  <c r="EV70" i="6" s="1"/>
  <c r="CI71" i="6"/>
  <c r="CM71" i="6" s="1"/>
  <c r="CQ71" i="6" s="1"/>
  <c r="CE71" i="6"/>
  <c r="EG71" i="6"/>
  <c r="EL71" i="6" s="1"/>
  <c r="EQ71" i="6"/>
  <c r="EV71" i="6" s="1"/>
  <c r="CI72" i="6"/>
  <c r="CE72" i="6"/>
  <c r="EG72" i="6"/>
  <c r="EQ72" i="6"/>
  <c r="EV72" i="6"/>
  <c r="EL72" i="6"/>
  <c r="CI73" i="6"/>
  <c r="CM73" i="6" s="1"/>
  <c r="CQ73" i="6" s="1"/>
  <c r="CE73" i="6"/>
  <c r="EG73" i="6"/>
  <c r="EQ73" i="6"/>
  <c r="EV73" i="6" s="1"/>
  <c r="EL73" i="6"/>
  <c r="CI74" i="6"/>
  <c r="CE74" i="6"/>
  <c r="EG74" i="6"/>
  <c r="EL74" i="6" s="1"/>
  <c r="EQ74" i="6"/>
  <c r="EV74" i="6" s="1"/>
  <c r="CI75" i="6"/>
  <c r="CM75" i="6" s="1"/>
  <c r="CQ75" i="6" s="1"/>
  <c r="CE75" i="6"/>
  <c r="EQ75" i="6"/>
  <c r="EV75" i="6" s="1"/>
  <c r="CI76" i="6"/>
  <c r="CE76" i="6"/>
  <c r="EG76" i="6"/>
  <c r="EL76" i="6" s="1"/>
  <c r="EQ76" i="6"/>
  <c r="EV76" i="6"/>
  <c r="CI77" i="6"/>
  <c r="CM77" i="6" s="1"/>
  <c r="CQ77" i="6" s="1"/>
  <c r="FC77" i="6" s="1"/>
  <c r="FJ77" i="6" s="1"/>
  <c r="FT77" i="6" s="1"/>
  <c r="CE77" i="6"/>
  <c r="EG77" i="6"/>
  <c r="EQ77" i="6"/>
  <c r="EV77" i="6" s="1"/>
  <c r="EL77" i="6"/>
  <c r="CI78" i="6"/>
  <c r="CE78" i="6"/>
  <c r="EG78" i="6"/>
  <c r="EL78" i="6" s="1"/>
  <c r="EQ78" i="6"/>
  <c r="EV78" i="6" s="1"/>
  <c r="CI79" i="6"/>
  <c r="CM79" i="6" s="1"/>
  <c r="CQ79" i="6" s="1"/>
  <c r="CE79" i="6"/>
  <c r="EG79" i="6"/>
  <c r="EQ79" i="6"/>
  <c r="EV79" i="6" s="1"/>
  <c r="CI80" i="6"/>
  <c r="CE80" i="6"/>
  <c r="EG81" i="6"/>
  <c r="EQ80" i="6"/>
  <c r="EV80" i="6"/>
  <c r="CI81" i="6"/>
  <c r="CE81" i="6"/>
  <c r="CM81" i="6"/>
  <c r="CQ81" i="6" s="1"/>
  <c r="FC81" i="6" s="1"/>
  <c r="FJ81" i="6" s="1"/>
  <c r="EQ81" i="6"/>
  <c r="EV81" i="6"/>
  <c r="EL81" i="6"/>
  <c r="CI82" i="6"/>
  <c r="CE82" i="6"/>
  <c r="EG82" i="6"/>
  <c r="EQ82" i="6"/>
  <c r="EV82" i="6"/>
  <c r="EL82" i="6"/>
  <c r="CI83" i="6"/>
  <c r="CE83" i="6"/>
  <c r="EQ83" i="6"/>
  <c r="EV83" i="6"/>
  <c r="CI84" i="6"/>
  <c r="CE84" i="6"/>
  <c r="EG84" i="6"/>
  <c r="EL84" i="6" s="1"/>
  <c r="EQ84" i="6"/>
  <c r="EV84" i="6" s="1"/>
  <c r="CI85" i="6"/>
  <c r="CM85" i="6" s="1"/>
  <c r="CQ85" i="6" s="1"/>
  <c r="CE85" i="6"/>
  <c r="EG85" i="6"/>
  <c r="EQ85" i="6"/>
  <c r="EV85" i="6" s="1"/>
  <c r="CI86" i="6"/>
  <c r="CE86" i="6"/>
  <c r="EG88" i="6"/>
  <c r="EL88" i="6" s="1"/>
  <c r="EQ86" i="6"/>
  <c r="EV86" i="6"/>
  <c r="CI87" i="6"/>
  <c r="CE87" i="6"/>
  <c r="CM87" i="6"/>
  <c r="CQ87" i="6" s="1"/>
  <c r="EG89" i="6"/>
  <c r="EQ87" i="6"/>
  <c r="EV87" i="6" s="1"/>
  <c r="CI88" i="6"/>
  <c r="CE88" i="6"/>
  <c r="CM88" i="6" s="1"/>
  <c r="CQ88" i="6"/>
  <c r="EQ88" i="6"/>
  <c r="FC88" i="6"/>
  <c r="FJ88" i="6" s="1"/>
  <c r="EV88" i="6"/>
  <c r="CI89" i="6"/>
  <c r="CE89" i="6"/>
  <c r="CM89" i="6"/>
  <c r="CQ89" i="6"/>
  <c r="FC89" i="6" s="1"/>
  <c r="FJ89" i="6" s="1"/>
  <c r="FT89" i="6" s="1"/>
  <c r="EQ89" i="6"/>
  <c r="EV89" i="6"/>
  <c r="EL89" i="6"/>
  <c r="CI90" i="6"/>
  <c r="CM90" i="6" s="1"/>
  <c r="CQ90" i="6" s="1"/>
  <c r="FC90" i="6" s="1"/>
  <c r="FJ90" i="6" s="1"/>
  <c r="FT90" i="6" s="1"/>
  <c r="CE90" i="6"/>
  <c r="EG90" i="6"/>
  <c r="EQ90" i="6"/>
  <c r="EV90" i="6" s="1"/>
  <c r="EL90" i="6"/>
  <c r="CI91" i="6"/>
  <c r="CE91" i="6"/>
  <c r="EG91" i="6"/>
  <c r="EL91" i="6" s="1"/>
  <c r="EQ91" i="6"/>
  <c r="EV91" i="6" s="1"/>
  <c r="EG92" i="6"/>
  <c r="FC92" i="6" s="1"/>
  <c r="FJ92" i="6" s="1"/>
  <c r="EQ92" i="6"/>
  <c r="EV92" i="6"/>
  <c r="EL92" i="6"/>
  <c r="EQ93" i="6"/>
  <c r="EV93" i="6" s="1"/>
  <c r="EG94" i="6"/>
  <c r="FC94" i="6" s="1"/>
  <c r="EQ94" i="6"/>
  <c r="FJ94" i="6"/>
  <c r="EV94" i="6"/>
  <c r="EL94" i="6"/>
  <c r="EQ95" i="6"/>
  <c r="EV95" i="6" s="1"/>
  <c r="EQ96" i="6"/>
  <c r="EV96" i="6"/>
  <c r="EG97" i="6"/>
  <c r="EQ97" i="6"/>
  <c r="EV97" i="6" s="1"/>
  <c r="EL97" i="6"/>
  <c r="EB98" i="6"/>
  <c r="EG98" i="6" s="1"/>
  <c r="EL98" i="6" s="1"/>
  <c r="EQ98" i="6"/>
  <c r="FC98" i="6"/>
  <c r="FJ98" i="6" s="1"/>
  <c r="FO98" i="6" s="1"/>
  <c r="EV98" i="6"/>
  <c r="FT98" i="6"/>
  <c r="EB99" i="6"/>
  <c r="EG99" i="6" s="1"/>
  <c r="EQ99" i="6"/>
  <c r="EV99" i="6" s="1"/>
  <c r="FC99" i="6"/>
  <c r="FJ99" i="6" s="1"/>
  <c r="EL99" i="6"/>
  <c r="EB100" i="6"/>
  <c r="EG100" i="6"/>
  <c r="FC100" i="6" s="1"/>
  <c r="FJ100" i="6" s="1"/>
  <c r="EQ100" i="6"/>
  <c r="EV100" i="6"/>
  <c r="EL100" i="6"/>
  <c r="EB101" i="6"/>
  <c r="EG101" i="6"/>
  <c r="EQ101" i="6"/>
  <c r="EV101" i="6"/>
  <c r="EB103" i="6"/>
  <c r="EG103" i="6"/>
  <c r="EQ102" i="6"/>
  <c r="EV102" i="6" s="1"/>
  <c r="EL103" i="6"/>
  <c r="EQ103" i="6"/>
  <c r="EV103" i="6" s="1"/>
  <c r="FC103" i="6"/>
  <c r="FJ103" i="6"/>
  <c r="FT103" i="6" s="1"/>
  <c r="EB104" i="6"/>
  <c r="EG104" i="6" s="1"/>
  <c r="EL104" i="6" s="1"/>
  <c r="FC104" i="6"/>
  <c r="FJ104" i="6"/>
  <c r="FT104" i="6" s="1"/>
  <c r="EB105" i="6"/>
  <c r="EG105" i="6"/>
  <c r="EB106" i="6"/>
  <c r="EG106" i="6" s="1"/>
  <c r="FC106" i="6"/>
  <c r="FJ106" i="6" s="1"/>
  <c r="EL106" i="6"/>
  <c r="EB107" i="6"/>
  <c r="EG107" i="6"/>
  <c r="EL107" i="6" s="1"/>
  <c r="FC107" i="6"/>
  <c r="FJ107" i="6" s="1"/>
  <c r="EB108" i="6"/>
  <c r="EG108" i="6" s="1"/>
  <c r="EB109" i="6"/>
  <c r="EG109" i="6"/>
  <c r="EB110" i="6"/>
  <c r="EG110" i="6" s="1"/>
  <c r="EB111" i="6"/>
  <c r="EG111" i="6"/>
  <c r="EL111" i="6" s="1"/>
  <c r="FC111" i="6"/>
  <c r="FJ111" i="6"/>
  <c r="FT111" i="6" s="1"/>
  <c r="EB112" i="6"/>
  <c r="EG112" i="6" s="1"/>
  <c r="EL112" i="6" s="1"/>
  <c r="FC112" i="6"/>
  <c r="FJ112" i="6"/>
  <c r="EB113" i="6"/>
  <c r="EG113" i="6"/>
  <c r="FC113" i="6" s="1"/>
  <c r="FJ113" i="6" s="1"/>
  <c r="EL113" i="6"/>
  <c r="FT113" i="6" s="1"/>
  <c r="EB114" i="6"/>
  <c r="EG114" i="6" s="1"/>
  <c r="FC114" i="6"/>
  <c r="FJ114" i="6" s="1"/>
  <c r="EL114" i="6"/>
  <c r="FT114" i="6" s="1"/>
  <c r="EB115" i="6"/>
  <c r="EG115" i="6"/>
  <c r="EL115" i="6" s="1"/>
  <c r="FC115" i="6"/>
  <c r="FJ115" i="6" s="1"/>
  <c r="FO115" i="6" s="1"/>
  <c r="EB116" i="6"/>
  <c r="EG116" i="6" s="1"/>
  <c r="FC116" i="6" s="1"/>
  <c r="FJ116" i="6"/>
  <c r="EL116" i="6"/>
  <c r="EB117" i="6"/>
  <c r="EG117" i="6"/>
  <c r="EB118" i="6"/>
  <c r="EG118" i="6"/>
  <c r="EL118" i="6" s="1"/>
  <c r="EB119" i="6"/>
  <c r="EG119" i="6"/>
  <c r="EL119" i="6" s="1"/>
  <c r="FC119" i="6"/>
  <c r="FJ119" i="6"/>
  <c r="FO119" i="6" s="1"/>
  <c r="FT119" i="6"/>
  <c r="EB120" i="6"/>
  <c r="EG120" i="6" s="1"/>
  <c r="EB121" i="6"/>
  <c r="EG121" i="6" s="1"/>
  <c r="EB122" i="6"/>
  <c r="EG122" i="6" s="1"/>
  <c r="EB123" i="6"/>
  <c r="EG123" i="6"/>
  <c r="EL123" i="6" s="1"/>
  <c r="FC123" i="6"/>
  <c r="FJ123" i="6" s="1"/>
  <c r="FO123" i="6" s="1"/>
  <c r="FT123" i="6"/>
  <c r="EB124" i="6"/>
  <c r="EG124" i="6" s="1"/>
  <c r="FC124" i="6" s="1"/>
  <c r="FJ124" i="6"/>
  <c r="EL124" i="6"/>
  <c r="EB125" i="6"/>
  <c r="EG125" i="6"/>
  <c r="FC125" i="6" s="1"/>
  <c r="FJ125" i="6"/>
  <c r="EL125" i="6"/>
  <c r="EB126" i="6"/>
  <c r="EG126" i="6"/>
  <c r="EL126" i="6" s="1"/>
  <c r="FC126" i="6"/>
  <c r="FJ126" i="6" s="1"/>
  <c r="FO126" i="6" s="1"/>
  <c r="FT126" i="6"/>
  <c r="EB127" i="6"/>
  <c r="EG127" i="6"/>
  <c r="EL127" i="6" s="1"/>
  <c r="FC127" i="6"/>
  <c r="FJ127" i="6" s="1"/>
  <c r="EB128" i="6"/>
  <c r="EG128" i="6" s="1"/>
  <c r="EB129" i="6"/>
  <c r="EG129" i="6"/>
  <c r="EB130" i="6"/>
  <c r="EG130" i="6" s="1"/>
  <c r="EB131" i="6"/>
  <c r="EG131" i="6"/>
  <c r="FC132" i="6"/>
  <c r="FJ132" i="6" s="1"/>
  <c r="FT132" i="6" s="1"/>
  <c r="FC136" i="6"/>
  <c r="FJ136" i="6" s="1"/>
  <c r="FT136" i="6" s="1"/>
  <c r="FC137" i="6"/>
  <c r="FJ137" i="6"/>
  <c r="FC138" i="6"/>
  <c r="FJ138" i="6" s="1"/>
  <c r="FC139" i="6"/>
  <c r="FJ139" i="6"/>
  <c r="FC140" i="6"/>
  <c r="FJ140" i="6" s="1"/>
  <c r="FO140" i="6" s="1"/>
  <c r="FT140" i="6"/>
  <c r="FC141" i="6"/>
  <c r="FJ141" i="6" s="1"/>
  <c r="FT141" i="6" s="1"/>
  <c r="FC142" i="6"/>
  <c r="FJ142" i="6"/>
  <c r="FO142" i="6" s="1"/>
  <c r="FT142" i="6"/>
  <c r="FC143" i="6"/>
  <c r="FJ143" i="6"/>
  <c r="FO143" i="6" s="1"/>
  <c r="FT143" i="6"/>
  <c r="FC144" i="6"/>
  <c r="FJ144" i="6" s="1"/>
  <c r="FC145" i="6"/>
  <c r="FJ145" i="6"/>
  <c r="FT145" i="6" s="1"/>
  <c r="DE146" i="6"/>
  <c r="FC146" i="6" s="1"/>
  <c r="FJ146" i="6" s="1"/>
  <c r="FO146" i="6" s="1"/>
  <c r="AW146" i="6"/>
  <c r="FT146" i="6"/>
  <c r="B133" i="6"/>
  <c r="J161" i="16"/>
  <c r="I161" i="16"/>
  <c r="H161" i="16"/>
  <c r="G161" i="16"/>
  <c r="J160" i="16"/>
  <c r="I160" i="16"/>
  <c r="G160" i="16"/>
  <c r="J159" i="16"/>
  <c r="I159" i="16"/>
  <c r="H159" i="16"/>
  <c r="G159" i="16"/>
  <c r="J158" i="16"/>
  <c r="I158" i="16"/>
  <c r="G158" i="16"/>
  <c r="J157" i="16"/>
  <c r="I157" i="16"/>
  <c r="H157" i="16"/>
  <c r="G157" i="16"/>
  <c r="J156" i="16"/>
  <c r="I156" i="16"/>
  <c r="G156" i="16"/>
  <c r="J155" i="16"/>
  <c r="I155" i="16"/>
  <c r="H155" i="16"/>
  <c r="G155" i="16"/>
  <c r="J154" i="16"/>
  <c r="I154" i="16"/>
  <c r="H154" i="16"/>
  <c r="G154" i="16"/>
  <c r="J153" i="16"/>
  <c r="I153" i="16"/>
  <c r="H153" i="16"/>
  <c r="G153" i="16"/>
  <c r="J152" i="16"/>
  <c r="I152" i="16"/>
  <c r="H152" i="16"/>
  <c r="G152" i="16"/>
  <c r="J151" i="16"/>
  <c r="I151" i="16"/>
  <c r="H151" i="16"/>
  <c r="G151" i="16"/>
  <c r="J150" i="16"/>
  <c r="I150" i="16"/>
  <c r="H150" i="16"/>
  <c r="G150" i="16"/>
  <c r="J149" i="16"/>
  <c r="I149" i="16"/>
  <c r="H149" i="16"/>
  <c r="G149" i="16"/>
  <c r="J148" i="16"/>
  <c r="I148" i="16"/>
  <c r="G148" i="16"/>
  <c r="J147" i="16"/>
  <c r="I147" i="16"/>
  <c r="H147" i="16"/>
  <c r="G147" i="16"/>
  <c r="J146" i="16"/>
  <c r="I146" i="16"/>
  <c r="G146" i="16"/>
  <c r="J145" i="16"/>
  <c r="I145" i="16"/>
  <c r="H145" i="16"/>
  <c r="G145" i="16"/>
  <c r="J144" i="16"/>
  <c r="I144" i="16"/>
  <c r="H144" i="16"/>
  <c r="G144" i="16"/>
  <c r="J143" i="16"/>
  <c r="I143" i="16"/>
  <c r="H143" i="16"/>
  <c r="G143" i="16"/>
  <c r="J142" i="16"/>
  <c r="I142" i="16"/>
  <c r="H142" i="16"/>
  <c r="G142" i="16"/>
  <c r="J141" i="16"/>
  <c r="I141" i="16"/>
  <c r="H141" i="16"/>
  <c r="G141" i="16"/>
  <c r="J140" i="16"/>
  <c r="I140" i="16"/>
  <c r="H140" i="16"/>
  <c r="G140" i="16"/>
  <c r="J139" i="16"/>
  <c r="I139" i="16"/>
  <c r="H139" i="16"/>
  <c r="G139" i="16"/>
  <c r="J138" i="16"/>
  <c r="I138" i="16"/>
  <c r="H138" i="16"/>
  <c r="G138" i="16"/>
  <c r="J137" i="16"/>
  <c r="I137" i="16"/>
  <c r="H137" i="16"/>
  <c r="G137" i="16"/>
  <c r="J136" i="16"/>
  <c r="I136" i="16"/>
  <c r="H136" i="16"/>
  <c r="G136" i="16"/>
  <c r="J135" i="16"/>
  <c r="I135" i="16"/>
  <c r="H135" i="16"/>
  <c r="G135" i="16"/>
  <c r="J134" i="16"/>
  <c r="I134" i="16"/>
  <c r="G134" i="16"/>
  <c r="J133" i="16"/>
  <c r="I133" i="16"/>
  <c r="H133" i="16"/>
  <c r="G133" i="16"/>
  <c r="J132" i="16"/>
  <c r="I132" i="16"/>
  <c r="H132" i="16"/>
  <c r="G132" i="16"/>
  <c r="J131" i="16"/>
  <c r="I131" i="16"/>
  <c r="H131" i="16"/>
  <c r="G131" i="16"/>
  <c r="J130" i="16"/>
  <c r="I130" i="16"/>
  <c r="G130" i="16"/>
  <c r="J129" i="16"/>
  <c r="I129" i="16"/>
  <c r="H129" i="16"/>
  <c r="G129" i="16"/>
  <c r="J128" i="16"/>
  <c r="I128" i="16"/>
  <c r="G128" i="16"/>
  <c r="J127" i="16"/>
  <c r="I127" i="16"/>
  <c r="H127" i="16"/>
  <c r="G127" i="16"/>
  <c r="F126" i="16"/>
  <c r="J126" i="16"/>
  <c r="I126" i="16"/>
  <c r="G126" i="16"/>
  <c r="F125" i="16"/>
  <c r="J125" i="16" s="1"/>
  <c r="I125" i="16"/>
  <c r="H125" i="16"/>
  <c r="G125" i="16"/>
  <c r="F124" i="16"/>
  <c r="J124" i="16"/>
  <c r="I124" i="16"/>
  <c r="H124" i="16"/>
  <c r="G124" i="16"/>
  <c r="F123" i="16"/>
  <c r="J123" i="16"/>
  <c r="I123" i="16"/>
  <c r="H123" i="16"/>
  <c r="G123" i="16"/>
  <c r="F122" i="16"/>
  <c r="J122" i="16" s="1"/>
  <c r="I122" i="16"/>
  <c r="H122" i="16"/>
  <c r="G122" i="16"/>
  <c r="F121" i="16"/>
  <c r="J121" i="16" s="1"/>
  <c r="I121" i="16"/>
  <c r="H121" i="16"/>
  <c r="G121" i="16"/>
  <c r="F120" i="16"/>
  <c r="J120" i="16"/>
  <c r="I120" i="16"/>
  <c r="H120" i="16"/>
  <c r="G120" i="16"/>
  <c r="F119" i="16"/>
  <c r="I119" i="16"/>
  <c r="H119" i="16"/>
  <c r="G119" i="16"/>
  <c r="F118" i="16"/>
  <c r="J118" i="16" s="1"/>
  <c r="I118" i="16"/>
  <c r="H118" i="16"/>
  <c r="G118" i="16"/>
  <c r="F117" i="16"/>
  <c r="J117" i="16" s="1"/>
  <c r="I117" i="16"/>
  <c r="H117" i="16"/>
  <c r="G117" i="16"/>
  <c r="F116" i="16"/>
  <c r="J116" i="16"/>
  <c r="I116" i="16"/>
  <c r="G116" i="16"/>
  <c r="F115" i="16"/>
  <c r="J115" i="16"/>
  <c r="I115" i="16"/>
  <c r="H115" i="16"/>
  <c r="G115" i="16"/>
  <c r="F114" i="16"/>
  <c r="N114" i="16" s="1"/>
  <c r="I114" i="16"/>
  <c r="H114" i="16"/>
  <c r="G114" i="16"/>
  <c r="F113" i="16"/>
  <c r="I113" i="16"/>
  <c r="H113" i="16"/>
  <c r="G113" i="16"/>
  <c r="F112" i="16"/>
  <c r="J112" i="16"/>
  <c r="I112" i="16"/>
  <c r="H112" i="16"/>
  <c r="G112" i="16"/>
  <c r="F111" i="16"/>
  <c r="J111" i="16" s="1"/>
  <c r="I111" i="16"/>
  <c r="H111" i="16"/>
  <c r="G111" i="16"/>
  <c r="F110" i="16"/>
  <c r="J110" i="16"/>
  <c r="I110" i="16"/>
  <c r="H110" i="16"/>
  <c r="G110" i="16"/>
  <c r="F109" i="16"/>
  <c r="J109" i="16" s="1"/>
  <c r="I109" i="16"/>
  <c r="H109" i="16"/>
  <c r="G109" i="16"/>
  <c r="F108" i="16"/>
  <c r="J108" i="16"/>
  <c r="I108" i="16"/>
  <c r="G108" i="16"/>
  <c r="J107" i="16"/>
  <c r="I107" i="16"/>
  <c r="H107" i="16"/>
  <c r="G107" i="16"/>
  <c r="J106" i="16"/>
  <c r="I106" i="16"/>
  <c r="H106" i="16"/>
  <c r="G106" i="16"/>
  <c r="J105" i="16"/>
  <c r="I105" i="16"/>
  <c r="H105" i="16"/>
  <c r="G105" i="16"/>
  <c r="J104" i="16"/>
  <c r="I104" i="16"/>
  <c r="H104" i="16"/>
  <c r="G104" i="16"/>
  <c r="J103" i="16"/>
  <c r="I103" i="16"/>
  <c r="H103" i="16"/>
  <c r="G103" i="16"/>
  <c r="J102" i="16"/>
  <c r="I102" i="16"/>
  <c r="G102" i="16"/>
  <c r="J101" i="16"/>
  <c r="I101" i="16"/>
  <c r="H101" i="16"/>
  <c r="G101" i="16"/>
  <c r="J100" i="16"/>
  <c r="I100" i="16"/>
  <c r="G100" i="16"/>
  <c r="J99" i="16"/>
  <c r="I99" i="16"/>
  <c r="H99" i="16"/>
  <c r="G99" i="16"/>
  <c r="J98" i="16"/>
  <c r="I98" i="16"/>
  <c r="G98" i="16"/>
  <c r="J97" i="16"/>
  <c r="I97" i="16"/>
  <c r="H97" i="16"/>
  <c r="G97" i="16"/>
  <c r="J96" i="16"/>
  <c r="I96" i="16"/>
  <c r="H96" i="16"/>
  <c r="G96" i="16"/>
  <c r="J95" i="16"/>
  <c r="I95" i="16"/>
  <c r="H95" i="16"/>
  <c r="G95" i="16"/>
  <c r="J94" i="16"/>
  <c r="I94" i="16"/>
  <c r="H94" i="16"/>
  <c r="G94" i="16"/>
  <c r="J93" i="16"/>
  <c r="I93" i="16"/>
  <c r="H93" i="16"/>
  <c r="G93" i="16"/>
  <c r="J92" i="16"/>
  <c r="I92" i="16"/>
  <c r="H92" i="16"/>
  <c r="G92" i="16"/>
  <c r="J91" i="16"/>
  <c r="I91" i="16"/>
  <c r="H91" i="16"/>
  <c r="G91" i="16"/>
  <c r="J90" i="16"/>
  <c r="I90" i="16"/>
  <c r="H90" i="16"/>
  <c r="G90" i="16"/>
  <c r="J89" i="16"/>
  <c r="I89" i="16"/>
  <c r="H89" i="16"/>
  <c r="G89" i="16"/>
  <c r="J88" i="16"/>
  <c r="I88" i="16"/>
  <c r="H88" i="16"/>
  <c r="G88" i="16"/>
  <c r="J87" i="16"/>
  <c r="I87" i="16"/>
  <c r="H87" i="16"/>
  <c r="G87" i="16"/>
  <c r="J86" i="16"/>
  <c r="I86" i="16"/>
  <c r="H86" i="16"/>
  <c r="G86" i="16"/>
  <c r="J85" i="16"/>
  <c r="I85" i="16"/>
  <c r="H85" i="16"/>
  <c r="G85" i="16"/>
  <c r="J84" i="16"/>
  <c r="I84" i="16"/>
  <c r="H84" i="16"/>
  <c r="G84" i="16"/>
  <c r="J83" i="16"/>
  <c r="I83" i="16"/>
  <c r="H83" i="16"/>
  <c r="G83" i="16"/>
  <c r="J82" i="16"/>
  <c r="I82" i="16"/>
  <c r="G82" i="16"/>
  <c r="J81" i="16"/>
  <c r="I81" i="16"/>
  <c r="H81" i="16"/>
  <c r="G81" i="16"/>
  <c r="J80" i="16"/>
  <c r="I80" i="16"/>
  <c r="H80" i="16"/>
  <c r="G80" i="16"/>
  <c r="J79" i="16"/>
  <c r="I79" i="16"/>
  <c r="H79" i="16"/>
  <c r="G79" i="16"/>
  <c r="J78" i="16"/>
  <c r="I78" i="16"/>
  <c r="H78" i="16"/>
  <c r="G78" i="16"/>
  <c r="J77" i="16"/>
  <c r="I77" i="16"/>
  <c r="H77" i="16"/>
  <c r="G77" i="16"/>
  <c r="J76" i="16"/>
  <c r="I76" i="16"/>
  <c r="H76" i="16"/>
  <c r="G76" i="16"/>
  <c r="J75" i="16"/>
  <c r="I75" i="16"/>
  <c r="H75" i="16"/>
  <c r="G75" i="16"/>
  <c r="J74" i="16"/>
  <c r="I74" i="16"/>
  <c r="H74" i="16"/>
  <c r="G74" i="16"/>
  <c r="J73" i="16"/>
  <c r="I73" i="16"/>
  <c r="H73" i="16"/>
  <c r="G73" i="16"/>
  <c r="J72" i="16"/>
  <c r="I72" i="16"/>
  <c r="H72" i="16"/>
  <c r="G72" i="16"/>
  <c r="J71" i="16"/>
  <c r="I71" i="16"/>
  <c r="H71" i="16"/>
  <c r="G71" i="16"/>
  <c r="J70" i="16"/>
  <c r="I70" i="16"/>
  <c r="G70" i="16"/>
  <c r="J69" i="16"/>
  <c r="I69" i="16"/>
  <c r="H69" i="16"/>
  <c r="G69" i="16"/>
  <c r="J68" i="16"/>
  <c r="I68" i="16"/>
  <c r="H68" i="16"/>
  <c r="G68" i="16"/>
  <c r="J67" i="16"/>
  <c r="I67" i="16"/>
  <c r="H67" i="16"/>
  <c r="G67" i="16"/>
  <c r="J66" i="16"/>
  <c r="I66" i="16"/>
  <c r="G66" i="16"/>
  <c r="J65" i="16"/>
  <c r="I65" i="16"/>
  <c r="H65" i="16"/>
  <c r="G65" i="16"/>
  <c r="J64" i="16"/>
  <c r="I64" i="16"/>
  <c r="G64" i="16"/>
  <c r="J63" i="16"/>
  <c r="I63" i="16"/>
  <c r="H63" i="16"/>
  <c r="G63" i="16"/>
  <c r="J62" i="16"/>
  <c r="I62" i="16"/>
  <c r="G62" i="16"/>
  <c r="J61" i="16"/>
  <c r="I61" i="16"/>
  <c r="H61" i="16"/>
  <c r="G61" i="16"/>
  <c r="J60" i="16"/>
  <c r="I60" i="16"/>
  <c r="H60" i="16"/>
  <c r="G60" i="16"/>
  <c r="J59" i="16"/>
  <c r="I59" i="16"/>
  <c r="H59" i="16"/>
  <c r="G59" i="16"/>
  <c r="J58" i="16"/>
  <c r="I58" i="16"/>
  <c r="H58" i="16"/>
  <c r="G58" i="16"/>
  <c r="J57" i="16"/>
  <c r="I57" i="16"/>
  <c r="H57" i="16"/>
  <c r="G57" i="16"/>
  <c r="J56" i="16"/>
  <c r="I56" i="16"/>
  <c r="H56" i="16"/>
  <c r="G56" i="16"/>
  <c r="J55" i="16"/>
  <c r="I55" i="16"/>
  <c r="H55" i="16"/>
  <c r="G55" i="16"/>
  <c r="J54" i="16"/>
  <c r="I54" i="16"/>
  <c r="H54" i="16"/>
  <c r="G54" i="16"/>
  <c r="J53" i="16"/>
  <c r="I53" i="16"/>
  <c r="H53" i="16"/>
  <c r="G53" i="16"/>
  <c r="J52" i="16"/>
  <c r="I52" i="16"/>
  <c r="G52" i="16"/>
  <c r="J51" i="16"/>
  <c r="I51" i="16"/>
  <c r="H51" i="16"/>
  <c r="G51" i="16"/>
  <c r="J50" i="16"/>
  <c r="I50" i="16"/>
  <c r="H50" i="16"/>
  <c r="G50" i="16"/>
  <c r="J49" i="16"/>
  <c r="I49" i="16"/>
  <c r="H49" i="16"/>
  <c r="G49" i="16"/>
  <c r="J48" i="16"/>
  <c r="I48" i="16"/>
  <c r="G48" i="16"/>
  <c r="J47" i="16"/>
  <c r="I47" i="16"/>
  <c r="H47" i="16"/>
  <c r="G47" i="16"/>
  <c r="J46" i="16"/>
  <c r="I46" i="16"/>
  <c r="H46" i="16"/>
  <c r="G46" i="16"/>
  <c r="J45" i="16"/>
  <c r="I45" i="16"/>
  <c r="H45" i="16"/>
  <c r="G45" i="16"/>
  <c r="J44" i="16"/>
  <c r="I44" i="16"/>
  <c r="G44" i="16"/>
  <c r="J43" i="16"/>
  <c r="I43" i="16"/>
  <c r="H43" i="16"/>
  <c r="G43" i="16"/>
  <c r="J42" i="16"/>
  <c r="I42" i="16"/>
  <c r="H42" i="16"/>
  <c r="G42" i="16"/>
  <c r="J41" i="16"/>
  <c r="I41" i="16"/>
  <c r="H41" i="16"/>
  <c r="G41" i="16"/>
  <c r="J40" i="16"/>
  <c r="I40" i="16"/>
  <c r="H40" i="16"/>
  <c r="G40" i="16"/>
  <c r="J39" i="16"/>
  <c r="I39" i="16"/>
  <c r="H39" i="16"/>
  <c r="G39" i="16"/>
  <c r="J38" i="16"/>
  <c r="I38" i="16"/>
  <c r="H38" i="16"/>
  <c r="G38" i="16"/>
  <c r="J37" i="16"/>
  <c r="I37" i="16"/>
  <c r="H37" i="16"/>
  <c r="G37" i="16"/>
  <c r="J36" i="16"/>
  <c r="I36" i="16"/>
  <c r="H36" i="16"/>
  <c r="G36" i="16"/>
  <c r="J35" i="16"/>
  <c r="I35" i="16"/>
  <c r="H35" i="16"/>
  <c r="G35" i="16"/>
  <c r="J34" i="16"/>
  <c r="I34" i="16"/>
  <c r="H34" i="16"/>
  <c r="G34" i="16"/>
  <c r="J33" i="16"/>
  <c r="I33" i="16"/>
  <c r="H33" i="16"/>
  <c r="G33" i="16"/>
  <c r="J32" i="16"/>
  <c r="I32" i="16"/>
  <c r="H32" i="16"/>
  <c r="G32" i="16"/>
  <c r="J31" i="16"/>
  <c r="I31" i="16"/>
  <c r="H31" i="16"/>
  <c r="G31" i="16"/>
  <c r="J30" i="16"/>
  <c r="I30" i="16"/>
  <c r="H30" i="16"/>
  <c r="G30" i="16"/>
  <c r="J29" i="16"/>
  <c r="I29" i="16"/>
  <c r="H29" i="16"/>
  <c r="G29" i="16"/>
  <c r="J28" i="16"/>
  <c r="I28" i="16"/>
  <c r="H28" i="16"/>
  <c r="G28" i="16"/>
  <c r="J27" i="16"/>
  <c r="I27" i="16"/>
  <c r="H27" i="16"/>
  <c r="G27" i="16"/>
  <c r="J26" i="16"/>
  <c r="I26" i="16"/>
  <c r="H26" i="16"/>
  <c r="G26" i="16"/>
  <c r="J25" i="16"/>
  <c r="I25" i="16"/>
  <c r="H25" i="16"/>
  <c r="G25" i="16"/>
  <c r="J24" i="16"/>
  <c r="I24" i="16"/>
  <c r="H24" i="16"/>
  <c r="G24" i="16"/>
  <c r="J23" i="16"/>
  <c r="I23" i="16"/>
  <c r="H23" i="16"/>
  <c r="G23" i="16"/>
  <c r="J22" i="16"/>
  <c r="I22" i="16"/>
  <c r="H22" i="16"/>
  <c r="G22" i="16"/>
  <c r="J21" i="16"/>
  <c r="I21" i="16"/>
  <c r="H21" i="16"/>
  <c r="G21" i="16"/>
  <c r="J20" i="16"/>
  <c r="I20" i="16"/>
  <c r="H20" i="16"/>
  <c r="G20" i="16"/>
  <c r="J19" i="16"/>
  <c r="I19" i="16"/>
  <c r="H19" i="16"/>
  <c r="G19" i="16"/>
  <c r="J18" i="16"/>
  <c r="I18" i="16"/>
  <c r="H18" i="16"/>
  <c r="G18" i="16"/>
  <c r="J17" i="16"/>
  <c r="I17" i="16"/>
  <c r="H17" i="16"/>
  <c r="G17" i="16"/>
  <c r="J16" i="16"/>
  <c r="I16" i="16"/>
  <c r="H16" i="16"/>
  <c r="G16" i="16"/>
  <c r="J15" i="16"/>
  <c r="I15" i="16"/>
  <c r="H15" i="16"/>
  <c r="G15" i="16"/>
  <c r="J14" i="16"/>
  <c r="I14" i="16"/>
  <c r="H14" i="16"/>
  <c r="G14" i="16"/>
  <c r="J13" i="16"/>
  <c r="I13" i="16"/>
  <c r="H13" i="16"/>
  <c r="G13" i="16"/>
  <c r="J12" i="16"/>
  <c r="I12" i="16"/>
  <c r="H12" i="16"/>
  <c r="G12" i="16"/>
  <c r="J11" i="16"/>
  <c r="I11" i="16"/>
  <c r="H11" i="16"/>
  <c r="G11" i="16"/>
  <c r="J10" i="16"/>
  <c r="I10" i="16"/>
  <c r="H10" i="16"/>
  <c r="G10" i="16"/>
  <c r="J9" i="16"/>
  <c r="I9" i="16"/>
  <c r="H9" i="16"/>
  <c r="G9" i="16"/>
  <c r="J8" i="16"/>
  <c r="I8" i="16"/>
  <c r="H8" i="16"/>
  <c r="G8" i="16"/>
  <c r="J7" i="16"/>
  <c r="I7" i="16"/>
  <c r="H7" i="16"/>
  <c r="G7" i="16"/>
  <c r="AI161" i="16"/>
  <c r="AI157" i="16"/>
  <c r="AI156" i="16"/>
  <c r="AI155" i="16"/>
  <c r="AI153" i="16"/>
  <c r="AI151" i="16"/>
  <c r="AI149" i="16"/>
  <c r="AI148" i="16"/>
  <c r="AI147" i="16"/>
  <c r="AI145" i="16"/>
  <c r="AI142" i="16"/>
  <c r="AI141" i="16"/>
  <c r="V140" i="16"/>
  <c r="AG140" i="16" s="1"/>
  <c r="N140" i="16"/>
  <c r="AI140" i="16"/>
  <c r="V139" i="16"/>
  <c r="N139" i="16"/>
  <c r="V138" i="16"/>
  <c r="N138" i="16"/>
  <c r="V137" i="16"/>
  <c r="N137" i="16"/>
  <c r="V136" i="16"/>
  <c r="AG136" i="16" s="1"/>
  <c r="N136" i="16"/>
  <c r="AI136" i="16"/>
  <c r="V135" i="16"/>
  <c r="AG135" i="16" s="1"/>
  <c r="AI135" i="16" s="1"/>
  <c r="N135" i="16"/>
  <c r="V134" i="16"/>
  <c r="N134" i="16"/>
  <c r="V133" i="16"/>
  <c r="N133" i="16"/>
  <c r="V132" i="16"/>
  <c r="AG132" i="16" s="1"/>
  <c r="AI132" i="16" s="1"/>
  <c r="N132" i="16"/>
  <c r="V131" i="16"/>
  <c r="AG131" i="16" s="1"/>
  <c r="AI131" i="16" s="1"/>
  <c r="N131" i="16"/>
  <c r="V130" i="16"/>
  <c r="N130" i="16"/>
  <c r="V129" i="16"/>
  <c r="N129" i="16"/>
  <c r="V128" i="16"/>
  <c r="AG128" i="16" s="1"/>
  <c r="AI128" i="16" s="1"/>
  <c r="N128" i="16"/>
  <c r="V127" i="16"/>
  <c r="N127" i="16"/>
  <c r="V126" i="16"/>
  <c r="AG126" i="16" s="1"/>
  <c r="AI126" i="16" s="1"/>
  <c r="N126" i="16"/>
  <c r="V125" i="16"/>
  <c r="N125" i="16"/>
  <c r="V124" i="16"/>
  <c r="AG124" i="16" s="1"/>
  <c r="N124" i="16"/>
  <c r="AI124" i="16"/>
  <c r="V123" i="16"/>
  <c r="N123" i="16"/>
  <c r="V122" i="16"/>
  <c r="AG122" i="16" s="1"/>
  <c r="AI122" i="16" s="1"/>
  <c r="N122" i="16"/>
  <c r="V121" i="16"/>
  <c r="N121" i="16"/>
  <c r="V120" i="16"/>
  <c r="AG120" i="16" s="1"/>
  <c r="N120" i="16"/>
  <c r="AI120" i="16"/>
  <c r="V119" i="16"/>
  <c r="V118" i="16"/>
  <c r="N118" i="16"/>
  <c r="V117" i="16"/>
  <c r="N117" i="16"/>
  <c r="V116" i="16"/>
  <c r="AG116" i="16" s="1"/>
  <c r="AI116" i="16" s="1"/>
  <c r="N116" i="16"/>
  <c r="V115" i="16"/>
  <c r="N115" i="16"/>
  <c r="V114" i="16"/>
  <c r="V113" i="16"/>
  <c r="V112" i="16"/>
  <c r="AG112" i="16" s="1"/>
  <c r="AI112" i="16" s="1"/>
  <c r="N112" i="16"/>
  <c r="V111" i="16"/>
  <c r="N111" i="16"/>
  <c r="V110" i="16"/>
  <c r="AG110" i="16" s="1"/>
  <c r="AI110" i="16" s="1"/>
  <c r="N110" i="16"/>
  <c r="V109" i="16"/>
  <c r="N109" i="16"/>
  <c r="V108" i="16"/>
  <c r="AG108" i="16" s="1"/>
  <c r="N108" i="16"/>
  <c r="AI108" i="16"/>
  <c r="AC161" i="16"/>
  <c r="AC154" i="16"/>
  <c r="AC150" i="16"/>
  <c r="AC149" i="16"/>
  <c r="AC145" i="16"/>
  <c r="AC138" i="16"/>
  <c r="AC133" i="16"/>
  <c r="AC129" i="16"/>
  <c r="W8" i="16"/>
  <c r="W9" i="16"/>
  <c r="W10" i="16"/>
  <c r="W11" i="16"/>
  <c r="W12" i="16" s="1"/>
  <c r="W13" i="16" s="1"/>
  <c r="W14" i="16" s="1"/>
  <c r="W15" i="16" s="1"/>
  <c r="W16" i="16" s="1"/>
  <c r="W17" i="16"/>
  <c r="W18" i="16" s="1"/>
  <c r="W19" i="16" s="1"/>
  <c r="W20" i="16" s="1"/>
  <c r="W21" i="16" s="1"/>
  <c r="W22" i="16" s="1"/>
  <c r="W23" i="16" s="1"/>
  <c r="W24" i="16" s="1"/>
  <c r="W25" i="16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W95" i="16" s="1"/>
  <c r="W96" i="16" s="1"/>
  <c r="W97" i="16" s="1"/>
  <c r="W98" i="16" s="1"/>
  <c r="W99" i="16" s="1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W119" i="16" s="1"/>
  <c r="W120" i="16" s="1"/>
  <c r="W121" i="16" s="1"/>
  <c r="W122" i="16" s="1"/>
  <c r="W123" i="16" s="1"/>
  <c r="W124" i="16" s="1"/>
  <c r="W125" i="16" s="1"/>
  <c r="W126" i="16" s="1"/>
  <c r="W127" i="16" s="1"/>
  <c r="W128" i="16" s="1"/>
  <c r="W129" i="16" s="1"/>
  <c r="W130" i="16" s="1"/>
  <c r="W131" i="16" s="1"/>
  <c r="W132" i="16" s="1"/>
  <c r="W133" i="16" s="1"/>
  <c r="W134" i="16" s="1"/>
  <c r="W135" i="16" s="1"/>
  <c r="W136" i="16" s="1"/>
  <c r="W137" i="16" s="1"/>
  <c r="W138" i="16" s="1"/>
  <c r="W139" i="16" s="1"/>
  <c r="W140" i="16" s="1"/>
  <c r="W141" i="16" s="1"/>
  <c r="W142" i="16" s="1"/>
  <c r="W143" i="16" s="1"/>
  <c r="W144" i="16" s="1"/>
  <c r="W145" i="16" s="1"/>
  <c r="W146" i="16" s="1"/>
  <c r="W147" i="16" s="1"/>
  <c r="W148" i="16" s="1"/>
  <c r="W149" i="16" s="1"/>
  <c r="W150" i="16" s="1"/>
  <c r="W151" i="16" s="1"/>
  <c r="W152" i="16" s="1"/>
  <c r="W153" i="16" s="1"/>
  <c r="W154" i="16" s="1"/>
  <c r="W155" i="16" s="1"/>
  <c r="W156" i="16" s="1"/>
  <c r="W157" i="16" s="1"/>
  <c r="W158" i="16" s="1"/>
  <c r="W159" i="16" s="1"/>
  <c r="W160" i="16" s="1"/>
  <c r="W161" i="16" s="1"/>
  <c r="W162" i="16" s="1"/>
  <c r="W163" i="16" s="1"/>
  <c r="W164" i="16" s="1"/>
  <c r="W165" i="16" s="1"/>
  <c r="W166" i="16" s="1"/>
  <c r="W167" i="16" s="1"/>
  <c r="W168" i="16" s="1"/>
  <c r="W169" i="16" s="1"/>
  <c r="W170" i="16" s="1"/>
  <c r="W171" i="16" s="1"/>
  <c r="W172" i="16" s="1"/>
  <c r="W173" i="16" s="1"/>
  <c r="W174" i="16" s="1"/>
  <c r="W175" i="16" s="1"/>
  <c r="W176" i="16" s="1"/>
  <c r="W177" i="16" s="1"/>
  <c r="W178" i="16" s="1"/>
  <c r="W179" i="16" s="1"/>
  <c r="W180" i="16" s="1"/>
  <c r="W181" i="16" s="1"/>
  <c r="W182" i="16" s="1"/>
  <c r="W183" i="16" s="1"/>
  <c r="W184" i="16" s="1"/>
  <c r="W185" i="16" s="1"/>
  <c r="W186" i="16" s="1"/>
  <c r="W187" i="16" s="1"/>
  <c r="W188" i="16" s="1"/>
  <c r="W189" i="16" s="1"/>
  <c r="W190" i="16" s="1"/>
  <c r="W191" i="16" s="1"/>
  <c r="W192" i="16" s="1"/>
  <c r="W193" i="16" s="1"/>
  <c r="W194" i="16" s="1"/>
  <c r="W195" i="16" s="1"/>
  <c r="W196" i="16" s="1"/>
  <c r="W197" i="16" s="1"/>
  <c r="W198" i="16" s="1"/>
  <c r="W199" i="16" s="1"/>
  <c r="W200" i="16" s="1"/>
  <c r="W201" i="16" s="1"/>
  <c r="W202" i="16" s="1"/>
  <c r="W203" i="16" s="1"/>
  <c r="W204" i="16" s="1"/>
  <c r="W205" i="16" s="1"/>
  <c r="W206" i="16" s="1"/>
  <c r="W207" i="16" s="1"/>
  <c r="A8" i="16"/>
  <c r="A9" i="16"/>
  <c r="A10" i="16"/>
  <c r="A11" i="16"/>
  <c r="A12" i="16" s="1"/>
  <c r="A13" i="16"/>
  <c r="A14" i="16" s="1"/>
  <c r="A15" i="16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Z92" i="14"/>
  <c r="AN14" i="14"/>
  <c r="BA14" i="14" s="1"/>
  <c r="Y92" i="14"/>
  <c r="AM14" i="14" s="1"/>
  <c r="AZ14" i="14" s="1"/>
  <c r="X92" i="14"/>
  <c r="AL14" i="14" s="1"/>
  <c r="AY14" i="14" s="1"/>
  <c r="W92" i="14"/>
  <c r="AK14" i="14"/>
  <c r="AX14" i="14" s="1"/>
  <c r="Z85" i="14"/>
  <c r="AN13" i="14"/>
  <c r="BA13" i="14"/>
  <c r="Y85" i="14"/>
  <c r="AM13" i="14" s="1"/>
  <c r="AZ13" i="14" s="1"/>
  <c r="X85" i="14"/>
  <c r="AL13" i="14"/>
  <c r="AY13" i="14" s="1"/>
  <c r="W85" i="14"/>
  <c r="AK13" i="14" s="1"/>
  <c r="AX13" i="14" s="1"/>
  <c r="Z78" i="14"/>
  <c r="AN12" i="14"/>
  <c r="BA12" i="14" s="1"/>
  <c r="Y78" i="14"/>
  <c r="AM12" i="14" s="1"/>
  <c r="AZ12" i="14" s="1"/>
  <c r="X78" i="14"/>
  <c r="AL12" i="14" s="1"/>
  <c r="AY12" i="14" s="1"/>
  <c r="W78" i="14"/>
  <c r="AK12" i="14"/>
  <c r="AX12" i="14" s="1"/>
  <c r="Z71" i="14"/>
  <c r="AN11" i="14"/>
  <c r="BA11" i="14"/>
  <c r="Y71" i="14"/>
  <c r="AM11" i="14" s="1"/>
  <c r="AZ11" i="14" s="1"/>
  <c r="X71" i="14"/>
  <c r="AL11" i="14"/>
  <c r="AY11" i="14" s="1"/>
  <c r="W71" i="14"/>
  <c r="AK11" i="14" s="1"/>
  <c r="AX11" i="14" s="1"/>
  <c r="Z64" i="14"/>
  <c r="AN10" i="14"/>
  <c r="BA10" i="14" s="1"/>
  <c r="Y64" i="14"/>
  <c r="AM10" i="14" s="1"/>
  <c r="AZ10" i="14" s="1"/>
  <c r="X64" i="14"/>
  <c r="AL10" i="14" s="1"/>
  <c r="AY10" i="14" s="1"/>
  <c r="W64" i="14"/>
  <c r="AK10" i="14"/>
  <c r="AX10" i="14" s="1"/>
  <c r="Z57" i="14"/>
  <c r="AN9" i="14"/>
  <c r="BA9" i="14"/>
  <c r="Y57" i="14"/>
  <c r="AM9" i="14" s="1"/>
  <c r="AZ9" i="14" s="1"/>
  <c r="X57" i="14"/>
  <c r="AL9" i="14"/>
  <c r="AY9" i="14" s="1"/>
  <c r="W57" i="14"/>
  <c r="AK9" i="14" s="1"/>
  <c r="AX9" i="14" s="1"/>
  <c r="Z50" i="14"/>
  <c r="AN8" i="14"/>
  <c r="BA8" i="14" s="1"/>
  <c r="Y50" i="14"/>
  <c r="AM8" i="14" s="1"/>
  <c r="AZ8" i="14" s="1"/>
  <c r="X50" i="14"/>
  <c r="AL8" i="14" s="1"/>
  <c r="AY8" i="14" s="1"/>
  <c r="W50" i="14"/>
  <c r="AK8" i="14"/>
  <c r="AX8" i="14" s="1"/>
  <c r="Z43" i="14"/>
  <c r="AN7" i="14"/>
  <c r="BA7" i="14"/>
  <c r="Y43" i="14"/>
  <c r="AM7" i="14" s="1"/>
  <c r="AZ7" i="14" s="1"/>
  <c r="X43" i="14"/>
  <c r="AL7" i="14"/>
  <c r="AY7" i="14" s="1"/>
  <c r="W43" i="14"/>
  <c r="AK7" i="14" s="1"/>
  <c r="AX7" i="14" s="1"/>
  <c r="Z36" i="14"/>
  <c r="AN6" i="14"/>
  <c r="BA6" i="14" s="1"/>
  <c r="Y36" i="14"/>
  <c r="AM6" i="14" s="1"/>
  <c r="AZ6" i="14" s="1"/>
  <c r="X36" i="14"/>
  <c r="AL6" i="14" s="1"/>
  <c r="AY6" i="14" s="1"/>
  <c r="W36" i="14"/>
  <c r="AK6" i="14"/>
  <c r="AX6" i="14" s="1"/>
  <c r="Z29" i="14"/>
  <c r="AN5" i="14"/>
  <c r="BA5" i="14"/>
  <c r="Y29" i="14"/>
  <c r="AM5" i="14" s="1"/>
  <c r="AZ5" i="14" s="1"/>
  <c r="X29" i="14"/>
  <c r="AL5" i="14"/>
  <c r="AY5" i="14" s="1"/>
  <c r="W29" i="14"/>
  <c r="AK5" i="14" s="1"/>
  <c r="AX5" i="14" s="1"/>
  <c r="Z22" i="14"/>
  <c r="AN4" i="14"/>
  <c r="BA4" i="14" s="1"/>
  <c r="Y22" i="14"/>
  <c r="AM4" i="14" s="1"/>
  <c r="AZ4" i="14" s="1"/>
  <c r="X22" i="14"/>
  <c r="AL4" i="14" s="1"/>
  <c r="AY4" i="14" s="1"/>
  <c r="W22" i="14"/>
  <c r="AK4" i="14"/>
  <c r="AX4" i="14" s="1"/>
  <c r="Z15" i="14"/>
  <c r="AN3" i="14"/>
  <c r="BA3" i="14"/>
  <c r="Y15" i="14"/>
  <c r="AM3" i="14" s="1"/>
  <c r="AZ3" i="14" s="1"/>
  <c r="X15" i="14"/>
  <c r="AL3" i="14"/>
  <c r="AY3" i="14" s="1"/>
  <c r="W15" i="14"/>
  <c r="AK3" i="14" s="1"/>
  <c r="AX3" i="14" s="1"/>
  <c r="Z8" i="14"/>
  <c r="AN2" i="14"/>
  <c r="BA2" i="14" s="1"/>
  <c r="Y8" i="14"/>
  <c r="AM2" i="14" s="1"/>
  <c r="AZ2" i="14" s="1"/>
  <c r="X8" i="14"/>
  <c r="AL2" i="14" s="1"/>
  <c r="AY2" i="14" s="1"/>
  <c r="W8" i="14"/>
  <c r="AK2" i="14"/>
  <c r="AX2" i="14" s="1"/>
  <c r="V92" i="14"/>
  <c r="AJ14" i="14"/>
  <c r="AW14" i="14"/>
  <c r="U92" i="14"/>
  <c r="AI14" i="14" s="1"/>
  <c r="AV14" i="14" s="1"/>
  <c r="T92" i="14"/>
  <c r="AH14" i="14"/>
  <c r="AU14" i="14" s="1"/>
  <c r="S92" i="14"/>
  <c r="AG14" i="14" s="1"/>
  <c r="AT14" i="14" s="1"/>
  <c r="V85" i="14"/>
  <c r="AJ13" i="14"/>
  <c r="AW13" i="14" s="1"/>
  <c r="U85" i="14"/>
  <c r="AI13" i="14" s="1"/>
  <c r="AV13" i="14" s="1"/>
  <c r="T85" i="14"/>
  <c r="AH13" i="14" s="1"/>
  <c r="AU13" i="14" s="1"/>
  <c r="S85" i="14"/>
  <c r="AG13" i="14"/>
  <c r="AT13" i="14" s="1"/>
  <c r="V78" i="14"/>
  <c r="AJ12" i="14"/>
  <c r="AW12" i="14"/>
  <c r="U78" i="14"/>
  <c r="AI12" i="14" s="1"/>
  <c r="AV12" i="14" s="1"/>
  <c r="T78" i="14"/>
  <c r="AH12" i="14"/>
  <c r="AU12" i="14" s="1"/>
  <c r="S78" i="14"/>
  <c r="AG12" i="14" s="1"/>
  <c r="AT12" i="14" s="1"/>
  <c r="V71" i="14"/>
  <c r="AJ11" i="14"/>
  <c r="AW11" i="14" s="1"/>
  <c r="U71" i="14"/>
  <c r="AI11" i="14" s="1"/>
  <c r="AV11" i="14" s="1"/>
  <c r="T71" i="14"/>
  <c r="AH11" i="14" s="1"/>
  <c r="AU11" i="14" s="1"/>
  <c r="S71" i="14"/>
  <c r="AG11" i="14"/>
  <c r="AT11" i="14" s="1"/>
  <c r="V64" i="14"/>
  <c r="AJ10" i="14"/>
  <c r="AW10" i="14"/>
  <c r="U64" i="14"/>
  <c r="AI10" i="14" s="1"/>
  <c r="AV10" i="14" s="1"/>
  <c r="T64" i="14"/>
  <c r="AH10" i="14"/>
  <c r="AU10" i="14" s="1"/>
  <c r="S64" i="14"/>
  <c r="AG10" i="14" s="1"/>
  <c r="AT10" i="14" s="1"/>
  <c r="V57" i="14"/>
  <c r="AJ9" i="14"/>
  <c r="AW9" i="14" s="1"/>
  <c r="U57" i="14"/>
  <c r="AI9" i="14" s="1"/>
  <c r="AV9" i="14" s="1"/>
  <c r="T57" i="14"/>
  <c r="AH9" i="14" s="1"/>
  <c r="AU9" i="14" s="1"/>
  <c r="S57" i="14"/>
  <c r="AG9" i="14"/>
  <c r="AT9" i="14" s="1"/>
  <c r="V50" i="14"/>
  <c r="AJ8" i="14"/>
  <c r="AW8" i="14"/>
  <c r="U50" i="14"/>
  <c r="AI8" i="14" s="1"/>
  <c r="AV8" i="14" s="1"/>
  <c r="T50" i="14"/>
  <c r="AH8" i="14"/>
  <c r="AU8" i="14" s="1"/>
  <c r="S50" i="14"/>
  <c r="AG8" i="14" s="1"/>
  <c r="AT8" i="14" s="1"/>
  <c r="V43" i="14"/>
  <c r="AJ7" i="14"/>
  <c r="AW7" i="14" s="1"/>
  <c r="U43" i="14"/>
  <c r="AI7" i="14" s="1"/>
  <c r="AV7" i="14" s="1"/>
  <c r="T43" i="14"/>
  <c r="AH7" i="14" s="1"/>
  <c r="AU7" i="14" s="1"/>
  <c r="S43" i="14"/>
  <c r="AG7" i="14"/>
  <c r="AT7" i="14" s="1"/>
  <c r="V36" i="14"/>
  <c r="AJ6" i="14"/>
  <c r="AW6" i="14"/>
  <c r="U36" i="14"/>
  <c r="AI6" i="14" s="1"/>
  <c r="AV6" i="14" s="1"/>
  <c r="T36" i="14"/>
  <c r="AH6" i="14"/>
  <c r="AU6" i="14" s="1"/>
  <c r="S36" i="14"/>
  <c r="AG6" i="14" s="1"/>
  <c r="AT6" i="14" s="1"/>
  <c r="V29" i="14"/>
  <c r="AJ5" i="14"/>
  <c r="AW5" i="14" s="1"/>
  <c r="U29" i="14"/>
  <c r="AI5" i="14" s="1"/>
  <c r="AV5" i="14" s="1"/>
  <c r="T29" i="14"/>
  <c r="AH5" i="14" s="1"/>
  <c r="AU5" i="14" s="1"/>
  <c r="S29" i="14"/>
  <c r="AG5" i="14"/>
  <c r="AT5" i="14" s="1"/>
  <c r="V22" i="14"/>
  <c r="AJ4" i="14"/>
  <c r="AW4" i="14"/>
  <c r="U22" i="14"/>
  <c r="AI4" i="14" s="1"/>
  <c r="AV4" i="14" s="1"/>
  <c r="T22" i="14"/>
  <c r="AH4" i="14"/>
  <c r="AU4" i="14" s="1"/>
  <c r="S22" i="14"/>
  <c r="AG4" i="14" s="1"/>
  <c r="AT4" i="14" s="1"/>
  <c r="V15" i="14"/>
  <c r="AJ3" i="14"/>
  <c r="AW3" i="14" s="1"/>
  <c r="U15" i="14"/>
  <c r="AI3" i="14" s="1"/>
  <c r="AV3" i="14" s="1"/>
  <c r="T15" i="14"/>
  <c r="AH3" i="14" s="1"/>
  <c r="AU3" i="14" s="1"/>
  <c r="S15" i="14"/>
  <c r="AG3" i="14"/>
  <c r="AT3" i="14" s="1"/>
  <c r="V8" i="14"/>
  <c r="AJ2" i="14"/>
  <c r="AW2" i="14"/>
  <c r="U8" i="14"/>
  <c r="AI2" i="14" s="1"/>
  <c r="AV2" i="14" s="1"/>
  <c r="T8" i="14"/>
  <c r="AH2" i="14"/>
  <c r="AU2" i="14" s="1"/>
  <c r="S8" i="14"/>
  <c r="AG2" i="14" s="1"/>
  <c r="AT2" i="14" s="1"/>
  <c r="O15" i="14"/>
  <c r="AC3" i="14"/>
  <c r="AP3" i="14" s="1"/>
  <c r="P15" i="14"/>
  <c r="AD3" i="14" s="1"/>
  <c r="AQ3" i="14" s="1"/>
  <c r="Q15" i="14"/>
  <c r="AE3" i="14" s="1"/>
  <c r="AR3" i="14" s="1"/>
  <c r="R15" i="14"/>
  <c r="AF3" i="14"/>
  <c r="AS3" i="14" s="1"/>
  <c r="O22" i="14"/>
  <c r="AC4" i="14"/>
  <c r="AP4" i="14"/>
  <c r="P22" i="14"/>
  <c r="AD4" i="14" s="1"/>
  <c r="AQ4" i="14" s="1"/>
  <c r="Q22" i="14"/>
  <c r="AE4" i="14"/>
  <c r="AR4" i="14" s="1"/>
  <c r="R22" i="14"/>
  <c r="AF4" i="14" s="1"/>
  <c r="AS4" i="14" s="1"/>
  <c r="O29" i="14"/>
  <c r="AC5" i="14"/>
  <c r="AP5" i="14" s="1"/>
  <c r="P29" i="14"/>
  <c r="AD5" i="14" s="1"/>
  <c r="AQ5" i="14" s="1"/>
  <c r="Q29" i="14"/>
  <c r="AE5" i="14" s="1"/>
  <c r="AR5" i="14" s="1"/>
  <c r="R29" i="14"/>
  <c r="AF5" i="14"/>
  <c r="AS5" i="14" s="1"/>
  <c r="O36" i="14"/>
  <c r="AC6" i="14"/>
  <c r="AP6" i="14"/>
  <c r="P36" i="14"/>
  <c r="AD6" i="14" s="1"/>
  <c r="AQ6" i="14" s="1"/>
  <c r="Q36" i="14"/>
  <c r="AE6" i="14"/>
  <c r="AR6" i="14" s="1"/>
  <c r="R36" i="14"/>
  <c r="AF6" i="14" s="1"/>
  <c r="AS6" i="14" s="1"/>
  <c r="O43" i="14"/>
  <c r="AC7" i="14"/>
  <c r="AP7" i="14" s="1"/>
  <c r="P43" i="14"/>
  <c r="AD7" i="14" s="1"/>
  <c r="AQ7" i="14" s="1"/>
  <c r="Q43" i="14"/>
  <c r="AE7" i="14" s="1"/>
  <c r="AR7" i="14" s="1"/>
  <c r="R43" i="14"/>
  <c r="AF7" i="14"/>
  <c r="AS7" i="14" s="1"/>
  <c r="O50" i="14"/>
  <c r="AC8" i="14"/>
  <c r="AP8" i="14"/>
  <c r="P50" i="14"/>
  <c r="AD8" i="14" s="1"/>
  <c r="AQ8" i="14" s="1"/>
  <c r="Q50" i="14"/>
  <c r="AE8" i="14"/>
  <c r="AR8" i="14" s="1"/>
  <c r="R50" i="14"/>
  <c r="AF8" i="14" s="1"/>
  <c r="AS8" i="14" s="1"/>
  <c r="O57" i="14"/>
  <c r="AC9" i="14"/>
  <c r="AP9" i="14" s="1"/>
  <c r="P57" i="14"/>
  <c r="AD9" i="14" s="1"/>
  <c r="AQ9" i="14" s="1"/>
  <c r="Q57" i="14"/>
  <c r="AE9" i="14" s="1"/>
  <c r="AR9" i="14" s="1"/>
  <c r="R57" i="14"/>
  <c r="AF9" i="14"/>
  <c r="AS9" i="14" s="1"/>
  <c r="O64" i="14"/>
  <c r="AC10" i="14"/>
  <c r="AP10" i="14"/>
  <c r="P64" i="14"/>
  <c r="AD10" i="14" s="1"/>
  <c r="AQ10" i="14" s="1"/>
  <c r="Q64" i="14"/>
  <c r="AE10" i="14"/>
  <c r="AR10" i="14" s="1"/>
  <c r="R64" i="14"/>
  <c r="AF10" i="14" s="1"/>
  <c r="AS10" i="14" s="1"/>
  <c r="O71" i="14"/>
  <c r="AC11" i="14"/>
  <c r="AP11" i="14" s="1"/>
  <c r="P71" i="14"/>
  <c r="AD11" i="14" s="1"/>
  <c r="AQ11" i="14" s="1"/>
  <c r="Q71" i="14"/>
  <c r="AE11" i="14" s="1"/>
  <c r="AR11" i="14" s="1"/>
  <c r="R71" i="14"/>
  <c r="AF11" i="14"/>
  <c r="AS11" i="14" s="1"/>
  <c r="O78" i="14"/>
  <c r="AC12" i="14"/>
  <c r="AP12" i="14"/>
  <c r="P78" i="14"/>
  <c r="AD12" i="14" s="1"/>
  <c r="AQ12" i="14" s="1"/>
  <c r="Q78" i="14"/>
  <c r="AE12" i="14"/>
  <c r="AR12" i="14" s="1"/>
  <c r="R78" i="14"/>
  <c r="AF12" i="14" s="1"/>
  <c r="AS12" i="14" s="1"/>
  <c r="O85" i="14"/>
  <c r="AC13" i="14"/>
  <c r="AP13" i="14" s="1"/>
  <c r="P85" i="14"/>
  <c r="AD13" i="14" s="1"/>
  <c r="AQ13" i="14" s="1"/>
  <c r="Q85" i="14"/>
  <c r="AE13" i="14" s="1"/>
  <c r="AR13" i="14" s="1"/>
  <c r="R85" i="14"/>
  <c r="AF13" i="14"/>
  <c r="AS13" i="14" s="1"/>
  <c r="O92" i="14"/>
  <c r="AC14" i="14"/>
  <c r="AP14" i="14"/>
  <c r="P92" i="14"/>
  <c r="AD14" i="14" s="1"/>
  <c r="AQ14" i="14" s="1"/>
  <c r="Q92" i="14"/>
  <c r="AE14" i="14"/>
  <c r="AR14" i="14" s="1"/>
  <c r="R92" i="14"/>
  <c r="AF14" i="14" s="1"/>
  <c r="AS14" i="14" s="1"/>
  <c r="R8" i="14"/>
  <c r="AF2" i="14"/>
  <c r="AS2" i="14" s="1"/>
  <c r="Q8" i="14"/>
  <c r="AE2" i="14" s="1"/>
  <c r="AR2" i="14" s="1"/>
  <c r="P8" i="14"/>
  <c r="AD2" i="14" s="1"/>
  <c r="O8" i="14"/>
  <c r="AC2" i="14"/>
  <c r="AP2" i="14" s="1"/>
  <c r="CC91" i="6"/>
  <c r="CC90" i="6"/>
  <c r="CC89" i="6"/>
  <c r="CC88" i="6"/>
  <c r="CC87" i="6"/>
  <c r="CC86" i="6"/>
  <c r="CC85" i="6"/>
  <c r="CC84" i="6"/>
  <c r="CC83" i="6"/>
  <c r="CC82" i="6"/>
  <c r="CC81" i="6"/>
  <c r="CC80" i="6"/>
  <c r="CC79" i="6"/>
  <c r="CC78" i="6"/>
  <c r="CC77" i="6"/>
  <c r="CC76" i="6"/>
  <c r="CC75" i="6"/>
  <c r="CC74" i="6"/>
  <c r="CC73" i="6"/>
  <c r="CC72" i="6"/>
  <c r="CC71" i="6"/>
  <c r="CC70" i="6"/>
  <c r="CC69" i="6"/>
  <c r="CC68" i="6"/>
  <c r="CC67" i="6"/>
  <c r="CC66" i="6"/>
  <c r="CC65" i="6"/>
  <c r="CC64" i="6"/>
  <c r="CC63" i="6"/>
  <c r="CC62" i="6"/>
  <c r="CC61" i="6"/>
  <c r="CC60" i="6"/>
  <c r="CC59" i="6"/>
  <c r="CC58" i="6"/>
  <c r="CC57" i="6"/>
  <c r="CC56" i="6"/>
  <c r="CC55" i="6"/>
  <c r="CC54" i="6"/>
  <c r="CC53" i="6"/>
  <c r="CC52" i="6"/>
  <c r="CC51" i="6"/>
  <c r="CC50" i="6"/>
  <c r="CC49" i="6"/>
  <c r="CC48" i="6"/>
  <c r="CC47" i="6"/>
  <c r="CC46" i="6"/>
  <c r="CC45" i="6"/>
  <c r="CC44" i="6"/>
  <c r="CC43" i="6"/>
  <c r="CC42" i="6"/>
  <c r="CC41" i="6"/>
  <c r="CC40" i="6"/>
  <c r="CC39" i="6"/>
  <c r="CC38" i="6"/>
  <c r="CC37" i="6"/>
  <c r="CC36" i="6"/>
  <c r="CC35" i="6"/>
  <c r="CC34" i="6"/>
  <c r="CC33" i="6"/>
  <c r="CC32" i="6"/>
  <c r="CC31" i="6"/>
  <c r="CC30" i="6"/>
  <c r="CC29" i="6"/>
  <c r="CC28" i="6"/>
  <c r="CC27" i="6"/>
  <c r="CC26" i="6"/>
  <c r="CC25" i="6"/>
  <c r="CC24" i="6"/>
  <c r="CC23" i="6"/>
  <c r="CC22" i="6"/>
  <c r="CC21" i="6"/>
  <c r="CC20" i="6"/>
  <c r="CC19" i="6"/>
  <c r="CC18" i="6"/>
  <c r="CC17" i="6"/>
  <c r="CC16" i="6"/>
  <c r="CC15" i="6"/>
  <c r="CC14" i="6"/>
  <c r="CC13" i="6"/>
  <c r="CC12" i="6"/>
  <c r="CC11" i="6"/>
  <c r="CC10" i="6"/>
  <c r="CC9" i="6"/>
  <c r="CC8" i="6"/>
  <c r="CC7" i="6"/>
  <c r="CC6" i="6"/>
  <c r="CC5" i="6"/>
  <c r="CC4" i="6"/>
  <c r="CC3" i="6"/>
  <c r="CC2" i="6"/>
  <c r="CK2" i="6" s="1"/>
  <c r="CO2" i="6" s="1"/>
  <c r="FA2" i="6" s="1"/>
  <c r="FH2" i="6" s="1"/>
  <c r="CD91" i="6"/>
  <c r="CD90" i="6"/>
  <c r="CD89" i="6"/>
  <c r="CD88" i="6"/>
  <c r="CD87" i="6"/>
  <c r="CL87" i="6" s="1"/>
  <c r="CP87" i="6" s="1"/>
  <c r="CD86" i="6"/>
  <c r="CD85" i="6"/>
  <c r="CD84" i="6"/>
  <c r="CD83" i="6"/>
  <c r="CD82" i="6"/>
  <c r="CL82" i="6" s="1"/>
  <c r="CP82" i="6" s="1"/>
  <c r="CD81" i="6"/>
  <c r="CD80" i="6"/>
  <c r="CD79" i="6"/>
  <c r="CD78" i="6"/>
  <c r="CL78" i="6" s="1"/>
  <c r="CP78" i="6" s="1"/>
  <c r="CD77" i="6"/>
  <c r="CD76" i="6"/>
  <c r="CD75" i="6"/>
  <c r="CD74" i="6"/>
  <c r="CD73" i="6"/>
  <c r="CD72" i="6"/>
  <c r="CL72" i="6" s="1"/>
  <c r="CP72" i="6" s="1"/>
  <c r="FB72" i="6" s="1"/>
  <c r="FI72" i="6" s="1"/>
  <c r="CD71" i="6"/>
  <c r="CL71" i="6" s="1"/>
  <c r="CP71" i="6" s="1"/>
  <c r="FB71" i="6" s="1"/>
  <c r="CD70" i="6"/>
  <c r="CL70" i="6" s="1"/>
  <c r="CP70" i="6" s="1"/>
  <c r="CD69" i="6"/>
  <c r="CD68" i="6"/>
  <c r="CD67" i="6"/>
  <c r="CD66" i="6"/>
  <c r="CL66" i="6" s="1"/>
  <c r="CP66" i="6" s="1"/>
  <c r="CD65" i="6"/>
  <c r="CD64" i="6"/>
  <c r="CD63" i="6"/>
  <c r="CL63" i="6" s="1"/>
  <c r="CP63" i="6" s="1"/>
  <c r="CD62" i="6"/>
  <c r="CD61" i="6"/>
  <c r="CD60" i="6"/>
  <c r="CD59" i="6"/>
  <c r="CD58" i="6"/>
  <c r="CD57" i="6"/>
  <c r="CD56" i="6"/>
  <c r="CD55" i="6"/>
  <c r="CD54" i="6"/>
  <c r="CL54" i="6" s="1"/>
  <c r="CP54" i="6" s="1"/>
  <c r="CD53" i="6"/>
  <c r="CD52" i="6"/>
  <c r="CD51" i="6"/>
  <c r="CD50" i="6"/>
  <c r="CL50" i="6" s="1"/>
  <c r="CD49" i="6"/>
  <c r="CD48" i="6"/>
  <c r="CL48" i="6" s="1"/>
  <c r="CD47" i="6"/>
  <c r="CD46" i="6"/>
  <c r="CD45" i="6"/>
  <c r="CD44" i="6"/>
  <c r="CD43" i="6"/>
  <c r="CD42" i="6"/>
  <c r="CD41" i="6"/>
  <c r="CD40" i="6"/>
  <c r="CD39" i="6"/>
  <c r="CL39" i="6" s="1"/>
  <c r="CP39" i="6" s="1"/>
  <c r="CD38" i="6"/>
  <c r="CD37" i="6"/>
  <c r="CD36" i="6"/>
  <c r="CD35" i="6"/>
  <c r="CL35" i="6" s="1"/>
  <c r="CP35" i="6" s="1"/>
  <c r="CD34" i="6"/>
  <c r="CD33" i="6"/>
  <c r="CD32" i="6"/>
  <c r="CD31" i="6"/>
  <c r="CL31" i="6" s="1"/>
  <c r="CP31" i="6" s="1"/>
  <c r="CD30" i="6"/>
  <c r="CL30" i="6" s="1"/>
  <c r="CP30" i="6" s="1"/>
  <c r="CD29" i="6"/>
  <c r="CD28" i="6"/>
  <c r="CL28" i="6" s="1"/>
  <c r="CP28" i="6" s="1"/>
  <c r="CD27" i="6"/>
  <c r="CL27" i="6" s="1"/>
  <c r="CP27" i="6" s="1"/>
  <c r="CD26" i="6"/>
  <c r="CL26" i="6" s="1"/>
  <c r="CP26" i="6" s="1"/>
  <c r="CD25" i="6"/>
  <c r="CD24" i="6"/>
  <c r="CD23" i="6"/>
  <c r="CL23" i="6" s="1"/>
  <c r="CP23" i="6" s="1"/>
  <c r="CD22" i="6"/>
  <c r="CD21" i="6"/>
  <c r="CD20" i="6"/>
  <c r="CD19" i="6"/>
  <c r="CD18" i="6"/>
  <c r="CL18" i="6" s="1"/>
  <c r="CP18" i="6" s="1"/>
  <c r="CD17" i="6"/>
  <c r="CD16" i="6"/>
  <c r="CD15" i="6"/>
  <c r="CL15" i="6" s="1"/>
  <c r="CP15" i="6" s="1"/>
  <c r="FB15" i="6" s="1"/>
  <c r="FI15" i="6" s="1"/>
  <c r="CD14" i="6"/>
  <c r="CD13" i="6"/>
  <c r="CD12" i="6"/>
  <c r="CD11" i="6"/>
  <c r="CD10" i="6"/>
  <c r="CD9" i="6"/>
  <c r="CD8" i="6"/>
  <c r="CD7" i="6"/>
  <c r="CL7" i="6" s="1"/>
  <c r="CP7" i="6" s="1"/>
  <c r="FB7" i="6" s="1"/>
  <c r="FI7" i="6" s="1"/>
  <c r="FS7" i="6" s="1"/>
  <c r="CD6" i="6"/>
  <c r="CD5" i="6"/>
  <c r="CD4" i="6"/>
  <c r="CD3" i="6"/>
  <c r="CL3" i="6" s="1"/>
  <c r="CP3" i="6" s="1"/>
  <c r="FB3" i="6" s="1"/>
  <c r="FI3" i="6" s="1"/>
  <c r="FS3" i="6" s="1"/>
  <c r="CD2" i="6"/>
  <c r="AB2" i="14"/>
  <c r="AB3" i="14"/>
  <c r="AB4" i="14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CL9" i="6"/>
  <c r="CP9" i="6"/>
  <c r="FB9" i="6" s="1"/>
  <c r="FI9" i="6" s="1"/>
  <c r="EP9" i="6"/>
  <c r="EU9" i="6" s="1"/>
  <c r="CL10" i="6"/>
  <c r="CP10" i="6" s="1"/>
  <c r="EP10" i="6"/>
  <c r="EF14" i="6"/>
  <c r="EK14" i="6" s="1"/>
  <c r="EP11" i="6"/>
  <c r="CL12" i="6"/>
  <c r="CP12" i="6" s="1"/>
  <c r="EP12" i="6"/>
  <c r="CL13" i="6"/>
  <c r="CP13" i="6"/>
  <c r="EP13" i="6"/>
  <c r="CL14" i="6"/>
  <c r="CP14" i="6" s="1"/>
  <c r="FB14" i="6" s="1"/>
  <c r="FI14" i="6" s="1"/>
  <c r="EP14" i="6"/>
  <c r="EF15" i="6"/>
  <c r="EK15" i="6" s="1"/>
  <c r="EP15" i="6"/>
  <c r="EP16" i="6"/>
  <c r="CL17" i="6"/>
  <c r="CP17" i="6" s="1"/>
  <c r="EF17" i="6"/>
  <c r="EP17" i="6"/>
  <c r="EU17" i="6" s="1"/>
  <c r="FB17" i="6"/>
  <c r="FI17" i="6" s="1"/>
  <c r="FP3" i="6"/>
  <c r="FP5" i="6"/>
  <c r="FM9" i="6"/>
  <c r="FM10" i="6"/>
  <c r="FM11" i="6"/>
  <c r="FM12" i="6"/>
  <c r="FM3" i="6" s="1"/>
  <c r="FM13" i="6"/>
  <c r="FM14" i="6"/>
  <c r="FM15" i="6"/>
  <c r="FM16" i="6"/>
  <c r="FM17" i="6"/>
  <c r="FO11" i="6"/>
  <c r="FP98" i="6"/>
  <c r="FO100" i="6"/>
  <c r="FO104" i="6"/>
  <c r="FP106" i="6"/>
  <c r="FP108" i="6"/>
  <c r="FO111" i="6"/>
  <c r="FO113" i="6"/>
  <c r="FO114" i="6"/>
  <c r="FP114" i="6"/>
  <c r="FP116" i="6"/>
  <c r="FP122" i="6"/>
  <c r="FO124" i="6"/>
  <c r="FP124" i="6"/>
  <c r="FP130" i="6"/>
  <c r="FO132" i="6"/>
  <c r="FP132" i="6"/>
  <c r="FO136" i="6"/>
  <c r="FP136" i="6"/>
  <c r="FP138" i="6"/>
  <c r="FP140" i="6"/>
  <c r="FO141" i="6"/>
  <c r="FP142" i="6"/>
  <c r="FP144" i="6"/>
  <c r="FO145" i="6"/>
  <c r="FP146" i="6"/>
  <c r="FM5" i="6"/>
  <c r="FM6" i="6"/>
  <c r="FM7" i="6"/>
  <c r="FM8" i="6"/>
  <c r="FM18" i="6"/>
  <c r="FM19" i="6"/>
  <c r="FM20" i="6"/>
  <c r="FM21" i="6"/>
  <c r="FM22" i="6"/>
  <c r="FM23" i="6"/>
  <c r="FM24" i="6"/>
  <c r="FM25" i="6"/>
  <c r="FM26" i="6"/>
  <c r="FM27" i="6"/>
  <c r="FM28" i="6"/>
  <c r="FM29" i="6"/>
  <c r="FM30" i="6"/>
  <c r="FM31" i="6"/>
  <c r="FM32" i="6"/>
  <c r="FM33" i="6"/>
  <c r="FM34" i="6"/>
  <c r="FM35" i="6"/>
  <c r="FM36" i="6"/>
  <c r="FM37" i="6"/>
  <c r="FM38" i="6"/>
  <c r="FM39" i="6"/>
  <c r="FM40" i="6"/>
  <c r="FM41" i="6"/>
  <c r="FM42" i="6"/>
  <c r="FM43" i="6"/>
  <c r="FM44" i="6"/>
  <c r="FM45" i="6"/>
  <c r="FM46" i="6"/>
  <c r="FM47" i="6"/>
  <c r="FM48" i="6"/>
  <c r="FM49" i="6"/>
  <c r="FM50" i="6"/>
  <c r="FM51" i="6"/>
  <c r="FM52" i="6"/>
  <c r="FM53" i="6"/>
  <c r="FM54" i="6"/>
  <c r="FM55" i="6"/>
  <c r="FM56" i="6"/>
  <c r="FM57" i="6"/>
  <c r="FM58" i="6"/>
  <c r="FM59" i="6"/>
  <c r="FM60" i="6"/>
  <c r="FM61" i="6"/>
  <c r="FM62" i="6"/>
  <c r="FM63" i="6"/>
  <c r="FM64" i="6"/>
  <c r="FM65" i="6"/>
  <c r="FM66" i="6"/>
  <c r="FM67" i="6"/>
  <c r="FM68" i="6"/>
  <c r="FM69" i="6"/>
  <c r="FM70" i="6"/>
  <c r="FM71" i="6"/>
  <c r="FM72" i="6"/>
  <c r="FM73" i="6"/>
  <c r="FM74" i="6"/>
  <c r="FM75" i="6"/>
  <c r="FM76" i="6"/>
  <c r="FM77" i="6"/>
  <c r="FM78" i="6"/>
  <c r="FM79" i="6"/>
  <c r="FM80" i="6"/>
  <c r="FM81" i="6"/>
  <c r="FM82" i="6"/>
  <c r="FM83" i="6"/>
  <c r="FM84" i="6"/>
  <c r="FM85" i="6"/>
  <c r="FM86" i="6"/>
  <c r="FM87" i="6"/>
  <c r="FM88" i="6"/>
  <c r="FM89" i="6"/>
  <c r="FM90" i="6"/>
  <c r="FM91" i="6"/>
  <c r="FM92" i="6"/>
  <c r="CL5" i="6"/>
  <c r="CP5" i="6" s="1"/>
  <c r="FB5" i="6" s="1"/>
  <c r="FI5" i="6" s="1"/>
  <c r="EF5" i="6"/>
  <c r="EP5" i="6"/>
  <c r="EU5" i="6" s="1"/>
  <c r="FP6" i="6"/>
  <c r="FP7" i="6"/>
  <c r="EF8" i="6"/>
  <c r="EP8" i="6"/>
  <c r="EU8" i="6" s="1"/>
  <c r="EP18" i="6"/>
  <c r="EU18" i="6" s="1"/>
  <c r="CL19" i="6"/>
  <c r="CP19" i="6" s="1"/>
  <c r="EP19" i="6"/>
  <c r="EP20" i="6"/>
  <c r="CL21" i="6"/>
  <c r="CP21" i="6" s="1"/>
  <c r="EP21" i="6"/>
  <c r="CL22" i="6"/>
  <c r="CP22" i="6" s="1"/>
  <c r="EP22" i="6"/>
  <c r="EP23" i="6"/>
  <c r="EP24" i="6"/>
  <c r="CL25" i="6"/>
  <c r="CP25" i="6" s="1"/>
  <c r="EP25" i="6"/>
  <c r="EP26" i="6"/>
  <c r="EP27" i="6"/>
  <c r="FO27" i="6"/>
  <c r="EP28" i="6"/>
  <c r="CL29" i="6"/>
  <c r="CP29" i="6"/>
  <c r="EP29" i="6"/>
  <c r="EP30" i="6"/>
  <c r="EP31" i="6"/>
  <c r="EP32" i="6"/>
  <c r="CL33" i="6"/>
  <c r="CP33" i="6"/>
  <c r="EP33" i="6"/>
  <c r="CL34" i="6"/>
  <c r="CP34" i="6" s="1"/>
  <c r="EP34" i="6"/>
  <c r="EP35" i="6"/>
  <c r="EU35" i="6" s="1"/>
  <c r="EP36" i="6"/>
  <c r="CL37" i="6"/>
  <c r="CP37" i="6"/>
  <c r="EP37" i="6"/>
  <c r="CL38" i="6"/>
  <c r="CP38" i="6" s="1"/>
  <c r="EP38" i="6"/>
  <c r="EP39" i="6"/>
  <c r="EU39" i="6" s="1"/>
  <c r="EP40" i="6"/>
  <c r="CL41" i="6"/>
  <c r="CP41" i="6"/>
  <c r="FB41" i="6" s="1"/>
  <c r="FI41" i="6" s="1"/>
  <c r="FS41" i="6" s="1"/>
  <c r="EP41" i="6"/>
  <c r="FN41" i="6"/>
  <c r="EP42" i="6"/>
  <c r="EP43" i="6"/>
  <c r="EU43" i="6" s="1"/>
  <c r="CL44" i="6"/>
  <c r="CP44" i="6"/>
  <c r="EP44" i="6"/>
  <c r="CL45" i="6"/>
  <c r="CP45" i="6"/>
  <c r="FB45" i="6" s="1"/>
  <c r="FI45" i="6" s="1"/>
  <c r="FN45" i="6" s="1"/>
  <c r="EF45" i="6"/>
  <c r="EP45" i="6"/>
  <c r="CL46" i="6"/>
  <c r="CP46" i="6" s="1"/>
  <c r="EP46" i="6"/>
  <c r="EU46" i="6" s="1"/>
  <c r="EP47" i="6"/>
  <c r="CP48" i="6"/>
  <c r="EP48" i="6"/>
  <c r="CL49" i="6"/>
  <c r="CP49" i="6"/>
  <c r="EP49" i="6"/>
  <c r="CP50" i="6"/>
  <c r="EP50" i="6"/>
  <c r="EP51" i="6"/>
  <c r="CL52" i="6"/>
  <c r="CP52" i="6" s="1"/>
  <c r="EP52" i="6"/>
  <c r="CL53" i="6"/>
  <c r="CP53" i="6" s="1"/>
  <c r="EP53" i="6"/>
  <c r="EP54" i="6"/>
  <c r="CL55" i="6"/>
  <c r="CP55" i="6" s="1"/>
  <c r="EP55" i="6"/>
  <c r="CL56" i="6"/>
  <c r="CP56" i="6" s="1"/>
  <c r="EP56" i="6"/>
  <c r="CL57" i="6"/>
  <c r="CP57" i="6" s="1"/>
  <c r="EP57" i="6"/>
  <c r="EU57" i="6" s="1"/>
  <c r="EP58" i="6"/>
  <c r="EP59" i="6"/>
  <c r="FO59" i="6"/>
  <c r="CL60" i="6"/>
  <c r="CP60" i="6" s="1"/>
  <c r="EP60" i="6"/>
  <c r="EU60" i="6" s="1"/>
  <c r="CL61" i="6"/>
  <c r="CP61" i="6" s="1"/>
  <c r="EP61" i="6"/>
  <c r="EU61" i="6" s="1"/>
  <c r="EP62" i="6"/>
  <c r="EP63" i="6"/>
  <c r="EU63" i="6" s="1"/>
  <c r="EU149" i="6" s="1"/>
  <c r="CL64" i="6"/>
  <c r="CP64" i="6" s="1"/>
  <c r="EP64" i="6"/>
  <c r="CL65" i="6"/>
  <c r="CP65" i="6" s="1"/>
  <c r="EP65" i="6"/>
  <c r="EF66" i="6"/>
  <c r="EP66" i="6"/>
  <c r="EU66" i="6" s="1"/>
  <c r="EF68" i="6"/>
  <c r="EP67" i="6"/>
  <c r="FP67" i="6"/>
  <c r="EP68" i="6"/>
  <c r="CL69" i="6"/>
  <c r="CP69" i="6"/>
  <c r="FB69" i="6" s="1"/>
  <c r="FI69" i="6" s="1"/>
  <c r="EF69" i="6"/>
  <c r="EP69" i="6"/>
  <c r="EF71" i="6"/>
  <c r="EK71" i="6" s="1"/>
  <c r="EF70" i="6"/>
  <c r="EK70" i="6" s="1"/>
  <c r="EP70" i="6"/>
  <c r="EP71" i="6"/>
  <c r="EU71" i="6" s="1"/>
  <c r="FI71" i="6"/>
  <c r="EF72" i="6"/>
  <c r="EP72" i="6"/>
  <c r="FP72" i="6"/>
  <c r="CL73" i="6"/>
  <c r="CP73" i="6" s="1"/>
  <c r="EF73" i="6"/>
  <c r="EP73" i="6"/>
  <c r="EU73" i="6" s="1"/>
  <c r="FB73" i="6"/>
  <c r="FI73" i="6" s="1"/>
  <c r="CL74" i="6"/>
  <c r="CP74" i="6" s="1"/>
  <c r="FB74" i="6" s="1"/>
  <c r="FI74" i="6" s="1"/>
  <c r="EF74" i="6"/>
  <c r="EK74" i="6" s="1"/>
  <c r="EP74" i="6"/>
  <c r="FN74" i="6"/>
  <c r="EF75" i="6"/>
  <c r="EK75" i="6" s="1"/>
  <c r="EP75" i="6"/>
  <c r="EU75" i="6" s="1"/>
  <c r="CL76" i="6"/>
  <c r="CP76" i="6" s="1"/>
  <c r="FB76" i="6" s="1"/>
  <c r="FI76" i="6" s="1"/>
  <c r="FN76" i="6" s="1"/>
  <c r="EF76" i="6"/>
  <c r="EK76" i="6" s="1"/>
  <c r="EP76" i="6"/>
  <c r="CL77" i="6"/>
  <c r="CP77" i="6" s="1"/>
  <c r="EF77" i="6"/>
  <c r="EP77" i="6"/>
  <c r="EU77" i="6" s="1"/>
  <c r="FB77" i="6"/>
  <c r="FI77" i="6" s="1"/>
  <c r="FN77" i="6" s="1"/>
  <c r="EF78" i="6"/>
  <c r="EP78" i="6"/>
  <c r="EU78" i="6" s="1"/>
  <c r="EP79" i="6"/>
  <c r="EP80" i="6"/>
  <c r="CL81" i="6"/>
  <c r="CP81" i="6"/>
  <c r="EP81" i="6"/>
  <c r="EU81" i="6" s="1"/>
  <c r="EA82" i="6"/>
  <c r="EF82" i="6"/>
  <c r="EK82" i="6" s="1"/>
  <c r="EP82" i="6"/>
  <c r="EA83" i="6"/>
  <c r="EF83" i="6"/>
  <c r="EP83" i="6"/>
  <c r="EA84" i="6"/>
  <c r="EF84" i="6"/>
  <c r="EP84" i="6"/>
  <c r="CL85" i="6"/>
  <c r="CP85" i="6"/>
  <c r="EA89" i="6"/>
  <c r="EF89" i="6"/>
  <c r="EF85" i="6"/>
  <c r="EK85" i="6" s="1"/>
  <c r="EP85" i="6"/>
  <c r="EU85" i="6" s="1"/>
  <c r="CL86" i="6"/>
  <c r="CP86" i="6"/>
  <c r="EP86" i="6"/>
  <c r="EP88" i="6"/>
  <c r="EU88" i="6" s="1"/>
  <c r="CL89" i="6"/>
  <c r="CP89" i="6" s="1"/>
  <c r="FB89" i="6" s="1"/>
  <c r="FI89" i="6" s="1"/>
  <c r="EP89" i="6"/>
  <c r="FO89" i="6"/>
  <c r="CL90" i="6"/>
  <c r="CP90" i="6" s="1"/>
  <c r="EP90" i="6"/>
  <c r="EU90" i="6" s="1"/>
  <c r="FO90" i="6"/>
  <c r="FB92" i="6"/>
  <c r="FI92" i="6" s="1"/>
  <c r="FN92" i="6"/>
  <c r="FO92" i="6"/>
  <c r="CG2" i="6"/>
  <c r="CL6" i="6"/>
  <c r="CP6" i="6" s="1"/>
  <c r="FB6" i="6" s="1"/>
  <c r="FI6" i="6" s="1"/>
  <c r="FS6" i="6" s="1"/>
  <c r="EF6" i="6"/>
  <c r="EP6" i="6"/>
  <c r="EU6" i="6" s="1"/>
  <c r="EF7" i="6"/>
  <c r="EK7" i="6" s="1"/>
  <c r="EP7" i="6"/>
  <c r="EU7" i="6" s="1"/>
  <c r="EF2" i="6"/>
  <c r="EK2" i="6"/>
  <c r="CL2" i="6"/>
  <c r="CP2" i="6" s="1"/>
  <c r="FB2" i="6" s="1"/>
  <c r="FI2" i="6" s="1"/>
  <c r="EU2" i="6"/>
  <c r="EF3" i="6"/>
  <c r="EK3" i="6"/>
  <c r="EU3" i="6"/>
  <c r="EF4" i="6"/>
  <c r="EP4" i="6"/>
  <c r="EK4" i="6"/>
  <c r="EU4" i="6"/>
  <c r="EK5" i="6"/>
  <c r="EK6" i="6"/>
  <c r="EK8" i="6"/>
  <c r="EK9" i="6"/>
  <c r="EU10" i="6"/>
  <c r="EU11" i="6"/>
  <c r="EU12" i="6"/>
  <c r="EU13" i="6"/>
  <c r="EU14" i="6"/>
  <c r="EU15" i="6"/>
  <c r="EU16" i="6"/>
  <c r="EK17" i="6"/>
  <c r="EU19" i="6"/>
  <c r="EU20" i="6"/>
  <c r="EU21" i="6"/>
  <c r="EU22" i="6"/>
  <c r="EU23" i="6"/>
  <c r="EU24" i="6"/>
  <c r="EU25" i="6"/>
  <c r="EU26" i="6"/>
  <c r="EU27" i="6"/>
  <c r="EU28" i="6"/>
  <c r="EU29" i="6"/>
  <c r="EU30" i="6"/>
  <c r="EU31" i="6"/>
  <c r="EU32" i="6"/>
  <c r="EU33" i="6"/>
  <c r="EU34" i="6"/>
  <c r="EU36" i="6"/>
  <c r="EU37" i="6"/>
  <c r="EU38" i="6"/>
  <c r="EU40" i="6"/>
  <c r="EU41" i="6"/>
  <c r="EK41" i="6"/>
  <c r="EU42" i="6"/>
  <c r="EK42" i="6"/>
  <c r="EU44" i="6"/>
  <c r="EU45" i="6"/>
  <c r="EU47" i="6"/>
  <c r="EU48" i="6"/>
  <c r="EU49" i="6"/>
  <c r="EU50" i="6"/>
  <c r="EU51" i="6"/>
  <c r="EU52" i="6"/>
  <c r="EU53" i="6"/>
  <c r="EU54" i="6"/>
  <c r="EU55" i="6"/>
  <c r="EU56" i="6"/>
  <c r="EU58" i="6"/>
  <c r="EU59" i="6"/>
  <c r="EU62" i="6"/>
  <c r="EU64" i="6"/>
  <c r="EU65" i="6"/>
  <c r="EK66" i="6"/>
  <c r="EU67" i="6"/>
  <c r="EU68" i="6"/>
  <c r="EU69" i="6"/>
  <c r="EK69" i="6"/>
  <c r="EU70" i="6"/>
  <c r="EU72" i="6"/>
  <c r="EK72" i="6"/>
  <c r="EK73" i="6"/>
  <c r="EU74" i="6"/>
  <c r="EU76" i="6"/>
  <c r="FS76" i="6"/>
  <c r="EK77" i="6"/>
  <c r="FS77" i="6"/>
  <c r="EK78" i="6"/>
  <c r="EU79" i="6"/>
  <c r="EU80" i="6"/>
  <c r="EU82" i="6"/>
  <c r="EU83" i="6"/>
  <c r="EU84" i="6"/>
  <c r="EU86" i="6"/>
  <c r="EU87" i="6"/>
  <c r="EU89" i="6"/>
  <c r="EK89" i="6"/>
  <c r="EK91" i="6"/>
  <c r="EK92" i="6"/>
  <c r="FS92" i="6"/>
  <c r="ET2" i="6"/>
  <c r="EJ2" i="6"/>
  <c r="CG3" i="6"/>
  <c r="CK3" i="6"/>
  <c r="CO3" i="6"/>
  <c r="FA3" i="6"/>
  <c r="FH3" i="6" s="1"/>
  <c r="EJ3" i="6"/>
  <c r="ET3" i="6"/>
  <c r="EJ4" i="6"/>
  <c r="FR4" i="6" s="1"/>
  <c r="EO4" i="6"/>
  <c r="ET4" i="6" s="1"/>
  <c r="EO5" i="6"/>
  <c r="ET5" i="6" s="1"/>
  <c r="FR5" i="6" s="1"/>
  <c r="EJ5" i="6"/>
  <c r="EO6" i="6"/>
  <c r="ET6" i="6" s="1"/>
  <c r="FR6" i="6" s="1"/>
  <c r="EJ6" i="6"/>
  <c r="EO7" i="6"/>
  <c r="ET7" i="6"/>
  <c r="EJ7" i="6"/>
  <c r="FR7" i="6"/>
  <c r="EO8" i="6"/>
  <c r="ET8" i="6" s="1"/>
  <c r="FR8" i="6" s="1"/>
  <c r="EJ8" i="6"/>
  <c r="EO9" i="6"/>
  <c r="ET9" i="6" s="1"/>
  <c r="EE14" i="6"/>
  <c r="EE9" i="6"/>
  <c r="EJ9" i="6"/>
  <c r="EO10" i="6"/>
  <c r="ET10" i="6"/>
  <c r="EE10" i="6"/>
  <c r="EJ10" i="6" s="1"/>
  <c r="EO11" i="6"/>
  <c r="ET11" i="6" s="1"/>
  <c r="EO12" i="6"/>
  <c r="ET12" i="6"/>
  <c r="EO13" i="6"/>
  <c r="ET13" i="6" s="1"/>
  <c r="EO14" i="6"/>
  <c r="ET14" i="6" s="1"/>
  <c r="FR14" i="6" s="1"/>
  <c r="EJ14" i="6"/>
  <c r="EO15" i="6"/>
  <c r="ET15" i="6" s="1"/>
  <c r="EE16" i="6"/>
  <c r="EE15" i="6"/>
  <c r="EJ15" i="6"/>
  <c r="EO16" i="6"/>
  <c r="ET16" i="6"/>
  <c r="EJ16" i="6"/>
  <c r="EO17" i="6"/>
  <c r="ET17" i="6"/>
  <c r="EE29" i="6"/>
  <c r="EE17" i="6"/>
  <c r="EJ17" i="6"/>
  <c r="FR17" i="6"/>
  <c r="EO18" i="6"/>
  <c r="ET18" i="6" s="1"/>
  <c r="EE18" i="6"/>
  <c r="EJ18" i="6" s="1"/>
  <c r="FR18" i="6"/>
  <c r="EO19" i="6"/>
  <c r="ET19" i="6" s="1"/>
  <c r="EE19" i="6"/>
  <c r="EJ19" i="6"/>
  <c r="FR19" i="6" s="1"/>
  <c r="EO20" i="6"/>
  <c r="ET20" i="6"/>
  <c r="EE20" i="6"/>
  <c r="EJ20" i="6" s="1"/>
  <c r="FR20" i="6" s="1"/>
  <c r="EO21" i="6"/>
  <c r="ET21" i="6" s="1"/>
  <c r="EE21" i="6"/>
  <c r="EE22" i="6" s="1"/>
  <c r="EJ22" i="6" s="1"/>
  <c r="FR22" i="6" s="1"/>
  <c r="EO22" i="6"/>
  <c r="ET22" i="6" s="1"/>
  <c r="EO23" i="6"/>
  <c r="ET23" i="6" s="1"/>
  <c r="EE23" i="6"/>
  <c r="EO24" i="6"/>
  <c r="ET24" i="6"/>
  <c r="EO25" i="6"/>
  <c r="ET25" i="6" s="1"/>
  <c r="EO26" i="6"/>
  <c r="ET26" i="6" s="1"/>
  <c r="EO27" i="6"/>
  <c r="ET27" i="6" s="1"/>
  <c r="EO28" i="6"/>
  <c r="ET28" i="6"/>
  <c r="EO29" i="6"/>
  <c r="ET29" i="6" s="1"/>
  <c r="EJ29" i="6"/>
  <c r="FR29" i="6"/>
  <c r="EO30" i="6"/>
  <c r="ET30" i="6"/>
  <c r="EE30" i="6"/>
  <c r="EO31" i="6"/>
  <c r="ET31" i="6"/>
  <c r="EE32" i="6"/>
  <c r="EO32" i="6"/>
  <c r="ET32" i="6"/>
  <c r="EJ32" i="6"/>
  <c r="EO33" i="6"/>
  <c r="ET33" i="6"/>
  <c r="EE36" i="6"/>
  <c r="EE33" i="6"/>
  <c r="EO34" i="6"/>
  <c r="ET34" i="6"/>
  <c r="EO35" i="6"/>
  <c r="ET35" i="6" s="1"/>
  <c r="EO36" i="6"/>
  <c r="ET36" i="6" s="1"/>
  <c r="FR36" i="6" s="1"/>
  <c r="EJ36" i="6"/>
  <c r="EO37" i="6"/>
  <c r="ET37" i="6" s="1"/>
  <c r="FR37" i="6" s="1"/>
  <c r="EE37" i="6"/>
  <c r="EJ37" i="6"/>
  <c r="EO38" i="6"/>
  <c r="ET38" i="6"/>
  <c r="EE38" i="6"/>
  <c r="EO39" i="6"/>
  <c r="ET39" i="6"/>
  <c r="EE41" i="6"/>
  <c r="EO40" i="6"/>
  <c r="ET40" i="6"/>
  <c r="EO41" i="6"/>
  <c r="ET41" i="6" s="1"/>
  <c r="EJ41" i="6"/>
  <c r="FR41" i="6" s="1"/>
  <c r="EO42" i="6"/>
  <c r="ET42" i="6"/>
  <c r="EE42" i="6"/>
  <c r="EJ42" i="6" s="1"/>
  <c r="EO43" i="6"/>
  <c r="ET43" i="6"/>
  <c r="FR43" i="6" s="1"/>
  <c r="EE43" i="6"/>
  <c r="EJ43" i="6"/>
  <c r="EO44" i="6"/>
  <c r="ET44" i="6"/>
  <c r="EE44" i="6"/>
  <c r="EJ44" i="6"/>
  <c r="EO45" i="6"/>
  <c r="ET45" i="6"/>
  <c r="FR45" i="6" s="1"/>
  <c r="EE45" i="6"/>
  <c r="EJ45" i="6"/>
  <c r="EO46" i="6"/>
  <c r="ET46" i="6"/>
  <c r="EE46" i="6"/>
  <c r="EJ46" i="6"/>
  <c r="EO47" i="6"/>
  <c r="ET47" i="6"/>
  <c r="FR47" i="6" s="1"/>
  <c r="EE47" i="6"/>
  <c r="EJ47" i="6"/>
  <c r="EO48" i="6"/>
  <c r="ET48" i="6"/>
  <c r="FR48" i="6" s="1"/>
  <c r="EE52" i="6"/>
  <c r="EE48" i="6"/>
  <c r="EJ48" i="6" s="1"/>
  <c r="EO49" i="6"/>
  <c r="ET49" i="6" s="1"/>
  <c r="EE49" i="6"/>
  <c r="EJ49" i="6"/>
  <c r="FR49" i="6"/>
  <c r="EO50" i="6"/>
  <c r="ET50" i="6"/>
  <c r="EE50" i="6"/>
  <c r="EJ50" i="6" s="1"/>
  <c r="FR50" i="6"/>
  <c r="EO51" i="6"/>
  <c r="ET51" i="6" s="1"/>
  <c r="FR51" i="6" s="1"/>
  <c r="EE51" i="6"/>
  <c r="EJ51" i="6" s="1"/>
  <c r="EO52" i="6"/>
  <c r="ET52" i="6"/>
  <c r="EJ52" i="6"/>
  <c r="EO53" i="6"/>
  <c r="ET53" i="6"/>
  <c r="FR53" i="6" s="1"/>
  <c r="EE53" i="6"/>
  <c r="EJ53" i="6"/>
  <c r="EO54" i="6"/>
  <c r="ET54" i="6"/>
  <c r="EE54" i="6"/>
  <c r="EJ54" i="6"/>
  <c r="EO55" i="6"/>
  <c r="ET55" i="6"/>
  <c r="EE55" i="6"/>
  <c r="EJ55" i="6"/>
  <c r="EO56" i="6"/>
  <c r="ET56" i="6"/>
  <c r="FR56" i="6" s="1"/>
  <c r="EE59" i="6"/>
  <c r="EE56" i="6"/>
  <c r="EJ56" i="6" s="1"/>
  <c r="EO57" i="6"/>
  <c r="ET57" i="6" s="1"/>
  <c r="EE57" i="6"/>
  <c r="EJ57" i="6"/>
  <c r="FR57" i="6"/>
  <c r="EO58" i="6"/>
  <c r="ET58" i="6"/>
  <c r="EE58" i="6"/>
  <c r="EJ58" i="6" s="1"/>
  <c r="FR58" i="6"/>
  <c r="EO59" i="6"/>
  <c r="ET59" i="6" s="1"/>
  <c r="EJ59" i="6"/>
  <c r="FR59" i="6" s="1"/>
  <c r="EE63" i="6"/>
  <c r="EE60" i="6"/>
  <c r="EJ60" i="6"/>
  <c r="FR60" i="6" s="1"/>
  <c r="EO60" i="6"/>
  <c r="ET60" i="6" s="1"/>
  <c r="EE61" i="6"/>
  <c r="EO61" i="6"/>
  <c r="ET61" i="6"/>
  <c r="EO62" i="6"/>
  <c r="ET62" i="6" s="1"/>
  <c r="EO63" i="6"/>
  <c r="ET63" i="6" s="1"/>
  <c r="EJ63" i="6"/>
  <c r="FR63" i="6"/>
  <c r="EO64" i="6"/>
  <c r="ET64" i="6"/>
  <c r="EE64" i="6"/>
  <c r="EJ64" i="6" s="1"/>
  <c r="EO65" i="6"/>
  <c r="ET65" i="6"/>
  <c r="FR65" i="6" s="1"/>
  <c r="EE65" i="6"/>
  <c r="EJ65" i="6"/>
  <c r="EO66" i="6"/>
  <c r="ET66" i="6"/>
  <c r="EE66" i="6"/>
  <c r="EJ66" i="6"/>
  <c r="EO67" i="6"/>
  <c r="ET67" i="6"/>
  <c r="EO68" i="6"/>
  <c r="ET68" i="6"/>
  <c r="EO69" i="6"/>
  <c r="ET69" i="6"/>
  <c r="FR69" i="6" s="1"/>
  <c r="EE69" i="6"/>
  <c r="EJ69" i="6"/>
  <c r="EO70" i="6"/>
  <c r="ET70" i="6"/>
  <c r="EO71" i="6"/>
  <c r="ET71" i="6"/>
  <c r="FR71" i="6" s="1"/>
  <c r="EE71" i="6"/>
  <c r="EJ71" i="6"/>
  <c r="EO72" i="6"/>
  <c r="ET72" i="6"/>
  <c r="EE72" i="6"/>
  <c r="EJ72" i="6"/>
  <c r="EO73" i="6"/>
  <c r="ET73" i="6"/>
  <c r="FR73" i="6" s="1"/>
  <c r="EE73" i="6"/>
  <c r="EJ73" i="6"/>
  <c r="EO74" i="6"/>
  <c r="ET74" i="6"/>
  <c r="FR74" i="6" s="1"/>
  <c r="EE74" i="6"/>
  <c r="EJ74" i="6"/>
  <c r="EO75" i="6"/>
  <c r="ET75" i="6" s="1"/>
  <c r="FR75" i="6" s="1"/>
  <c r="EE75" i="6"/>
  <c r="EJ75" i="6"/>
  <c r="EO76" i="6"/>
  <c r="ET76" i="6"/>
  <c r="EE76" i="6"/>
  <c r="EJ76" i="6" s="1"/>
  <c r="EO77" i="6"/>
  <c r="ET77" i="6"/>
  <c r="FR77" i="6" s="1"/>
  <c r="EE77" i="6"/>
  <c r="EJ77" i="6"/>
  <c r="EO78" i="6"/>
  <c r="ET78" i="6"/>
  <c r="EE79" i="6"/>
  <c r="EE80" i="6" s="1"/>
  <c r="EJ80" i="6" s="1"/>
  <c r="EJ79" i="6"/>
  <c r="FR79" i="6" s="1"/>
  <c r="EO79" i="6"/>
  <c r="ET79" i="6"/>
  <c r="EE81" i="6"/>
  <c r="EO80" i="6"/>
  <c r="ET80" i="6" s="1"/>
  <c r="FR80" i="6"/>
  <c r="EJ81" i="6"/>
  <c r="FR81" i="6" s="1"/>
  <c r="EO81" i="6"/>
  <c r="ET81" i="6"/>
  <c r="EE82" i="6"/>
  <c r="EJ82" i="6"/>
  <c r="FR82" i="6" s="1"/>
  <c r="EO82" i="6"/>
  <c r="ET82" i="6"/>
  <c r="EO83" i="6"/>
  <c r="ET83" i="6" s="1"/>
  <c r="DZ83" i="6"/>
  <c r="EE83" i="6"/>
  <c r="EJ83" i="6"/>
  <c r="EO84" i="6"/>
  <c r="ET84" i="6"/>
  <c r="FR84" i="6" s="1"/>
  <c r="DZ84" i="6"/>
  <c r="EE84" i="6" s="1"/>
  <c r="EJ84" i="6" s="1"/>
  <c r="DZ85" i="6"/>
  <c r="EE85" i="6"/>
  <c r="EJ85" i="6"/>
  <c r="FR85" i="6"/>
  <c r="DZ88" i="6"/>
  <c r="EE88" i="6" s="1"/>
  <c r="EJ88" i="6"/>
  <c r="FR88" i="6" s="1"/>
  <c r="DZ89" i="6"/>
  <c r="EE89" i="6"/>
  <c r="EJ89" i="6" s="1"/>
  <c r="FR89" i="6"/>
  <c r="DZ90" i="6"/>
  <c r="EE90" i="6" s="1"/>
  <c r="EJ90" i="6"/>
  <c r="FR90" i="6" s="1"/>
  <c r="DZ91" i="6"/>
  <c r="EE91" i="6"/>
  <c r="EJ91" i="6" s="1"/>
  <c r="FR91" i="6" s="1"/>
  <c r="DZ92" i="6"/>
  <c r="EE92" i="6"/>
  <c r="FA92" i="6" s="1"/>
  <c r="EJ92" i="6"/>
  <c r="FR92" i="6" s="1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K35" i="8"/>
  <c r="AK36" i="8"/>
  <c r="AK37" i="8"/>
  <c r="AK38" i="8"/>
  <c r="AK39" i="8"/>
  <c r="AK40" i="8"/>
  <c r="AK41" i="8"/>
  <c r="AK42" i="8"/>
  <c r="AK43" i="8"/>
  <c r="AK44" i="8"/>
  <c r="AK45" i="8"/>
  <c r="AK46" i="8"/>
  <c r="AK47" i="8"/>
  <c r="AK48" i="8"/>
  <c r="AK49" i="8"/>
  <c r="AK50" i="8"/>
  <c r="AK51" i="8"/>
  <c r="AK52" i="8"/>
  <c r="AK53" i="8"/>
  <c r="AK54" i="8"/>
  <c r="AK55" i="8"/>
  <c r="AK56" i="8"/>
  <c r="AK57" i="8"/>
  <c r="AK58" i="8"/>
  <c r="AK59" i="8"/>
  <c r="AK60" i="8"/>
  <c r="AK61" i="8"/>
  <c r="AK62" i="8"/>
  <c r="AK63" i="8"/>
  <c r="AK64" i="8"/>
  <c r="AK65" i="8"/>
  <c r="AK66" i="8"/>
  <c r="AK67" i="8"/>
  <c r="AK68" i="8"/>
  <c r="AK69" i="8"/>
  <c r="AK70" i="8"/>
  <c r="AK71" i="8"/>
  <c r="AK72" i="8"/>
  <c r="AK73" i="8"/>
  <c r="AK74" i="8"/>
  <c r="AK75" i="8"/>
  <c r="AK76" i="8"/>
  <c r="AK77" i="8"/>
  <c r="AK78" i="8"/>
  <c r="AK79" i="8"/>
  <c r="AK80" i="8"/>
  <c r="AK81" i="8"/>
  <c r="AK82" i="8"/>
  <c r="AK83" i="8"/>
  <c r="AK84" i="8"/>
  <c r="AK85" i="8"/>
  <c r="AK86" i="8"/>
  <c r="AK87" i="8"/>
  <c r="AK88" i="8"/>
  <c r="AK89" i="8"/>
  <c r="AK90" i="8"/>
  <c r="AK91" i="8"/>
  <c r="AK92" i="8"/>
  <c r="AK93" i="8"/>
  <c r="AK94" i="8"/>
  <c r="AK95" i="8"/>
  <c r="AK96" i="8"/>
  <c r="AK97" i="8"/>
  <c r="AK98" i="8"/>
  <c r="AK99" i="8"/>
  <c r="AK100" i="8"/>
  <c r="AK101" i="8"/>
  <c r="AK102" i="8"/>
  <c r="AK103" i="8"/>
  <c r="AK104" i="8"/>
  <c r="AK105" i="8"/>
  <c r="AK106" i="8"/>
  <c r="AK107" i="8"/>
  <c r="AK108" i="8"/>
  <c r="AK109" i="8"/>
  <c r="AK110" i="8"/>
  <c r="AK111" i="8"/>
  <c r="AK112" i="8"/>
  <c r="AK113" i="8"/>
  <c r="AK114" i="8"/>
  <c r="AK115" i="8"/>
  <c r="AK116" i="8"/>
  <c r="AK117" i="8"/>
  <c r="AK118" i="8"/>
  <c r="AK119" i="8"/>
  <c r="AK120" i="8"/>
  <c r="AK121" i="8"/>
  <c r="AK122" i="8"/>
  <c r="AK123" i="8"/>
  <c r="AK124" i="8"/>
  <c r="AK125" i="8"/>
  <c r="AK126" i="8"/>
  <c r="AK127" i="8"/>
  <c r="AK128" i="8"/>
  <c r="AK129" i="8"/>
  <c r="AK130" i="8"/>
  <c r="AK131" i="8"/>
  <c r="AK132" i="8"/>
  <c r="AK133" i="8"/>
  <c r="AK134" i="8"/>
  <c r="AK135" i="8"/>
  <c r="AK136" i="8"/>
  <c r="AK137" i="8"/>
  <c r="AK138" i="8"/>
  <c r="AK139" i="8"/>
  <c r="AK140" i="8"/>
  <c r="AK141" i="8"/>
  <c r="AK142" i="8"/>
  <c r="AK143" i="8"/>
  <c r="AK144" i="8"/>
  <c r="AK145" i="8"/>
  <c r="AK146" i="8"/>
  <c r="AK147" i="8"/>
  <c r="AK148" i="8"/>
  <c r="AK149" i="8"/>
  <c r="AK150" i="8"/>
  <c r="AK151" i="8"/>
  <c r="AK152" i="8"/>
  <c r="AK153" i="8"/>
  <c r="AK154" i="8"/>
  <c r="AK155" i="8"/>
  <c r="AK156" i="8"/>
  <c r="AK157" i="8"/>
  <c r="AK158" i="8"/>
  <c r="AK159" i="8"/>
  <c r="AK160" i="8"/>
  <c r="AK161" i="8"/>
  <c r="AK162" i="8"/>
  <c r="AK163" i="8"/>
  <c r="AK164" i="8"/>
  <c r="AK165" i="8"/>
  <c r="AK166" i="8"/>
  <c r="AK167" i="8"/>
  <c r="AK168" i="8"/>
  <c r="AK169" i="8"/>
  <c r="AK170" i="8"/>
  <c r="AK171" i="8"/>
  <c r="AK172" i="8"/>
  <c r="AK173" i="8"/>
  <c r="AK174" i="8"/>
  <c r="AK175" i="8"/>
  <c r="AK176" i="8"/>
  <c r="AK177" i="8"/>
  <c r="AK178" i="8"/>
  <c r="AK179" i="8"/>
  <c r="AK180" i="8"/>
  <c r="AK181" i="8"/>
  <c r="AK182" i="8"/>
  <c r="AK183" i="8"/>
  <c r="AK184" i="8"/>
  <c r="AK185" i="8"/>
  <c r="AK186" i="8"/>
  <c r="AK187" i="8"/>
  <c r="AK188" i="8"/>
  <c r="AK189" i="8"/>
  <c r="AK190" i="8"/>
  <c r="AK191" i="8"/>
  <c r="AK192" i="8"/>
  <c r="AK193" i="8"/>
  <c r="AK194" i="8"/>
  <c r="AK195" i="8"/>
  <c r="AK196" i="8"/>
  <c r="AK197" i="8"/>
  <c r="AK198" i="8"/>
  <c r="AK199" i="8"/>
  <c r="AK200" i="8"/>
  <c r="AK201" i="8"/>
  <c r="AK202" i="8"/>
  <c r="AK203" i="8"/>
  <c r="AK204" i="8"/>
  <c r="AK205" i="8"/>
  <c r="AK206" i="8"/>
  <c r="AK207" i="8"/>
  <c r="AK208" i="8"/>
  <c r="AK209" i="8"/>
  <c r="AK210" i="8"/>
  <c r="AK211" i="8"/>
  <c r="AK212" i="8"/>
  <c r="AK213" i="8"/>
  <c r="AK214" i="8"/>
  <c r="AK215" i="8"/>
  <c r="AK216" i="8"/>
  <c r="AK217" i="8"/>
  <c r="AK218" i="8"/>
  <c r="AK219" i="8"/>
  <c r="AK220" i="8"/>
  <c r="AK221" i="8"/>
  <c r="AK222" i="8"/>
  <c r="AK223" i="8"/>
  <c r="AK224" i="8"/>
  <c r="AK225" i="8"/>
  <c r="AK226" i="8"/>
  <c r="AK227" i="8"/>
  <c r="AK228" i="8"/>
  <c r="AK229" i="8"/>
  <c r="AK230" i="8"/>
  <c r="AK231" i="8"/>
  <c r="AK232" i="8"/>
  <c r="AK233" i="8"/>
  <c r="AK234" i="8"/>
  <c r="AK235" i="8"/>
  <c r="AK236" i="8"/>
  <c r="AK237" i="8"/>
  <c r="AK238" i="8"/>
  <c r="AK239" i="8"/>
  <c r="AK240" i="8"/>
  <c r="AK241" i="8"/>
  <c r="AK242" i="8"/>
  <c r="AK243" i="8"/>
  <c r="AK244" i="8"/>
  <c r="AK245" i="8"/>
  <c r="AK246" i="8"/>
  <c r="AK247" i="8"/>
  <c r="AK248" i="8"/>
  <c r="AK249" i="8"/>
  <c r="AK250" i="8"/>
  <c r="AK251" i="8"/>
  <c r="AK252" i="8"/>
  <c r="AK253" i="8"/>
  <c r="AK254" i="8"/>
  <c r="AK255" i="8"/>
  <c r="AK256" i="8"/>
  <c r="AK257" i="8"/>
  <c r="AK258" i="8"/>
  <c r="AK259" i="8"/>
  <c r="AK260" i="8"/>
  <c r="AK261" i="8"/>
  <c r="AK262" i="8"/>
  <c r="AK263" i="8"/>
  <c r="AK264" i="8"/>
  <c r="AK265" i="8"/>
  <c r="AK266" i="8"/>
  <c r="AK267" i="8"/>
  <c r="AK268" i="8"/>
  <c r="AK269" i="8"/>
  <c r="AK270" i="8"/>
  <c r="AK271" i="8"/>
  <c r="AK272" i="8"/>
  <c r="AK273" i="8"/>
  <c r="AK274" i="8"/>
  <c r="AK275" i="8"/>
  <c r="AK276" i="8"/>
  <c r="AK277" i="8"/>
  <c r="AK278" i="8"/>
  <c r="AK279" i="8"/>
  <c r="AK280" i="8"/>
  <c r="AK281" i="8"/>
  <c r="AK282" i="8"/>
  <c r="AK283" i="8"/>
  <c r="AK284" i="8"/>
  <c r="AK285" i="8"/>
  <c r="AK286" i="8"/>
  <c r="AK287" i="8"/>
  <c r="AK288" i="8"/>
  <c r="AK289" i="8"/>
  <c r="AK290" i="8"/>
  <c r="AK291" i="8"/>
  <c r="AK292" i="8"/>
  <c r="AK293" i="8"/>
  <c r="AK294" i="8"/>
  <c r="AK295" i="8"/>
  <c r="AK296" i="8"/>
  <c r="AK297" i="8"/>
  <c r="AK298" i="8"/>
  <c r="AK299" i="8"/>
  <c r="AK300" i="8"/>
  <c r="AK301" i="8"/>
  <c r="AK302" i="8"/>
  <c r="AK303" i="8"/>
  <c r="AK304" i="8"/>
  <c r="AK305" i="8"/>
  <c r="AK306" i="8"/>
  <c r="AK307" i="8"/>
  <c r="AK308" i="8"/>
  <c r="AK309" i="8"/>
  <c r="AK310" i="8"/>
  <c r="AK311" i="8"/>
  <c r="AK312" i="8"/>
  <c r="AK313" i="8"/>
  <c r="AK314" i="8"/>
  <c r="AK315" i="8"/>
  <c r="AK316" i="8"/>
  <c r="AK317" i="8"/>
  <c r="AK318" i="8"/>
  <c r="AK319" i="8"/>
  <c r="AK320" i="8"/>
  <c r="AK321" i="8"/>
  <c r="AK322" i="8"/>
  <c r="AK323" i="8"/>
  <c r="AK324" i="8"/>
  <c r="AK325" i="8"/>
  <c r="AK326" i="8"/>
  <c r="AK327" i="8"/>
  <c r="AK328" i="8"/>
  <c r="AK329" i="8"/>
  <c r="AK330" i="8"/>
  <c r="AK331" i="8"/>
  <c r="AK332" i="8"/>
  <c r="AK333" i="8"/>
  <c r="AK334" i="8"/>
  <c r="AK335" i="8"/>
  <c r="AK336" i="8"/>
  <c r="AK337" i="8"/>
  <c r="AK338" i="8"/>
  <c r="AK339" i="8"/>
  <c r="AK340" i="8"/>
  <c r="AK341" i="8"/>
  <c r="AK342" i="8"/>
  <c r="AK343" i="8"/>
  <c r="AK344" i="8"/>
  <c r="AK345" i="8"/>
  <c r="AK346" i="8"/>
  <c r="AK347" i="8"/>
  <c r="AK348" i="8"/>
  <c r="AK349" i="8"/>
  <c r="AK350" i="8"/>
  <c r="AK351" i="8"/>
  <c r="AK352" i="8"/>
  <c r="AK353" i="8"/>
  <c r="AK354" i="8"/>
  <c r="AK355" i="8"/>
  <c r="AK356" i="8"/>
  <c r="AK357" i="8"/>
  <c r="AK358" i="8"/>
  <c r="AK359" i="8"/>
  <c r="AK360" i="8"/>
  <c r="AK361" i="8"/>
  <c r="AK362" i="8"/>
  <c r="AK363" i="8"/>
  <c r="AK364" i="8"/>
  <c r="AK365" i="8"/>
  <c r="AK366" i="8"/>
  <c r="AK367" i="8"/>
  <c r="AK368" i="8"/>
  <c r="AK369" i="8"/>
  <c r="AK370" i="8"/>
  <c r="AK371" i="8"/>
  <c r="AK372" i="8"/>
  <c r="AK373" i="8"/>
  <c r="AK374" i="8"/>
  <c r="AK375" i="8"/>
  <c r="AK376" i="8"/>
  <c r="AK377" i="8"/>
  <c r="AK378" i="8"/>
  <c r="AK379" i="8"/>
  <c r="AK380" i="8"/>
  <c r="AK381" i="8"/>
  <c r="AK382" i="8"/>
  <c r="AK383" i="8"/>
  <c r="AK384" i="8"/>
  <c r="AK385" i="8"/>
  <c r="AK386" i="8"/>
  <c r="AK387" i="8"/>
  <c r="AK388" i="8"/>
  <c r="AK389" i="8"/>
  <c r="AK390" i="8"/>
  <c r="AK391" i="8"/>
  <c r="AK392" i="8"/>
  <c r="AK393" i="8"/>
  <c r="AK394" i="8"/>
  <c r="AK395" i="8"/>
  <c r="AK396" i="8"/>
  <c r="AK397" i="8"/>
  <c r="AK398" i="8"/>
  <c r="AK399" i="8"/>
  <c r="AK400" i="8"/>
  <c r="AK401" i="8"/>
  <c r="AK402" i="8"/>
  <c r="AK403" i="8"/>
  <c r="AK404" i="8"/>
  <c r="AK405" i="8"/>
  <c r="AK406" i="8"/>
  <c r="AK407" i="8"/>
  <c r="AK408" i="8"/>
  <c r="AK409" i="8"/>
  <c r="AK410" i="8"/>
  <c r="AK411" i="8"/>
  <c r="AK412" i="8"/>
  <c r="AK413" i="8"/>
  <c r="AK414" i="8"/>
  <c r="AK415" i="8"/>
  <c r="AK416" i="8"/>
  <c r="AK417" i="8"/>
  <c r="AK418" i="8"/>
  <c r="AK419" i="8"/>
  <c r="AK420" i="8"/>
  <c r="AK421" i="8"/>
  <c r="AK422" i="8"/>
  <c r="AK423" i="8"/>
  <c r="AK424" i="8"/>
  <c r="AK425" i="8"/>
  <c r="AK426" i="8"/>
  <c r="AK427" i="8"/>
  <c r="AK428" i="8"/>
  <c r="AK429" i="8"/>
  <c r="AK430" i="8"/>
  <c r="AK431" i="8"/>
  <c r="AK432" i="8"/>
  <c r="AK433" i="8"/>
  <c r="AK434" i="8"/>
  <c r="AK435" i="8"/>
  <c r="AK436" i="8"/>
  <c r="AK437" i="8"/>
  <c r="AK438" i="8"/>
  <c r="AK439" i="8"/>
  <c r="AK440" i="8"/>
  <c r="AK441" i="8"/>
  <c r="AK6" i="8"/>
  <c r="B93" i="8"/>
  <c r="B94" i="8"/>
  <c r="B95" i="8" s="1"/>
  <c r="B96" i="8" s="1"/>
  <c r="B97" i="8" s="1"/>
  <c r="B98" i="8"/>
  <c r="B99" i="8" s="1"/>
  <c r="B100" i="8" s="1"/>
  <c r="B101" i="8" s="1"/>
  <c r="B102" i="8" s="1"/>
  <c r="B103" i="8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D2" i="7"/>
  <c r="D3" i="7"/>
  <c r="D4" i="7"/>
  <c r="D5" i="7"/>
  <c r="D6" i="7"/>
  <c r="D7" i="7"/>
  <c r="D8" i="7"/>
  <c r="D9" i="7" s="1"/>
  <c r="D10" i="7" s="1"/>
  <c r="D11" i="7" s="1"/>
  <c r="D12" i="7" s="1"/>
  <c r="D13" i="7"/>
  <c r="D14" i="7" s="1"/>
  <c r="D15" i="7" s="1"/>
  <c r="D16" i="7" s="1"/>
  <c r="D17" i="7" s="1"/>
  <c r="D18" i="7"/>
  <c r="D19" i="7" s="1"/>
  <c r="D20" i="7"/>
  <c r="D21" i="7" s="1"/>
  <c r="D22" i="7"/>
  <c r="D23" i="7"/>
  <c r="D24" i="7"/>
  <c r="D25" i="7" s="1"/>
  <c r="D26" i="7" s="1"/>
  <c r="D27" i="7" s="1"/>
  <c r="D28" i="7" s="1"/>
  <c r="D29" i="7"/>
  <c r="D30" i="7" s="1"/>
  <c r="D31" i="7"/>
  <c r="D32" i="7"/>
  <c r="D33" i="7" s="1"/>
  <c r="D34" i="7" s="1"/>
  <c r="D35" i="7"/>
  <c r="D36" i="7"/>
  <c r="D37" i="7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/>
  <c r="D50" i="7"/>
  <c r="D51" i="7"/>
  <c r="D52" i="7"/>
  <c r="D53" i="7" s="1"/>
  <c r="D54" i="7" s="1"/>
  <c r="D55" i="7" s="1"/>
  <c r="D56" i="7"/>
  <c r="D57" i="7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CP50" i="11"/>
  <c r="CP49" i="11"/>
  <c r="CQ49" i="11" s="1"/>
  <c r="CP48" i="11"/>
  <c r="CP47" i="11"/>
  <c r="CL50" i="11"/>
  <c r="CM50" i="11"/>
  <c r="CL49" i="11"/>
  <c r="CM49" i="11"/>
  <c r="CL48" i="11"/>
  <c r="CM48" i="11"/>
  <c r="CQ48" i="11"/>
  <c r="CL47" i="11"/>
  <c r="CM47" i="11"/>
  <c r="DZ93" i="6"/>
  <c r="EE93" i="6"/>
  <c r="EJ93" i="6" s="1"/>
  <c r="EK93" i="6"/>
  <c r="DZ94" i="6"/>
  <c r="EE94" i="6" s="1"/>
  <c r="EJ94" i="6" s="1"/>
  <c r="EK94" i="6"/>
  <c r="DZ95" i="6"/>
  <c r="EE95" i="6" s="1"/>
  <c r="EJ95" i="6" s="1"/>
  <c r="EK95" i="6"/>
  <c r="DZ96" i="6"/>
  <c r="EE96" i="6"/>
  <c r="EJ96" i="6" s="1"/>
  <c r="EK96" i="6"/>
  <c r="DZ97" i="6"/>
  <c r="EE97" i="6"/>
  <c r="EJ97" i="6" s="1"/>
  <c r="EK97" i="6"/>
  <c r="DZ98" i="6"/>
  <c r="EE98" i="6" s="1"/>
  <c r="EJ98" i="6" s="1"/>
  <c r="EK98" i="6"/>
  <c r="EV149" i="6"/>
  <c r="CO50" i="11"/>
  <c r="CN50" i="11"/>
  <c r="CK50" i="11"/>
  <c r="CO49" i="11"/>
  <c r="CN49" i="11"/>
  <c r="CK49" i="11"/>
  <c r="CO48" i="11"/>
  <c r="CN48" i="11"/>
  <c r="CK48" i="11"/>
  <c r="CO47" i="11"/>
  <c r="CN47" i="11"/>
  <c r="CK47" i="11"/>
  <c r="BG30" i="5"/>
  <c r="BF30" i="5"/>
  <c r="BE30" i="5"/>
  <c r="CG4" i="6"/>
  <c r="CG5" i="6"/>
  <c r="CG6" i="6"/>
  <c r="CK6" i="6" s="1"/>
  <c r="CO6" i="6"/>
  <c r="FA6" i="6" s="1"/>
  <c r="CG7" i="6"/>
  <c r="CK7" i="6" s="1"/>
  <c r="CO7" i="6"/>
  <c r="FA7" i="6"/>
  <c r="CG8" i="6"/>
  <c r="CG9" i="6"/>
  <c r="CK9" i="6" s="1"/>
  <c r="CO9" i="6" s="1"/>
  <c r="FA9" i="6" s="1"/>
  <c r="CG10" i="6"/>
  <c r="CK10" i="6" s="1"/>
  <c r="CO10" i="6"/>
  <c r="CG11" i="6"/>
  <c r="CK11" i="6" s="1"/>
  <c r="CO11" i="6"/>
  <c r="CG12" i="6"/>
  <c r="CG13" i="6"/>
  <c r="CK13" i="6" s="1"/>
  <c r="CO13" i="6" s="1"/>
  <c r="CG14" i="6"/>
  <c r="CK14" i="6" s="1"/>
  <c r="CO14" i="6" s="1"/>
  <c r="FA14" i="6" s="1"/>
  <c r="CG15" i="6"/>
  <c r="CK15" i="6" s="1"/>
  <c r="CO15" i="6"/>
  <c r="FA15" i="6" s="1"/>
  <c r="CG16" i="6"/>
  <c r="CG17" i="6"/>
  <c r="CG18" i="6"/>
  <c r="CK18" i="6" s="1"/>
  <c r="CO18" i="6" s="1"/>
  <c r="CG19" i="6"/>
  <c r="CK19" i="6" s="1"/>
  <c r="CO19" i="6"/>
  <c r="FA19" i="6"/>
  <c r="CG20" i="6"/>
  <c r="CG21" i="6"/>
  <c r="CG22" i="6"/>
  <c r="CK22" i="6" s="1"/>
  <c r="CO22" i="6"/>
  <c r="FA22" i="6" s="1"/>
  <c r="CG23" i="6"/>
  <c r="CK23" i="6" s="1"/>
  <c r="CO23" i="6"/>
  <c r="CG24" i="6"/>
  <c r="CG25" i="6"/>
  <c r="CK25" i="6" s="1"/>
  <c r="CO25" i="6" s="1"/>
  <c r="CG26" i="6"/>
  <c r="CK26" i="6" s="1"/>
  <c r="CO26" i="6"/>
  <c r="CG27" i="6"/>
  <c r="CK27" i="6" s="1"/>
  <c r="CO27" i="6"/>
  <c r="CG28" i="6"/>
  <c r="CG29" i="6"/>
  <c r="CK29" i="6" s="1"/>
  <c r="CO29" i="6" s="1"/>
  <c r="FA29" i="6" s="1"/>
  <c r="CG30" i="6"/>
  <c r="CK30" i="6" s="1"/>
  <c r="CO30" i="6" s="1"/>
  <c r="FA30" i="6" s="1"/>
  <c r="CG31" i="6"/>
  <c r="CK31" i="6" s="1"/>
  <c r="CO31" i="6"/>
  <c r="CG32" i="6"/>
  <c r="CG33" i="6"/>
  <c r="CG34" i="6"/>
  <c r="CK34" i="6" s="1"/>
  <c r="CO34" i="6"/>
  <c r="CG35" i="6"/>
  <c r="CK35" i="6" s="1"/>
  <c r="CO35" i="6"/>
  <c r="CG36" i="6"/>
  <c r="CG37" i="6"/>
  <c r="CG38" i="6"/>
  <c r="CK38" i="6" s="1"/>
  <c r="CO38" i="6"/>
  <c r="FA38" i="6" s="1"/>
  <c r="CG39" i="6"/>
  <c r="CK39" i="6" s="1"/>
  <c r="CO39" i="6"/>
  <c r="CG40" i="6"/>
  <c r="CG41" i="6"/>
  <c r="CK41" i="6" s="1"/>
  <c r="CO41" i="6" s="1"/>
  <c r="FA41" i="6" s="1"/>
  <c r="CG42" i="6"/>
  <c r="CK42" i="6" s="1"/>
  <c r="CO42" i="6"/>
  <c r="FA42" i="6" s="1"/>
  <c r="CG43" i="6"/>
  <c r="CK43" i="6" s="1"/>
  <c r="CO43" i="6"/>
  <c r="FA43" i="6" s="1"/>
  <c r="CG44" i="6"/>
  <c r="CG45" i="6"/>
  <c r="CK45" i="6" s="1"/>
  <c r="CO45" i="6" s="1"/>
  <c r="FA45" i="6" s="1"/>
  <c r="CG46" i="6"/>
  <c r="CK46" i="6" s="1"/>
  <c r="CO46" i="6" s="1"/>
  <c r="FA46" i="6" s="1"/>
  <c r="CG47" i="6"/>
  <c r="CK47" i="6" s="1"/>
  <c r="CO47" i="6"/>
  <c r="FA47" i="6" s="1"/>
  <c r="CG48" i="6"/>
  <c r="CG49" i="6"/>
  <c r="CG50" i="6"/>
  <c r="CK50" i="6" s="1"/>
  <c r="CO50" i="6" s="1"/>
  <c r="CG51" i="6"/>
  <c r="CK51" i="6" s="1"/>
  <c r="CO51" i="6"/>
  <c r="FA51" i="6"/>
  <c r="CG52" i="6"/>
  <c r="CG53" i="6"/>
  <c r="CG54" i="6"/>
  <c r="CK54" i="6" s="1"/>
  <c r="CO54" i="6"/>
  <c r="FA54" i="6" s="1"/>
  <c r="CG55" i="6"/>
  <c r="CK55" i="6" s="1"/>
  <c r="CO55" i="6"/>
  <c r="FA55" i="6"/>
  <c r="CG56" i="6"/>
  <c r="CG57" i="6"/>
  <c r="CK57" i="6" s="1"/>
  <c r="CO57" i="6" s="1"/>
  <c r="FA57" i="6" s="1"/>
  <c r="CG58" i="6"/>
  <c r="CK58" i="6" s="1"/>
  <c r="CO58" i="6"/>
  <c r="FA58" i="6" s="1"/>
  <c r="CG59" i="6"/>
  <c r="CK59" i="6" s="1"/>
  <c r="CO59" i="6"/>
  <c r="FA59" i="6" s="1"/>
  <c r="CG60" i="6"/>
  <c r="CG61" i="6"/>
  <c r="CK61" i="6" s="1"/>
  <c r="CO61" i="6" s="1"/>
  <c r="FA61" i="6" s="1"/>
  <c r="CG62" i="6"/>
  <c r="CK62" i="6" s="1"/>
  <c r="CO62" i="6" s="1"/>
  <c r="CG63" i="6"/>
  <c r="CK63" i="6" s="1"/>
  <c r="CO63" i="6"/>
  <c r="FA63" i="6" s="1"/>
  <c r="CG64" i="6"/>
  <c r="CG65" i="6"/>
  <c r="CG66" i="6"/>
  <c r="CK66" i="6" s="1"/>
  <c r="CO66" i="6" s="1"/>
  <c r="FA66" i="6" s="1"/>
  <c r="CG67" i="6"/>
  <c r="CK67" i="6" s="1"/>
  <c r="CO67" i="6"/>
  <c r="CG68" i="6"/>
  <c r="CG69" i="6"/>
  <c r="CG70" i="6"/>
  <c r="CK70" i="6" s="1"/>
  <c r="CO70" i="6"/>
  <c r="CG71" i="6"/>
  <c r="CK71" i="6" s="1"/>
  <c r="CO71" i="6"/>
  <c r="FA71" i="6"/>
  <c r="CG72" i="6"/>
  <c r="CG73" i="6"/>
  <c r="CK73" i="6" s="1"/>
  <c r="CO73" i="6" s="1"/>
  <c r="FA73" i="6" s="1"/>
  <c r="CG74" i="6"/>
  <c r="CK74" i="6" s="1"/>
  <c r="CO74" i="6"/>
  <c r="FA74" i="6" s="1"/>
  <c r="CG75" i="6"/>
  <c r="CK75" i="6" s="1"/>
  <c r="CO75" i="6"/>
  <c r="FA75" i="6" s="1"/>
  <c r="CG76" i="6"/>
  <c r="CG77" i="6"/>
  <c r="CK77" i="6" s="1"/>
  <c r="CO77" i="6" s="1"/>
  <c r="FA77" i="6" s="1"/>
  <c r="CG78" i="6"/>
  <c r="CK78" i="6" s="1"/>
  <c r="CO78" i="6" s="1"/>
  <c r="CG79" i="6"/>
  <c r="CK79" i="6" s="1"/>
  <c r="CO79" i="6"/>
  <c r="FA79" i="6" s="1"/>
  <c r="CG80" i="6"/>
  <c r="CG81" i="6"/>
  <c r="CG82" i="6"/>
  <c r="CK82" i="6" s="1"/>
  <c r="CO82" i="6" s="1"/>
  <c r="FA82" i="6" s="1"/>
  <c r="CG83" i="6"/>
  <c r="CK83" i="6" s="1"/>
  <c r="CO83" i="6"/>
  <c r="FA83" i="6"/>
  <c r="CG84" i="6"/>
  <c r="CG85" i="6"/>
  <c r="CG86" i="6"/>
  <c r="CK86" i="6" s="1"/>
  <c r="CO86" i="6"/>
  <c r="CG87" i="6"/>
  <c r="CK87" i="6" s="1"/>
  <c r="CO87" i="6"/>
  <c r="CG88" i="6"/>
  <c r="CG89" i="6"/>
  <c r="CK89" i="6" s="1"/>
  <c r="CO89" i="6" s="1"/>
  <c r="FA89" i="6" s="1"/>
  <c r="CG90" i="6"/>
  <c r="CK90" i="6" s="1"/>
  <c r="CO90" i="6"/>
  <c r="FA90" i="6" s="1"/>
  <c r="CG91" i="6"/>
  <c r="CK91" i="6" s="1"/>
  <c r="CO91" i="6"/>
  <c r="FA91" i="6" s="1"/>
  <c r="FD137" i="6"/>
  <c r="C1" i="13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B1" i="13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G31" i="5"/>
  <c r="BF31" i="5"/>
  <c r="BE31" i="5"/>
  <c r="BG33" i="5"/>
  <c r="BF33" i="5"/>
  <c r="BE33" i="5"/>
  <c r="BG32" i="5"/>
  <c r="BF32" i="5"/>
  <c r="BE32" i="5"/>
  <c r="BF21" i="5"/>
  <c r="BF20" i="5"/>
  <c r="BF18" i="5"/>
  <c r="EH10" i="12"/>
  <c r="EL10" i="12"/>
  <c r="DZ134" i="6"/>
  <c r="DZ135" i="6"/>
  <c r="DZ140" i="6" s="1"/>
  <c r="DZ136" i="6"/>
  <c r="DZ141" i="6"/>
  <c r="DZ139" i="6"/>
  <c r="DZ133" i="6"/>
  <c r="DZ138" i="6"/>
  <c r="Q1160" i="12"/>
  <c r="Q1322" i="12"/>
  <c r="Q1484" i="12"/>
  <c r="Q1646" i="12"/>
  <c r="R1646" i="12"/>
  <c r="Q1808" i="12"/>
  <c r="Q1970" i="12"/>
  <c r="S1322" i="12"/>
  <c r="S1646" i="12"/>
  <c r="S1970" i="12"/>
  <c r="T1160" i="12"/>
  <c r="T1646" i="12"/>
  <c r="T1808" i="12"/>
  <c r="U1160" i="12"/>
  <c r="U1646" i="12"/>
  <c r="U1808" i="12"/>
  <c r="Q1161" i="12"/>
  <c r="R1161" i="12"/>
  <c r="Q1323" i="12"/>
  <c r="Q1485" i="12"/>
  <c r="S1485" i="12" s="1"/>
  <c r="R1485" i="12"/>
  <c r="Q1647" i="12"/>
  <c r="Q1809" i="12"/>
  <c r="Q1971" i="12"/>
  <c r="S1161" i="12"/>
  <c r="S1647" i="12"/>
  <c r="S1809" i="12"/>
  <c r="T1485" i="12"/>
  <c r="U1485" i="12"/>
  <c r="Q1162" i="12"/>
  <c r="Q1324" i="12"/>
  <c r="T1324" i="12" s="1"/>
  <c r="R1324" i="12"/>
  <c r="Q1486" i="12"/>
  <c r="Q1648" i="12"/>
  <c r="Q1810" i="12"/>
  <c r="Q1972" i="12"/>
  <c r="S1324" i="12"/>
  <c r="S1486" i="12"/>
  <c r="S1648" i="12"/>
  <c r="T1162" i="12"/>
  <c r="T1486" i="12"/>
  <c r="T1810" i="12"/>
  <c r="U1162" i="12"/>
  <c r="U1324" i="12"/>
  <c r="U1648" i="12"/>
  <c r="Q1163" i="12"/>
  <c r="U1163" i="12" s="1"/>
  <c r="R1163" i="12"/>
  <c r="Q1325" i="12"/>
  <c r="Q1487" i="12"/>
  <c r="Q1649" i="12"/>
  <c r="Q1811" i="12"/>
  <c r="Q1973" i="12"/>
  <c r="R1973" i="12" s="1"/>
  <c r="S1163" i="12"/>
  <c r="S1325" i="12"/>
  <c r="S1973" i="12"/>
  <c r="T1163" i="12"/>
  <c r="T1973" i="12"/>
  <c r="U1325" i="12"/>
  <c r="U1973" i="12"/>
  <c r="Q1164" i="12"/>
  <c r="Q1326" i="12"/>
  <c r="Q1488" i="12"/>
  <c r="Q1650" i="12"/>
  <c r="Q1812" i="12"/>
  <c r="Q1974" i="12"/>
  <c r="R1974" i="12"/>
  <c r="S1650" i="12"/>
  <c r="S1974" i="12"/>
  <c r="T1164" i="12"/>
  <c r="T1650" i="12"/>
  <c r="T1812" i="12"/>
  <c r="U1164" i="12"/>
  <c r="U1326" i="12"/>
  <c r="U1812" i="12"/>
  <c r="Q1165" i="12"/>
  <c r="Q1327" i="12"/>
  <c r="Q1489" i="12"/>
  <c r="Q1651" i="12"/>
  <c r="Q1813" i="12"/>
  <c r="R1813" i="12"/>
  <c r="Q1975" i="12"/>
  <c r="R1975" i="12" s="1"/>
  <c r="S1165" i="12"/>
  <c r="S1651" i="12"/>
  <c r="S1975" i="12"/>
  <c r="T1165" i="12"/>
  <c r="T1813" i="12"/>
  <c r="T1975" i="12"/>
  <c r="U1489" i="12"/>
  <c r="U1651" i="12"/>
  <c r="U1975" i="12"/>
  <c r="Q1166" i="12"/>
  <c r="Q1328" i="12"/>
  <c r="R1328" i="12" s="1"/>
  <c r="Q1490" i="12"/>
  <c r="Q1652" i="12"/>
  <c r="R1652" i="12"/>
  <c r="Q1814" i="12"/>
  <c r="Q1976" i="12"/>
  <c r="T1976" i="12" s="1"/>
  <c r="R1976" i="12"/>
  <c r="S1490" i="12"/>
  <c r="S1652" i="12"/>
  <c r="S1976" i="12"/>
  <c r="T1490" i="12"/>
  <c r="T1652" i="12"/>
  <c r="T1814" i="12"/>
  <c r="U1166" i="12"/>
  <c r="U1652" i="12"/>
  <c r="U1976" i="12"/>
  <c r="Q1167" i="12"/>
  <c r="Q1329" i="12"/>
  <c r="R1329" i="12" s="1"/>
  <c r="Q1491" i="12"/>
  <c r="Q1653" i="12"/>
  <c r="Q1815" i="12"/>
  <c r="U1815" i="12" s="1"/>
  <c r="R1815" i="12"/>
  <c r="Q1977" i="12"/>
  <c r="S1329" i="12"/>
  <c r="S1653" i="12"/>
  <c r="S1815" i="12"/>
  <c r="T1329" i="12"/>
  <c r="T1491" i="12"/>
  <c r="T1815" i="12"/>
  <c r="U1329" i="12"/>
  <c r="U1653" i="12"/>
  <c r="Q1168" i="12"/>
  <c r="Q1330" i="12"/>
  <c r="Q1492" i="12"/>
  <c r="Q1654" i="12"/>
  <c r="R1654" i="12"/>
  <c r="Q1816" i="12"/>
  <c r="Q1978" i="12"/>
  <c r="S1330" i="12"/>
  <c r="S1654" i="12"/>
  <c r="S1978" i="12"/>
  <c r="T1168" i="12"/>
  <c r="T1654" i="12"/>
  <c r="T1816" i="12"/>
  <c r="U1168" i="12"/>
  <c r="U1654" i="12"/>
  <c r="U1816" i="12"/>
  <c r="Q1169" i="12"/>
  <c r="R1169" i="12"/>
  <c r="Q1331" i="12"/>
  <c r="Q1493" i="12"/>
  <c r="S1493" i="12" s="1"/>
  <c r="R1493" i="12"/>
  <c r="Q1655" i="12"/>
  <c r="Q1817" i="12"/>
  <c r="Q1979" i="12"/>
  <c r="S1169" i="12"/>
  <c r="S1655" i="12"/>
  <c r="S1817" i="12"/>
  <c r="T1493" i="12"/>
  <c r="U1493" i="12"/>
  <c r="Q1170" i="12"/>
  <c r="Q1332" i="12"/>
  <c r="T1332" i="12" s="1"/>
  <c r="R1332" i="12"/>
  <c r="Q1494" i="12"/>
  <c r="Q1656" i="12"/>
  <c r="Q1818" i="12"/>
  <c r="Q1980" i="12"/>
  <c r="S1332" i="12"/>
  <c r="S1494" i="12"/>
  <c r="S1656" i="12"/>
  <c r="T1170" i="12"/>
  <c r="T1494" i="12"/>
  <c r="T1818" i="12"/>
  <c r="U1170" i="12"/>
  <c r="U1332" i="12"/>
  <c r="U1656" i="12"/>
  <c r="Q1171" i="12"/>
  <c r="R1171" i="12"/>
  <c r="Q1333" i="12"/>
  <c r="U1333" i="12" s="1"/>
  <c r="R1333" i="12"/>
  <c r="Q1495" i="12"/>
  <c r="R1495" i="12"/>
  <c r="Q1657" i="12"/>
  <c r="S1657" i="12" s="1"/>
  <c r="R1657" i="12"/>
  <c r="Q1819" i="12"/>
  <c r="R1819" i="12"/>
  <c r="Q1981" i="12"/>
  <c r="U1981" i="12" s="1"/>
  <c r="R1981" i="12"/>
  <c r="S1171" i="12"/>
  <c r="Y19" i="12" s="1"/>
  <c r="AD19" i="12" s="1"/>
  <c r="AZ19" i="12" s="1"/>
  <c r="S1333" i="12"/>
  <c r="S1495" i="12"/>
  <c r="S1819" i="12"/>
  <c r="S1981" i="12"/>
  <c r="T1171" i="12"/>
  <c r="T1333" i="12"/>
  <c r="T1495" i="12"/>
  <c r="T1657" i="12"/>
  <c r="T1819" i="12"/>
  <c r="T1981" i="12"/>
  <c r="Z19" i="12"/>
  <c r="U1171" i="12"/>
  <c r="U1495" i="12"/>
  <c r="U1657" i="12"/>
  <c r="U1819" i="12"/>
  <c r="AA19" i="12" s="1"/>
  <c r="AF19" i="12" s="1"/>
  <c r="BB19" i="12" s="1"/>
  <c r="BC19" i="12" s="1"/>
  <c r="Q1172" i="12"/>
  <c r="R1172" i="12"/>
  <c r="X20" i="12" s="1"/>
  <c r="Q1334" i="12"/>
  <c r="R1334" i="12"/>
  <c r="Q1496" i="12"/>
  <c r="T1496" i="12" s="1"/>
  <c r="R1496" i="12"/>
  <c r="Q1658" i="12"/>
  <c r="R1658" i="12"/>
  <c r="Q1820" i="12"/>
  <c r="R1820" i="12"/>
  <c r="Q1982" i="12"/>
  <c r="R1982" i="12"/>
  <c r="S1172" i="12"/>
  <c r="S1334" i="12"/>
  <c r="S1496" i="12"/>
  <c r="S1658" i="12"/>
  <c r="S1820" i="12"/>
  <c r="S1982" i="12"/>
  <c r="Y20" i="12"/>
  <c r="T1172" i="12"/>
  <c r="T1334" i="12"/>
  <c r="T1658" i="12"/>
  <c r="T1820" i="12"/>
  <c r="T1982" i="12"/>
  <c r="U1172" i="12"/>
  <c r="U1334" i="12"/>
  <c r="U1496" i="12"/>
  <c r="U1658" i="12"/>
  <c r="U1820" i="12"/>
  <c r="U1982" i="12"/>
  <c r="AA20" i="12"/>
  <c r="Q1173" i="12"/>
  <c r="R1173" i="12"/>
  <c r="Q1335" i="12"/>
  <c r="R1335" i="12"/>
  <c r="Q1497" i="12"/>
  <c r="R1497" i="12"/>
  <c r="Q1659" i="12"/>
  <c r="R1659" i="12"/>
  <c r="Q1821" i="12"/>
  <c r="R1821" i="12"/>
  <c r="Q1983" i="12"/>
  <c r="R1983" i="12"/>
  <c r="S1173" i="12"/>
  <c r="S1497" i="12"/>
  <c r="S1821" i="12"/>
  <c r="T1173" i="12"/>
  <c r="T1497" i="12"/>
  <c r="T1821" i="12"/>
  <c r="T1983" i="12"/>
  <c r="U1173" i="12"/>
  <c r="U1497" i="12"/>
  <c r="U1659" i="12"/>
  <c r="U1821" i="12"/>
  <c r="Q1174" i="12"/>
  <c r="R1174" i="12"/>
  <c r="X22" i="12" s="1"/>
  <c r="Q1336" i="12"/>
  <c r="R1336" i="12"/>
  <c r="Q1498" i="12"/>
  <c r="R1498" i="12"/>
  <c r="Q1660" i="12"/>
  <c r="R1660" i="12"/>
  <c r="Q1822" i="12"/>
  <c r="T1822" i="12" s="1"/>
  <c r="R1822" i="12"/>
  <c r="Q1984" i="12"/>
  <c r="R1984" i="12"/>
  <c r="S1174" i="12"/>
  <c r="S1336" i="12"/>
  <c r="S1660" i="12"/>
  <c r="S1822" i="12"/>
  <c r="S1984" i="12"/>
  <c r="T1174" i="12"/>
  <c r="T1336" i="12"/>
  <c r="T1660" i="12"/>
  <c r="T1984" i="12"/>
  <c r="U1174" i="12"/>
  <c r="U1336" i="12"/>
  <c r="U1660" i="12"/>
  <c r="U1822" i="12"/>
  <c r="U1984" i="12"/>
  <c r="Q1175" i="12"/>
  <c r="R1175" i="12"/>
  <c r="Q1337" i="12"/>
  <c r="U1337" i="12" s="1"/>
  <c r="R1337" i="12"/>
  <c r="Q1499" i="12"/>
  <c r="R1499" i="12"/>
  <c r="Q1661" i="12"/>
  <c r="S1661" i="12" s="1"/>
  <c r="R1661" i="12"/>
  <c r="Q1823" i="12"/>
  <c r="R1823" i="12"/>
  <c r="Q1985" i="12"/>
  <c r="U1985" i="12" s="1"/>
  <c r="R1985" i="12"/>
  <c r="S1175" i="12"/>
  <c r="Y23" i="12" s="1"/>
  <c r="AD23" i="12" s="1"/>
  <c r="AZ23" i="12" s="1"/>
  <c r="S1337" i="12"/>
  <c r="S1499" i="12"/>
  <c r="S1823" i="12"/>
  <c r="S1985" i="12"/>
  <c r="T1175" i="12"/>
  <c r="T1337" i="12"/>
  <c r="T1499" i="12"/>
  <c r="T1661" i="12"/>
  <c r="T1823" i="12"/>
  <c r="T1985" i="12"/>
  <c r="Z23" i="12"/>
  <c r="U1175" i="12"/>
  <c r="U1499" i="12"/>
  <c r="U1661" i="12"/>
  <c r="U1823" i="12"/>
  <c r="AA23" i="12" s="1"/>
  <c r="AF23" i="12" s="1"/>
  <c r="BB23" i="12" s="1"/>
  <c r="BC23" i="12" s="1"/>
  <c r="Q1176" i="12"/>
  <c r="R1176" i="12"/>
  <c r="X24" i="12" s="1"/>
  <c r="Q1338" i="12"/>
  <c r="R1338" i="12"/>
  <c r="Q1500" i="12"/>
  <c r="T1500" i="12" s="1"/>
  <c r="R1500" i="12"/>
  <c r="Q1662" i="12"/>
  <c r="R1662" i="12"/>
  <c r="Q1824" i="12"/>
  <c r="R1824" i="12"/>
  <c r="Q1986" i="12"/>
  <c r="R1986" i="12"/>
  <c r="S1176" i="12"/>
  <c r="S1338" i="12"/>
  <c r="S1500" i="12"/>
  <c r="S1662" i="12"/>
  <c r="S1824" i="12"/>
  <c r="S1986" i="12"/>
  <c r="Y24" i="12"/>
  <c r="T1176" i="12"/>
  <c r="T1338" i="12"/>
  <c r="T1662" i="12"/>
  <c r="T1824" i="12"/>
  <c r="T1986" i="12"/>
  <c r="U1176" i="12"/>
  <c r="U1338" i="12"/>
  <c r="U1500" i="12"/>
  <c r="U1662" i="12"/>
  <c r="U1824" i="12"/>
  <c r="U1986" i="12"/>
  <c r="AA24" i="12"/>
  <c r="Q1177" i="12"/>
  <c r="R1177" i="12"/>
  <c r="Q1339" i="12"/>
  <c r="R1339" i="12"/>
  <c r="Q1501" i="12"/>
  <c r="R1501" i="12"/>
  <c r="Q1663" i="12"/>
  <c r="R1663" i="12"/>
  <c r="Q1825" i="12"/>
  <c r="R1825" i="12"/>
  <c r="Q1987" i="12"/>
  <c r="R1987" i="12"/>
  <c r="S1177" i="12"/>
  <c r="S1501" i="12"/>
  <c r="S1825" i="12"/>
  <c r="T1177" i="12"/>
  <c r="T1501" i="12"/>
  <c r="T1825" i="12"/>
  <c r="T1987" i="12"/>
  <c r="U1177" i="12"/>
  <c r="U1501" i="12"/>
  <c r="U1663" i="12"/>
  <c r="U1825" i="12"/>
  <c r="Q1178" i="12"/>
  <c r="R1178" i="12"/>
  <c r="X26" i="12" s="1"/>
  <c r="Q1340" i="12"/>
  <c r="R1340" i="12"/>
  <c r="Q1502" i="12"/>
  <c r="R1502" i="12"/>
  <c r="Q1664" i="12"/>
  <c r="R1664" i="12"/>
  <c r="Q1826" i="12"/>
  <c r="T1826" i="12" s="1"/>
  <c r="R1826" i="12"/>
  <c r="Q1988" i="12"/>
  <c r="R1988" i="12"/>
  <c r="S1178" i="12"/>
  <c r="S1340" i="12"/>
  <c r="S1664" i="12"/>
  <c r="S1826" i="12"/>
  <c r="S1988" i="12"/>
  <c r="T1178" i="12"/>
  <c r="T1340" i="12"/>
  <c r="T1664" i="12"/>
  <c r="T1988" i="12"/>
  <c r="U1178" i="12"/>
  <c r="U1340" i="12"/>
  <c r="U1664" i="12"/>
  <c r="U1826" i="12"/>
  <c r="U1988" i="12"/>
  <c r="Q1179" i="12"/>
  <c r="R1179" i="12"/>
  <c r="Q1341" i="12"/>
  <c r="U1341" i="12" s="1"/>
  <c r="R1341" i="12"/>
  <c r="Q1503" i="12"/>
  <c r="R1503" i="12"/>
  <c r="Q1665" i="12"/>
  <c r="S1665" i="12" s="1"/>
  <c r="R1665" i="12"/>
  <c r="Q1827" i="12"/>
  <c r="R1827" i="12"/>
  <c r="Q1989" i="12"/>
  <c r="U1989" i="12" s="1"/>
  <c r="R1989" i="12"/>
  <c r="S1179" i="12"/>
  <c r="Y27" i="12" s="1"/>
  <c r="AD27" i="12" s="1"/>
  <c r="S1341" i="12"/>
  <c r="S1503" i="12"/>
  <c r="S1827" i="12"/>
  <c r="S1989" i="12"/>
  <c r="T1179" i="12"/>
  <c r="T1341" i="12"/>
  <c r="T1503" i="12"/>
  <c r="T1665" i="12"/>
  <c r="T1827" i="12"/>
  <c r="T1989" i="12"/>
  <c r="Z27" i="12"/>
  <c r="U1179" i="12"/>
  <c r="U1503" i="12"/>
  <c r="U1665" i="12"/>
  <c r="U1827" i="12"/>
  <c r="AA27" i="12" s="1"/>
  <c r="AF27" i="12" s="1"/>
  <c r="Q1180" i="12"/>
  <c r="R1180" i="12"/>
  <c r="X28" i="12" s="1"/>
  <c r="Q1342" i="12"/>
  <c r="R1342" i="12"/>
  <c r="Q1504" i="12"/>
  <c r="T1504" i="12" s="1"/>
  <c r="R1504" i="12"/>
  <c r="Q1666" i="12"/>
  <c r="R1666" i="12"/>
  <c r="Q1828" i="12"/>
  <c r="R1828" i="12"/>
  <c r="Q1990" i="12"/>
  <c r="R1990" i="12"/>
  <c r="S1180" i="12"/>
  <c r="S1342" i="12"/>
  <c r="S1504" i="12"/>
  <c r="S1666" i="12"/>
  <c r="S1828" i="12"/>
  <c r="S1990" i="12"/>
  <c r="Y28" i="12"/>
  <c r="T1180" i="12"/>
  <c r="T1342" i="12"/>
  <c r="T1666" i="12"/>
  <c r="T1828" i="12"/>
  <c r="T1990" i="12"/>
  <c r="U1180" i="12"/>
  <c r="U1342" i="12"/>
  <c r="U1504" i="12"/>
  <c r="U1666" i="12"/>
  <c r="U1828" i="12"/>
  <c r="U1990" i="12"/>
  <c r="AA28" i="12"/>
  <c r="Q1181" i="12"/>
  <c r="R1181" i="12"/>
  <c r="Q1343" i="12"/>
  <c r="R1343" i="12"/>
  <c r="Q1505" i="12"/>
  <c r="R1505" i="12"/>
  <c r="Q1667" i="12"/>
  <c r="R1667" i="12"/>
  <c r="Q1829" i="12"/>
  <c r="R1829" i="12"/>
  <c r="Q1991" i="12"/>
  <c r="R1991" i="12"/>
  <c r="S1181" i="12"/>
  <c r="S1505" i="12"/>
  <c r="S1829" i="12"/>
  <c r="T1181" i="12"/>
  <c r="T1505" i="12"/>
  <c r="T1829" i="12"/>
  <c r="T1991" i="12"/>
  <c r="U1181" i="12"/>
  <c r="U1505" i="12"/>
  <c r="U1667" i="12"/>
  <c r="U1829" i="12"/>
  <c r="Q1182" i="12"/>
  <c r="R1182" i="12"/>
  <c r="X30" i="12" s="1"/>
  <c r="Q1344" i="12"/>
  <c r="R1344" i="12"/>
  <c r="Q1506" i="12"/>
  <c r="R1506" i="12"/>
  <c r="Q1668" i="12"/>
  <c r="R1668" i="12"/>
  <c r="Q1830" i="12"/>
  <c r="T1830" i="12" s="1"/>
  <c r="R1830" i="12"/>
  <c r="Q1992" i="12"/>
  <c r="R1992" i="12"/>
  <c r="S1182" i="12"/>
  <c r="S1344" i="12"/>
  <c r="S1668" i="12"/>
  <c r="S1830" i="12"/>
  <c r="S1992" i="12"/>
  <c r="T1182" i="12"/>
  <c r="T1344" i="12"/>
  <c r="T1668" i="12"/>
  <c r="T1992" i="12"/>
  <c r="U1182" i="12"/>
  <c r="U1344" i="12"/>
  <c r="U1668" i="12"/>
  <c r="U1830" i="12"/>
  <c r="U1992" i="12"/>
  <c r="Q1183" i="12"/>
  <c r="R1183" i="12"/>
  <c r="Q1345" i="12"/>
  <c r="U1345" i="12" s="1"/>
  <c r="R1345" i="12"/>
  <c r="Q1507" i="12"/>
  <c r="R1507" i="12"/>
  <c r="Q1669" i="12"/>
  <c r="S1669" i="12" s="1"/>
  <c r="R1669" i="12"/>
  <c r="Q1831" i="12"/>
  <c r="R1831" i="12"/>
  <c r="Q1993" i="12"/>
  <c r="U1993" i="12" s="1"/>
  <c r="R1993" i="12"/>
  <c r="S1183" i="12"/>
  <c r="Y31" i="12" s="1"/>
  <c r="AD31" i="12" s="1"/>
  <c r="AZ31" i="12" s="1"/>
  <c r="S1345" i="12"/>
  <c r="S1507" i="12"/>
  <c r="S1831" i="12"/>
  <c r="S1993" i="12"/>
  <c r="T1183" i="12"/>
  <c r="T1345" i="12"/>
  <c r="T1507" i="12"/>
  <c r="T1669" i="12"/>
  <c r="T1831" i="12"/>
  <c r="T1993" i="12"/>
  <c r="Z31" i="12"/>
  <c r="U1183" i="12"/>
  <c r="U1507" i="12"/>
  <c r="U1669" i="12"/>
  <c r="U1831" i="12"/>
  <c r="AA31" i="12" s="1"/>
  <c r="AF31" i="12" s="1"/>
  <c r="BB31" i="12" s="1"/>
  <c r="BC31" i="12" s="1"/>
  <c r="Q1184" i="12"/>
  <c r="R1184" i="12"/>
  <c r="X32" i="12" s="1"/>
  <c r="Q1346" i="12"/>
  <c r="R1346" i="12"/>
  <c r="Q1508" i="12"/>
  <c r="T1508" i="12" s="1"/>
  <c r="R1508" i="12"/>
  <c r="Q1670" i="12"/>
  <c r="R1670" i="12"/>
  <c r="Q1832" i="12"/>
  <c r="R1832" i="12"/>
  <c r="Q1994" i="12"/>
  <c r="R1994" i="12"/>
  <c r="S1184" i="12"/>
  <c r="S1346" i="12"/>
  <c r="S1508" i="12"/>
  <c r="S1670" i="12"/>
  <c r="S1832" i="12"/>
  <c r="S1994" i="12"/>
  <c r="Y32" i="12"/>
  <c r="T1184" i="12"/>
  <c r="T1346" i="12"/>
  <c r="T1670" i="12"/>
  <c r="T1832" i="12"/>
  <c r="T1994" i="12"/>
  <c r="U1184" i="12"/>
  <c r="U1346" i="12"/>
  <c r="U1508" i="12"/>
  <c r="U1670" i="12"/>
  <c r="U1832" i="12"/>
  <c r="U1994" i="12"/>
  <c r="AA32" i="12"/>
  <c r="Q1185" i="12"/>
  <c r="R1185" i="12"/>
  <c r="Q1347" i="12"/>
  <c r="R1347" i="12"/>
  <c r="Q1509" i="12"/>
  <c r="R1509" i="12"/>
  <c r="Q1671" i="12"/>
  <c r="R1671" i="12"/>
  <c r="Q1833" i="12"/>
  <c r="R1833" i="12"/>
  <c r="Q1995" i="12"/>
  <c r="R1995" i="12"/>
  <c r="S1185" i="12"/>
  <c r="S1509" i="12"/>
  <c r="S1833" i="12"/>
  <c r="T1185" i="12"/>
  <c r="T1509" i="12"/>
  <c r="T1833" i="12"/>
  <c r="T1995" i="12"/>
  <c r="U1185" i="12"/>
  <c r="U1509" i="12"/>
  <c r="U1671" i="12"/>
  <c r="U1833" i="12"/>
  <c r="Q1186" i="12"/>
  <c r="R1186" i="12"/>
  <c r="X34" i="12" s="1"/>
  <c r="Q1348" i="12"/>
  <c r="R1348" i="12"/>
  <c r="Q1510" i="12"/>
  <c r="R1510" i="12"/>
  <c r="Q1672" i="12"/>
  <c r="R1672" i="12"/>
  <c r="Q1834" i="12"/>
  <c r="T1834" i="12" s="1"/>
  <c r="R1834" i="12"/>
  <c r="Q1996" i="12"/>
  <c r="R1996" i="12"/>
  <c r="S1186" i="12"/>
  <c r="S1348" i="12"/>
  <c r="S1672" i="12"/>
  <c r="S1834" i="12"/>
  <c r="S1996" i="12"/>
  <c r="T1186" i="12"/>
  <c r="T1348" i="12"/>
  <c r="T1672" i="12"/>
  <c r="T1996" i="12"/>
  <c r="U1186" i="12"/>
  <c r="U1348" i="12"/>
  <c r="U1672" i="12"/>
  <c r="U1834" i="12"/>
  <c r="U1996" i="12"/>
  <c r="Q1187" i="12"/>
  <c r="R1187" i="12"/>
  <c r="Q1349" i="12"/>
  <c r="U1349" i="12" s="1"/>
  <c r="R1349" i="12"/>
  <c r="Q1511" i="12"/>
  <c r="R1511" i="12"/>
  <c r="Q1673" i="12"/>
  <c r="S1673" i="12" s="1"/>
  <c r="R1673" i="12"/>
  <c r="Q1835" i="12"/>
  <c r="R1835" i="12"/>
  <c r="Q1997" i="12"/>
  <c r="U1997" i="12" s="1"/>
  <c r="R1997" i="12"/>
  <c r="S1187" i="12"/>
  <c r="Y35" i="12" s="1"/>
  <c r="AD35" i="12" s="1"/>
  <c r="AZ35" i="12" s="1"/>
  <c r="S1349" i="12"/>
  <c r="S1511" i="12"/>
  <c r="S1835" i="12"/>
  <c r="S1997" i="12"/>
  <c r="T1187" i="12"/>
  <c r="T1349" i="12"/>
  <c r="T1511" i="12"/>
  <c r="T1673" i="12"/>
  <c r="T1835" i="12"/>
  <c r="T1997" i="12"/>
  <c r="Z35" i="12"/>
  <c r="U1187" i="12"/>
  <c r="U1511" i="12"/>
  <c r="U1673" i="12"/>
  <c r="U1835" i="12"/>
  <c r="AA35" i="12" s="1"/>
  <c r="AF35" i="12" s="1"/>
  <c r="BB35" i="12" s="1"/>
  <c r="BC35" i="12" s="1"/>
  <c r="Q1188" i="12"/>
  <c r="R1188" i="12"/>
  <c r="X36" i="12" s="1"/>
  <c r="Q1350" i="12"/>
  <c r="R1350" i="12"/>
  <c r="Q1512" i="12"/>
  <c r="T1512" i="12" s="1"/>
  <c r="R1512" i="12"/>
  <c r="Q1674" i="12"/>
  <c r="R1674" i="12"/>
  <c r="Q1836" i="12"/>
  <c r="R1836" i="12"/>
  <c r="Q1998" i="12"/>
  <c r="R1998" i="12"/>
  <c r="S1188" i="12"/>
  <c r="S1350" i="12"/>
  <c r="S1512" i="12"/>
  <c r="S1674" i="12"/>
  <c r="S1836" i="12"/>
  <c r="S1998" i="12"/>
  <c r="Y36" i="12"/>
  <c r="T1188" i="12"/>
  <c r="T1350" i="12"/>
  <c r="T1674" i="12"/>
  <c r="T1836" i="12"/>
  <c r="T1998" i="12"/>
  <c r="U1188" i="12"/>
  <c r="U1350" i="12"/>
  <c r="U1512" i="12"/>
  <c r="U1674" i="12"/>
  <c r="U1836" i="12"/>
  <c r="U1998" i="12"/>
  <c r="AA36" i="12"/>
  <c r="Q1189" i="12"/>
  <c r="R1189" i="12"/>
  <c r="Q1351" i="12"/>
  <c r="R1351" i="12"/>
  <c r="Q1513" i="12"/>
  <c r="R1513" i="12"/>
  <c r="Q1675" i="12"/>
  <c r="R1675" i="12"/>
  <c r="Q1837" i="12"/>
  <c r="R1837" i="12"/>
  <c r="Q1999" i="12"/>
  <c r="R1999" i="12"/>
  <c r="S1189" i="12"/>
  <c r="S1513" i="12"/>
  <c r="S1837" i="12"/>
  <c r="T1189" i="12"/>
  <c r="T1513" i="12"/>
  <c r="T1837" i="12"/>
  <c r="T1999" i="12"/>
  <c r="U1189" i="12"/>
  <c r="U1513" i="12"/>
  <c r="U1675" i="12"/>
  <c r="U1837" i="12"/>
  <c r="Q1190" i="12"/>
  <c r="R1190" i="12"/>
  <c r="X38" i="12" s="1"/>
  <c r="Q1352" i="12"/>
  <c r="R1352" i="12"/>
  <c r="Q1514" i="12"/>
  <c r="R1514" i="12"/>
  <c r="Q1676" i="12"/>
  <c r="R1676" i="12"/>
  <c r="Q1838" i="12"/>
  <c r="T1838" i="12" s="1"/>
  <c r="R1838" i="12"/>
  <c r="Q2000" i="12"/>
  <c r="R2000" i="12"/>
  <c r="S1190" i="12"/>
  <c r="S1352" i="12"/>
  <c r="S1676" i="12"/>
  <c r="S1838" i="12"/>
  <c r="S2000" i="12"/>
  <c r="T1190" i="12"/>
  <c r="T1352" i="12"/>
  <c r="T1676" i="12"/>
  <c r="T2000" i="12"/>
  <c r="U1190" i="12"/>
  <c r="U1352" i="12"/>
  <c r="U1676" i="12"/>
  <c r="U1838" i="12"/>
  <c r="U2000" i="12"/>
  <c r="Q1191" i="12"/>
  <c r="R1191" i="12"/>
  <c r="Q1353" i="12"/>
  <c r="U1353" i="12" s="1"/>
  <c r="R1353" i="12"/>
  <c r="Q1515" i="12"/>
  <c r="R1515" i="12"/>
  <c r="Q1677" i="12"/>
  <c r="S1677" i="12" s="1"/>
  <c r="R1677" i="12"/>
  <c r="Q1839" i="12"/>
  <c r="R1839" i="12"/>
  <c r="Q2001" i="12"/>
  <c r="U2001" i="12" s="1"/>
  <c r="R2001" i="12"/>
  <c r="S1191" i="12"/>
  <c r="Y39" i="12" s="1"/>
  <c r="AD39" i="12" s="1"/>
  <c r="S1353" i="12"/>
  <c r="S1515" i="12"/>
  <c r="S1839" i="12"/>
  <c r="S2001" i="12"/>
  <c r="T1191" i="12"/>
  <c r="T1353" i="12"/>
  <c r="T1515" i="12"/>
  <c r="T1677" i="12"/>
  <c r="T1839" i="12"/>
  <c r="T2001" i="12"/>
  <c r="Z39" i="12"/>
  <c r="U1191" i="12"/>
  <c r="U1515" i="12"/>
  <c r="U1677" i="12"/>
  <c r="U1839" i="12"/>
  <c r="AA39" i="12" s="1"/>
  <c r="AF39" i="12" s="1"/>
  <c r="Q1192" i="12"/>
  <c r="R1192" i="12"/>
  <c r="X40" i="12" s="1"/>
  <c r="Q1354" i="12"/>
  <c r="R1354" i="12"/>
  <c r="Q1516" i="12"/>
  <c r="T1516" i="12" s="1"/>
  <c r="R1516" i="12"/>
  <c r="Q1678" i="12"/>
  <c r="R1678" i="12"/>
  <c r="Q1840" i="12"/>
  <c r="R1840" i="12"/>
  <c r="Q2002" i="12"/>
  <c r="R2002" i="12"/>
  <c r="S1192" i="12"/>
  <c r="S1354" i="12"/>
  <c r="S1516" i="12"/>
  <c r="S1678" i="12"/>
  <c r="S1840" i="12"/>
  <c r="S2002" i="12"/>
  <c r="Y40" i="12"/>
  <c r="T1192" i="12"/>
  <c r="T1354" i="12"/>
  <c r="T1678" i="12"/>
  <c r="T1840" i="12"/>
  <c r="T2002" i="12"/>
  <c r="U1192" i="12"/>
  <c r="U1354" i="12"/>
  <c r="U1516" i="12"/>
  <c r="U1678" i="12"/>
  <c r="U1840" i="12"/>
  <c r="U2002" i="12"/>
  <c r="AA40" i="12"/>
  <c r="Q1193" i="12"/>
  <c r="R1193" i="12"/>
  <c r="Q1355" i="12"/>
  <c r="R1355" i="12"/>
  <c r="Q1517" i="12"/>
  <c r="R1517" i="12"/>
  <c r="Q1679" i="12"/>
  <c r="R1679" i="12"/>
  <c r="Q1841" i="12"/>
  <c r="R1841" i="12"/>
  <c r="Q2003" i="12"/>
  <c r="R2003" i="12"/>
  <c r="S1193" i="12"/>
  <c r="S1517" i="12"/>
  <c r="S1841" i="12"/>
  <c r="T1193" i="12"/>
  <c r="T1517" i="12"/>
  <c r="T1841" i="12"/>
  <c r="T2003" i="12"/>
  <c r="U1193" i="12"/>
  <c r="U1517" i="12"/>
  <c r="U1679" i="12"/>
  <c r="U1841" i="12"/>
  <c r="Q1194" i="12"/>
  <c r="R1194" i="12"/>
  <c r="X42" i="12" s="1"/>
  <c r="Q1356" i="12"/>
  <c r="R1356" i="12"/>
  <c r="Q1518" i="12"/>
  <c r="R1518" i="12"/>
  <c r="Q1680" i="12"/>
  <c r="R1680" i="12"/>
  <c r="Q1842" i="12"/>
  <c r="T1842" i="12" s="1"/>
  <c r="R1842" i="12"/>
  <c r="Q2004" i="12"/>
  <c r="R2004" i="12"/>
  <c r="S1194" i="12"/>
  <c r="S1356" i="12"/>
  <c r="S1680" i="12"/>
  <c r="S1842" i="12"/>
  <c r="S2004" i="12"/>
  <c r="T1194" i="12"/>
  <c r="T1356" i="12"/>
  <c r="T1680" i="12"/>
  <c r="T2004" i="12"/>
  <c r="U1194" i="12"/>
  <c r="U1356" i="12"/>
  <c r="U1680" i="12"/>
  <c r="U1842" i="12"/>
  <c r="U2004" i="12"/>
  <c r="Q1195" i="12"/>
  <c r="R1195" i="12"/>
  <c r="Q1357" i="12"/>
  <c r="U1357" i="12" s="1"/>
  <c r="R1357" i="12"/>
  <c r="Q1519" i="12"/>
  <c r="R1519" i="12"/>
  <c r="Q1681" i="12"/>
  <c r="S1681" i="12" s="1"/>
  <c r="R1681" i="12"/>
  <c r="Q1843" i="12"/>
  <c r="R1843" i="12"/>
  <c r="Q2005" i="12"/>
  <c r="U2005" i="12" s="1"/>
  <c r="R2005" i="12"/>
  <c r="S1195" i="12"/>
  <c r="Y43" i="12" s="1"/>
  <c r="AD43" i="12" s="1"/>
  <c r="AZ43" i="12" s="1"/>
  <c r="S1357" i="12"/>
  <c r="S1519" i="12"/>
  <c r="S1843" i="12"/>
  <c r="S2005" i="12"/>
  <c r="T1195" i="12"/>
  <c r="T1357" i="12"/>
  <c r="T1519" i="12"/>
  <c r="T1681" i="12"/>
  <c r="T1843" i="12"/>
  <c r="T2005" i="12"/>
  <c r="Z43" i="12"/>
  <c r="U1195" i="12"/>
  <c r="U1519" i="12"/>
  <c r="U1681" i="12"/>
  <c r="U1843" i="12"/>
  <c r="AA43" i="12" s="1"/>
  <c r="AF43" i="12" s="1"/>
  <c r="BB43" i="12" s="1"/>
  <c r="BC43" i="12" s="1"/>
  <c r="Q1196" i="12"/>
  <c r="R1196" i="12"/>
  <c r="X44" i="12" s="1"/>
  <c r="Q1358" i="12"/>
  <c r="R1358" i="12"/>
  <c r="Q1520" i="12"/>
  <c r="T1520" i="12" s="1"/>
  <c r="R1520" i="12"/>
  <c r="Q1682" i="12"/>
  <c r="R1682" i="12"/>
  <c r="Q1844" i="12"/>
  <c r="R1844" i="12"/>
  <c r="Q2006" i="12"/>
  <c r="R2006" i="12"/>
  <c r="S1196" i="12"/>
  <c r="S1358" i="12"/>
  <c r="S1520" i="12"/>
  <c r="S1682" i="12"/>
  <c r="S1844" i="12"/>
  <c r="S2006" i="12"/>
  <c r="Y44" i="12"/>
  <c r="T1196" i="12"/>
  <c r="T1358" i="12"/>
  <c r="T1682" i="12"/>
  <c r="T1844" i="12"/>
  <c r="T2006" i="12"/>
  <c r="U1196" i="12"/>
  <c r="U1358" i="12"/>
  <c r="U1520" i="12"/>
  <c r="U1682" i="12"/>
  <c r="U1844" i="12"/>
  <c r="U2006" i="12"/>
  <c r="AA44" i="12"/>
  <c r="Q1197" i="12"/>
  <c r="R1197" i="12"/>
  <c r="Q1359" i="12"/>
  <c r="R1359" i="12"/>
  <c r="Q1521" i="12"/>
  <c r="R1521" i="12"/>
  <c r="Q1683" i="12"/>
  <c r="R1683" i="12"/>
  <c r="Q1845" i="12"/>
  <c r="R1845" i="12"/>
  <c r="Q2007" i="12"/>
  <c r="R2007" i="12"/>
  <c r="S1197" i="12"/>
  <c r="S1521" i="12"/>
  <c r="S1845" i="12"/>
  <c r="T1197" i="12"/>
  <c r="T1521" i="12"/>
  <c r="T1845" i="12"/>
  <c r="T2007" i="12"/>
  <c r="U1197" i="12"/>
  <c r="U1521" i="12"/>
  <c r="U1683" i="12"/>
  <c r="U1845" i="12"/>
  <c r="Q1198" i="12"/>
  <c r="R1198" i="12"/>
  <c r="X46" i="12" s="1"/>
  <c r="Q1360" i="12"/>
  <c r="R1360" i="12"/>
  <c r="Q1522" i="12"/>
  <c r="R1522" i="12"/>
  <c r="Q1684" i="12"/>
  <c r="R1684" i="12"/>
  <c r="Q1846" i="12"/>
  <c r="T1846" i="12" s="1"/>
  <c r="R1846" i="12"/>
  <c r="Q2008" i="12"/>
  <c r="R2008" i="12"/>
  <c r="S1198" i="12"/>
  <c r="S1360" i="12"/>
  <c r="S1684" i="12"/>
  <c r="S1846" i="12"/>
  <c r="S2008" i="12"/>
  <c r="T1198" i="12"/>
  <c r="T1360" i="12"/>
  <c r="T1684" i="12"/>
  <c r="T2008" i="12"/>
  <c r="U1198" i="12"/>
  <c r="U1360" i="12"/>
  <c r="U1684" i="12"/>
  <c r="U1846" i="12"/>
  <c r="U2008" i="12"/>
  <c r="Q1199" i="12"/>
  <c r="R1199" i="12"/>
  <c r="Q1361" i="12"/>
  <c r="U1361" i="12" s="1"/>
  <c r="R1361" i="12"/>
  <c r="Q1523" i="12"/>
  <c r="R1523" i="12"/>
  <c r="Q1685" i="12"/>
  <c r="S1685" i="12" s="1"/>
  <c r="R1685" i="12"/>
  <c r="Q1847" i="12"/>
  <c r="R1847" i="12"/>
  <c r="Q2009" i="12"/>
  <c r="U2009" i="12" s="1"/>
  <c r="R2009" i="12"/>
  <c r="S1199" i="12"/>
  <c r="Y47" i="12" s="1"/>
  <c r="AD47" i="12" s="1"/>
  <c r="S1361" i="12"/>
  <c r="S1523" i="12"/>
  <c r="S1847" i="12"/>
  <c r="S2009" i="12"/>
  <c r="T1199" i="12"/>
  <c r="T1361" i="12"/>
  <c r="T1523" i="12"/>
  <c r="T1685" i="12"/>
  <c r="T1847" i="12"/>
  <c r="T2009" i="12"/>
  <c r="Z47" i="12"/>
  <c r="U1199" i="12"/>
  <c r="U1523" i="12"/>
  <c r="U1685" i="12"/>
  <c r="U1847" i="12"/>
  <c r="AA47" i="12" s="1"/>
  <c r="AF47" i="12" s="1"/>
  <c r="Q1200" i="12"/>
  <c r="R1200" i="12"/>
  <c r="X48" i="12" s="1"/>
  <c r="Q1362" i="12"/>
  <c r="R1362" i="12"/>
  <c r="Q1524" i="12"/>
  <c r="T1524" i="12" s="1"/>
  <c r="R1524" i="12"/>
  <c r="Q1686" i="12"/>
  <c r="R1686" i="12"/>
  <c r="Q1848" i="12"/>
  <c r="R1848" i="12"/>
  <c r="Q2010" i="12"/>
  <c r="R2010" i="12"/>
  <c r="S1200" i="12"/>
  <c r="S1362" i="12"/>
  <c r="S1524" i="12"/>
  <c r="S1686" i="12"/>
  <c r="S1848" i="12"/>
  <c r="S2010" i="12"/>
  <c r="Y48" i="12"/>
  <c r="T1200" i="12"/>
  <c r="T1362" i="12"/>
  <c r="T1686" i="12"/>
  <c r="T1848" i="12"/>
  <c r="T2010" i="12"/>
  <c r="U1200" i="12"/>
  <c r="U1362" i="12"/>
  <c r="U1524" i="12"/>
  <c r="U1686" i="12"/>
  <c r="U1848" i="12"/>
  <c r="U2010" i="12"/>
  <c r="AA48" i="12"/>
  <c r="Q1201" i="12"/>
  <c r="R1201" i="12"/>
  <c r="Q1363" i="12"/>
  <c r="R1363" i="12"/>
  <c r="Q1525" i="12"/>
  <c r="R1525" i="12"/>
  <c r="Q1687" i="12"/>
  <c r="R1687" i="12"/>
  <c r="Q1849" i="12"/>
  <c r="R1849" i="12"/>
  <c r="Q2011" i="12"/>
  <c r="R2011" i="12"/>
  <c r="S1201" i="12"/>
  <c r="S1525" i="12"/>
  <c r="S1849" i="12"/>
  <c r="T1201" i="12"/>
  <c r="T1525" i="12"/>
  <c r="T1849" i="12"/>
  <c r="T2011" i="12"/>
  <c r="U1201" i="12"/>
  <c r="U1525" i="12"/>
  <c r="U1687" i="12"/>
  <c r="U1849" i="12"/>
  <c r="Q1202" i="12"/>
  <c r="R1202" i="12"/>
  <c r="X50" i="12" s="1"/>
  <c r="Q1364" i="12"/>
  <c r="R1364" i="12"/>
  <c r="Q1526" i="12"/>
  <c r="R1526" i="12"/>
  <c r="Q1688" i="12"/>
  <c r="R1688" i="12"/>
  <c r="Q1850" i="12"/>
  <c r="T1850" i="12" s="1"/>
  <c r="R1850" i="12"/>
  <c r="Q2012" i="12"/>
  <c r="R2012" i="12"/>
  <c r="S1202" i="12"/>
  <c r="S1364" i="12"/>
  <c r="S1688" i="12"/>
  <c r="S1850" i="12"/>
  <c r="S2012" i="12"/>
  <c r="T1202" i="12"/>
  <c r="T1364" i="12"/>
  <c r="T1688" i="12"/>
  <c r="T2012" i="12"/>
  <c r="U1202" i="12"/>
  <c r="U1364" i="12"/>
  <c r="U1688" i="12"/>
  <c r="U1850" i="12"/>
  <c r="U2012" i="12"/>
  <c r="Q1203" i="12"/>
  <c r="R1203" i="12"/>
  <c r="Q1365" i="12"/>
  <c r="U1365" i="12" s="1"/>
  <c r="R1365" i="12"/>
  <c r="Q1527" i="12"/>
  <c r="R1527" i="12"/>
  <c r="Q1689" i="12"/>
  <c r="S1689" i="12" s="1"/>
  <c r="R1689" i="12"/>
  <c r="Q1851" i="12"/>
  <c r="R1851" i="12"/>
  <c r="Q2013" i="12"/>
  <c r="U2013" i="12" s="1"/>
  <c r="R2013" i="12"/>
  <c r="S1203" i="12"/>
  <c r="Y51" i="12" s="1"/>
  <c r="AD51" i="12" s="1"/>
  <c r="AZ51" i="12" s="1"/>
  <c r="S1365" i="12"/>
  <c r="S1527" i="12"/>
  <c r="S1851" i="12"/>
  <c r="S2013" i="12"/>
  <c r="T1203" i="12"/>
  <c r="T1365" i="12"/>
  <c r="T1527" i="12"/>
  <c r="T1689" i="12"/>
  <c r="T1851" i="12"/>
  <c r="T2013" i="12"/>
  <c r="Z51" i="12"/>
  <c r="U1203" i="12"/>
  <c r="U1527" i="12"/>
  <c r="U1689" i="12"/>
  <c r="U1851" i="12"/>
  <c r="AA51" i="12" s="1"/>
  <c r="AF51" i="12" s="1"/>
  <c r="BB51" i="12" s="1"/>
  <c r="BC51" i="12" s="1"/>
  <c r="Q1204" i="12"/>
  <c r="R1204" i="12"/>
  <c r="X52" i="12" s="1"/>
  <c r="Q1366" i="12"/>
  <c r="R1366" i="12"/>
  <c r="Q1528" i="12"/>
  <c r="T1528" i="12" s="1"/>
  <c r="R1528" i="12"/>
  <c r="Q1690" i="12"/>
  <c r="R1690" i="12"/>
  <c r="Q1852" i="12"/>
  <c r="R1852" i="12"/>
  <c r="Q2014" i="12"/>
  <c r="R2014" i="12"/>
  <c r="S1204" i="12"/>
  <c r="S1366" i="12"/>
  <c r="S1528" i="12"/>
  <c r="S1690" i="12"/>
  <c r="S1852" i="12"/>
  <c r="S2014" i="12"/>
  <c r="Y52" i="12"/>
  <c r="T1204" i="12"/>
  <c r="T1366" i="12"/>
  <c r="T1690" i="12"/>
  <c r="T1852" i="12"/>
  <c r="T2014" i="12"/>
  <c r="U1204" i="12"/>
  <c r="U1366" i="12"/>
  <c r="U1528" i="12"/>
  <c r="U1690" i="12"/>
  <c r="U1852" i="12"/>
  <c r="U2014" i="12"/>
  <c r="AA52" i="12"/>
  <c r="Q1205" i="12"/>
  <c r="R1205" i="12"/>
  <c r="Q1367" i="12"/>
  <c r="R1367" i="12"/>
  <c r="Q1529" i="12"/>
  <c r="R1529" i="12"/>
  <c r="Q1691" i="12"/>
  <c r="R1691" i="12"/>
  <c r="Q1853" i="12"/>
  <c r="R1853" i="12"/>
  <c r="Q2015" i="12"/>
  <c r="R2015" i="12"/>
  <c r="S1205" i="12"/>
  <c r="S1529" i="12"/>
  <c r="S1853" i="12"/>
  <c r="T1205" i="12"/>
  <c r="T1529" i="12"/>
  <c r="T1853" i="12"/>
  <c r="T2015" i="12"/>
  <c r="U1205" i="12"/>
  <c r="U1529" i="12"/>
  <c r="U1691" i="12"/>
  <c r="U1853" i="12"/>
  <c r="Q1206" i="12"/>
  <c r="R1206" i="12"/>
  <c r="X54" i="12" s="1"/>
  <c r="Q1368" i="12"/>
  <c r="R1368" i="12"/>
  <c r="Q1530" i="12"/>
  <c r="R1530" i="12"/>
  <c r="Q1692" i="12"/>
  <c r="R1692" i="12"/>
  <c r="Q1854" i="12"/>
  <c r="T1854" i="12" s="1"/>
  <c r="R1854" i="12"/>
  <c r="Q2016" i="12"/>
  <c r="R2016" i="12"/>
  <c r="S1206" i="12"/>
  <c r="S1368" i="12"/>
  <c r="S1692" i="12"/>
  <c r="S1854" i="12"/>
  <c r="S2016" i="12"/>
  <c r="T1206" i="12"/>
  <c r="T1368" i="12"/>
  <c r="T1692" i="12"/>
  <c r="T2016" i="12"/>
  <c r="U1206" i="12"/>
  <c r="U1368" i="12"/>
  <c r="U1692" i="12"/>
  <c r="U1854" i="12"/>
  <c r="U2016" i="12"/>
  <c r="Q1207" i="12"/>
  <c r="R1207" i="12"/>
  <c r="Q1369" i="12"/>
  <c r="U1369" i="12" s="1"/>
  <c r="R1369" i="12"/>
  <c r="Q1531" i="12"/>
  <c r="R1531" i="12"/>
  <c r="Q1693" i="12"/>
  <c r="S1693" i="12" s="1"/>
  <c r="R1693" i="12"/>
  <c r="Q1855" i="12"/>
  <c r="R1855" i="12"/>
  <c r="Q2017" i="12"/>
  <c r="U2017" i="12" s="1"/>
  <c r="R2017" i="12"/>
  <c r="S1207" i="12"/>
  <c r="Y55" i="12" s="1"/>
  <c r="AD55" i="12" s="1"/>
  <c r="S1369" i="12"/>
  <c r="S1531" i="12"/>
  <c r="S1855" i="12"/>
  <c r="S2017" i="12"/>
  <c r="T1207" i="12"/>
  <c r="T1369" i="12"/>
  <c r="T1531" i="12"/>
  <c r="T1693" i="12"/>
  <c r="T1855" i="12"/>
  <c r="T2017" i="12"/>
  <c r="Z55" i="12"/>
  <c r="U1207" i="12"/>
  <c r="U1531" i="12"/>
  <c r="U1693" i="12"/>
  <c r="U1855" i="12"/>
  <c r="AA55" i="12" s="1"/>
  <c r="AF55" i="12" s="1"/>
  <c r="Q1208" i="12"/>
  <c r="R1208" i="12"/>
  <c r="X56" i="12" s="1"/>
  <c r="Q1370" i="12"/>
  <c r="R1370" i="12"/>
  <c r="Q1532" i="12"/>
  <c r="T1532" i="12" s="1"/>
  <c r="R1532" i="12"/>
  <c r="Q1694" i="12"/>
  <c r="R1694" i="12"/>
  <c r="Q1856" i="12"/>
  <c r="R1856" i="12"/>
  <c r="Q2018" i="12"/>
  <c r="R2018" i="12"/>
  <c r="S1208" i="12"/>
  <c r="S1370" i="12"/>
  <c r="S1532" i="12"/>
  <c r="S1694" i="12"/>
  <c r="S1856" i="12"/>
  <c r="S2018" i="12"/>
  <c r="Y56" i="12"/>
  <c r="T1208" i="12"/>
  <c r="T1370" i="12"/>
  <c r="T1694" i="12"/>
  <c r="T1856" i="12"/>
  <c r="T2018" i="12"/>
  <c r="U1208" i="12"/>
  <c r="U1370" i="12"/>
  <c r="U1532" i="12"/>
  <c r="U1694" i="12"/>
  <c r="U1856" i="12"/>
  <c r="U2018" i="12"/>
  <c r="AA56" i="12"/>
  <c r="Q1209" i="12"/>
  <c r="R1209" i="12"/>
  <c r="Q1371" i="12"/>
  <c r="R1371" i="12"/>
  <c r="Q1533" i="12"/>
  <c r="R1533" i="12"/>
  <c r="Q1695" i="12"/>
  <c r="R1695" i="12"/>
  <c r="Q1857" i="12"/>
  <c r="R1857" i="12"/>
  <c r="Q2019" i="12"/>
  <c r="R2019" i="12"/>
  <c r="S1209" i="12"/>
  <c r="S1533" i="12"/>
  <c r="S1857" i="12"/>
  <c r="T1209" i="12"/>
  <c r="T1533" i="12"/>
  <c r="T1857" i="12"/>
  <c r="T2019" i="12"/>
  <c r="U1209" i="12"/>
  <c r="U1533" i="12"/>
  <c r="U1695" i="12"/>
  <c r="U1857" i="12"/>
  <c r="Q1210" i="12"/>
  <c r="R1210" i="12"/>
  <c r="X58" i="12" s="1"/>
  <c r="Q1372" i="12"/>
  <c r="R1372" i="12"/>
  <c r="Q1534" i="12"/>
  <c r="R1534" i="12"/>
  <c r="Q1696" i="12"/>
  <c r="R1696" i="12"/>
  <c r="Q1858" i="12"/>
  <c r="T1858" i="12" s="1"/>
  <c r="R1858" i="12"/>
  <c r="Q2020" i="12"/>
  <c r="R2020" i="12"/>
  <c r="S1210" i="12"/>
  <c r="S1372" i="12"/>
  <c r="S1696" i="12"/>
  <c r="S1858" i="12"/>
  <c r="S2020" i="12"/>
  <c r="T1210" i="12"/>
  <c r="T1372" i="12"/>
  <c r="T1696" i="12"/>
  <c r="T2020" i="12"/>
  <c r="U1210" i="12"/>
  <c r="U1372" i="12"/>
  <c r="U1696" i="12"/>
  <c r="U1858" i="12"/>
  <c r="U2020" i="12"/>
  <c r="Q1211" i="12"/>
  <c r="R1211" i="12"/>
  <c r="Q1373" i="12"/>
  <c r="U1373" i="12" s="1"/>
  <c r="R1373" i="12"/>
  <c r="Q1535" i="12"/>
  <c r="R1535" i="12"/>
  <c r="Q1697" i="12"/>
  <c r="S1697" i="12" s="1"/>
  <c r="R1697" i="12"/>
  <c r="Q1859" i="12"/>
  <c r="R1859" i="12"/>
  <c r="Q2021" i="12"/>
  <c r="U2021" i="12" s="1"/>
  <c r="R2021" i="12"/>
  <c r="S1211" i="12"/>
  <c r="Y59" i="12" s="1"/>
  <c r="AD59" i="12" s="1"/>
  <c r="AZ59" i="12" s="1"/>
  <c r="S1373" i="12"/>
  <c r="S1535" i="12"/>
  <c r="S1859" i="12"/>
  <c r="S2021" i="12"/>
  <c r="T1211" i="12"/>
  <c r="T1373" i="12"/>
  <c r="T1535" i="12"/>
  <c r="T1697" i="12"/>
  <c r="T1859" i="12"/>
  <c r="T2021" i="12"/>
  <c r="Z59" i="12"/>
  <c r="U1211" i="12"/>
  <c r="U1535" i="12"/>
  <c r="U1697" i="12"/>
  <c r="U1859" i="12"/>
  <c r="AA59" i="12" s="1"/>
  <c r="AF59" i="12" s="1"/>
  <c r="BB59" i="12" s="1"/>
  <c r="BC59" i="12" s="1"/>
  <c r="Q1212" i="12"/>
  <c r="R1212" i="12"/>
  <c r="X60" i="12" s="1"/>
  <c r="Q1374" i="12"/>
  <c r="R1374" i="12"/>
  <c r="Q1536" i="12"/>
  <c r="T1536" i="12" s="1"/>
  <c r="R1536" i="12"/>
  <c r="Q1698" i="12"/>
  <c r="R1698" i="12"/>
  <c r="Q1860" i="12"/>
  <c r="R1860" i="12"/>
  <c r="Q2022" i="12"/>
  <c r="R2022" i="12"/>
  <c r="S1212" i="12"/>
  <c r="S1374" i="12"/>
  <c r="S1536" i="12"/>
  <c r="S1698" i="12"/>
  <c r="S1860" i="12"/>
  <c r="S2022" i="12"/>
  <c r="Y60" i="12"/>
  <c r="T1212" i="12"/>
  <c r="T1374" i="12"/>
  <c r="T1698" i="12"/>
  <c r="T1860" i="12"/>
  <c r="T2022" i="12"/>
  <c r="U1212" i="12"/>
  <c r="U1374" i="12"/>
  <c r="U1536" i="12"/>
  <c r="U1698" i="12"/>
  <c r="U1860" i="12"/>
  <c r="U2022" i="12"/>
  <c r="AA60" i="12"/>
  <c r="Q1213" i="12"/>
  <c r="R1213" i="12"/>
  <c r="Q1375" i="12"/>
  <c r="R1375" i="12"/>
  <c r="Q1537" i="12"/>
  <c r="R1537" i="12"/>
  <c r="Q1699" i="12"/>
  <c r="R1699" i="12"/>
  <c r="Q1861" i="12"/>
  <c r="R1861" i="12"/>
  <c r="Q2023" i="12"/>
  <c r="R2023" i="12"/>
  <c r="S1213" i="12"/>
  <c r="S1537" i="12"/>
  <c r="S1861" i="12"/>
  <c r="T1213" i="12"/>
  <c r="T1537" i="12"/>
  <c r="T1861" i="12"/>
  <c r="T2023" i="12"/>
  <c r="U1213" i="12"/>
  <c r="U1537" i="12"/>
  <c r="U1699" i="12"/>
  <c r="U1861" i="12"/>
  <c r="Q1214" i="12"/>
  <c r="R1214" i="12"/>
  <c r="X62" i="12" s="1"/>
  <c r="Q1376" i="12"/>
  <c r="R1376" i="12"/>
  <c r="Q1538" i="12"/>
  <c r="R1538" i="12"/>
  <c r="Q1700" i="12"/>
  <c r="R1700" i="12"/>
  <c r="Q1862" i="12"/>
  <c r="T1862" i="12" s="1"/>
  <c r="R1862" i="12"/>
  <c r="Q2024" i="12"/>
  <c r="R2024" i="12"/>
  <c r="S1214" i="12"/>
  <c r="S1376" i="12"/>
  <c r="S1700" i="12"/>
  <c r="S1862" i="12"/>
  <c r="S2024" i="12"/>
  <c r="T1214" i="12"/>
  <c r="T1376" i="12"/>
  <c r="T1700" i="12"/>
  <c r="T2024" i="12"/>
  <c r="U1214" i="12"/>
  <c r="U1376" i="12"/>
  <c r="U1700" i="12"/>
  <c r="U1862" i="12"/>
  <c r="U2024" i="12"/>
  <c r="Q1215" i="12"/>
  <c r="R1215" i="12"/>
  <c r="Q1377" i="12"/>
  <c r="R1377" i="12"/>
  <c r="Q1539" i="12"/>
  <c r="R1539" i="12"/>
  <c r="Q1701" i="12"/>
  <c r="U1701" i="12" s="1"/>
  <c r="R1701" i="12"/>
  <c r="Q1863" i="12"/>
  <c r="R1863" i="12"/>
  <c r="Q2025" i="12"/>
  <c r="R2025" i="12"/>
  <c r="Y63" i="12"/>
  <c r="AD63" i="12" s="1"/>
  <c r="AZ63" i="12" s="1"/>
  <c r="T1215" i="12"/>
  <c r="T1377" i="12"/>
  <c r="T1539" i="12"/>
  <c r="T1701" i="12"/>
  <c r="T1863" i="12"/>
  <c r="T2025" i="12"/>
  <c r="U1215" i="12"/>
  <c r="U1377" i="12"/>
  <c r="U1539" i="12"/>
  <c r="U1863" i="12"/>
  <c r="U2025" i="12"/>
  <c r="AA63" i="12"/>
  <c r="Q1216" i="12"/>
  <c r="R1216" i="12"/>
  <c r="Q1378" i="12"/>
  <c r="R1378" i="12"/>
  <c r="Q1540" i="12"/>
  <c r="R1540" i="12"/>
  <c r="Q1702" i="12"/>
  <c r="U1702" i="12" s="1"/>
  <c r="R1702" i="12"/>
  <c r="Q1864" i="12"/>
  <c r="R1864" i="12"/>
  <c r="Q2026" i="12"/>
  <c r="R2026" i="12"/>
  <c r="Y64" i="12"/>
  <c r="T1216" i="12"/>
  <c r="T1378" i="12"/>
  <c r="T1540" i="12"/>
  <c r="T1702" i="12"/>
  <c r="T1864" i="12"/>
  <c r="T2026" i="12"/>
  <c r="U1216" i="12"/>
  <c r="AA64" i="12" s="1"/>
  <c r="U1378" i="12"/>
  <c r="U1540" i="12"/>
  <c r="U1864" i="12"/>
  <c r="U2026" i="12"/>
  <c r="Q1217" i="12"/>
  <c r="R1217" i="12"/>
  <c r="Q1379" i="12"/>
  <c r="Q1541" i="12"/>
  <c r="R1541" i="12"/>
  <c r="Q1703" i="12"/>
  <c r="Q1865" i="12"/>
  <c r="R1865" i="12"/>
  <c r="Q2027" i="12"/>
  <c r="S1217" i="12"/>
  <c r="S1541" i="12"/>
  <c r="S1865" i="12"/>
  <c r="T1217" i="12"/>
  <c r="T1379" i="12"/>
  <c r="T1541" i="12"/>
  <c r="T1865" i="12"/>
  <c r="U1217" i="12"/>
  <c r="U1541" i="12"/>
  <c r="U1703" i="12"/>
  <c r="U1865" i="12"/>
  <c r="Q1218" i="12"/>
  <c r="R1218" i="12" s="1"/>
  <c r="Q1380" i="12"/>
  <c r="R1380" i="12"/>
  <c r="Q1542" i="12"/>
  <c r="R1542" i="12" s="1"/>
  <c r="Q1704" i="12"/>
  <c r="R1704" i="12"/>
  <c r="Q1866" i="12"/>
  <c r="T1866" i="12" s="1"/>
  <c r="Q2028" i="12"/>
  <c r="R2028" i="12"/>
  <c r="S1380" i="12"/>
  <c r="S1704" i="12"/>
  <c r="S1866" i="12"/>
  <c r="S2028" i="12"/>
  <c r="T1380" i="12"/>
  <c r="T1704" i="12"/>
  <c r="T2028" i="12"/>
  <c r="U1380" i="12"/>
  <c r="U1704" i="12"/>
  <c r="U2028" i="12"/>
  <c r="Q1219" i="12"/>
  <c r="R1219" i="12"/>
  <c r="Q1381" i="12"/>
  <c r="U1381" i="12" s="1"/>
  <c r="R1381" i="12"/>
  <c r="Q1543" i="12"/>
  <c r="R1543" i="12"/>
  <c r="Q1705" i="12"/>
  <c r="S1705" i="12" s="1"/>
  <c r="R1705" i="12"/>
  <c r="Q1867" i="12"/>
  <c r="R1867" i="12"/>
  <c r="Q2029" i="12"/>
  <c r="U2029" i="12" s="1"/>
  <c r="R2029" i="12"/>
  <c r="S1219" i="12"/>
  <c r="S1381" i="12"/>
  <c r="S1543" i="12"/>
  <c r="S1867" i="12"/>
  <c r="S2029" i="12"/>
  <c r="Y67" i="12"/>
  <c r="AD67" i="12" s="1"/>
  <c r="AZ67" i="12" s="1"/>
  <c r="T1219" i="12"/>
  <c r="T1381" i="12"/>
  <c r="T1543" i="12"/>
  <c r="T1705" i="12"/>
  <c r="Z67" i="12" s="1"/>
  <c r="T1867" i="12"/>
  <c r="T2029" i="12"/>
  <c r="U1219" i="12"/>
  <c r="U1543" i="12"/>
  <c r="U1705" i="12"/>
  <c r="U1867" i="12"/>
  <c r="AA67" i="12"/>
  <c r="Q1220" i="12"/>
  <c r="R1220" i="12"/>
  <c r="Q1382" i="12"/>
  <c r="R1382" i="12"/>
  <c r="Q1544" i="12"/>
  <c r="T1544" i="12" s="1"/>
  <c r="R1544" i="12"/>
  <c r="Q1706" i="12"/>
  <c r="R1706" i="12"/>
  <c r="Q1868" i="12"/>
  <c r="R1868" i="12"/>
  <c r="Q2030" i="12"/>
  <c r="R2030" i="12"/>
  <c r="S1220" i="12"/>
  <c r="S1382" i="12"/>
  <c r="S1544" i="12"/>
  <c r="S1706" i="12"/>
  <c r="S1868" i="12"/>
  <c r="S2030" i="12"/>
  <c r="Y68" i="12"/>
  <c r="T1220" i="12"/>
  <c r="T1382" i="12"/>
  <c r="T1706" i="12"/>
  <c r="T1868" i="12"/>
  <c r="T2030" i="12"/>
  <c r="U1220" i="12"/>
  <c r="U1382" i="12"/>
  <c r="AA68" i="12" s="1"/>
  <c r="U1544" i="12"/>
  <c r="U1706" i="12"/>
  <c r="U1868" i="12"/>
  <c r="U2030" i="12"/>
  <c r="Q1221" i="12"/>
  <c r="R1221" i="12"/>
  <c r="Q1383" i="12"/>
  <c r="Q1545" i="12"/>
  <c r="R1545" i="12"/>
  <c r="Q1707" i="12"/>
  <c r="Q1869" i="12"/>
  <c r="R1869" i="12"/>
  <c r="Q2031" i="12"/>
  <c r="S1221" i="12"/>
  <c r="S1545" i="12"/>
  <c r="S1869" i="12"/>
  <c r="T1221" i="12"/>
  <c r="T1383" i="12"/>
  <c r="T1545" i="12"/>
  <c r="T1869" i="12"/>
  <c r="U1221" i="12"/>
  <c r="U1545" i="12"/>
  <c r="U1707" i="12"/>
  <c r="U1869" i="12"/>
  <c r="Q1222" i="12"/>
  <c r="R1222" i="12" s="1"/>
  <c r="Q1384" i="12"/>
  <c r="R1384" i="12"/>
  <c r="Q1546" i="12"/>
  <c r="R1546" i="12" s="1"/>
  <c r="Q1708" i="12"/>
  <c r="R1708" i="12"/>
  <c r="Q1870" i="12"/>
  <c r="T1870" i="12" s="1"/>
  <c r="Q2032" i="12"/>
  <c r="R2032" i="12"/>
  <c r="S1384" i="12"/>
  <c r="S1708" i="12"/>
  <c r="S1870" i="12"/>
  <c r="S2032" i="12"/>
  <c r="T1384" i="12"/>
  <c r="T1708" i="12"/>
  <c r="T2032" i="12"/>
  <c r="U1384" i="12"/>
  <c r="U1708" i="12"/>
  <c r="U2032" i="12"/>
  <c r="Q1223" i="12"/>
  <c r="R1223" i="12"/>
  <c r="Q1385" i="12"/>
  <c r="U1385" i="12" s="1"/>
  <c r="R1385" i="12"/>
  <c r="Q1547" i="12"/>
  <c r="R1547" i="12"/>
  <c r="Q1709" i="12"/>
  <c r="S1709" i="12" s="1"/>
  <c r="R1709" i="12"/>
  <c r="Q1871" i="12"/>
  <c r="R1871" i="12"/>
  <c r="Q2033" i="12"/>
  <c r="U2033" i="12" s="1"/>
  <c r="R2033" i="12"/>
  <c r="S1223" i="12"/>
  <c r="S1385" i="12"/>
  <c r="S1547" i="12"/>
  <c r="S1871" i="12"/>
  <c r="S2033" i="12"/>
  <c r="Y71" i="12"/>
  <c r="T1223" i="12"/>
  <c r="T1385" i="12"/>
  <c r="T1547" i="12"/>
  <c r="T1709" i="12"/>
  <c r="Z71" i="12" s="1"/>
  <c r="T1871" i="12"/>
  <c r="T2033" i="12"/>
  <c r="U1223" i="12"/>
  <c r="U1547" i="12"/>
  <c r="U1709" i="12"/>
  <c r="U1871" i="12"/>
  <c r="AA71" i="12"/>
  <c r="Q1224" i="12"/>
  <c r="R1224" i="12"/>
  <c r="Q1386" i="12"/>
  <c r="R1386" i="12"/>
  <c r="Q1548" i="12"/>
  <c r="T1548" i="12" s="1"/>
  <c r="R1548" i="12"/>
  <c r="Q1710" i="12"/>
  <c r="R1710" i="12"/>
  <c r="Q1872" i="12"/>
  <c r="R1872" i="12"/>
  <c r="Q2034" i="12"/>
  <c r="R2034" i="12"/>
  <c r="S1224" i="12"/>
  <c r="S1386" i="12"/>
  <c r="S1548" i="12"/>
  <c r="S1710" i="12"/>
  <c r="S1872" i="12"/>
  <c r="S2034" i="12"/>
  <c r="Y72" i="12"/>
  <c r="T1224" i="12"/>
  <c r="T1386" i="12"/>
  <c r="T1710" i="12"/>
  <c r="T1872" i="12"/>
  <c r="T2034" i="12"/>
  <c r="U1224" i="12"/>
  <c r="U1386" i="12"/>
  <c r="AA72" i="12" s="1"/>
  <c r="U1548" i="12"/>
  <c r="U1710" i="12"/>
  <c r="U1872" i="12"/>
  <c r="U2034" i="12"/>
  <c r="Q1225" i="12"/>
  <c r="R1225" i="12"/>
  <c r="Q1387" i="12"/>
  <c r="Q1549" i="12"/>
  <c r="R1549" i="12"/>
  <c r="Q1711" i="12"/>
  <c r="Q1873" i="12"/>
  <c r="R1873" i="12"/>
  <c r="Q2035" i="12"/>
  <c r="S1225" i="12"/>
  <c r="S1549" i="12"/>
  <c r="S1873" i="12"/>
  <c r="T1225" i="12"/>
  <c r="T1387" i="12"/>
  <c r="T1549" i="12"/>
  <c r="T1873" i="12"/>
  <c r="U1225" i="12"/>
  <c r="U1549" i="12"/>
  <c r="U1711" i="12"/>
  <c r="U1873" i="12"/>
  <c r="Q1226" i="12"/>
  <c r="R1226" i="12" s="1"/>
  <c r="Q1388" i="12"/>
  <c r="R1388" i="12"/>
  <c r="Q1550" i="12"/>
  <c r="R1550" i="12" s="1"/>
  <c r="Q1712" i="12"/>
  <c r="R1712" i="12"/>
  <c r="Q1874" i="12"/>
  <c r="T1874" i="12" s="1"/>
  <c r="Q2036" i="12"/>
  <c r="R2036" i="12"/>
  <c r="S1388" i="12"/>
  <c r="S1712" i="12"/>
  <c r="S1874" i="12"/>
  <c r="S2036" i="12"/>
  <c r="T1388" i="12"/>
  <c r="T1712" i="12"/>
  <c r="T2036" i="12"/>
  <c r="U1388" i="12"/>
  <c r="U1712" i="12"/>
  <c r="U2036" i="12"/>
  <c r="Q1227" i="12"/>
  <c r="R1227" i="12"/>
  <c r="Q1389" i="12"/>
  <c r="U1389" i="12" s="1"/>
  <c r="R1389" i="12"/>
  <c r="Q1551" i="12"/>
  <c r="R1551" i="12"/>
  <c r="Q1713" i="12"/>
  <c r="S1713" i="12" s="1"/>
  <c r="R1713" i="12"/>
  <c r="Q1875" i="12"/>
  <c r="R1875" i="12"/>
  <c r="Q2037" i="12"/>
  <c r="U2037" i="12" s="1"/>
  <c r="R2037" i="12"/>
  <c r="S1227" i="12"/>
  <c r="S1389" i="12"/>
  <c r="S1551" i="12"/>
  <c r="S1875" i="12"/>
  <c r="S2037" i="12"/>
  <c r="Y75" i="12"/>
  <c r="AD75" i="12" s="1"/>
  <c r="AZ75" i="12" s="1"/>
  <c r="T1227" i="12"/>
  <c r="T1389" i="12"/>
  <c r="T1551" i="12"/>
  <c r="T1713" i="12"/>
  <c r="Z75" i="12" s="1"/>
  <c r="T1875" i="12"/>
  <c r="T2037" i="12"/>
  <c r="U1227" i="12"/>
  <c r="U1551" i="12"/>
  <c r="U1713" i="12"/>
  <c r="U1875" i="12"/>
  <c r="AA75" i="12"/>
  <c r="Q1228" i="12"/>
  <c r="R1228" i="12"/>
  <c r="Q1390" i="12"/>
  <c r="R1390" i="12"/>
  <c r="Q1552" i="12"/>
  <c r="T1552" i="12" s="1"/>
  <c r="R1552" i="12"/>
  <c r="Q1714" i="12"/>
  <c r="R1714" i="12"/>
  <c r="Q1876" i="12"/>
  <c r="R1876" i="12"/>
  <c r="Q2038" i="12"/>
  <c r="R2038" i="12"/>
  <c r="S1228" i="12"/>
  <c r="S1390" i="12"/>
  <c r="S1552" i="12"/>
  <c r="S1714" i="12"/>
  <c r="S1876" i="12"/>
  <c r="S2038" i="12"/>
  <c r="Y76" i="12"/>
  <c r="T1228" i="12"/>
  <c r="T1390" i="12"/>
  <c r="T1714" i="12"/>
  <c r="T1876" i="12"/>
  <c r="T2038" i="12"/>
  <c r="U1228" i="12"/>
  <c r="U1390" i="12"/>
  <c r="AA76" i="12" s="1"/>
  <c r="U1552" i="12"/>
  <c r="U1714" i="12"/>
  <c r="U1876" i="12"/>
  <c r="U2038" i="12"/>
  <c r="Q1229" i="12"/>
  <c r="R1229" i="12"/>
  <c r="Q1391" i="12"/>
  <c r="Q1553" i="12"/>
  <c r="R1553" i="12"/>
  <c r="Q1715" i="12"/>
  <c r="Q1877" i="12"/>
  <c r="R1877" i="12"/>
  <c r="Q2039" i="12"/>
  <c r="S1229" i="12"/>
  <c r="S1553" i="12"/>
  <c r="S1877" i="12"/>
  <c r="T1229" i="12"/>
  <c r="T1391" i="12"/>
  <c r="T1553" i="12"/>
  <c r="T1877" i="12"/>
  <c r="U1229" i="12"/>
  <c r="U1553" i="12"/>
  <c r="U1715" i="12"/>
  <c r="U1877" i="12"/>
  <c r="Q1230" i="12"/>
  <c r="R1230" i="12" s="1"/>
  <c r="Q1392" i="12"/>
  <c r="R1392" i="12"/>
  <c r="Q1554" i="12"/>
  <c r="R1554" i="12" s="1"/>
  <c r="Q1716" i="12"/>
  <c r="R1716" i="12"/>
  <c r="Q1878" i="12"/>
  <c r="T1878" i="12" s="1"/>
  <c r="Q2040" i="12"/>
  <c r="R2040" i="12"/>
  <c r="S1392" i="12"/>
  <c r="S1716" i="12"/>
  <c r="S1878" i="12"/>
  <c r="S2040" i="12"/>
  <c r="T1392" i="12"/>
  <c r="T1716" i="12"/>
  <c r="T2040" i="12"/>
  <c r="U1392" i="12"/>
  <c r="U1716" i="12"/>
  <c r="U2040" i="12"/>
  <c r="Q1231" i="12"/>
  <c r="R1231" i="12"/>
  <c r="Q1393" i="12"/>
  <c r="U1393" i="12" s="1"/>
  <c r="R1393" i="12"/>
  <c r="Q1555" i="12"/>
  <c r="R1555" i="12"/>
  <c r="Q1717" i="12"/>
  <c r="S1717" i="12" s="1"/>
  <c r="R1717" i="12"/>
  <c r="Q1879" i="12"/>
  <c r="R1879" i="12"/>
  <c r="Q2041" i="12"/>
  <c r="U2041" i="12" s="1"/>
  <c r="R2041" i="12"/>
  <c r="S1231" i="12"/>
  <c r="S1393" i="12"/>
  <c r="S1555" i="12"/>
  <c r="S1879" i="12"/>
  <c r="S2041" i="12"/>
  <c r="Y79" i="12"/>
  <c r="AD79" i="12" s="1"/>
  <c r="AZ79" i="12" s="1"/>
  <c r="T1231" i="12"/>
  <c r="T1393" i="12"/>
  <c r="T1555" i="12"/>
  <c r="T1717" i="12"/>
  <c r="Z79" i="12" s="1"/>
  <c r="T1879" i="12"/>
  <c r="T2041" i="12"/>
  <c r="U1231" i="12"/>
  <c r="U1555" i="12"/>
  <c r="U1717" i="12"/>
  <c r="U1879" i="12"/>
  <c r="AA79" i="12"/>
  <c r="Q1232" i="12"/>
  <c r="R1232" i="12"/>
  <c r="Q1394" i="12"/>
  <c r="R1394" i="12"/>
  <c r="Q1556" i="12"/>
  <c r="T1556" i="12" s="1"/>
  <c r="R1556" i="12"/>
  <c r="Q1718" i="12"/>
  <c r="R1718" i="12"/>
  <c r="Q1880" i="12"/>
  <c r="R1880" i="12"/>
  <c r="Q2042" i="12"/>
  <c r="R2042" i="12"/>
  <c r="S1232" i="12"/>
  <c r="S1394" i="12"/>
  <c r="S1556" i="12"/>
  <c r="S1718" i="12"/>
  <c r="S1880" i="12"/>
  <c r="S2042" i="12"/>
  <c r="Y80" i="12"/>
  <c r="T1232" i="12"/>
  <c r="T1394" i="12"/>
  <c r="T1718" i="12"/>
  <c r="T1880" i="12"/>
  <c r="T2042" i="12"/>
  <c r="U1232" i="12"/>
  <c r="U1394" i="12"/>
  <c r="AA80" i="12" s="1"/>
  <c r="U1556" i="12"/>
  <c r="U1718" i="12"/>
  <c r="U1880" i="12"/>
  <c r="U2042" i="12"/>
  <c r="Q1233" i="12"/>
  <c r="R1233" i="12"/>
  <c r="Q1395" i="12"/>
  <c r="Q1557" i="12"/>
  <c r="R1557" i="12"/>
  <c r="Q1719" i="12"/>
  <c r="Q1881" i="12"/>
  <c r="R1881" i="12"/>
  <c r="Q2043" i="12"/>
  <c r="S1233" i="12"/>
  <c r="S1557" i="12"/>
  <c r="S1881" i="12"/>
  <c r="T1233" i="12"/>
  <c r="T1395" i="12"/>
  <c r="T1557" i="12"/>
  <c r="T1881" i="12"/>
  <c r="U1233" i="12"/>
  <c r="U1557" i="12"/>
  <c r="U1719" i="12"/>
  <c r="U1881" i="12"/>
  <c r="Q1234" i="12"/>
  <c r="R1234" i="12" s="1"/>
  <c r="Q1396" i="12"/>
  <c r="R1396" i="12"/>
  <c r="Q1558" i="12"/>
  <c r="R1558" i="12" s="1"/>
  <c r="Q1720" i="12"/>
  <c r="R1720" i="12"/>
  <c r="Q1882" i="12"/>
  <c r="T1882" i="12" s="1"/>
  <c r="Q2044" i="12"/>
  <c r="R2044" i="12"/>
  <c r="S1396" i="12"/>
  <c r="S1720" i="12"/>
  <c r="S1882" i="12"/>
  <c r="S2044" i="12"/>
  <c r="T1396" i="12"/>
  <c r="T1720" i="12"/>
  <c r="T2044" i="12"/>
  <c r="U1396" i="12"/>
  <c r="U1720" i="12"/>
  <c r="U2044" i="12"/>
  <c r="Q1235" i="12"/>
  <c r="R1235" i="12"/>
  <c r="Q1397" i="12"/>
  <c r="U1397" i="12" s="1"/>
  <c r="R1397" i="12"/>
  <c r="Q1559" i="12"/>
  <c r="R1559" i="12"/>
  <c r="Q1721" i="12"/>
  <c r="S1721" i="12" s="1"/>
  <c r="R1721" i="12"/>
  <c r="Q1883" i="12"/>
  <c r="R1883" i="12"/>
  <c r="Q2045" i="12"/>
  <c r="U2045" i="12" s="1"/>
  <c r="R2045" i="12"/>
  <c r="S1235" i="12"/>
  <c r="S1397" i="12"/>
  <c r="S1559" i="12"/>
  <c r="S1883" i="12"/>
  <c r="S2045" i="12"/>
  <c r="Y83" i="12"/>
  <c r="AD83" i="12" s="1"/>
  <c r="T1235" i="12"/>
  <c r="T1397" i="12"/>
  <c r="T1559" i="12"/>
  <c r="T1721" i="12"/>
  <c r="Z83" i="12" s="1"/>
  <c r="T1883" i="12"/>
  <c r="T2045" i="12"/>
  <c r="U1235" i="12"/>
  <c r="U1559" i="12"/>
  <c r="U1721" i="12"/>
  <c r="U1883" i="12"/>
  <c r="AA83" i="12"/>
  <c r="Q1236" i="12"/>
  <c r="R1236" i="12"/>
  <c r="Q1398" i="12"/>
  <c r="R1398" i="12"/>
  <c r="Q1560" i="12"/>
  <c r="T1560" i="12" s="1"/>
  <c r="R1560" i="12"/>
  <c r="Q1722" i="12"/>
  <c r="R1722" i="12"/>
  <c r="Q1884" i="12"/>
  <c r="R1884" i="12"/>
  <c r="Q2046" i="12"/>
  <c r="R2046" i="12"/>
  <c r="S1236" i="12"/>
  <c r="S1398" i="12"/>
  <c r="S1560" i="12"/>
  <c r="S1722" i="12"/>
  <c r="S1884" i="12"/>
  <c r="S2046" i="12"/>
  <c r="Y84" i="12"/>
  <c r="T1236" i="12"/>
  <c r="T1398" i="12"/>
  <c r="T1722" i="12"/>
  <c r="T1884" i="12"/>
  <c r="T2046" i="12"/>
  <c r="U1236" i="12"/>
  <c r="U1398" i="12"/>
  <c r="AA84" i="12" s="1"/>
  <c r="U1560" i="12"/>
  <c r="U1722" i="12"/>
  <c r="U1884" i="12"/>
  <c r="U2046" i="12"/>
  <c r="Q1237" i="12"/>
  <c r="R1237" i="12"/>
  <c r="Q1399" i="12"/>
  <c r="Q1561" i="12"/>
  <c r="R1561" i="12"/>
  <c r="Q1723" i="12"/>
  <c r="Q1885" i="12"/>
  <c r="R1885" i="12"/>
  <c r="Q2047" i="12"/>
  <c r="S1237" i="12"/>
  <c r="S1561" i="12"/>
  <c r="S1885" i="12"/>
  <c r="T1237" i="12"/>
  <c r="T1399" i="12"/>
  <c r="T1561" i="12"/>
  <c r="T1885" i="12"/>
  <c r="U1237" i="12"/>
  <c r="U1561" i="12"/>
  <c r="U1723" i="12"/>
  <c r="U1885" i="12"/>
  <c r="Q1238" i="12"/>
  <c r="R1238" i="12" s="1"/>
  <c r="Q1400" i="12"/>
  <c r="R1400" i="12"/>
  <c r="Q1562" i="12"/>
  <c r="R1562" i="12" s="1"/>
  <c r="Q1724" i="12"/>
  <c r="R1724" i="12"/>
  <c r="Q1886" i="12"/>
  <c r="T1886" i="12" s="1"/>
  <c r="Q2048" i="12"/>
  <c r="R2048" i="12"/>
  <c r="S1400" i="12"/>
  <c r="S1724" i="12"/>
  <c r="S1886" i="12"/>
  <c r="S2048" i="12"/>
  <c r="T1400" i="12"/>
  <c r="T1724" i="12"/>
  <c r="T2048" i="12"/>
  <c r="U1400" i="12"/>
  <c r="U1724" i="12"/>
  <c r="U2048" i="12"/>
  <c r="Q1239" i="12"/>
  <c r="R1239" i="12"/>
  <c r="Q1401" i="12"/>
  <c r="U1401" i="12" s="1"/>
  <c r="R1401" i="12"/>
  <c r="Q1563" i="12"/>
  <c r="R1563" i="12"/>
  <c r="Q1725" i="12"/>
  <c r="S1725" i="12" s="1"/>
  <c r="R1725" i="12"/>
  <c r="Q1887" i="12"/>
  <c r="R1887" i="12"/>
  <c r="Q2049" i="12"/>
  <c r="U2049" i="12" s="1"/>
  <c r="R2049" i="12"/>
  <c r="S1239" i="12"/>
  <c r="S1401" i="12"/>
  <c r="S1563" i="12"/>
  <c r="S1887" i="12"/>
  <c r="S2049" i="12"/>
  <c r="Y87" i="12"/>
  <c r="AD87" i="12" s="1"/>
  <c r="AZ87" i="12" s="1"/>
  <c r="T1239" i="12"/>
  <c r="T1401" i="12"/>
  <c r="T1563" i="12"/>
  <c r="T1725" i="12"/>
  <c r="Z87" i="12" s="1"/>
  <c r="T1887" i="12"/>
  <c r="T2049" i="12"/>
  <c r="U1239" i="12"/>
  <c r="U1563" i="12"/>
  <c r="U1725" i="12"/>
  <c r="U1887" i="12"/>
  <c r="AA87" i="12"/>
  <c r="Q1240" i="12"/>
  <c r="R1240" i="12"/>
  <c r="Q1402" i="12"/>
  <c r="R1402" i="12"/>
  <c r="Q1564" i="12"/>
  <c r="T1564" i="12" s="1"/>
  <c r="R1564" i="12"/>
  <c r="Q1726" i="12"/>
  <c r="R1726" i="12"/>
  <c r="Q1888" i="12"/>
  <c r="R1888" i="12"/>
  <c r="Q2050" i="12"/>
  <c r="R2050" i="12"/>
  <c r="S1240" i="12"/>
  <c r="S1402" i="12"/>
  <c r="S1564" i="12"/>
  <c r="S1726" i="12"/>
  <c r="S1888" i="12"/>
  <c r="S2050" i="12"/>
  <c r="Y88" i="12"/>
  <c r="T1240" i="12"/>
  <c r="T1402" i="12"/>
  <c r="T1726" i="12"/>
  <c r="T1888" i="12"/>
  <c r="T2050" i="12"/>
  <c r="U1240" i="12"/>
  <c r="U1402" i="12"/>
  <c r="AA88" i="12" s="1"/>
  <c r="U1564" i="12"/>
  <c r="U1726" i="12"/>
  <c r="U1888" i="12"/>
  <c r="U2050" i="12"/>
  <c r="Q1241" i="12"/>
  <c r="R1241" i="12"/>
  <c r="Q1403" i="12"/>
  <c r="Q1565" i="12"/>
  <c r="R1565" i="12"/>
  <c r="Q1727" i="12"/>
  <c r="Q1889" i="12"/>
  <c r="R1889" i="12"/>
  <c r="Q2051" i="12"/>
  <c r="S1241" i="12"/>
  <c r="S1565" i="12"/>
  <c r="S1889" i="12"/>
  <c r="T1241" i="12"/>
  <c r="T1403" i="12"/>
  <c r="T1565" i="12"/>
  <c r="T1889" i="12"/>
  <c r="U1241" i="12"/>
  <c r="U1565" i="12"/>
  <c r="U1727" i="12"/>
  <c r="U1889" i="12"/>
  <c r="Q1242" i="12"/>
  <c r="R1242" i="12" s="1"/>
  <c r="Q1404" i="12"/>
  <c r="R1404" i="12"/>
  <c r="Q1566" i="12"/>
  <c r="R1566" i="12" s="1"/>
  <c r="Q1728" i="12"/>
  <c r="R1728" i="12"/>
  <c r="Q1890" i="12"/>
  <c r="T1890" i="12" s="1"/>
  <c r="Q2052" i="12"/>
  <c r="R2052" i="12"/>
  <c r="S1404" i="12"/>
  <c r="S1728" i="12"/>
  <c r="S1890" i="12"/>
  <c r="S2052" i="12"/>
  <c r="T1404" i="12"/>
  <c r="T1728" i="12"/>
  <c r="T2052" i="12"/>
  <c r="U1404" i="12"/>
  <c r="U1728" i="12"/>
  <c r="U2052" i="12"/>
  <c r="Q1243" i="12"/>
  <c r="R1243" i="12"/>
  <c r="Q1405" i="12"/>
  <c r="U1405" i="12" s="1"/>
  <c r="R1405" i="12"/>
  <c r="Q1567" i="12"/>
  <c r="R1567" i="12"/>
  <c r="Q1729" i="12"/>
  <c r="S1729" i="12" s="1"/>
  <c r="R1729" i="12"/>
  <c r="Q1891" i="12"/>
  <c r="R1891" i="12"/>
  <c r="Q2053" i="12"/>
  <c r="U2053" i="12" s="1"/>
  <c r="R2053" i="12"/>
  <c r="S1243" i="12"/>
  <c r="S1405" i="12"/>
  <c r="S1567" i="12"/>
  <c r="S1891" i="12"/>
  <c r="S2053" i="12"/>
  <c r="Y91" i="12"/>
  <c r="T1243" i="12"/>
  <c r="T1405" i="12"/>
  <c r="T1567" i="12"/>
  <c r="T1729" i="12"/>
  <c r="Z91" i="12" s="1"/>
  <c r="T1891" i="12"/>
  <c r="T2053" i="12"/>
  <c r="U1243" i="12"/>
  <c r="U1567" i="12"/>
  <c r="U1729" i="12"/>
  <c r="U1891" i="12"/>
  <c r="AA91" i="12"/>
  <c r="Q1244" i="12"/>
  <c r="R1244" i="12"/>
  <c r="Q1406" i="12"/>
  <c r="R1406" i="12"/>
  <c r="Q1568" i="12"/>
  <c r="T1568" i="12" s="1"/>
  <c r="R1568" i="12"/>
  <c r="Q1730" i="12"/>
  <c r="R1730" i="12"/>
  <c r="Q1892" i="12"/>
  <c r="R1892" i="12"/>
  <c r="Q2054" i="12"/>
  <c r="R2054" i="12"/>
  <c r="S1244" i="12"/>
  <c r="S1406" i="12"/>
  <c r="S1568" i="12"/>
  <c r="S1730" i="12"/>
  <c r="S1892" i="12"/>
  <c r="S2054" i="12"/>
  <c r="Y92" i="12"/>
  <c r="T1244" i="12"/>
  <c r="T1406" i="12"/>
  <c r="T1730" i="12"/>
  <c r="T1892" i="12"/>
  <c r="T2054" i="12"/>
  <c r="U1244" i="12"/>
  <c r="U1406" i="12"/>
  <c r="AA92" i="12" s="1"/>
  <c r="U1568" i="12"/>
  <c r="U1730" i="12"/>
  <c r="U1892" i="12"/>
  <c r="U2054" i="12"/>
  <c r="Q1245" i="12"/>
  <c r="R1245" i="12"/>
  <c r="Q1407" i="12"/>
  <c r="Q1569" i="12"/>
  <c r="R1569" i="12"/>
  <c r="Q1731" i="12"/>
  <c r="Q1893" i="12"/>
  <c r="R1893" i="12"/>
  <c r="Q2055" i="12"/>
  <c r="S1245" i="12"/>
  <c r="S1569" i="12"/>
  <c r="S1893" i="12"/>
  <c r="T1245" i="12"/>
  <c r="T1407" i="12"/>
  <c r="T1569" i="12"/>
  <c r="T1893" i="12"/>
  <c r="U1245" i="12"/>
  <c r="U1569" i="12"/>
  <c r="U1731" i="12"/>
  <c r="U1893" i="12"/>
  <c r="Q1246" i="12"/>
  <c r="R1246" i="12" s="1"/>
  <c r="Q1408" i="12"/>
  <c r="R1408" i="12"/>
  <c r="Q1570" i="12"/>
  <c r="R1570" i="12" s="1"/>
  <c r="Q1732" i="12"/>
  <c r="R1732" i="12"/>
  <c r="Q1894" i="12"/>
  <c r="T1894" i="12" s="1"/>
  <c r="Q2056" i="12"/>
  <c r="R2056" i="12"/>
  <c r="S1408" i="12"/>
  <c r="S1732" i="12"/>
  <c r="S1894" i="12"/>
  <c r="S2056" i="12"/>
  <c r="T1408" i="12"/>
  <c r="T1732" i="12"/>
  <c r="T2056" i="12"/>
  <c r="U1408" i="12"/>
  <c r="U1732" i="12"/>
  <c r="U2056" i="12"/>
  <c r="Q1247" i="12"/>
  <c r="R1247" i="12"/>
  <c r="Q1409" i="12"/>
  <c r="U1409" i="12" s="1"/>
  <c r="R1409" i="12"/>
  <c r="Q1571" i="12"/>
  <c r="R1571" i="12"/>
  <c r="Q1733" i="12"/>
  <c r="S1733" i="12" s="1"/>
  <c r="R1733" i="12"/>
  <c r="Q1895" i="12"/>
  <c r="R1895" i="12"/>
  <c r="Q2057" i="12"/>
  <c r="U2057" i="12" s="1"/>
  <c r="R2057" i="12"/>
  <c r="S1247" i="12"/>
  <c r="S1409" i="12"/>
  <c r="S1571" i="12"/>
  <c r="S1895" i="12"/>
  <c r="S2057" i="12"/>
  <c r="Y95" i="12"/>
  <c r="T1247" i="12"/>
  <c r="T1409" i="12"/>
  <c r="T1571" i="12"/>
  <c r="T1733" i="12"/>
  <c r="Z95" i="12" s="1"/>
  <c r="T1895" i="12"/>
  <c r="T2057" i="12"/>
  <c r="U1247" i="12"/>
  <c r="U1571" i="12"/>
  <c r="U1733" i="12"/>
  <c r="U1895" i="12"/>
  <c r="AA95" i="12"/>
  <c r="Q1248" i="12"/>
  <c r="R1248" i="12"/>
  <c r="Q1410" i="12"/>
  <c r="R1410" i="12"/>
  <c r="Q1572" i="12"/>
  <c r="T1572" i="12" s="1"/>
  <c r="R1572" i="12"/>
  <c r="Q1734" i="12"/>
  <c r="R1734" i="12"/>
  <c r="Q1896" i="12"/>
  <c r="R1896" i="12"/>
  <c r="Q2058" i="12"/>
  <c r="R2058" i="12"/>
  <c r="S1248" i="12"/>
  <c r="S1410" i="12"/>
  <c r="S1572" i="12"/>
  <c r="S1734" i="12"/>
  <c r="S1896" i="12"/>
  <c r="S2058" i="12"/>
  <c r="Y96" i="12"/>
  <c r="T1248" i="12"/>
  <c r="T1410" i="12"/>
  <c r="T1734" i="12"/>
  <c r="T1896" i="12"/>
  <c r="T2058" i="12"/>
  <c r="U1248" i="12"/>
  <c r="U1410" i="12"/>
  <c r="AA96" i="12" s="1"/>
  <c r="U1572" i="12"/>
  <c r="U1734" i="12"/>
  <c r="U1896" i="12"/>
  <c r="U2058" i="12"/>
  <c r="Q1249" i="12"/>
  <c r="R1249" i="12"/>
  <c r="Q1411" i="12"/>
  <c r="Q1573" i="12"/>
  <c r="R1573" i="12"/>
  <c r="Q1735" i="12"/>
  <c r="Q1897" i="12"/>
  <c r="R1897" i="12"/>
  <c r="Q2059" i="12"/>
  <c r="S1249" i="12"/>
  <c r="S1573" i="12"/>
  <c r="S1897" i="12"/>
  <c r="T1249" i="12"/>
  <c r="T1411" i="12"/>
  <c r="T1573" i="12"/>
  <c r="T1897" i="12"/>
  <c r="U1249" i="12"/>
  <c r="U1573" i="12"/>
  <c r="U1735" i="12"/>
  <c r="U1897" i="12"/>
  <c r="Q1250" i="12"/>
  <c r="R1250" i="12" s="1"/>
  <c r="Q1412" i="12"/>
  <c r="R1412" i="12"/>
  <c r="Q1574" i="12"/>
  <c r="R1574" i="12" s="1"/>
  <c r="Q1736" i="12"/>
  <c r="R1736" i="12"/>
  <c r="Q1898" i="12"/>
  <c r="T1898" i="12" s="1"/>
  <c r="Q2060" i="12"/>
  <c r="R2060" i="12"/>
  <c r="S1412" i="12"/>
  <c r="S1736" i="12"/>
  <c r="S1898" i="12"/>
  <c r="S2060" i="12"/>
  <c r="T1412" i="12"/>
  <c r="T1736" i="12"/>
  <c r="T2060" i="12"/>
  <c r="U1412" i="12"/>
  <c r="U1736" i="12"/>
  <c r="U2060" i="12"/>
  <c r="Q1251" i="12"/>
  <c r="R1251" i="12"/>
  <c r="Q1413" i="12"/>
  <c r="U1413" i="12" s="1"/>
  <c r="R1413" i="12"/>
  <c r="Q1575" i="12"/>
  <c r="R1575" i="12"/>
  <c r="Q1737" i="12"/>
  <c r="S1737" i="12" s="1"/>
  <c r="R1737" i="12"/>
  <c r="Q1899" i="12"/>
  <c r="R1899" i="12"/>
  <c r="Q2061" i="12"/>
  <c r="U2061" i="12" s="1"/>
  <c r="R2061" i="12"/>
  <c r="S1251" i="12"/>
  <c r="S1413" i="12"/>
  <c r="S1575" i="12"/>
  <c r="S1899" i="12"/>
  <c r="S2061" i="12"/>
  <c r="Y99" i="12"/>
  <c r="T1251" i="12"/>
  <c r="T1413" i="12"/>
  <c r="T1575" i="12"/>
  <c r="T1737" i="12"/>
  <c r="Z99" i="12" s="1"/>
  <c r="T1899" i="12"/>
  <c r="T2061" i="12"/>
  <c r="U1251" i="12"/>
  <c r="U1575" i="12"/>
  <c r="U1737" i="12"/>
  <c r="U1899" i="12"/>
  <c r="AA99" i="12"/>
  <c r="Q1252" i="12"/>
  <c r="R1252" i="12"/>
  <c r="Q1414" i="12"/>
  <c r="R1414" i="12"/>
  <c r="Q1576" i="12"/>
  <c r="T1576" i="12" s="1"/>
  <c r="R1576" i="12"/>
  <c r="Q1738" i="12"/>
  <c r="R1738" i="12"/>
  <c r="Q1900" i="12"/>
  <c r="R1900" i="12"/>
  <c r="Q2062" i="12"/>
  <c r="R2062" i="12"/>
  <c r="S1252" i="12"/>
  <c r="S1414" i="12"/>
  <c r="S1576" i="12"/>
  <c r="S1738" i="12"/>
  <c r="S1900" i="12"/>
  <c r="S2062" i="12"/>
  <c r="Y100" i="12"/>
  <c r="T1252" i="12"/>
  <c r="T1414" i="12"/>
  <c r="T1738" i="12"/>
  <c r="T1900" i="12"/>
  <c r="T2062" i="12"/>
  <c r="U1252" i="12"/>
  <c r="U1414" i="12"/>
  <c r="AA100" i="12" s="1"/>
  <c r="U1576" i="12"/>
  <c r="U1738" i="12"/>
  <c r="U1900" i="12"/>
  <c r="U2062" i="12"/>
  <c r="Q1253" i="12"/>
  <c r="R1253" i="12"/>
  <c r="Q1415" i="12"/>
  <c r="Q1577" i="12"/>
  <c r="R1577" i="12"/>
  <c r="Q1739" i="12"/>
  <c r="Q1901" i="12"/>
  <c r="R1901" i="12"/>
  <c r="Q2063" i="12"/>
  <c r="S1253" i="12"/>
  <c r="S1577" i="12"/>
  <c r="S1901" i="12"/>
  <c r="T1253" i="12"/>
  <c r="T1415" i="12"/>
  <c r="T1577" i="12"/>
  <c r="T1901" i="12"/>
  <c r="U1253" i="12"/>
  <c r="U1577" i="12"/>
  <c r="U1739" i="12"/>
  <c r="U1901" i="12"/>
  <c r="Q1254" i="12"/>
  <c r="R1254" i="12" s="1"/>
  <c r="Q1416" i="12"/>
  <c r="R1416" i="12"/>
  <c r="Q1578" i="12"/>
  <c r="R1578" i="12" s="1"/>
  <c r="Q1740" i="12"/>
  <c r="R1740" i="12"/>
  <c r="Q1902" i="12"/>
  <c r="T1902" i="12" s="1"/>
  <c r="Q2064" i="12"/>
  <c r="R2064" i="12"/>
  <c r="S1416" i="12"/>
  <c r="S1740" i="12"/>
  <c r="S1902" i="12"/>
  <c r="S2064" i="12"/>
  <c r="T1416" i="12"/>
  <c r="T1740" i="12"/>
  <c r="T2064" i="12"/>
  <c r="U1416" i="12"/>
  <c r="U1740" i="12"/>
  <c r="U2064" i="12"/>
  <c r="Q1255" i="12"/>
  <c r="R1255" i="12"/>
  <c r="Q1417" i="12"/>
  <c r="U1417" i="12" s="1"/>
  <c r="R1417" i="12"/>
  <c r="Q1579" i="12"/>
  <c r="R1579" i="12"/>
  <c r="Q1741" i="12"/>
  <c r="S1741" i="12" s="1"/>
  <c r="R1741" i="12"/>
  <c r="Q1903" i="12"/>
  <c r="R1903" i="12"/>
  <c r="Q2065" i="12"/>
  <c r="U2065" i="12" s="1"/>
  <c r="R2065" i="12"/>
  <c r="S1255" i="12"/>
  <c r="S1417" i="12"/>
  <c r="S1579" i="12"/>
  <c r="S1903" i="12"/>
  <c r="S2065" i="12"/>
  <c r="Y103" i="12"/>
  <c r="T1255" i="12"/>
  <c r="T1417" i="12"/>
  <c r="T1579" i="12"/>
  <c r="T1741" i="12"/>
  <c r="Z103" i="12" s="1"/>
  <c r="T1903" i="12"/>
  <c r="T2065" i="12"/>
  <c r="U1255" i="12"/>
  <c r="U1579" i="12"/>
  <c r="U1741" i="12"/>
  <c r="U1903" i="12"/>
  <c r="AA103" i="12"/>
  <c r="AF103" i="12" s="1"/>
  <c r="BB103" i="12" s="1"/>
  <c r="BC103" i="12" s="1"/>
  <c r="Q1256" i="12"/>
  <c r="R1256" i="12"/>
  <c r="Q1418" i="12"/>
  <c r="R1418" i="12"/>
  <c r="Q1580" i="12"/>
  <c r="T1580" i="12" s="1"/>
  <c r="R1580" i="12"/>
  <c r="Q1742" i="12"/>
  <c r="R1742" i="12"/>
  <c r="Q1904" i="12"/>
  <c r="R1904" i="12"/>
  <c r="Q2066" i="12"/>
  <c r="R2066" i="12"/>
  <c r="S1256" i="12"/>
  <c r="S1418" i="12"/>
  <c r="S1580" i="12"/>
  <c r="S1742" i="12"/>
  <c r="S1904" i="12"/>
  <c r="S2066" i="12"/>
  <c r="Y104" i="12"/>
  <c r="T1256" i="12"/>
  <c r="T1418" i="12"/>
  <c r="T1742" i="12"/>
  <c r="T1904" i="12"/>
  <c r="T2066" i="12"/>
  <c r="U1256" i="12"/>
  <c r="U1418" i="12"/>
  <c r="AA104" i="12" s="1"/>
  <c r="U1580" i="12"/>
  <c r="U1742" i="12"/>
  <c r="U1904" i="12"/>
  <c r="U2066" i="12"/>
  <c r="Q1257" i="12"/>
  <c r="R1257" i="12"/>
  <c r="Q1419" i="12"/>
  <c r="Q1581" i="12"/>
  <c r="R1581" i="12"/>
  <c r="Q1743" i="12"/>
  <c r="Q1905" i="12"/>
  <c r="R1905" i="12"/>
  <c r="Q2067" i="12"/>
  <c r="S1257" i="12"/>
  <c r="S1581" i="12"/>
  <c r="S1905" i="12"/>
  <c r="T1257" i="12"/>
  <c r="T1419" i="12"/>
  <c r="T1581" i="12"/>
  <c r="T1905" i="12"/>
  <c r="U1257" i="12"/>
  <c r="U1581" i="12"/>
  <c r="U1743" i="12"/>
  <c r="U1905" i="12"/>
  <c r="Q1258" i="12"/>
  <c r="R1258" i="12" s="1"/>
  <c r="Q1420" i="12"/>
  <c r="R1420" i="12"/>
  <c r="Q1582" i="12"/>
  <c r="R1582" i="12" s="1"/>
  <c r="Q1744" i="12"/>
  <c r="R1744" i="12"/>
  <c r="Q1906" i="12"/>
  <c r="T1906" i="12" s="1"/>
  <c r="Q2068" i="12"/>
  <c r="R2068" i="12"/>
  <c r="S1420" i="12"/>
  <c r="S1744" i="12"/>
  <c r="S1906" i="12"/>
  <c r="S2068" i="12"/>
  <c r="T1420" i="12"/>
  <c r="T1744" i="12"/>
  <c r="T2068" i="12"/>
  <c r="U1420" i="12"/>
  <c r="U1744" i="12"/>
  <c r="U2068" i="12"/>
  <c r="Q1259" i="12"/>
  <c r="R1259" i="12"/>
  <c r="Q1421" i="12"/>
  <c r="U1421" i="12" s="1"/>
  <c r="R1421" i="12"/>
  <c r="Q1583" i="12"/>
  <c r="R1583" i="12"/>
  <c r="Q1745" i="12"/>
  <c r="S1745" i="12" s="1"/>
  <c r="R1745" i="12"/>
  <c r="Q1907" i="12"/>
  <c r="R1907" i="12"/>
  <c r="Q2069" i="12"/>
  <c r="U2069" i="12" s="1"/>
  <c r="R2069" i="12"/>
  <c r="S1259" i="12"/>
  <c r="S1421" i="12"/>
  <c r="S1583" i="12"/>
  <c r="S1907" i="12"/>
  <c r="S2069" i="12"/>
  <c r="Y107" i="12"/>
  <c r="T1259" i="12"/>
  <c r="T1421" i="12"/>
  <c r="T1583" i="12"/>
  <c r="T1745" i="12"/>
  <c r="Z107" i="12" s="1"/>
  <c r="T1907" i="12"/>
  <c r="T2069" i="12"/>
  <c r="U1259" i="12"/>
  <c r="U1583" i="12"/>
  <c r="U1745" i="12"/>
  <c r="U1907" i="12"/>
  <c r="AA107" i="12"/>
  <c r="Q1260" i="12"/>
  <c r="R1260" i="12"/>
  <c r="Q1422" i="12"/>
  <c r="R1422" i="12"/>
  <c r="Q1584" i="12"/>
  <c r="T1584" i="12" s="1"/>
  <c r="R1584" i="12"/>
  <c r="Q1746" i="12"/>
  <c r="R1746" i="12"/>
  <c r="Q1908" i="12"/>
  <c r="R1908" i="12"/>
  <c r="Q2070" i="12"/>
  <c r="R2070" i="12"/>
  <c r="S1260" i="12"/>
  <c r="S1422" i="12"/>
  <c r="S1584" i="12"/>
  <c r="S1746" i="12"/>
  <c r="S1908" i="12"/>
  <c r="S2070" i="12"/>
  <c r="Y108" i="12"/>
  <c r="T1260" i="12"/>
  <c r="T1422" i="12"/>
  <c r="T1746" i="12"/>
  <c r="T1908" i="12"/>
  <c r="T2070" i="12"/>
  <c r="U1260" i="12"/>
  <c r="U1422" i="12"/>
  <c r="AA108" i="12" s="1"/>
  <c r="U1584" i="12"/>
  <c r="U1746" i="12"/>
  <c r="U1908" i="12"/>
  <c r="U2070" i="12"/>
  <c r="Q1261" i="12"/>
  <c r="R1261" i="12"/>
  <c r="Q1423" i="12"/>
  <c r="Q1585" i="12"/>
  <c r="R1585" i="12"/>
  <c r="Q1747" i="12"/>
  <c r="Q1909" i="12"/>
  <c r="R1909" i="12"/>
  <c r="Q2071" i="12"/>
  <c r="S1261" i="12"/>
  <c r="S1585" i="12"/>
  <c r="S1909" i="12"/>
  <c r="T1261" i="12"/>
  <c r="T1423" i="12"/>
  <c r="T1585" i="12"/>
  <c r="T1909" i="12"/>
  <c r="U1261" i="12"/>
  <c r="U1585" i="12"/>
  <c r="U1747" i="12"/>
  <c r="U1909" i="12"/>
  <c r="Q1262" i="12"/>
  <c r="R1262" i="12" s="1"/>
  <c r="Q1424" i="12"/>
  <c r="R1424" i="12"/>
  <c r="Q1586" i="12"/>
  <c r="R1586" i="12" s="1"/>
  <c r="Q1748" i="12"/>
  <c r="R1748" i="12"/>
  <c r="Q1910" i="12"/>
  <c r="T1910" i="12" s="1"/>
  <c r="Q2072" i="12"/>
  <c r="R2072" i="12"/>
  <c r="S1424" i="12"/>
  <c r="S1748" i="12"/>
  <c r="S1910" i="12"/>
  <c r="S2072" i="12"/>
  <c r="T1424" i="12"/>
  <c r="T1748" i="12"/>
  <c r="T2072" i="12"/>
  <c r="U1424" i="12"/>
  <c r="U1748" i="12"/>
  <c r="U2072" i="12"/>
  <c r="Q1263" i="12"/>
  <c r="R1263" i="12"/>
  <c r="Q1425" i="12"/>
  <c r="U1425" i="12" s="1"/>
  <c r="R1425" i="12"/>
  <c r="Q1587" i="12"/>
  <c r="R1587" i="12"/>
  <c r="Q1749" i="12"/>
  <c r="S1749" i="12" s="1"/>
  <c r="R1749" i="12"/>
  <c r="Q1911" i="12"/>
  <c r="R1911" i="12"/>
  <c r="Q2073" i="12"/>
  <c r="U2073" i="12" s="1"/>
  <c r="R2073" i="12"/>
  <c r="S1263" i="12"/>
  <c r="S1425" i="12"/>
  <c r="S1587" i="12"/>
  <c r="S1911" i="12"/>
  <c r="S2073" i="12"/>
  <c r="Y111" i="12"/>
  <c r="T1263" i="12"/>
  <c r="T1425" i="12"/>
  <c r="T1587" i="12"/>
  <c r="T1749" i="12"/>
  <c r="Z111" i="12" s="1"/>
  <c r="T1911" i="12"/>
  <c r="T2073" i="12"/>
  <c r="U1263" i="12"/>
  <c r="U1587" i="12"/>
  <c r="U1749" i="12"/>
  <c r="U1911" i="12"/>
  <c r="AA111" i="12"/>
  <c r="AF111" i="12" s="1"/>
  <c r="BB111" i="12" s="1"/>
  <c r="BC111" i="12" s="1"/>
  <c r="Q1264" i="12"/>
  <c r="R1264" i="12"/>
  <c r="Q1426" i="12"/>
  <c r="R1426" i="12"/>
  <c r="Q1588" i="12"/>
  <c r="T1588" i="12" s="1"/>
  <c r="R1588" i="12"/>
  <c r="Q1750" i="12"/>
  <c r="R1750" i="12"/>
  <c r="Q1912" i="12"/>
  <c r="R1912" i="12"/>
  <c r="Q2074" i="12"/>
  <c r="R2074" i="12"/>
  <c r="S1264" i="12"/>
  <c r="S1426" i="12"/>
  <c r="S1588" i="12"/>
  <c r="S1750" i="12"/>
  <c r="S1912" i="12"/>
  <c r="S2074" i="12"/>
  <c r="Y112" i="12"/>
  <c r="T1264" i="12"/>
  <c r="T1426" i="12"/>
  <c r="T1750" i="12"/>
  <c r="T1912" i="12"/>
  <c r="T2074" i="12"/>
  <c r="U1264" i="12"/>
  <c r="U1426" i="12"/>
  <c r="AA112" i="12" s="1"/>
  <c r="U1588" i="12"/>
  <c r="U1750" i="12"/>
  <c r="U1912" i="12"/>
  <c r="U2074" i="12"/>
  <c r="Q1265" i="12"/>
  <c r="R1265" i="12"/>
  <c r="Q1427" i="12"/>
  <c r="Q1589" i="12"/>
  <c r="R1589" i="12"/>
  <c r="Q1751" i="12"/>
  <c r="Q1913" i="12"/>
  <c r="R1913" i="12"/>
  <c r="Q2075" i="12"/>
  <c r="S1265" i="12"/>
  <c r="S1589" i="12"/>
  <c r="S1913" i="12"/>
  <c r="T1265" i="12"/>
  <c r="T1427" i="12"/>
  <c r="T1589" i="12"/>
  <c r="T1913" i="12"/>
  <c r="U1265" i="12"/>
  <c r="U1589" i="12"/>
  <c r="U1751" i="12"/>
  <c r="U1913" i="12"/>
  <c r="Q1266" i="12"/>
  <c r="R1266" i="12" s="1"/>
  <c r="Q1428" i="12"/>
  <c r="R1428" i="12"/>
  <c r="Q1590" i="12"/>
  <c r="R1590" i="12" s="1"/>
  <c r="Q1752" i="12"/>
  <c r="R1752" i="12"/>
  <c r="Q1914" i="12"/>
  <c r="T1914" i="12" s="1"/>
  <c r="Q2076" i="12"/>
  <c r="R2076" i="12"/>
  <c r="S1428" i="12"/>
  <c r="S1752" i="12"/>
  <c r="S1914" i="12"/>
  <c r="S2076" i="12"/>
  <c r="T1428" i="12"/>
  <c r="T1752" i="12"/>
  <c r="T2076" i="12"/>
  <c r="U1428" i="12"/>
  <c r="U1752" i="12"/>
  <c r="U2076" i="12"/>
  <c r="I115" i="12"/>
  <c r="Q1267" i="12"/>
  <c r="T1267" i="12" s="1"/>
  <c r="Q1429" i="12"/>
  <c r="R1429" i="12" s="1"/>
  <c r="Q1591" i="12"/>
  <c r="Q1753" i="12"/>
  <c r="Q1915" i="12"/>
  <c r="U1915" i="12" s="1"/>
  <c r="R1915" i="12"/>
  <c r="Q2077" i="12"/>
  <c r="S1429" i="12"/>
  <c r="S1753" i="12"/>
  <c r="T1429" i="12"/>
  <c r="T1915" i="12"/>
  <c r="T2077" i="12"/>
  <c r="U1753" i="12"/>
  <c r="U2077" i="12"/>
  <c r="I116" i="12"/>
  <c r="I117" i="12" s="1"/>
  <c r="Q1268" i="12"/>
  <c r="R1268" i="12"/>
  <c r="Q1430" i="12"/>
  <c r="U1430" i="12" s="1"/>
  <c r="R1430" i="12"/>
  <c r="Q1592" i="12"/>
  <c r="R1592" i="12"/>
  <c r="Q1754" i="12"/>
  <c r="S1754" i="12" s="1"/>
  <c r="R1754" i="12"/>
  <c r="Q1916" i="12"/>
  <c r="R1916" i="12"/>
  <c r="Q2078" i="12"/>
  <c r="U2078" i="12" s="1"/>
  <c r="R2078" i="12"/>
  <c r="S1268" i="12"/>
  <c r="Y116" i="12" s="1"/>
  <c r="S1430" i="12"/>
  <c r="S1592" i="12"/>
  <c r="S1916" i="12"/>
  <c r="S2078" i="12"/>
  <c r="T1268" i="12"/>
  <c r="T1430" i="12"/>
  <c r="T1592" i="12"/>
  <c r="T1754" i="12"/>
  <c r="T1916" i="12"/>
  <c r="T2078" i="12"/>
  <c r="Z116" i="12"/>
  <c r="U1268" i="12"/>
  <c r="U1592" i="12"/>
  <c r="U1754" i="12"/>
  <c r="U1916" i="12"/>
  <c r="AA116" i="12" s="1"/>
  <c r="Q1269" i="12"/>
  <c r="Q1431" i="12"/>
  <c r="T1431" i="12" s="1"/>
  <c r="R1431" i="12"/>
  <c r="Q1593" i="12"/>
  <c r="Q1755" i="12"/>
  <c r="R1755" i="12"/>
  <c r="Q1917" i="12"/>
  <c r="Q2079" i="12"/>
  <c r="T2079" i="12" s="1"/>
  <c r="R2079" i="12"/>
  <c r="S1431" i="12"/>
  <c r="S1593" i="12"/>
  <c r="S1755" i="12"/>
  <c r="S2079" i="12"/>
  <c r="T1593" i="12"/>
  <c r="T1755" i="12"/>
  <c r="U1269" i="12"/>
  <c r="U1755" i="12"/>
  <c r="U2079" i="12"/>
  <c r="I118" i="12"/>
  <c r="I119" i="12" s="1"/>
  <c r="I120" i="12" s="1"/>
  <c r="I121" i="12" s="1"/>
  <c r="I122" i="12" s="1"/>
  <c r="I123" i="12" s="1"/>
  <c r="I124" i="12" s="1"/>
  <c r="I125" i="12" s="1"/>
  <c r="I126" i="12" s="1"/>
  <c r="Q1270" i="12"/>
  <c r="Q1432" i="12"/>
  <c r="R1432" i="12"/>
  <c r="Q1594" i="12"/>
  <c r="Q1756" i="12"/>
  <c r="R1756" i="12"/>
  <c r="Q1918" i="12"/>
  <c r="Q2080" i="12"/>
  <c r="R2080" i="12"/>
  <c r="S1432" i="12"/>
  <c r="S1594" i="12"/>
  <c r="S1756" i="12"/>
  <c r="S2080" i="12"/>
  <c r="T1270" i="12"/>
  <c r="T1432" i="12"/>
  <c r="T1756" i="12"/>
  <c r="T1918" i="12"/>
  <c r="T2080" i="12"/>
  <c r="U1432" i="12"/>
  <c r="U1594" i="12"/>
  <c r="U1756" i="12"/>
  <c r="U2080" i="12"/>
  <c r="Q1271" i="12"/>
  <c r="T1271" i="12" s="1"/>
  <c r="Q1433" i="12"/>
  <c r="R1433" i="12" s="1"/>
  <c r="Q1595" i="12"/>
  <c r="Q1757" i="12"/>
  <c r="Q1919" i="12"/>
  <c r="U1919" i="12" s="1"/>
  <c r="R1919" i="12"/>
  <c r="Q2081" i="12"/>
  <c r="S1433" i="12"/>
  <c r="S1757" i="12"/>
  <c r="T1433" i="12"/>
  <c r="T1919" i="12"/>
  <c r="T2081" i="12"/>
  <c r="U1757" i="12"/>
  <c r="U2081" i="12"/>
  <c r="Q1272" i="12"/>
  <c r="R1272" i="12"/>
  <c r="Q1434" i="12"/>
  <c r="U1434" i="12" s="1"/>
  <c r="R1434" i="12"/>
  <c r="Q1596" i="12"/>
  <c r="R1596" i="12"/>
  <c r="Q1758" i="12"/>
  <c r="S1758" i="12" s="1"/>
  <c r="R1758" i="12"/>
  <c r="Q1920" i="12"/>
  <c r="R1920" i="12"/>
  <c r="Q2082" i="12"/>
  <c r="U2082" i="12" s="1"/>
  <c r="R2082" i="12"/>
  <c r="S1272" i="12"/>
  <c r="S1434" i="12"/>
  <c r="S1596" i="12"/>
  <c r="S1920" i="12"/>
  <c r="S2082" i="12"/>
  <c r="Y120" i="12"/>
  <c r="T1272" i="12"/>
  <c r="T1434" i="12"/>
  <c r="T1596" i="12"/>
  <c r="T1758" i="12"/>
  <c r="Z120" i="12" s="1"/>
  <c r="T1920" i="12"/>
  <c r="T2082" i="12"/>
  <c r="U1272" i="12"/>
  <c r="U1596" i="12"/>
  <c r="U1758" i="12"/>
  <c r="U1920" i="12"/>
  <c r="AA120" i="12"/>
  <c r="Q1273" i="12"/>
  <c r="Q1435" i="12"/>
  <c r="T1435" i="12" s="1"/>
  <c r="Q1597" i="12"/>
  <c r="Q1759" i="12"/>
  <c r="R1759" i="12"/>
  <c r="Q1921" i="12"/>
  <c r="Q2083" i="12"/>
  <c r="T2083" i="12" s="1"/>
  <c r="R2083" i="12"/>
  <c r="S1597" i="12"/>
  <c r="S1759" i="12"/>
  <c r="S2083" i="12"/>
  <c r="T1597" i="12"/>
  <c r="T1759" i="12"/>
  <c r="T1921" i="12"/>
  <c r="U1273" i="12"/>
  <c r="U1759" i="12"/>
  <c r="U2083" i="12"/>
  <c r="Q1274" i="12"/>
  <c r="Q1436" i="12"/>
  <c r="R1436" i="12"/>
  <c r="Q1598" i="12"/>
  <c r="Q1760" i="12"/>
  <c r="R1760" i="12"/>
  <c r="Q1922" i="12"/>
  <c r="Q2084" i="12"/>
  <c r="R2084" i="12"/>
  <c r="S1436" i="12"/>
  <c r="S1598" i="12"/>
  <c r="S1760" i="12"/>
  <c r="S2084" i="12"/>
  <c r="T1436" i="12"/>
  <c r="T1760" i="12"/>
  <c r="T1922" i="12"/>
  <c r="T2084" i="12"/>
  <c r="U1436" i="12"/>
  <c r="U1760" i="12"/>
  <c r="U2084" i="12"/>
  <c r="Q1275" i="12"/>
  <c r="Q1437" i="12"/>
  <c r="R1437" i="12" s="1"/>
  <c r="Q1599" i="12"/>
  <c r="R1599" i="12"/>
  <c r="Q1761" i="12"/>
  <c r="Q1923" i="12"/>
  <c r="U1923" i="12" s="1"/>
  <c r="R1923" i="12"/>
  <c r="Q2085" i="12"/>
  <c r="S1437" i="12"/>
  <c r="S1761" i="12"/>
  <c r="T1275" i="12"/>
  <c r="T1437" i="12"/>
  <c r="T1923" i="12"/>
  <c r="T2085" i="12"/>
  <c r="U1761" i="12"/>
  <c r="Q1276" i="12"/>
  <c r="R1276" i="12"/>
  <c r="Q1438" i="12"/>
  <c r="U1438" i="12" s="1"/>
  <c r="R1438" i="12"/>
  <c r="Q1600" i="12"/>
  <c r="R1600" i="12"/>
  <c r="Q1762" i="12"/>
  <c r="S1762" i="12" s="1"/>
  <c r="R1762" i="12"/>
  <c r="Q1924" i="12"/>
  <c r="R1924" i="12"/>
  <c r="Q2086" i="12"/>
  <c r="U2086" i="12" s="1"/>
  <c r="R2086" i="12"/>
  <c r="S1276" i="12"/>
  <c r="Y124" i="12" s="1"/>
  <c r="S1438" i="12"/>
  <c r="S1600" i="12"/>
  <c r="S1924" i="12"/>
  <c r="S2086" i="12"/>
  <c r="T1276" i="12"/>
  <c r="T1438" i="12"/>
  <c r="T1600" i="12"/>
  <c r="T1762" i="12"/>
  <c r="T1924" i="12"/>
  <c r="T2086" i="12"/>
  <c r="Z124" i="12"/>
  <c r="U1276" i="12"/>
  <c r="U1600" i="12"/>
  <c r="U1762" i="12"/>
  <c r="U1924" i="12"/>
  <c r="AA124" i="12" s="1"/>
  <c r="Q1277" i="12"/>
  <c r="Q1439" i="12"/>
  <c r="T1439" i="12" s="1"/>
  <c r="R1439" i="12"/>
  <c r="Q1601" i="12"/>
  <c r="Q1763" i="12"/>
  <c r="R1763" i="12"/>
  <c r="Q1925" i="12"/>
  <c r="Q2087" i="12"/>
  <c r="T2087" i="12" s="1"/>
  <c r="R2087" i="12"/>
  <c r="S1439" i="12"/>
  <c r="S1601" i="12"/>
  <c r="S1763" i="12"/>
  <c r="S2087" i="12"/>
  <c r="T1601" i="12"/>
  <c r="T1763" i="12"/>
  <c r="U1277" i="12"/>
  <c r="U1439" i="12"/>
  <c r="U1763" i="12"/>
  <c r="U2087" i="12"/>
  <c r="Q1278" i="12"/>
  <c r="Q1440" i="12"/>
  <c r="R1440" i="12"/>
  <c r="Q1602" i="12"/>
  <c r="Q1764" i="12"/>
  <c r="R1764" i="12"/>
  <c r="Q1926" i="12"/>
  <c r="Q2088" i="12"/>
  <c r="R2088" i="12"/>
  <c r="S1440" i="12"/>
  <c r="S1602" i="12"/>
  <c r="S1764" i="12"/>
  <c r="S2088" i="12"/>
  <c r="T1278" i="12"/>
  <c r="T1440" i="12"/>
  <c r="T1764" i="12"/>
  <c r="T1926" i="12"/>
  <c r="T2088" i="12"/>
  <c r="U1440" i="12"/>
  <c r="U1602" i="12"/>
  <c r="U1764" i="12"/>
  <c r="U2088" i="12"/>
  <c r="Q1279" i="12"/>
  <c r="R1279" i="12"/>
  <c r="Q1441" i="12"/>
  <c r="U1441" i="12" s="1"/>
  <c r="R1441" i="12"/>
  <c r="Q1603" i="12"/>
  <c r="R1603" i="12"/>
  <c r="Q1765" i="12"/>
  <c r="S1765" i="12" s="1"/>
  <c r="R1765" i="12"/>
  <c r="Q1927" i="12"/>
  <c r="R1927" i="12"/>
  <c r="Q2089" i="12"/>
  <c r="U2089" i="12" s="1"/>
  <c r="R2089" i="12"/>
  <c r="S1279" i="12"/>
  <c r="S1603" i="12"/>
  <c r="S1927" i="12"/>
  <c r="S2089" i="12"/>
  <c r="T1279" i="12"/>
  <c r="T1441" i="12"/>
  <c r="T1603" i="12"/>
  <c r="T1927" i="12"/>
  <c r="T2089" i="12"/>
  <c r="U1279" i="12"/>
  <c r="U1603" i="12"/>
  <c r="U1765" i="12"/>
  <c r="U1927" i="12"/>
  <c r="Q1280" i="12"/>
  <c r="R1280" i="12"/>
  <c r="Q1442" i="12"/>
  <c r="R1442" i="12"/>
  <c r="Q1604" i="12"/>
  <c r="T1604" i="12" s="1"/>
  <c r="R1604" i="12"/>
  <c r="Q1766" i="12"/>
  <c r="R1766" i="12"/>
  <c r="Q1928" i="12"/>
  <c r="T1928" i="12" s="1"/>
  <c r="R1928" i="12"/>
  <c r="Q2090" i="12"/>
  <c r="R2090" i="12"/>
  <c r="S1280" i="12"/>
  <c r="S1442" i="12"/>
  <c r="S1766" i="12"/>
  <c r="S1928" i="12"/>
  <c r="S2090" i="12"/>
  <c r="T1280" i="12"/>
  <c r="T1442" i="12"/>
  <c r="T1766" i="12"/>
  <c r="T2090" i="12"/>
  <c r="U1280" i="12"/>
  <c r="U1442" i="12"/>
  <c r="U1766" i="12"/>
  <c r="U1928" i="12"/>
  <c r="U2090" i="12"/>
  <c r="Q1281" i="12"/>
  <c r="R1281" i="12"/>
  <c r="Q1443" i="12"/>
  <c r="Q1605" i="12"/>
  <c r="R1605" i="12"/>
  <c r="Q1767" i="12"/>
  <c r="Q1929" i="12"/>
  <c r="R1929" i="12"/>
  <c r="Q2091" i="12"/>
  <c r="S1281" i="12"/>
  <c r="S1443" i="12"/>
  <c r="S1605" i="12"/>
  <c r="S1929" i="12"/>
  <c r="T1281" i="12"/>
  <c r="T1605" i="12"/>
  <c r="T1767" i="12"/>
  <c r="T1929" i="12"/>
  <c r="U1281" i="12"/>
  <c r="U1605" i="12"/>
  <c r="U1929" i="12"/>
  <c r="Q1282" i="12"/>
  <c r="Q1444" i="12"/>
  <c r="R1444" i="12"/>
  <c r="Q1606" i="12"/>
  <c r="Q1768" i="12"/>
  <c r="R1768" i="12"/>
  <c r="Q1930" i="12"/>
  <c r="Q2092" i="12"/>
  <c r="R2092" i="12"/>
  <c r="S1444" i="12"/>
  <c r="S1606" i="12"/>
  <c r="S1768" i="12"/>
  <c r="S2092" i="12"/>
  <c r="T1444" i="12"/>
  <c r="T1768" i="12"/>
  <c r="T1930" i="12"/>
  <c r="T2092" i="12"/>
  <c r="U1444" i="12"/>
  <c r="U1606" i="12"/>
  <c r="U1768" i="12"/>
  <c r="U2092" i="12"/>
  <c r="Q1283" i="12"/>
  <c r="R1283" i="12"/>
  <c r="Q1445" i="12"/>
  <c r="U1445" i="12" s="1"/>
  <c r="R1445" i="12"/>
  <c r="Q1607" i="12"/>
  <c r="R1607" i="12"/>
  <c r="Q1769" i="12"/>
  <c r="S1769" i="12" s="1"/>
  <c r="R1769" i="12"/>
  <c r="Q1931" i="12"/>
  <c r="R1931" i="12"/>
  <c r="Q2093" i="12"/>
  <c r="U2093" i="12" s="1"/>
  <c r="R2093" i="12"/>
  <c r="S1283" i="12"/>
  <c r="S1607" i="12"/>
  <c r="S1931" i="12"/>
  <c r="S2093" i="12"/>
  <c r="T1283" i="12"/>
  <c r="T1445" i="12"/>
  <c r="T1607" i="12"/>
  <c r="T1931" i="12"/>
  <c r="T2093" i="12"/>
  <c r="U1283" i="12"/>
  <c r="U1607" i="12"/>
  <c r="U1769" i="12"/>
  <c r="U1931" i="12"/>
  <c r="Q1284" i="12"/>
  <c r="R1284" i="12"/>
  <c r="Q1446" i="12"/>
  <c r="R1446" i="12"/>
  <c r="Q1608" i="12"/>
  <c r="T1608" i="12" s="1"/>
  <c r="R1608" i="12"/>
  <c r="Q1770" i="12"/>
  <c r="R1770" i="12"/>
  <c r="Q1932" i="12"/>
  <c r="T1932" i="12" s="1"/>
  <c r="R1932" i="12"/>
  <c r="Q2094" i="12"/>
  <c r="R2094" i="12"/>
  <c r="S1284" i="12"/>
  <c r="S1446" i="12"/>
  <c r="S1770" i="12"/>
  <c r="S1932" i="12"/>
  <c r="S2094" i="12"/>
  <c r="T1284" i="12"/>
  <c r="T1446" i="12"/>
  <c r="T1770" i="12"/>
  <c r="T2094" i="12"/>
  <c r="U1284" i="12"/>
  <c r="U1446" i="12"/>
  <c r="U1770" i="12"/>
  <c r="U1932" i="12"/>
  <c r="U2094" i="12"/>
  <c r="Q1285" i="12"/>
  <c r="R1285" i="12"/>
  <c r="Q1447" i="12"/>
  <c r="Q1609" i="12"/>
  <c r="R1609" i="12"/>
  <c r="Q1771" i="12"/>
  <c r="Q1933" i="12"/>
  <c r="R1933" i="12"/>
  <c r="Q2095" i="12"/>
  <c r="S1285" i="12"/>
  <c r="S1447" i="12"/>
  <c r="S1609" i="12"/>
  <c r="S1933" i="12"/>
  <c r="T1285" i="12"/>
  <c r="T1609" i="12"/>
  <c r="T1933" i="12"/>
  <c r="U1285" i="12"/>
  <c r="U1609" i="12"/>
  <c r="U1933" i="12"/>
  <c r="Q1286" i="12"/>
  <c r="Q1448" i="12"/>
  <c r="R1448" i="12"/>
  <c r="Q1610" i="12"/>
  <c r="Q1772" i="12"/>
  <c r="R1772" i="12"/>
  <c r="Q1934" i="12"/>
  <c r="Q2096" i="12"/>
  <c r="R2096" i="12"/>
  <c r="S1448" i="12"/>
  <c r="S1610" i="12"/>
  <c r="S1772" i="12"/>
  <c r="S2096" i="12"/>
  <c r="T1286" i="12"/>
  <c r="T1448" i="12"/>
  <c r="T1772" i="12"/>
  <c r="T1934" i="12"/>
  <c r="T2096" i="12"/>
  <c r="U1448" i="12"/>
  <c r="U1772" i="12"/>
  <c r="U2096" i="12"/>
  <c r="Q1287" i="12"/>
  <c r="R1287" i="12"/>
  <c r="Q1449" i="12"/>
  <c r="U1449" i="12" s="1"/>
  <c r="AA135" i="12" s="1"/>
  <c r="R1449" i="12"/>
  <c r="Q1611" i="12"/>
  <c r="R1611" i="12"/>
  <c r="Q1773" i="12"/>
  <c r="S1773" i="12" s="1"/>
  <c r="R1773" i="12"/>
  <c r="Q1935" i="12"/>
  <c r="R1935" i="12"/>
  <c r="Q2097" i="12"/>
  <c r="U2097" i="12" s="1"/>
  <c r="R2097" i="12"/>
  <c r="S1287" i="12"/>
  <c r="S1611" i="12"/>
  <c r="S1935" i="12"/>
  <c r="S2097" i="12"/>
  <c r="T1287" i="12"/>
  <c r="T1449" i="12"/>
  <c r="T1611" i="12"/>
  <c r="T1935" i="12"/>
  <c r="T2097" i="12"/>
  <c r="U1287" i="12"/>
  <c r="U1611" i="12"/>
  <c r="U1773" i="12"/>
  <c r="U1935" i="12"/>
  <c r="Q1288" i="12"/>
  <c r="R1288" i="12"/>
  <c r="Q1450" i="12"/>
  <c r="R1450" i="12"/>
  <c r="Q1612" i="12"/>
  <c r="T1612" i="12" s="1"/>
  <c r="R1612" i="12"/>
  <c r="Q1774" i="12"/>
  <c r="R1774" i="12"/>
  <c r="Q1936" i="12"/>
  <c r="T1936" i="12" s="1"/>
  <c r="R1936" i="12"/>
  <c r="Q2098" i="12"/>
  <c r="R2098" i="12"/>
  <c r="S1288" i="12"/>
  <c r="S1450" i="12"/>
  <c r="S1774" i="12"/>
  <c r="S1936" i="12"/>
  <c r="S2098" i="12"/>
  <c r="T1288" i="12"/>
  <c r="T1450" i="12"/>
  <c r="T1774" i="12"/>
  <c r="T2098" i="12"/>
  <c r="U1288" i="12"/>
  <c r="U1450" i="12"/>
  <c r="U1774" i="12"/>
  <c r="U1936" i="12"/>
  <c r="U2098" i="12"/>
  <c r="Q1289" i="12"/>
  <c r="R1289" i="12"/>
  <c r="Q1451" i="12"/>
  <c r="Q1613" i="12"/>
  <c r="R1613" i="12"/>
  <c r="Q1775" i="12"/>
  <c r="Q1937" i="12"/>
  <c r="R1937" i="12"/>
  <c r="Q2099" i="12"/>
  <c r="S1289" i="12"/>
  <c r="S1451" i="12"/>
  <c r="S1613" i="12"/>
  <c r="S1937" i="12"/>
  <c r="T1289" i="12"/>
  <c r="T1613" i="12"/>
  <c r="T1775" i="12"/>
  <c r="T1937" i="12"/>
  <c r="U1289" i="12"/>
  <c r="U1613" i="12"/>
  <c r="U1937" i="12"/>
  <c r="Q1290" i="12"/>
  <c r="Q1452" i="12"/>
  <c r="R1452" i="12"/>
  <c r="Q1614" i="12"/>
  <c r="Q1776" i="12"/>
  <c r="R1776" i="12"/>
  <c r="Q1938" i="12"/>
  <c r="Q2100" i="12"/>
  <c r="R2100" i="12"/>
  <c r="S1452" i="12"/>
  <c r="S1614" i="12"/>
  <c r="S1776" i="12"/>
  <c r="S2100" i="12"/>
  <c r="T1452" i="12"/>
  <c r="T1776" i="12"/>
  <c r="T1938" i="12"/>
  <c r="T2100" i="12"/>
  <c r="U1452" i="12"/>
  <c r="U1776" i="12"/>
  <c r="U2100" i="12"/>
  <c r="Q1291" i="12"/>
  <c r="R1291" i="12"/>
  <c r="Q1453" i="12"/>
  <c r="U1453" i="12" s="1"/>
  <c r="R1453" i="12"/>
  <c r="Q1615" i="12"/>
  <c r="R1615" i="12"/>
  <c r="Q1777" i="12"/>
  <c r="S1777" i="12" s="1"/>
  <c r="R1777" i="12"/>
  <c r="Q1939" i="12"/>
  <c r="R1939" i="12"/>
  <c r="Q2101" i="12"/>
  <c r="U2101" i="12" s="1"/>
  <c r="R2101" i="12"/>
  <c r="S1291" i="12"/>
  <c r="S1615" i="12"/>
  <c r="S1939" i="12"/>
  <c r="S2101" i="12"/>
  <c r="T1291" i="12"/>
  <c r="T1453" i="12"/>
  <c r="T1615" i="12"/>
  <c r="T1939" i="12"/>
  <c r="T2101" i="12"/>
  <c r="U1291" i="12"/>
  <c r="U1615" i="12"/>
  <c r="U1777" i="12"/>
  <c r="U1939" i="12"/>
  <c r="Q1292" i="12"/>
  <c r="R1292" i="12"/>
  <c r="Q1454" i="12"/>
  <c r="R1454" i="12"/>
  <c r="Q1616" i="12"/>
  <c r="T1616" i="12" s="1"/>
  <c r="R1616" i="12"/>
  <c r="Q1778" i="12"/>
  <c r="R1778" i="12"/>
  <c r="Q1940" i="12"/>
  <c r="T1940" i="12" s="1"/>
  <c r="R1940" i="12"/>
  <c r="Q2102" i="12"/>
  <c r="R2102" i="12"/>
  <c r="S1292" i="12"/>
  <c r="S1454" i="12"/>
  <c r="S1778" i="12"/>
  <c r="S1940" i="12"/>
  <c r="S2102" i="12"/>
  <c r="T1292" i="12"/>
  <c r="T1454" i="12"/>
  <c r="T1778" i="12"/>
  <c r="T2102" i="12"/>
  <c r="U1292" i="12"/>
  <c r="U1454" i="12"/>
  <c r="U1778" i="12"/>
  <c r="U1940" i="12"/>
  <c r="U2102" i="12"/>
  <c r="Q1293" i="12"/>
  <c r="R1293" i="12"/>
  <c r="Q1455" i="12"/>
  <c r="Q1617" i="12"/>
  <c r="R1617" i="12"/>
  <c r="Q1779" i="12"/>
  <c r="Q1941" i="12"/>
  <c r="R1941" i="12"/>
  <c r="Q2103" i="12"/>
  <c r="Y141" i="12"/>
  <c r="T1293" i="12"/>
  <c r="T1455" i="12"/>
  <c r="T1617" i="12"/>
  <c r="T1779" i="12"/>
  <c r="T1941" i="12"/>
  <c r="T2103" i="12"/>
  <c r="U1293" i="12"/>
  <c r="U1455" i="12"/>
  <c r="U1617" i="12"/>
  <c r="U1941" i="12"/>
  <c r="Q1294" i="12"/>
  <c r="R1294" i="12"/>
  <c r="Q1456" i="12"/>
  <c r="R1456" i="12"/>
  <c r="Q1618" i="12"/>
  <c r="R1618" i="12"/>
  <c r="Q1780" i="12"/>
  <c r="U1780" i="12" s="1"/>
  <c r="R1780" i="12"/>
  <c r="Q1942" i="12"/>
  <c r="R1942" i="12"/>
  <c r="Q2104" i="12"/>
  <c r="R2104" i="12"/>
  <c r="Y142" i="12"/>
  <c r="T1294" i="12"/>
  <c r="T1456" i="12"/>
  <c r="T1618" i="12"/>
  <c r="T1780" i="12"/>
  <c r="T1942" i="12"/>
  <c r="T2104" i="12"/>
  <c r="U1294" i="12"/>
  <c r="U1456" i="12"/>
  <c r="U1618" i="12"/>
  <c r="U1942" i="12"/>
  <c r="U2104" i="12"/>
  <c r="AA142" i="12"/>
  <c r="Q1295" i="12"/>
  <c r="R1295" i="12"/>
  <c r="Q1457" i="12"/>
  <c r="R1457" i="12"/>
  <c r="Q1619" i="12"/>
  <c r="R1619" i="12"/>
  <c r="Q1781" i="12"/>
  <c r="R1781" i="12"/>
  <c r="Q1943" i="12"/>
  <c r="R1943" i="12"/>
  <c r="Q2105" i="12"/>
  <c r="R2105" i="12"/>
  <c r="Y143" i="12"/>
  <c r="T1295" i="12"/>
  <c r="T1457" i="12"/>
  <c r="T1619" i="12"/>
  <c r="T1781" i="12"/>
  <c r="T1943" i="12"/>
  <c r="T2105" i="12"/>
  <c r="U1295" i="12"/>
  <c r="U1457" i="12"/>
  <c r="U1619" i="12"/>
  <c r="U1943" i="12"/>
  <c r="U2105" i="12"/>
  <c r="Q1296" i="12"/>
  <c r="R1296" i="12"/>
  <c r="Q1458" i="12"/>
  <c r="R1458" i="12" s="1"/>
  <c r="Q1620" i="12"/>
  <c r="R1620" i="12"/>
  <c r="Q1782" i="12"/>
  <c r="R1782" i="12" s="1"/>
  <c r="Q1944" i="12"/>
  <c r="R1944" i="12"/>
  <c r="Q2106" i="12"/>
  <c r="T2106" i="12" s="1"/>
  <c r="Y144" i="12"/>
  <c r="T1296" i="12"/>
  <c r="T1458" i="12"/>
  <c r="T1620" i="12"/>
  <c r="T1944" i="12"/>
  <c r="U1296" i="12"/>
  <c r="U1620" i="12"/>
  <c r="U1944" i="12"/>
  <c r="Q1297" i="12"/>
  <c r="R1297" i="12"/>
  <c r="Q1459" i="12"/>
  <c r="Q1621" i="12"/>
  <c r="R1621" i="12"/>
  <c r="Q1783" i="12"/>
  <c r="Q1945" i="12"/>
  <c r="R1945" i="12"/>
  <c r="Q2107" i="12"/>
  <c r="Y145" i="12"/>
  <c r="T1297" i="12"/>
  <c r="T1621" i="12"/>
  <c r="T1783" i="12"/>
  <c r="T1945" i="12"/>
  <c r="U1297" i="12"/>
  <c r="U1621" i="12"/>
  <c r="U1945" i="12"/>
  <c r="Q1298" i="12"/>
  <c r="R1298" i="12"/>
  <c r="Q1460" i="12"/>
  <c r="R1460" i="12"/>
  <c r="Q1622" i="12"/>
  <c r="R1622" i="12"/>
  <c r="Q1784" i="12"/>
  <c r="U1784" i="12" s="1"/>
  <c r="R1784" i="12"/>
  <c r="Q1946" i="12"/>
  <c r="R1946" i="12"/>
  <c r="Q2108" i="12"/>
  <c r="R2108" i="12"/>
  <c r="Y146" i="12"/>
  <c r="T1298" i="12"/>
  <c r="T1460" i="12"/>
  <c r="T1622" i="12"/>
  <c r="T1784" i="12"/>
  <c r="T1946" i="12"/>
  <c r="T2108" i="12"/>
  <c r="U1298" i="12"/>
  <c r="AA146" i="12" s="1"/>
  <c r="U1460" i="12"/>
  <c r="U1622" i="12"/>
  <c r="U1946" i="12"/>
  <c r="U2108" i="12"/>
  <c r="Q1299" i="12"/>
  <c r="R1299" i="12"/>
  <c r="Q1461" i="12"/>
  <c r="R1461" i="12" s="1"/>
  <c r="Q1623" i="12"/>
  <c r="R1623" i="12"/>
  <c r="Q1785" i="12"/>
  <c r="R1785" i="12" s="1"/>
  <c r="Q1947" i="12"/>
  <c r="R1947" i="12"/>
  <c r="Q2109" i="12"/>
  <c r="S2109" i="12" s="1"/>
  <c r="Y147" i="12"/>
  <c r="T1299" i="12"/>
  <c r="T1461" i="12"/>
  <c r="T1623" i="12"/>
  <c r="T1785" i="12"/>
  <c r="T1947" i="12"/>
  <c r="T2109" i="12"/>
  <c r="U1299" i="12"/>
  <c r="U1461" i="12"/>
  <c r="U1623" i="12"/>
  <c r="U1947" i="12"/>
  <c r="Q1300" i="12"/>
  <c r="R1300" i="12"/>
  <c r="Q1462" i="12"/>
  <c r="U1462" i="12" s="1"/>
  <c r="R1462" i="12"/>
  <c r="Q1624" i="12"/>
  <c r="R1624" i="12"/>
  <c r="Q1786" i="12"/>
  <c r="R1786" i="12"/>
  <c r="Q1948" i="12"/>
  <c r="R1948" i="12"/>
  <c r="Q2110" i="12"/>
  <c r="R2110" i="12"/>
  <c r="Y148" i="12"/>
  <c r="T1300" i="12"/>
  <c r="T1462" i="12"/>
  <c r="T1624" i="12"/>
  <c r="T1948" i="12"/>
  <c r="T2110" i="12"/>
  <c r="U1300" i="12"/>
  <c r="U1624" i="12"/>
  <c r="U1948" i="12"/>
  <c r="U2110" i="12"/>
  <c r="Q1301" i="12"/>
  <c r="R1301" i="12"/>
  <c r="Q1463" i="12"/>
  <c r="Q1625" i="12"/>
  <c r="R1625" i="12"/>
  <c r="Q1787" i="12"/>
  <c r="Q1949" i="12"/>
  <c r="R1949" i="12"/>
  <c r="Q2111" i="12"/>
  <c r="Y149" i="12"/>
  <c r="T1301" i="12"/>
  <c r="T1463" i="12"/>
  <c r="T1625" i="12"/>
  <c r="T1787" i="12"/>
  <c r="T1949" i="12"/>
  <c r="T2111" i="12"/>
  <c r="U1301" i="12"/>
  <c r="U1463" i="12"/>
  <c r="U1625" i="12"/>
  <c r="U1949" i="12"/>
  <c r="Q1302" i="12"/>
  <c r="R1302" i="12"/>
  <c r="Q1464" i="12"/>
  <c r="R1464" i="12"/>
  <c r="Q1626" i="12"/>
  <c r="R1626" i="12"/>
  <c r="Q1788" i="12"/>
  <c r="U1788" i="12" s="1"/>
  <c r="R1788" i="12"/>
  <c r="Q1950" i="12"/>
  <c r="R1950" i="12"/>
  <c r="Q2112" i="12"/>
  <c r="R2112" i="12"/>
  <c r="Y150" i="12"/>
  <c r="T1302" i="12"/>
  <c r="T1464" i="12"/>
  <c r="T1626" i="12"/>
  <c r="T1788" i="12"/>
  <c r="T1950" i="12"/>
  <c r="T2112" i="12"/>
  <c r="U1302" i="12"/>
  <c r="U1464" i="12"/>
  <c r="U1626" i="12"/>
  <c r="U1950" i="12"/>
  <c r="U2112" i="12"/>
  <c r="AA150" i="12"/>
  <c r="AF150" i="12" s="1"/>
  <c r="Q1141" i="12"/>
  <c r="R1141" i="12"/>
  <c r="S1141" i="12"/>
  <c r="T1141" i="12"/>
  <c r="U1141" i="12"/>
  <c r="Q1142" i="12"/>
  <c r="T1142" i="12" s="1"/>
  <c r="R1142" i="12"/>
  <c r="S1142" i="12"/>
  <c r="U1142" i="12"/>
  <c r="Q1143" i="12"/>
  <c r="S1143" i="12" s="1"/>
  <c r="R1143" i="12"/>
  <c r="T1143" i="12"/>
  <c r="U1143" i="12"/>
  <c r="Q1144" i="12"/>
  <c r="R1144" i="12" s="1"/>
  <c r="S1144" i="12"/>
  <c r="T1144" i="12"/>
  <c r="U1144" i="12"/>
  <c r="Q1145" i="12"/>
  <c r="R1145" i="12"/>
  <c r="S1145" i="12"/>
  <c r="T1145" i="12"/>
  <c r="U1145" i="12"/>
  <c r="Q1146" i="12"/>
  <c r="R1146" i="12"/>
  <c r="Q1147" i="12"/>
  <c r="R1147" i="12" s="1"/>
  <c r="T1147" i="12"/>
  <c r="Q1148" i="12"/>
  <c r="S1148" i="12"/>
  <c r="T1148" i="12"/>
  <c r="Q1149" i="12"/>
  <c r="R1149" i="12"/>
  <c r="S1149" i="12"/>
  <c r="T1149" i="12"/>
  <c r="U1149" i="12"/>
  <c r="Q1150" i="12"/>
  <c r="R1150" i="12"/>
  <c r="U1150" i="12"/>
  <c r="Q1151" i="12"/>
  <c r="Q1152" i="12"/>
  <c r="S1152" i="12"/>
  <c r="Q1153" i="12"/>
  <c r="R1153" i="12"/>
  <c r="S1153" i="12"/>
  <c r="T1153" i="12"/>
  <c r="U1153" i="12"/>
  <c r="Q1154" i="12"/>
  <c r="S1154" i="12"/>
  <c r="Q1155" i="12"/>
  <c r="T1155" i="12" s="1"/>
  <c r="U1155" i="12"/>
  <c r="Q1156" i="12"/>
  <c r="T1156" i="12"/>
  <c r="U1156" i="12"/>
  <c r="Q1157" i="12"/>
  <c r="R1157" i="12"/>
  <c r="S1157" i="12"/>
  <c r="T1157" i="12"/>
  <c r="U1157" i="12"/>
  <c r="Q1158" i="12"/>
  <c r="T1158" i="12" s="1"/>
  <c r="R1158" i="12"/>
  <c r="S1158" i="12"/>
  <c r="U1158" i="12"/>
  <c r="Q1159" i="12"/>
  <c r="S1159" i="12" s="1"/>
  <c r="R1159" i="12"/>
  <c r="T1159" i="12"/>
  <c r="U1159" i="12"/>
  <c r="S1293" i="12"/>
  <c r="S1294" i="12"/>
  <c r="S1295" i="12"/>
  <c r="S1296" i="12"/>
  <c r="S1297" i="12"/>
  <c r="S1298" i="12"/>
  <c r="S1299" i="12"/>
  <c r="S1300" i="12"/>
  <c r="S1301" i="12"/>
  <c r="S1302" i="12"/>
  <c r="Q1303" i="12"/>
  <c r="R1303" i="12"/>
  <c r="Q1304" i="12"/>
  <c r="R1304" i="12" s="1"/>
  <c r="U1304" i="12"/>
  <c r="Q1305" i="12"/>
  <c r="S1305" i="12"/>
  <c r="U1305" i="12"/>
  <c r="Q1306" i="12"/>
  <c r="R1306" i="12"/>
  <c r="S1306" i="12"/>
  <c r="T1306" i="12"/>
  <c r="U1306" i="12"/>
  <c r="Q1307" i="12"/>
  <c r="S1307" i="12"/>
  <c r="U1307" i="12"/>
  <c r="Q1308" i="12"/>
  <c r="Q1309" i="12"/>
  <c r="T1309" i="12"/>
  <c r="Q1310" i="12"/>
  <c r="R1310" i="12"/>
  <c r="S1310" i="12"/>
  <c r="T1310" i="12"/>
  <c r="U1310" i="12"/>
  <c r="Q1311" i="12"/>
  <c r="T1311" i="12" s="1"/>
  <c r="R1311" i="12"/>
  <c r="S1311" i="12"/>
  <c r="U1311" i="12"/>
  <c r="Q1312" i="12"/>
  <c r="S1312" i="12" s="1"/>
  <c r="R1312" i="12"/>
  <c r="T1312" i="12"/>
  <c r="U1312" i="12"/>
  <c r="Q1313" i="12"/>
  <c r="R1313" i="12" s="1"/>
  <c r="S1313" i="12"/>
  <c r="T1313" i="12"/>
  <c r="U1313" i="12"/>
  <c r="Q1314" i="12"/>
  <c r="R1314" i="12"/>
  <c r="S1314" i="12"/>
  <c r="T1314" i="12"/>
  <c r="U1314" i="12"/>
  <c r="Q1315" i="12"/>
  <c r="Q1316" i="12"/>
  <c r="R1316" i="12"/>
  <c r="Q1317" i="12"/>
  <c r="S1317" i="12" s="1"/>
  <c r="T1317" i="12"/>
  <c r="Q1318" i="12"/>
  <c r="R1318" i="12"/>
  <c r="S1318" i="12"/>
  <c r="T1318" i="12"/>
  <c r="U1318" i="12"/>
  <c r="Q1319" i="12"/>
  <c r="R1319" i="12" s="1"/>
  <c r="U1319" i="12"/>
  <c r="Q1320" i="12"/>
  <c r="R1320" i="12"/>
  <c r="U1320" i="12"/>
  <c r="Q1321" i="12"/>
  <c r="S1456" i="12"/>
  <c r="S1457" i="12"/>
  <c r="S1460" i="12"/>
  <c r="S1461" i="12"/>
  <c r="S1462" i="12"/>
  <c r="S1464" i="12"/>
  <c r="Q1465" i="12"/>
  <c r="R1465" i="12"/>
  <c r="T1465" i="12"/>
  <c r="Q1466" i="12"/>
  <c r="Q1467" i="12"/>
  <c r="R1467" i="12"/>
  <c r="S1467" i="12"/>
  <c r="T1467" i="12"/>
  <c r="U1467" i="12"/>
  <c r="Q1468" i="12"/>
  <c r="Q1469" i="12"/>
  <c r="R1469" i="12"/>
  <c r="Q1470" i="12"/>
  <c r="S1470" i="12" s="1"/>
  <c r="U1470" i="12"/>
  <c r="Q1471" i="12"/>
  <c r="R1471" i="12"/>
  <c r="S1471" i="12"/>
  <c r="T1471" i="12"/>
  <c r="U1471" i="12"/>
  <c r="Q1472" i="12"/>
  <c r="S1472" i="12" s="1"/>
  <c r="U1472" i="12"/>
  <c r="Q1473" i="12"/>
  <c r="T1473" i="12"/>
  <c r="U1473" i="12"/>
  <c r="Q1474" i="12"/>
  <c r="Q1475" i="12"/>
  <c r="R1475" i="12"/>
  <c r="S1475" i="12"/>
  <c r="T1475" i="12"/>
  <c r="U1475" i="12"/>
  <c r="Q1476" i="12"/>
  <c r="T1476" i="12" s="1"/>
  <c r="R1476" i="12"/>
  <c r="S1476" i="12"/>
  <c r="U1476" i="12"/>
  <c r="Q1477" i="12"/>
  <c r="S1477" i="12" s="1"/>
  <c r="R1477" i="12"/>
  <c r="T1477" i="12"/>
  <c r="U1477" i="12"/>
  <c r="Q1478" i="12"/>
  <c r="R1478" i="12" s="1"/>
  <c r="S1478" i="12"/>
  <c r="T1478" i="12"/>
  <c r="U1478" i="12"/>
  <c r="Q1479" i="12"/>
  <c r="R1479" i="12"/>
  <c r="S1479" i="12"/>
  <c r="T1479" i="12"/>
  <c r="U1479" i="12"/>
  <c r="Q1480" i="12"/>
  <c r="R1480" i="12"/>
  <c r="S1480" i="12"/>
  <c r="Q1481" i="12"/>
  <c r="Q1482" i="12"/>
  <c r="S1482" i="12"/>
  <c r="Q1483" i="12"/>
  <c r="R1483" i="12"/>
  <c r="S1483" i="12"/>
  <c r="T1483" i="12"/>
  <c r="U1483" i="12"/>
  <c r="S1617" i="12"/>
  <c r="S1618" i="12"/>
  <c r="S1619" i="12"/>
  <c r="S1620" i="12"/>
  <c r="S1621" i="12"/>
  <c r="S1622" i="12"/>
  <c r="S1623" i="12"/>
  <c r="S1624" i="12"/>
  <c r="S1625" i="12"/>
  <c r="S1626" i="12"/>
  <c r="Q1627" i="12"/>
  <c r="R1627" i="12" s="1"/>
  <c r="S1627" i="12"/>
  <c r="T1627" i="12"/>
  <c r="U1627" i="12"/>
  <c r="Q1628" i="12"/>
  <c r="R1628" i="12"/>
  <c r="S1628" i="12"/>
  <c r="T1628" i="12"/>
  <c r="U1628" i="12"/>
  <c r="Q1629" i="12"/>
  <c r="R1629" i="12" s="1"/>
  <c r="S1629" i="12"/>
  <c r="Q1630" i="12"/>
  <c r="R1630" i="12"/>
  <c r="T1630" i="12"/>
  <c r="Q1631" i="12"/>
  <c r="Q1632" i="12"/>
  <c r="R1632" i="12"/>
  <c r="S1632" i="12"/>
  <c r="T1632" i="12"/>
  <c r="U1632" i="12"/>
  <c r="Q1633" i="12"/>
  <c r="Q1634" i="12"/>
  <c r="R1634" i="12"/>
  <c r="Q1635" i="12"/>
  <c r="S1635" i="12" s="1"/>
  <c r="U1635" i="12"/>
  <c r="Q1636" i="12"/>
  <c r="R1636" i="12"/>
  <c r="S1636" i="12"/>
  <c r="T1636" i="12"/>
  <c r="U1636" i="12"/>
  <c r="Q1637" i="12"/>
  <c r="S1637" i="12" s="1"/>
  <c r="U1637" i="12"/>
  <c r="Q1638" i="12"/>
  <c r="T1638" i="12"/>
  <c r="U1638" i="12"/>
  <c r="Q1639" i="12"/>
  <c r="Q1640" i="12"/>
  <c r="R1640" i="12"/>
  <c r="S1640" i="12"/>
  <c r="T1640" i="12"/>
  <c r="U1640" i="12"/>
  <c r="Q1641" i="12"/>
  <c r="T1641" i="12" s="1"/>
  <c r="R1641" i="12"/>
  <c r="S1641" i="12"/>
  <c r="U1641" i="12"/>
  <c r="Q1642" i="12"/>
  <c r="S1642" i="12" s="1"/>
  <c r="R1642" i="12"/>
  <c r="T1642" i="12"/>
  <c r="U1642" i="12"/>
  <c r="Q1643" i="12"/>
  <c r="R1643" i="12" s="1"/>
  <c r="S1643" i="12"/>
  <c r="T1643" i="12"/>
  <c r="U1643" i="12"/>
  <c r="Q1644" i="12"/>
  <c r="R1644" i="12"/>
  <c r="S1644" i="12"/>
  <c r="T1644" i="12"/>
  <c r="U1644" i="12"/>
  <c r="Q1645" i="12"/>
  <c r="R1645" i="12"/>
  <c r="S1645" i="12"/>
  <c r="S1779" i="12"/>
  <c r="S1780" i="12"/>
  <c r="S1782" i="12"/>
  <c r="S1784" i="12"/>
  <c r="S1786" i="12"/>
  <c r="S1788" i="12"/>
  <c r="Q1789" i="12"/>
  <c r="R1789" i="12"/>
  <c r="S1789" i="12"/>
  <c r="T1789" i="12"/>
  <c r="U1789" i="12"/>
  <c r="Q1790" i="12"/>
  <c r="Q1791" i="12"/>
  <c r="R1791" i="12"/>
  <c r="Q1792" i="12"/>
  <c r="S1792" i="12" s="1"/>
  <c r="U1792" i="12"/>
  <c r="Q1793" i="12"/>
  <c r="R1793" i="12"/>
  <c r="S1793" i="12"/>
  <c r="T1793" i="12"/>
  <c r="U1793" i="12"/>
  <c r="Q1794" i="12"/>
  <c r="S1794" i="12" s="1"/>
  <c r="U1794" i="12"/>
  <c r="Q1795" i="12"/>
  <c r="T1795" i="12"/>
  <c r="U1795" i="12"/>
  <c r="Q1796" i="12"/>
  <c r="Q1797" i="12"/>
  <c r="R1797" i="12"/>
  <c r="S1797" i="12"/>
  <c r="T1797" i="12"/>
  <c r="U1797" i="12"/>
  <c r="Q1798" i="12"/>
  <c r="T1798" i="12" s="1"/>
  <c r="R1798" i="12"/>
  <c r="S1798" i="12"/>
  <c r="U1798" i="12"/>
  <c r="Q1799" i="12"/>
  <c r="S1799" i="12" s="1"/>
  <c r="R1799" i="12"/>
  <c r="T1799" i="12"/>
  <c r="U1799" i="12"/>
  <c r="Q1800" i="12"/>
  <c r="R1800" i="12" s="1"/>
  <c r="S1800" i="12"/>
  <c r="T1800" i="12"/>
  <c r="U1800" i="12"/>
  <c r="Q1801" i="12"/>
  <c r="R1801" i="12"/>
  <c r="S1801" i="12"/>
  <c r="T1801" i="12"/>
  <c r="U1801" i="12"/>
  <c r="Q1802" i="12"/>
  <c r="R1802" i="12"/>
  <c r="S1802" i="12"/>
  <c r="Q1803" i="12"/>
  <c r="Q1804" i="12"/>
  <c r="S1804" i="12"/>
  <c r="Q1805" i="12"/>
  <c r="R1805" i="12"/>
  <c r="S1805" i="12"/>
  <c r="T1805" i="12"/>
  <c r="U1805" i="12"/>
  <c r="Q1806" i="12"/>
  <c r="R1806" i="12"/>
  <c r="Q1807" i="12"/>
  <c r="R1807" i="12" s="1"/>
  <c r="U1807" i="12"/>
  <c r="S1941" i="12"/>
  <c r="S1942" i="12"/>
  <c r="S1943" i="12"/>
  <c r="S1944" i="12"/>
  <c r="S1945" i="12"/>
  <c r="S1946" i="12"/>
  <c r="S1947" i="12"/>
  <c r="S1948" i="12"/>
  <c r="S1949" i="12"/>
  <c r="S1950" i="12"/>
  <c r="Q1951" i="12"/>
  <c r="T1951" i="12" s="1"/>
  <c r="R1951" i="12"/>
  <c r="S1951" i="12"/>
  <c r="U1951" i="12"/>
  <c r="Q1952" i="12"/>
  <c r="S1952" i="12" s="1"/>
  <c r="R1952" i="12"/>
  <c r="T1952" i="12"/>
  <c r="U1952" i="12"/>
  <c r="Q1953" i="12"/>
  <c r="R1953" i="12" s="1"/>
  <c r="S1953" i="12"/>
  <c r="T1953" i="12"/>
  <c r="U1953" i="12"/>
  <c r="Q1954" i="12"/>
  <c r="R1954" i="12"/>
  <c r="S1954" i="12"/>
  <c r="T1954" i="12"/>
  <c r="U1954" i="12"/>
  <c r="Q1955" i="12"/>
  <c r="Q1956" i="12"/>
  <c r="R1956" i="12"/>
  <c r="Q1957" i="12"/>
  <c r="S1957" i="12" s="1"/>
  <c r="T1957" i="12"/>
  <c r="Q1958" i="12"/>
  <c r="R1958" i="12"/>
  <c r="S1958" i="12"/>
  <c r="T1958" i="12"/>
  <c r="U1958" i="12"/>
  <c r="Q1959" i="12"/>
  <c r="R1959" i="12" s="1"/>
  <c r="U1959" i="12"/>
  <c r="Q1960" i="12"/>
  <c r="R1960" i="12"/>
  <c r="U1960" i="12"/>
  <c r="Q1961" i="12"/>
  <c r="Q1962" i="12"/>
  <c r="R1962" i="12"/>
  <c r="S1962" i="12"/>
  <c r="T1962" i="12"/>
  <c r="U1962" i="12"/>
  <c r="Q1963" i="12"/>
  <c r="Q1964" i="12"/>
  <c r="T1964" i="12"/>
  <c r="Q1965" i="12"/>
  <c r="T1965" i="12" s="1"/>
  <c r="U1965" i="12"/>
  <c r="Q1966" i="12"/>
  <c r="R1966" i="12"/>
  <c r="S1966" i="12"/>
  <c r="T1966" i="12"/>
  <c r="U1966" i="12"/>
  <c r="Q1967" i="12"/>
  <c r="T1967" i="12" s="1"/>
  <c r="R1967" i="12"/>
  <c r="S1967" i="12"/>
  <c r="U1967" i="12"/>
  <c r="Q1968" i="12"/>
  <c r="S1968" i="12" s="1"/>
  <c r="R1968" i="12"/>
  <c r="T1968" i="12"/>
  <c r="U1968" i="12"/>
  <c r="Q1969" i="12"/>
  <c r="R1969" i="12" s="1"/>
  <c r="S1969" i="12"/>
  <c r="T1969" i="12"/>
  <c r="U1969" i="12"/>
  <c r="S2104" i="12"/>
  <c r="S2105" i="12"/>
  <c r="S2106" i="12"/>
  <c r="S2108" i="12"/>
  <c r="S2110" i="12"/>
  <c r="S2112" i="12"/>
  <c r="CB8" i="12"/>
  <c r="CD8" i="12" s="1"/>
  <c r="CD9" i="12" s="1"/>
  <c r="CD10" i="12" s="1"/>
  <c r="CD11" i="12" s="1"/>
  <c r="CD12" i="12" s="1"/>
  <c r="CD13" i="12" s="1"/>
  <c r="CD14" i="12" s="1"/>
  <c r="CD15" i="12" s="1"/>
  <c r="CD16" i="12" s="1"/>
  <c r="CD17" i="12" s="1"/>
  <c r="CD18" i="12" s="1"/>
  <c r="CD19" i="12" s="1"/>
  <c r="CD20" i="12" s="1"/>
  <c r="CD21" i="12" s="1"/>
  <c r="CD22" i="12" s="1"/>
  <c r="CD23" i="12" s="1"/>
  <c r="CD24" i="12" s="1"/>
  <c r="CD25" i="12" s="1"/>
  <c r="CD26" i="12" s="1"/>
  <c r="CD27" i="12" s="1"/>
  <c r="CD28" i="12" s="1"/>
  <c r="CD29" i="12" s="1"/>
  <c r="CD30" i="12" s="1"/>
  <c r="CD31" i="12" s="1"/>
  <c r="CD32" i="12" s="1"/>
  <c r="CD33" i="12" s="1"/>
  <c r="CD34" i="12" s="1"/>
  <c r="CD35" i="12" s="1"/>
  <c r="CD36" i="12" s="1"/>
  <c r="CD37" i="12" s="1"/>
  <c r="CD38" i="12" s="1"/>
  <c r="CD39" i="12" s="1"/>
  <c r="CD40" i="12" s="1"/>
  <c r="CD41" i="12" s="1"/>
  <c r="CD42" i="12" s="1"/>
  <c r="CD43" i="12" s="1"/>
  <c r="CD44" i="12" s="1"/>
  <c r="CD45" i="12" s="1"/>
  <c r="CD46" i="12" s="1"/>
  <c r="CD47" i="12" s="1"/>
  <c r="CD48" i="12" s="1"/>
  <c r="CD49" i="12" s="1"/>
  <c r="CD50" i="12" s="1"/>
  <c r="CD51" i="12" s="1"/>
  <c r="CD52" i="12" s="1"/>
  <c r="CD53" i="12" s="1"/>
  <c r="CD54" i="12" s="1"/>
  <c r="CD55" i="12" s="1"/>
  <c r="CD56" i="12" s="1"/>
  <c r="CD57" i="12" s="1"/>
  <c r="CD58" i="12" s="1"/>
  <c r="CD59" i="12" s="1"/>
  <c r="CD60" i="12" s="1"/>
  <c r="CD61" i="12" s="1"/>
  <c r="CD62" i="12" s="1"/>
  <c r="CD63" i="12" s="1"/>
  <c r="CD64" i="12" s="1"/>
  <c r="CD65" i="12" s="1"/>
  <c r="CD66" i="12" s="1"/>
  <c r="CD67" i="12" s="1"/>
  <c r="CD68" i="12" s="1"/>
  <c r="CD69" i="12" s="1"/>
  <c r="CD70" i="12" s="1"/>
  <c r="CD71" i="12" s="1"/>
  <c r="CD72" i="12" s="1"/>
  <c r="CD73" i="12" s="1"/>
  <c r="CD74" i="12" s="1"/>
  <c r="CD75" i="12" s="1"/>
  <c r="CD76" i="12" s="1"/>
  <c r="CD77" i="12" s="1"/>
  <c r="CD78" i="12" s="1"/>
  <c r="CD79" i="12" s="1"/>
  <c r="CD80" i="12" s="1"/>
  <c r="CD81" i="12" s="1"/>
  <c r="CD82" i="12" s="1"/>
  <c r="CD83" i="12" s="1"/>
  <c r="CD84" i="12" s="1"/>
  <c r="CD85" i="12" s="1"/>
  <c r="CD86" i="12" s="1"/>
  <c r="CD87" i="12" s="1"/>
  <c r="CD88" i="12" s="1"/>
  <c r="CD89" i="12" s="1"/>
  <c r="CD90" i="12" s="1"/>
  <c r="CD91" i="12" s="1"/>
  <c r="CD92" i="12" s="1"/>
  <c r="CD93" i="12" s="1"/>
  <c r="CD94" i="12" s="1"/>
  <c r="CD95" i="12" s="1"/>
  <c r="CD96" i="12" s="1"/>
  <c r="CD97" i="12" s="1"/>
  <c r="CD98" i="12" s="1"/>
  <c r="CD99" i="12" s="1"/>
  <c r="CD100" i="12" s="1"/>
  <c r="CD101" i="12" s="1"/>
  <c r="CD102" i="12" s="1"/>
  <c r="CD103" i="12" s="1"/>
  <c r="CD104" i="12" s="1"/>
  <c r="CD105" i="12" s="1"/>
  <c r="CD106" i="12" s="1"/>
  <c r="CD107" i="12" s="1"/>
  <c r="CD108" i="12" s="1"/>
  <c r="CD109" i="12" s="1"/>
  <c r="CD110" i="12" s="1"/>
  <c r="CD111" i="12" s="1"/>
  <c r="CD112" i="12" s="1"/>
  <c r="CD113" i="12" s="1"/>
  <c r="CD114" i="12" s="1"/>
  <c r="CD115" i="12" s="1"/>
  <c r="CD116" i="12" s="1"/>
  <c r="CD117" i="12" s="1"/>
  <c r="CD118" i="12" s="1"/>
  <c r="CD119" i="12" s="1"/>
  <c r="CD120" i="12" s="1"/>
  <c r="CD121" i="12" s="1"/>
  <c r="CD122" i="12" s="1"/>
  <c r="CD123" i="12" s="1"/>
  <c r="CD124" i="12" s="1"/>
  <c r="CD125" i="12" s="1"/>
  <c r="CD126" i="12" s="1"/>
  <c r="CD127" i="12" s="1"/>
  <c r="CD128" i="12" s="1"/>
  <c r="CD129" i="12" s="1"/>
  <c r="CD130" i="12" s="1"/>
  <c r="CD131" i="12" s="1"/>
  <c r="CD132" i="12" s="1"/>
  <c r="CD133" i="12" s="1"/>
  <c r="CD134" i="12" s="1"/>
  <c r="CD135" i="12" s="1"/>
  <c r="CD136" i="12" s="1"/>
  <c r="CD137" i="12" s="1"/>
  <c r="CD138" i="12" s="1"/>
  <c r="CD139" i="12" s="1"/>
  <c r="CD140" i="12" s="1"/>
  <c r="CD141" i="12" s="1"/>
  <c r="CD142" i="12" s="1"/>
  <c r="CD143" i="12" s="1"/>
  <c r="CD144" i="12" s="1"/>
  <c r="CD145" i="12" s="1"/>
  <c r="CD146" i="12" s="1"/>
  <c r="CD147" i="12" s="1"/>
  <c r="CD148" i="12" s="1"/>
  <c r="CD149" i="12" s="1"/>
  <c r="CD150" i="12" s="1"/>
  <c r="CD151" i="12" s="1"/>
  <c r="CD152" i="12" s="1"/>
  <c r="CD153" i="12" s="1"/>
  <c r="CD154" i="12" s="1"/>
  <c r="CD155" i="12" s="1"/>
  <c r="CD156" i="12" s="1"/>
  <c r="CD157" i="12" s="1"/>
  <c r="CD158" i="12" s="1"/>
  <c r="CD159" i="12" s="1"/>
  <c r="CD160" i="12" s="1"/>
  <c r="CD161" i="12" s="1"/>
  <c r="CD162" i="12" s="1"/>
  <c r="CD163" i="12" s="1"/>
  <c r="CD164" i="12" s="1"/>
  <c r="CD165" i="12" s="1"/>
  <c r="CD166" i="12" s="1"/>
  <c r="CD167" i="12" s="1"/>
  <c r="CD168" i="12" s="1"/>
  <c r="CD169" i="12" s="1"/>
  <c r="CD170" i="12" s="1"/>
  <c r="CD171" i="12" s="1"/>
  <c r="CD172" i="12" s="1"/>
  <c r="CD173" i="12" s="1"/>
  <c r="CD174" i="12" s="1"/>
  <c r="CD175" i="12" s="1"/>
  <c r="CD176" i="12" s="1"/>
  <c r="CD177" i="12" s="1"/>
  <c r="CD178" i="12" s="1"/>
  <c r="CD179" i="12" s="1"/>
  <c r="CD180" i="12" s="1"/>
  <c r="CD181" i="12" s="1"/>
  <c r="CD182" i="12" s="1"/>
  <c r="CD183" i="12" s="1"/>
  <c r="CD184" i="12" s="1"/>
  <c r="CD185" i="12" s="1"/>
  <c r="CD186" i="12" s="1"/>
  <c r="CD187" i="12" s="1"/>
  <c r="CD188" i="12" s="1"/>
  <c r="CD189" i="12" s="1"/>
  <c r="CD190" i="12" s="1"/>
  <c r="CD191" i="12" s="1"/>
  <c r="CD192" i="12" s="1"/>
  <c r="CD193" i="12" s="1"/>
  <c r="CD194" i="12" s="1"/>
  <c r="CD195" i="12" s="1"/>
  <c r="CD196" i="12" s="1"/>
  <c r="CD197" i="12" s="1"/>
  <c r="CD198" i="12" s="1"/>
  <c r="CD199" i="12" s="1"/>
  <c r="CD200" i="12" s="1"/>
  <c r="CD201" i="12" s="1"/>
  <c r="CD202" i="12" s="1"/>
  <c r="CD203" i="12" s="1"/>
  <c r="CD204" i="12" s="1"/>
  <c r="CD205" i="12" s="1"/>
  <c r="CD206" i="12" s="1"/>
  <c r="CD207" i="12" s="1"/>
  <c r="CD208" i="12" s="1"/>
  <c r="CD209" i="12" s="1"/>
  <c r="CD210" i="12" s="1"/>
  <c r="CD211" i="12" s="1"/>
  <c r="CD212" i="12" s="1"/>
  <c r="CD213" i="12" s="1"/>
  <c r="CD214" i="12" s="1"/>
  <c r="CD215" i="12" s="1"/>
  <c r="CD216" i="12" s="1"/>
  <c r="CD217" i="12" s="1"/>
  <c r="CD218" i="12" s="1"/>
  <c r="CD219" i="12" s="1"/>
  <c r="CD220" i="12" s="1"/>
  <c r="CD221" i="12" s="1"/>
  <c r="CD222" i="12" s="1"/>
  <c r="CD223" i="12" s="1"/>
  <c r="CD224" i="12" s="1"/>
  <c r="CD225" i="12" s="1"/>
  <c r="CD226" i="12" s="1"/>
  <c r="CB9" i="12"/>
  <c r="CB10" i="12"/>
  <c r="CB11" i="12"/>
  <c r="CB12" i="12"/>
  <c r="CB13" i="12"/>
  <c r="CB14" i="12"/>
  <c r="CB15" i="12"/>
  <c r="CB16" i="12"/>
  <c r="CB17" i="12"/>
  <c r="CB18" i="12"/>
  <c r="CB19" i="12"/>
  <c r="CB20" i="12"/>
  <c r="CB21" i="12"/>
  <c r="CB22" i="12"/>
  <c r="CB23" i="12"/>
  <c r="CB24" i="12"/>
  <c r="CB25" i="12"/>
  <c r="CB26" i="12"/>
  <c r="CB27" i="12"/>
  <c r="CB28" i="12"/>
  <c r="CB29" i="12"/>
  <c r="CB30" i="12"/>
  <c r="CB31" i="12"/>
  <c r="CB32" i="12"/>
  <c r="CB33" i="12"/>
  <c r="CB34" i="12"/>
  <c r="CB35" i="12"/>
  <c r="CB36" i="12"/>
  <c r="CB37" i="12"/>
  <c r="CB38" i="12"/>
  <c r="CB39" i="12"/>
  <c r="CB40" i="12"/>
  <c r="CB41" i="12"/>
  <c r="CB42" i="12"/>
  <c r="CB43" i="12"/>
  <c r="CB44" i="12"/>
  <c r="CB45" i="12"/>
  <c r="CB46" i="12"/>
  <c r="CB47" i="12"/>
  <c r="CB48" i="12"/>
  <c r="CB49" i="12"/>
  <c r="CB50" i="12"/>
  <c r="CB51" i="12"/>
  <c r="CB52" i="12"/>
  <c r="CB53" i="12"/>
  <c r="CB54" i="12"/>
  <c r="CB55" i="12"/>
  <c r="CB56" i="12"/>
  <c r="CB57" i="12"/>
  <c r="CB58" i="12"/>
  <c r="CB59" i="12"/>
  <c r="CB60" i="12"/>
  <c r="CB61" i="12"/>
  <c r="CB62" i="12"/>
  <c r="CB63" i="12"/>
  <c r="CB64" i="12"/>
  <c r="CB65" i="12"/>
  <c r="CB66" i="12"/>
  <c r="CB67" i="12"/>
  <c r="CB68" i="12"/>
  <c r="CB69" i="12"/>
  <c r="CB70" i="12"/>
  <c r="CB71" i="12"/>
  <c r="CB72" i="12"/>
  <c r="CB73" i="12"/>
  <c r="CB74" i="12"/>
  <c r="CB75" i="12"/>
  <c r="CB76" i="12"/>
  <c r="CB77" i="12"/>
  <c r="CB78" i="12"/>
  <c r="CB79" i="12"/>
  <c r="CB80" i="12"/>
  <c r="CB81" i="12"/>
  <c r="CB82" i="12"/>
  <c r="CB83" i="12"/>
  <c r="CB84" i="12"/>
  <c r="CB85" i="12"/>
  <c r="CB86" i="12"/>
  <c r="CB87" i="12"/>
  <c r="CB88" i="12"/>
  <c r="CB89" i="12"/>
  <c r="CB90" i="12"/>
  <c r="CB91" i="12"/>
  <c r="CB92" i="12"/>
  <c r="CB93" i="12"/>
  <c r="CB94" i="12"/>
  <c r="CB95" i="12"/>
  <c r="CB96" i="12"/>
  <c r="CB97" i="12"/>
  <c r="CB98" i="12"/>
  <c r="CB99" i="12"/>
  <c r="CB100" i="12"/>
  <c r="CB101" i="12"/>
  <c r="CB102" i="12"/>
  <c r="CB103" i="12"/>
  <c r="CB104" i="12"/>
  <c r="CB105" i="12"/>
  <c r="CB106" i="12"/>
  <c r="CB107" i="12"/>
  <c r="CB108" i="12"/>
  <c r="CB109" i="12"/>
  <c r="CB110" i="12"/>
  <c r="CB111" i="12"/>
  <c r="CB112" i="12"/>
  <c r="CB113" i="12"/>
  <c r="CB114" i="12"/>
  <c r="CB115" i="12"/>
  <c r="CB116" i="12"/>
  <c r="CB117" i="12"/>
  <c r="CB118" i="12"/>
  <c r="CB119" i="12"/>
  <c r="CB120" i="12"/>
  <c r="CB121" i="12"/>
  <c r="CB122" i="12"/>
  <c r="CB123" i="12"/>
  <c r="CB124" i="12"/>
  <c r="CB125" i="12"/>
  <c r="CB126" i="12"/>
  <c r="CB127" i="12"/>
  <c r="CB128" i="12"/>
  <c r="CB129" i="12"/>
  <c r="CB130" i="12"/>
  <c r="CB131" i="12"/>
  <c r="CB132" i="12"/>
  <c r="CB133" i="12"/>
  <c r="CB134" i="12"/>
  <c r="CB135" i="12"/>
  <c r="CB136" i="12"/>
  <c r="CB137" i="12"/>
  <c r="CB138" i="12"/>
  <c r="CB139" i="12"/>
  <c r="CB140" i="12"/>
  <c r="CB141" i="12"/>
  <c r="CB142" i="12"/>
  <c r="CB143" i="12"/>
  <c r="CB144" i="12"/>
  <c r="CB145" i="12"/>
  <c r="CB146" i="12"/>
  <c r="CB147" i="12"/>
  <c r="CB148" i="12"/>
  <c r="CB149" i="12"/>
  <c r="CB150" i="12"/>
  <c r="CB151" i="12"/>
  <c r="CB152" i="12"/>
  <c r="CB153" i="12"/>
  <c r="CB154" i="12"/>
  <c r="CB155" i="12"/>
  <c r="CB156" i="12"/>
  <c r="CB157" i="12"/>
  <c r="CB158" i="12"/>
  <c r="CB159" i="12"/>
  <c r="CB160" i="12"/>
  <c r="CB161" i="12"/>
  <c r="CB162" i="12"/>
  <c r="CB163" i="12"/>
  <c r="CB164" i="12"/>
  <c r="CB165" i="12"/>
  <c r="CB166" i="12"/>
  <c r="CB167" i="12"/>
  <c r="CB168" i="12"/>
  <c r="CB169" i="12"/>
  <c r="CB170" i="12"/>
  <c r="CB171" i="12"/>
  <c r="CB172" i="12"/>
  <c r="CB173" i="12"/>
  <c r="CB174" i="12"/>
  <c r="CB175" i="12"/>
  <c r="CB176" i="12"/>
  <c r="CB177" i="12"/>
  <c r="CB178" i="12"/>
  <c r="CB179" i="12"/>
  <c r="CB180" i="12"/>
  <c r="CB181" i="12"/>
  <c r="CB182" i="12"/>
  <c r="CB183" i="12"/>
  <c r="CB184" i="12"/>
  <c r="CB185" i="12"/>
  <c r="CB186" i="12"/>
  <c r="CB187" i="12"/>
  <c r="CB188" i="12"/>
  <c r="CB189" i="12"/>
  <c r="CB190" i="12"/>
  <c r="CB191" i="12"/>
  <c r="CB192" i="12"/>
  <c r="CB193" i="12"/>
  <c r="CB194" i="12"/>
  <c r="CB195" i="12"/>
  <c r="CB196" i="12"/>
  <c r="CB197" i="12"/>
  <c r="CB198" i="12"/>
  <c r="CB199" i="12"/>
  <c r="CB200" i="12"/>
  <c r="CB201" i="12"/>
  <c r="CB202" i="12"/>
  <c r="CB203" i="12"/>
  <c r="CB204" i="12"/>
  <c r="CB205" i="12"/>
  <c r="CB206" i="12"/>
  <c r="CB207" i="12"/>
  <c r="CB208" i="12"/>
  <c r="CB209" i="12"/>
  <c r="CB210" i="12"/>
  <c r="CB211" i="12"/>
  <c r="CB212" i="12"/>
  <c r="CB213" i="12"/>
  <c r="CB214" i="12"/>
  <c r="CB215" i="12"/>
  <c r="CB216" i="12"/>
  <c r="CB217" i="12"/>
  <c r="CB218" i="12"/>
  <c r="CB219" i="12"/>
  <c r="CB220" i="12"/>
  <c r="CB221" i="12"/>
  <c r="CB222" i="12"/>
  <c r="CB223" i="12"/>
  <c r="CB224" i="12"/>
  <c r="CB225" i="12"/>
  <c r="CB226" i="12"/>
  <c r="DC150" i="12"/>
  <c r="DA150" i="12"/>
  <c r="BR150" i="12"/>
  <c r="BQ150" i="12"/>
  <c r="BP150" i="12"/>
  <c r="DB149" i="12"/>
  <c r="DC149" i="12" s="1"/>
  <c r="CZ149" i="12"/>
  <c r="DA149" i="12" s="1"/>
  <c r="EK149" i="12"/>
  <c r="EJ149" i="12"/>
  <c r="EI149" i="12"/>
  <c r="EH149" i="12"/>
  <c r="CO149" i="12"/>
  <c r="BR149" i="12"/>
  <c r="BQ149" i="12"/>
  <c r="BP149" i="12"/>
  <c r="DB148" i="12"/>
  <c r="DC148" i="12"/>
  <c r="CZ148" i="12"/>
  <c r="DA148" i="12" s="1"/>
  <c r="EK148" i="12"/>
  <c r="EJ148" i="12"/>
  <c r="EI148" i="12"/>
  <c r="EH148" i="12"/>
  <c r="CO148" i="12"/>
  <c r="BR148" i="12"/>
  <c r="BQ148" i="12"/>
  <c r="BP148" i="12"/>
  <c r="DB147" i="12"/>
  <c r="DC147" i="12" s="1"/>
  <c r="CZ147" i="12"/>
  <c r="DA147" i="12" s="1"/>
  <c r="EK147" i="12"/>
  <c r="EJ147" i="12"/>
  <c r="EI147" i="12"/>
  <c r="EH147" i="12"/>
  <c r="CO147" i="12"/>
  <c r="BR147" i="12"/>
  <c r="BQ147" i="12"/>
  <c r="BP147" i="12"/>
  <c r="DB146" i="12"/>
  <c r="DC146" i="12" s="1"/>
  <c r="CZ146" i="12"/>
  <c r="DA146" i="12" s="1"/>
  <c r="EK146" i="12"/>
  <c r="EJ146" i="12"/>
  <c r="EI146" i="12"/>
  <c r="EH146" i="12"/>
  <c r="CO146" i="12"/>
  <c r="BR146" i="12"/>
  <c r="BQ146" i="12"/>
  <c r="BP146" i="12"/>
  <c r="DB145" i="12"/>
  <c r="DC145" i="12" s="1"/>
  <c r="CZ145" i="12"/>
  <c r="DA145" i="12" s="1"/>
  <c r="EK145" i="12"/>
  <c r="EJ145" i="12"/>
  <c r="EI145" i="12"/>
  <c r="EH145" i="12"/>
  <c r="CO145" i="12"/>
  <c r="BR145" i="12"/>
  <c r="BQ145" i="12"/>
  <c r="BP145" i="12"/>
  <c r="DB144" i="12"/>
  <c r="DC144" i="12"/>
  <c r="CZ144" i="12"/>
  <c r="DA144" i="12" s="1"/>
  <c r="EK144" i="12"/>
  <c r="EJ144" i="12"/>
  <c r="EI144" i="12"/>
  <c r="EH144" i="12"/>
  <c r="CO144" i="12"/>
  <c r="BR144" i="12"/>
  <c r="BQ144" i="12"/>
  <c r="BP144" i="12"/>
  <c r="DB143" i="12"/>
  <c r="DC143" i="12" s="1"/>
  <c r="CZ143" i="12"/>
  <c r="DA143" i="12"/>
  <c r="EK143" i="12"/>
  <c r="EJ143" i="12"/>
  <c r="EI143" i="12"/>
  <c r="EH143" i="12"/>
  <c r="CO143" i="12"/>
  <c r="BR143" i="12"/>
  <c r="BQ143" i="12"/>
  <c r="BP143" i="12"/>
  <c r="DB142" i="12"/>
  <c r="DC142" i="12" s="1"/>
  <c r="CZ142" i="12"/>
  <c r="DA142" i="12" s="1"/>
  <c r="EK142" i="12"/>
  <c r="EJ142" i="12"/>
  <c r="EI142" i="12"/>
  <c r="EH142" i="12"/>
  <c r="CO142" i="12"/>
  <c r="BR142" i="12"/>
  <c r="BQ142" i="12"/>
  <c r="BP142" i="12"/>
  <c r="DB141" i="12"/>
  <c r="DC141" i="12" s="1"/>
  <c r="CZ141" i="12"/>
  <c r="DA141" i="12"/>
  <c r="EK141" i="12"/>
  <c r="EJ141" i="12"/>
  <c r="EI141" i="12"/>
  <c r="EH141" i="12"/>
  <c r="CO141" i="12"/>
  <c r="BR141" i="12"/>
  <c r="BQ141" i="12"/>
  <c r="BP141" i="12"/>
  <c r="DB140" i="12"/>
  <c r="DC140" i="12"/>
  <c r="CZ140" i="12"/>
  <c r="DA140" i="12" s="1"/>
  <c r="EK140" i="12"/>
  <c r="EJ140" i="12"/>
  <c r="EI140" i="12"/>
  <c r="EH140" i="12"/>
  <c r="CO140" i="12"/>
  <c r="BR140" i="12"/>
  <c r="BQ140" i="12"/>
  <c r="BP140" i="12"/>
  <c r="DB139" i="12"/>
  <c r="DC139" i="12" s="1"/>
  <c r="CZ139" i="12"/>
  <c r="DA139" i="12"/>
  <c r="EK139" i="12"/>
  <c r="EJ139" i="12"/>
  <c r="EI139" i="12"/>
  <c r="EH139" i="12"/>
  <c r="CO139" i="12"/>
  <c r="BR139" i="12"/>
  <c r="BQ139" i="12"/>
  <c r="BP139" i="12"/>
  <c r="DB138" i="12"/>
  <c r="DC138" i="12"/>
  <c r="CZ138" i="12"/>
  <c r="DA138" i="12" s="1"/>
  <c r="EK138" i="12"/>
  <c r="EJ138" i="12"/>
  <c r="EI138" i="12"/>
  <c r="EH138" i="12"/>
  <c r="CO138" i="12"/>
  <c r="BR138" i="12"/>
  <c r="BQ138" i="12"/>
  <c r="BP138" i="12"/>
  <c r="DB137" i="12"/>
  <c r="DC137" i="12" s="1"/>
  <c r="CZ137" i="12"/>
  <c r="DA137" i="12" s="1"/>
  <c r="EK137" i="12"/>
  <c r="EJ137" i="12"/>
  <c r="EI137" i="12"/>
  <c r="EH137" i="12"/>
  <c r="CO137" i="12"/>
  <c r="BR137" i="12"/>
  <c r="BQ137" i="12"/>
  <c r="BP137" i="12"/>
  <c r="DB136" i="12"/>
  <c r="DC136" i="12" s="1"/>
  <c r="CZ136" i="12"/>
  <c r="DA136" i="12" s="1"/>
  <c r="EK136" i="12"/>
  <c r="EJ136" i="12"/>
  <c r="EI136" i="12"/>
  <c r="EH136" i="12"/>
  <c r="CO136" i="12"/>
  <c r="BR136" i="12"/>
  <c r="BQ136" i="12"/>
  <c r="BP136" i="12"/>
  <c r="BI136" i="12"/>
  <c r="AT136" i="12"/>
  <c r="BH136" i="12"/>
  <c r="AU136" i="12"/>
  <c r="DB135" i="12"/>
  <c r="DC135" i="12"/>
  <c r="CZ135" i="12"/>
  <c r="DA135" i="12"/>
  <c r="EK135" i="12"/>
  <c r="EJ135" i="12"/>
  <c r="EI135" i="12"/>
  <c r="EH135" i="12"/>
  <c r="CO135" i="12"/>
  <c r="BR135" i="12"/>
  <c r="BQ135" i="12"/>
  <c r="BP135" i="12"/>
  <c r="BI135" i="12"/>
  <c r="AT135" i="12"/>
  <c r="BH135" i="12"/>
  <c r="AU135" i="12"/>
  <c r="DB134" i="12"/>
  <c r="DC134" i="12" s="1"/>
  <c r="CZ134" i="12"/>
  <c r="DA134" i="12"/>
  <c r="EK134" i="12"/>
  <c r="EJ134" i="12"/>
  <c r="EI134" i="12"/>
  <c r="EH134" i="12"/>
  <c r="CO134" i="12"/>
  <c r="BR134" i="12"/>
  <c r="BQ134" i="12"/>
  <c r="BP134" i="12"/>
  <c r="AU134" i="12"/>
  <c r="BI134" i="12"/>
  <c r="AT134" i="12"/>
  <c r="BH134" i="12"/>
  <c r="DB133" i="12"/>
  <c r="DC133" i="12"/>
  <c r="CZ133" i="12"/>
  <c r="DA133" i="12" s="1"/>
  <c r="EK133" i="12"/>
  <c r="EJ133" i="12"/>
  <c r="EI133" i="12"/>
  <c r="EH133" i="12"/>
  <c r="CO133" i="12"/>
  <c r="BR133" i="12"/>
  <c r="BQ133" i="12"/>
  <c r="BP133" i="12"/>
  <c r="AU133" i="12"/>
  <c r="BI133" i="12"/>
  <c r="AT133" i="12"/>
  <c r="BH133" i="12"/>
  <c r="DB132" i="12"/>
  <c r="DC132" i="12" s="1"/>
  <c r="CZ132" i="12"/>
  <c r="DA132" i="12" s="1"/>
  <c r="EK132" i="12"/>
  <c r="EJ132" i="12"/>
  <c r="EI132" i="12"/>
  <c r="EH132" i="12"/>
  <c r="CO132" i="12"/>
  <c r="BR132" i="12"/>
  <c r="BQ132" i="12"/>
  <c r="BP132" i="12"/>
  <c r="AU132" i="12"/>
  <c r="BI132" i="12"/>
  <c r="AT132" i="12"/>
  <c r="BH132" i="12"/>
  <c r="DB131" i="12"/>
  <c r="DC131" i="12" s="1"/>
  <c r="CZ131" i="12"/>
  <c r="DA131" i="12"/>
  <c r="EK131" i="12"/>
  <c r="EJ131" i="12"/>
  <c r="EI131" i="12"/>
  <c r="EH131" i="12"/>
  <c r="CO131" i="12"/>
  <c r="BR131" i="12"/>
  <c r="BQ131" i="12"/>
  <c r="BP131" i="12"/>
  <c r="AU131" i="12"/>
  <c r="BI131" i="12"/>
  <c r="AT131" i="12"/>
  <c r="BH131" i="12"/>
  <c r="DB130" i="12"/>
  <c r="DC130" i="12" s="1"/>
  <c r="CZ130" i="12"/>
  <c r="DA130" i="12" s="1"/>
  <c r="EK130" i="12"/>
  <c r="EJ130" i="12"/>
  <c r="EI130" i="12"/>
  <c r="EH130" i="12"/>
  <c r="CO130" i="12"/>
  <c r="BR130" i="12"/>
  <c r="BQ130" i="12"/>
  <c r="BP130" i="12"/>
  <c r="AU130" i="12"/>
  <c r="BI130" i="12"/>
  <c r="AT130" i="12"/>
  <c r="BH130" i="12"/>
  <c r="DB129" i="12"/>
  <c r="DC129" i="12"/>
  <c r="CZ129" i="12"/>
  <c r="DA129" i="12"/>
  <c r="EK129" i="12"/>
  <c r="EJ129" i="12"/>
  <c r="EI129" i="12"/>
  <c r="EH129" i="12"/>
  <c r="CO129" i="12"/>
  <c r="BR129" i="12"/>
  <c r="BQ129" i="12"/>
  <c r="BP129" i="12"/>
  <c r="AU129" i="12"/>
  <c r="BI129" i="12"/>
  <c r="AT129" i="12"/>
  <c r="BH129" i="12"/>
  <c r="DB128" i="12"/>
  <c r="DC128" i="12"/>
  <c r="CZ128" i="12"/>
  <c r="DA128" i="12" s="1"/>
  <c r="EK128" i="12"/>
  <c r="EJ128" i="12"/>
  <c r="EI128" i="12"/>
  <c r="EH128" i="12"/>
  <c r="CO128" i="12"/>
  <c r="BR128" i="12"/>
  <c r="BQ128" i="12"/>
  <c r="BP128" i="12"/>
  <c r="AU128" i="12"/>
  <c r="BI128" i="12"/>
  <c r="AT128" i="12"/>
  <c r="BH128" i="12"/>
  <c r="DB127" i="12"/>
  <c r="DC127" i="12"/>
  <c r="CZ127" i="12"/>
  <c r="DA127" i="12"/>
  <c r="EK127" i="12"/>
  <c r="EJ127" i="12"/>
  <c r="EI127" i="12"/>
  <c r="EH127" i="12"/>
  <c r="CO127" i="12"/>
  <c r="BR127" i="12"/>
  <c r="BQ127" i="12"/>
  <c r="BP127" i="12"/>
  <c r="AU127" i="12"/>
  <c r="BI127" i="12"/>
  <c r="AT127" i="12"/>
  <c r="BH127" i="12"/>
  <c r="DB126" i="12"/>
  <c r="DC126" i="12" s="1"/>
  <c r="CZ126" i="12"/>
  <c r="DA126" i="12"/>
  <c r="EK126" i="12"/>
  <c r="EJ126" i="12"/>
  <c r="EI126" i="12"/>
  <c r="EH126" i="12"/>
  <c r="CO126" i="12"/>
  <c r="BR126" i="12"/>
  <c r="BQ126" i="12"/>
  <c r="BP126" i="12"/>
  <c r="AU126" i="12"/>
  <c r="BI126" i="12"/>
  <c r="AT126" i="12"/>
  <c r="BH126" i="12"/>
  <c r="DB125" i="12"/>
  <c r="DC125" i="12"/>
  <c r="CZ125" i="12"/>
  <c r="DA125" i="12" s="1"/>
  <c r="EK125" i="12"/>
  <c r="EJ125" i="12"/>
  <c r="EI125" i="12"/>
  <c r="EH125" i="12"/>
  <c r="CO125" i="12"/>
  <c r="BR125" i="12"/>
  <c r="BQ125" i="12"/>
  <c r="BP125" i="12"/>
  <c r="AU125" i="12"/>
  <c r="BI125" i="12"/>
  <c r="AT125" i="12"/>
  <c r="BH125" i="12"/>
  <c r="DB124" i="12"/>
  <c r="DC124" i="12" s="1"/>
  <c r="CZ124" i="12"/>
  <c r="DA124" i="12" s="1"/>
  <c r="EK124" i="12"/>
  <c r="EJ124" i="12"/>
  <c r="EI124" i="12"/>
  <c r="EH124" i="12"/>
  <c r="CO124" i="12"/>
  <c r="BR124" i="12"/>
  <c r="BQ124" i="12"/>
  <c r="BP124" i="12"/>
  <c r="AU124" i="12"/>
  <c r="BI124" i="12"/>
  <c r="AT124" i="12"/>
  <c r="BH124" i="12"/>
  <c r="DB123" i="12"/>
  <c r="DC123" i="12" s="1"/>
  <c r="CZ123" i="12"/>
  <c r="DA123" i="12"/>
  <c r="EK123" i="12"/>
  <c r="EJ123" i="12"/>
  <c r="EI123" i="12"/>
  <c r="EH123" i="12"/>
  <c r="CO123" i="12"/>
  <c r="BR123" i="12"/>
  <c r="BQ123" i="12"/>
  <c r="BP123" i="12"/>
  <c r="AU123" i="12"/>
  <c r="BI123" i="12"/>
  <c r="AT123" i="12"/>
  <c r="BH123" i="12"/>
  <c r="DB122" i="12"/>
  <c r="DC122" i="12" s="1"/>
  <c r="CZ122" i="12"/>
  <c r="DA122" i="12" s="1"/>
  <c r="EK122" i="12"/>
  <c r="EJ122" i="12"/>
  <c r="EI122" i="12"/>
  <c r="EH122" i="12"/>
  <c r="CO122" i="12"/>
  <c r="BR122" i="12"/>
  <c r="BQ122" i="12"/>
  <c r="BP122" i="12"/>
  <c r="AU122" i="12"/>
  <c r="BI122" i="12"/>
  <c r="AT122" i="12"/>
  <c r="BH122" i="12"/>
  <c r="DB121" i="12"/>
  <c r="DC121" i="12"/>
  <c r="CZ121" i="12"/>
  <c r="DA121" i="12"/>
  <c r="EK121" i="12"/>
  <c r="EJ121" i="12"/>
  <c r="EI121" i="12"/>
  <c r="EH121" i="12"/>
  <c r="CO121" i="12"/>
  <c r="BR121" i="12"/>
  <c r="BQ121" i="12"/>
  <c r="BP121" i="12"/>
  <c r="AU121" i="12"/>
  <c r="BI121" i="12"/>
  <c r="AT121" i="12"/>
  <c r="BH121" i="12"/>
  <c r="DB120" i="12"/>
  <c r="DC120" i="12"/>
  <c r="CZ120" i="12"/>
  <c r="DA120" i="12" s="1"/>
  <c r="EK120" i="12"/>
  <c r="EJ120" i="12"/>
  <c r="EI120" i="12"/>
  <c r="EH120" i="12"/>
  <c r="CO120" i="12"/>
  <c r="BR120" i="12"/>
  <c r="BQ120" i="12"/>
  <c r="BP120" i="12"/>
  <c r="AU120" i="12"/>
  <c r="BI120" i="12"/>
  <c r="AT120" i="12"/>
  <c r="BH120" i="12"/>
  <c r="DB119" i="12"/>
  <c r="DC119" i="12"/>
  <c r="CZ119" i="12"/>
  <c r="DA119" i="12"/>
  <c r="EK119" i="12"/>
  <c r="EJ119" i="12"/>
  <c r="EI119" i="12"/>
  <c r="EH119" i="12"/>
  <c r="CO119" i="12"/>
  <c r="BR119" i="12"/>
  <c r="BQ119" i="12"/>
  <c r="BP119" i="12"/>
  <c r="AU119" i="12"/>
  <c r="BI119" i="12"/>
  <c r="AT119" i="12"/>
  <c r="BH119" i="12"/>
  <c r="DB118" i="12"/>
  <c r="DC118" i="12" s="1"/>
  <c r="CZ118" i="12"/>
  <c r="DA118" i="12"/>
  <c r="EK118" i="12"/>
  <c r="EJ118" i="12"/>
  <c r="EI118" i="12"/>
  <c r="EH118" i="12"/>
  <c r="CO118" i="12"/>
  <c r="BR118" i="12"/>
  <c r="BQ118" i="12"/>
  <c r="BP118" i="12"/>
  <c r="AU118" i="12"/>
  <c r="BI118" i="12"/>
  <c r="AT118" i="12"/>
  <c r="BH118" i="12"/>
  <c r="DB117" i="12"/>
  <c r="DC117" i="12"/>
  <c r="CZ117" i="12"/>
  <c r="DA117" i="12" s="1"/>
  <c r="EK117" i="12"/>
  <c r="EJ117" i="12"/>
  <c r="EI117" i="12"/>
  <c r="EH117" i="12"/>
  <c r="CO117" i="12"/>
  <c r="BR117" i="12"/>
  <c r="BQ117" i="12"/>
  <c r="BP117" i="12"/>
  <c r="AU117" i="12"/>
  <c r="BI117" i="12"/>
  <c r="AT117" i="12"/>
  <c r="BH117" i="12"/>
  <c r="DB116" i="12"/>
  <c r="DC116" i="12" s="1"/>
  <c r="CZ116" i="12"/>
  <c r="DA116" i="12" s="1"/>
  <c r="EK116" i="12"/>
  <c r="EJ116" i="12"/>
  <c r="EI116" i="12"/>
  <c r="EH116" i="12"/>
  <c r="CO116" i="12"/>
  <c r="BR116" i="12"/>
  <c r="BQ116" i="12"/>
  <c r="BP116" i="12"/>
  <c r="AU116" i="12"/>
  <c r="BI116" i="12"/>
  <c r="AT116" i="12"/>
  <c r="BH116" i="12"/>
  <c r="DB115" i="12"/>
  <c r="DC115" i="12" s="1"/>
  <c r="CZ115" i="12"/>
  <c r="DA115" i="12"/>
  <c r="EK115" i="12"/>
  <c r="EJ115" i="12"/>
  <c r="EI115" i="12"/>
  <c r="EH115" i="12"/>
  <c r="CO115" i="12"/>
  <c r="BR115" i="12"/>
  <c r="BQ115" i="12"/>
  <c r="BP115" i="12"/>
  <c r="AU115" i="12"/>
  <c r="BI115" i="12"/>
  <c r="AT115" i="12"/>
  <c r="BH115" i="12"/>
  <c r="DB114" i="12"/>
  <c r="DC114" i="12" s="1"/>
  <c r="CZ114" i="12"/>
  <c r="DA114" i="12" s="1"/>
  <c r="EK114" i="12"/>
  <c r="EJ114" i="12"/>
  <c r="EI114" i="12"/>
  <c r="EH114" i="12"/>
  <c r="CO114" i="12"/>
  <c r="BR114" i="12"/>
  <c r="BQ114" i="12"/>
  <c r="BP114" i="12"/>
  <c r="AU114" i="12"/>
  <c r="BI114" i="12"/>
  <c r="AT114" i="12"/>
  <c r="BH114" i="12"/>
  <c r="DB113" i="12"/>
  <c r="DC113" i="12"/>
  <c r="CZ113" i="12"/>
  <c r="DA113" i="12"/>
  <c r="EK113" i="12"/>
  <c r="EJ113" i="12"/>
  <c r="EI113" i="12"/>
  <c r="EH113" i="12"/>
  <c r="CO113" i="12"/>
  <c r="BR113" i="12"/>
  <c r="BQ113" i="12"/>
  <c r="BP113" i="12"/>
  <c r="AU113" i="12"/>
  <c r="BI113" i="12"/>
  <c r="AT113" i="12"/>
  <c r="BH113" i="12"/>
  <c r="DB112" i="12"/>
  <c r="DC112" i="12"/>
  <c r="CZ112" i="12"/>
  <c r="DA112" i="12" s="1"/>
  <c r="EK112" i="12"/>
  <c r="EJ112" i="12"/>
  <c r="EI112" i="12"/>
  <c r="EH112" i="12"/>
  <c r="CO112" i="12"/>
  <c r="BR112" i="12"/>
  <c r="BQ112" i="12"/>
  <c r="BP112" i="12"/>
  <c r="AU112" i="12"/>
  <c r="BI112" i="12"/>
  <c r="AT112" i="12"/>
  <c r="BH112" i="12"/>
  <c r="DB111" i="12"/>
  <c r="DC111" i="12"/>
  <c r="CZ111" i="12"/>
  <c r="DA111" i="12"/>
  <c r="EK111" i="12"/>
  <c r="EJ111" i="12"/>
  <c r="EI111" i="12"/>
  <c r="EH111" i="12"/>
  <c r="CO111" i="12"/>
  <c r="BR111" i="12"/>
  <c r="BQ111" i="12"/>
  <c r="BP111" i="12"/>
  <c r="AU111" i="12"/>
  <c r="BI111" i="12"/>
  <c r="AT111" i="12"/>
  <c r="BH111" i="12"/>
  <c r="DB110" i="12"/>
  <c r="DC110" i="12" s="1"/>
  <c r="CZ110" i="12"/>
  <c r="DA110" i="12"/>
  <c r="EK110" i="12"/>
  <c r="EJ110" i="12"/>
  <c r="EI110" i="12"/>
  <c r="EH110" i="12"/>
  <c r="CO110" i="12"/>
  <c r="BR110" i="12"/>
  <c r="BQ110" i="12"/>
  <c r="BP110" i="12"/>
  <c r="AU110" i="12"/>
  <c r="BI110" i="12"/>
  <c r="AT110" i="12"/>
  <c r="BH110" i="12"/>
  <c r="DB109" i="12"/>
  <c r="DC109" i="12"/>
  <c r="CZ109" i="12"/>
  <c r="DA109" i="12" s="1"/>
  <c r="EK109" i="12"/>
  <c r="EJ109" i="12"/>
  <c r="EI109" i="12"/>
  <c r="EH109" i="12"/>
  <c r="CO109" i="12"/>
  <c r="BR109" i="12"/>
  <c r="BQ109" i="12"/>
  <c r="BP109" i="12"/>
  <c r="AU109" i="12"/>
  <c r="BI109" i="12"/>
  <c r="AT109" i="12"/>
  <c r="BH109" i="12"/>
  <c r="DB108" i="12"/>
  <c r="DC108" i="12" s="1"/>
  <c r="CZ108" i="12"/>
  <c r="DA108" i="12" s="1"/>
  <c r="EK108" i="12"/>
  <c r="EJ108" i="12"/>
  <c r="EI108" i="12"/>
  <c r="EH108" i="12"/>
  <c r="CO108" i="12"/>
  <c r="BR108" i="12"/>
  <c r="BQ108" i="12"/>
  <c r="BP108" i="12"/>
  <c r="AU108" i="12"/>
  <c r="BI108" i="12"/>
  <c r="AT108" i="12"/>
  <c r="BH108" i="12"/>
  <c r="DB107" i="12"/>
  <c r="DC107" i="12" s="1"/>
  <c r="CZ107" i="12"/>
  <c r="DA107" i="12"/>
  <c r="EK107" i="12"/>
  <c r="EJ107" i="12"/>
  <c r="EI107" i="12"/>
  <c r="EH107" i="12"/>
  <c r="CO107" i="12"/>
  <c r="BR107" i="12"/>
  <c r="BQ107" i="12"/>
  <c r="BP107" i="12"/>
  <c r="AU107" i="12"/>
  <c r="BI107" i="12"/>
  <c r="AT107" i="12"/>
  <c r="BH107" i="12"/>
  <c r="DB106" i="12"/>
  <c r="DC106" i="12" s="1"/>
  <c r="CZ106" i="12"/>
  <c r="DA106" i="12" s="1"/>
  <c r="EK106" i="12"/>
  <c r="EJ106" i="12"/>
  <c r="EI106" i="12"/>
  <c r="EH106" i="12"/>
  <c r="CO106" i="12"/>
  <c r="BR106" i="12"/>
  <c r="BQ106" i="12"/>
  <c r="BP106" i="12"/>
  <c r="AU106" i="12"/>
  <c r="BI106" i="12"/>
  <c r="AT106" i="12"/>
  <c r="BH106" i="12"/>
  <c r="DB105" i="12"/>
  <c r="DC105" i="12"/>
  <c r="CZ105" i="12"/>
  <c r="DA105" i="12"/>
  <c r="EK105" i="12"/>
  <c r="EJ105" i="12"/>
  <c r="EI105" i="12"/>
  <c r="EH105" i="12"/>
  <c r="CO105" i="12"/>
  <c r="BR105" i="12"/>
  <c r="BQ105" i="12"/>
  <c r="BP105" i="12"/>
  <c r="AU105" i="12"/>
  <c r="BI105" i="12"/>
  <c r="AT105" i="12"/>
  <c r="BH105" i="12"/>
  <c r="DB104" i="12"/>
  <c r="DC104" i="12"/>
  <c r="CZ104" i="12"/>
  <c r="DA104" i="12" s="1"/>
  <c r="EK104" i="12"/>
  <c r="EJ104" i="12"/>
  <c r="EI104" i="12"/>
  <c r="EH104" i="12"/>
  <c r="CO104" i="12"/>
  <c r="BR104" i="12"/>
  <c r="BQ104" i="12"/>
  <c r="BP104" i="12"/>
  <c r="AU104" i="12"/>
  <c r="BI104" i="12"/>
  <c r="AT104" i="12"/>
  <c r="BH104" i="12"/>
  <c r="DB103" i="12"/>
  <c r="DC103" i="12"/>
  <c r="CZ103" i="12"/>
  <c r="DA103" i="12"/>
  <c r="EK103" i="12"/>
  <c r="EJ103" i="12"/>
  <c r="EI103" i="12"/>
  <c r="EH103" i="12"/>
  <c r="CO103" i="12"/>
  <c r="BR103" i="12"/>
  <c r="BQ103" i="12"/>
  <c r="BP103" i="12"/>
  <c r="AU103" i="12"/>
  <c r="BI103" i="12"/>
  <c r="AT103" i="12"/>
  <c r="BH103" i="12"/>
  <c r="DB102" i="12"/>
  <c r="DC102" i="12" s="1"/>
  <c r="CZ102" i="12"/>
  <c r="DA102" i="12"/>
  <c r="EK102" i="12"/>
  <c r="EJ102" i="12"/>
  <c r="EI102" i="12"/>
  <c r="EH102" i="12"/>
  <c r="CO102" i="12"/>
  <c r="BR102" i="12"/>
  <c r="BQ102" i="12"/>
  <c r="BP102" i="12"/>
  <c r="AU102" i="12"/>
  <c r="BI102" i="12"/>
  <c r="AT102" i="12"/>
  <c r="BH102" i="12"/>
  <c r="DB101" i="12"/>
  <c r="DC101" i="12"/>
  <c r="CZ101" i="12"/>
  <c r="DA101" i="12" s="1"/>
  <c r="EK101" i="12"/>
  <c r="EJ101" i="12"/>
  <c r="EI101" i="12"/>
  <c r="EH101" i="12"/>
  <c r="CO101" i="12"/>
  <c r="BR101" i="12"/>
  <c r="BQ101" i="12"/>
  <c r="BP101" i="12"/>
  <c r="AU101" i="12"/>
  <c r="BI101" i="12"/>
  <c r="AT101" i="12"/>
  <c r="BH101" i="12"/>
  <c r="AR101" i="12"/>
  <c r="DB100" i="12"/>
  <c r="DC100" i="12"/>
  <c r="CZ100" i="12"/>
  <c r="DA100" i="12"/>
  <c r="CV100" i="12"/>
  <c r="CW100" i="12"/>
  <c r="EK100" i="12"/>
  <c r="EJ100" i="12"/>
  <c r="EI100" i="12"/>
  <c r="EH100" i="12"/>
  <c r="CO100" i="12"/>
  <c r="BR100" i="12"/>
  <c r="BQ100" i="12"/>
  <c r="BP100" i="12"/>
  <c r="AU100" i="12"/>
  <c r="BI100" i="12"/>
  <c r="AT100" i="12"/>
  <c r="BH100" i="12"/>
  <c r="AR100" i="12"/>
  <c r="DB99" i="12"/>
  <c r="DC99" i="12" s="1"/>
  <c r="CZ99" i="12"/>
  <c r="DA99" i="12"/>
  <c r="CV99" i="12"/>
  <c r="CW99" i="12" s="1"/>
  <c r="EK99" i="12"/>
  <c r="EJ99" i="12"/>
  <c r="EI99" i="12"/>
  <c r="EH99" i="12"/>
  <c r="CO99" i="12"/>
  <c r="BR99" i="12"/>
  <c r="BQ99" i="12"/>
  <c r="BP99" i="12"/>
  <c r="AU99" i="12"/>
  <c r="BI99" i="12"/>
  <c r="AT99" i="12"/>
  <c r="BH99" i="12"/>
  <c r="AR99" i="12"/>
  <c r="BF99" i="12"/>
  <c r="DB98" i="12"/>
  <c r="DC98" i="12"/>
  <c r="CZ98" i="12"/>
  <c r="DA98" i="12" s="1"/>
  <c r="CV98" i="12"/>
  <c r="CW98" i="12" s="1"/>
  <c r="EK98" i="12"/>
  <c r="EJ98" i="12"/>
  <c r="EI98" i="12"/>
  <c r="EH98" i="12"/>
  <c r="CO98" i="12"/>
  <c r="BR98" i="12"/>
  <c r="BQ98" i="12"/>
  <c r="BP98" i="12"/>
  <c r="AU98" i="12"/>
  <c r="BI98" i="12"/>
  <c r="AT98" i="12"/>
  <c r="BH98" i="12"/>
  <c r="AR98" i="12"/>
  <c r="DB97" i="12"/>
  <c r="DC97" i="12" s="1"/>
  <c r="CZ97" i="12"/>
  <c r="DA97" i="12"/>
  <c r="CV97" i="12"/>
  <c r="CW97" i="12" s="1"/>
  <c r="EK97" i="12"/>
  <c r="EJ97" i="12"/>
  <c r="EI97" i="12"/>
  <c r="EH97" i="12"/>
  <c r="CO97" i="12"/>
  <c r="BR97" i="12"/>
  <c r="BQ97" i="12"/>
  <c r="BP97" i="12"/>
  <c r="AU97" i="12"/>
  <c r="BI97" i="12"/>
  <c r="AT97" i="12"/>
  <c r="BH97" i="12"/>
  <c r="AS97" i="12"/>
  <c r="BG97" i="12"/>
  <c r="AR97" i="12"/>
  <c r="DB96" i="12"/>
  <c r="DC96" i="12"/>
  <c r="CZ96" i="12"/>
  <c r="DA96" i="12" s="1"/>
  <c r="CX96" i="12"/>
  <c r="CY96" i="12" s="1"/>
  <c r="CV96" i="12"/>
  <c r="CW96" i="12" s="1"/>
  <c r="EK96" i="12"/>
  <c r="EJ96" i="12"/>
  <c r="EI96" i="12"/>
  <c r="EH96" i="12"/>
  <c r="CO96" i="12"/>
  <c r="BR96" i="12"/>
  <c r="BQ96" i="12"/>
  <c r="BP96" i="12"/>
  <c r="AU96" i="12"/>
  <c r="BI96" i="12"/>
  <c r="AT96" i="12"/>
  <c r="BH96" i="12"/>
  <c r="AS96" i="12"/>
  <c r="BG96" i="12"/>
  <c r="AR96" i="12"/>
  <c r="BF96" i="12"/>
  <c r="DB95" i="12"/>
  <c r="DC95" i="12" s="1"/>
  <c r="CZ95" i="12"/>
  <c r="DA95" i="12"/>
  <c r="CX95" i="12"/>
  <c r="CY95" i="12" s="1"/>
  <c r="CV95" i="12"/>
  <c r="CW95" i="12"/>
  <c r="EK95" i="12"/>
  <c r="EJ95" i="12"/>
  <c r="EI95" i="12"/>
  <c r="EH95" i="12"/>
  <c r="CO95" i="12"/>
  <c r="BR95" i="12"/>
  <c r="BQ95" i="12"/>
  <c r="BP95" i="12"/>
  <c r="AU95" i="12"/>
  <c r="BI95" i="12"/>
  <c r="AT95" i="12"/>
  <c r="BH95" i="12"/>
  <c r="BG95" i="12"/>
  <c r="BF95" i="12"/>
  <c r="AD95" i="12"/>
  <c r="AZ95" i="12" s="1"/>
  <c r="AS95" i="12"/>
  <c r="AR95" i="12"/>
  <c r="DB94" i="12"/>
  <c r="DC94" i="12" s="1"/>
  <c r="CZ94" i="12"/>
  <c r="DA94" i="12" s="1"/>
  <c r="CX94" i="12"/>
  <c r="CY94" i="12" s="1"/>
  <c r="CV94" i="12"/>
  <c r="CW94" i="12"/>
  <c r="EK94" i="12"/>
  <c r="EJ94" i="12"/>
  <c r="EI94" i="12"/>
  <c r="EH94" i="12"/>
  <c r="CO94" i="12"/>
  <c r="BR94" i="12"/>
  <c r="BQ94" i="12"/>
  <c r="BP94" i="12"/>
  <c r="AU94" i="12"/>
  <c r="BI94" i="12"/>
  <c r="AT94" i="12"/>
  <c r="BH94" i="12"/>
  <c r="AS94" i="12"/>
  <c r="BG94" i="12"/>
  <c r="AR94" i="12"/>
  <c r="BF94" i="12"/>
  <c r="DB93" i="12"/>
  <c r="DC93" i="12"/>
  <c r="CZ93" i="12"/>
  <c r="DA93" i="12" s="1"/>
  <c r="CX93" i="12"/>
  <c r="CY93" i="12"/>
  <c r="CV93" i="12"/>
  <c r="CW93" i="12" s="1"/>
  <c r="EK93" i="12"/>
  <c r="EJ93" i="12"/>
  <c r="EI93" i="12"/>
  <c r="EH93" i="12"/>
  <c r="CO93" i="12"/>
  <c r="BR93" i="12"/>
  <c r="BQ93" i="12"/>
  <c r="BP93" i="12"/>
  <c r="AU93" i="12"/>
  <c r="BI93" i="12"/>
  <c r="AT93" i="12"/>
  <c r="BH93" i="12"/>
  <c r="BG93" i="12"/>
  <c r="AR93" i="12"/>
  <c r="BF93" i="12"/>
  <c r="AS93" i="12"/>
  <c r="DB92" i="12"/>
  <c r="DC92" i="12" s="1"/>
  <c r="CZ92" i="12"/>
  <c r="DA92" i="12" s="1"/>
  <c r="CX92" i="12"/>
  <c r="CY92" i="12"/>
  <c r="CV92" i="12"/>
  <c r="CW92" i="12" s="1"/>
  <c r="EK92" i="12"/>
  <c r="EJ92" i="12"/>
  <c r="EI92" i="12"/>
  <c r="EH92" i="12"/>
  <c r="CO92" i="12"/>
  <c r="BR92" i="12"/>
  <c r="BQ92" i="12"/>
  <c r="BP92" i="12"/>
  <c r="BI92" i="12"/>
  <c r="AT92" i="12"/>
  <c r="BH92" i="12"/>
  <c r="AR92" i="12"/>
  <c r="BF92" i="12"/>
  <c r="AU92" i="12"/>
  <c r="DB91" i="12"/>
  <c r="DC91" i="12" s="1"/>
  <c r="CZ91" i="12"/>
  <c r="DA91" i="12" s="1"/>
  <c r="CV91" i="12"/>
  <c r="CW91" i="12" s="1"/>
  <c r="EK91" i="12"/>
  <c r="EJ91" i="12"/>
  <c r="EI91" i="12"/>
  <c r="EH91" i="12"/>
  <c r="CO91" i="12"/>
  <c r="BR91" i="12"/>
  <c r="BQ91" i="12"/>
  <c r="BP91" i="12"/>
  <c r="AU91" i="12"/>
  <c r="BI91" i="12"/>
  <c r="AT91" i="12"/>
  <c r="BH91" i="12"/>
  <c r="BG91" i="12"/>
  <c r="AR91" i="12"/>
  <c r="BF91" i="12"/>
  <c r="AD91" i="12"/>
  <c r="AZ91" i="12" s="1"/>
  <c r="AS91" i="12"/>
  <c r="DB90" i="12"/>
  <c r="DC90" i="12"/>
  <c r="CZ90" i="12"/>
  <c r="DA90" i="12"/>
  <c r="CX90" i="12"/>
  <c r="CY90" i="12"/>
  <c r="CV90" i="12"/>
  <c r="CW90" i="12"/>
  <c r="EK90" i="12"/>
  <c r="EJ90" i="12"/>
  <c r="EI90" i="12"/>
  <c r="EH90" i="12"/>
  <c r="CO90" i="12"/>
  <c r="BR90" i="12"/>
  <c r="BQ90" i="12"/>
  <c r="BP90" i="12"/>
  <c r="AU90" i="12"/>
  <c r="BI90" i="12"/>
  <c r="AT90" i="12"/>
  <c r="BH90" i="12"/>
  <c r="AR90" i="12"/>
  <c r="BF90" i="12"/>
  <c r="DB89" i="12"/>
  <c r="DC89" i="12"/>
  <c r="CZ89" i="12"/>
  <c r="DA89" i="12" s="1"/>
  <c r="CV89" i="12"/>
  <c r="CW89" i="12"/>
  <c r="EK89" i="12"/>
  <c r="EJ89" i="12"/>
  <c r="EI89" i="12"/>
  <c r="EH89" i="12"/>
  <c r="CO89" i="12"/>
  <c r="BR89" i="12"/>
  <c r="BQ89" i="12"/>
  <c r="BP89" i="12"/>
  <c r="AU89" i="12"/>
  <c r="BI89" i="12"/>
  <c r="AT89" i="12"/>
  <c r="BH89" i="12"/>
  <c r="AS89" i="12"/>
  <c r="BG89" i="12"/>
  <c r="BF89" i="12"/>
  <c r="AR89" i="12"/>
  <c r="DB88" i="12"/>
  <c r="DC88" i="12" s="1"/>
  <c r="CZ88" i="12"/>
  <c r="DA88" i="12" s="1"/>
  <c r="CX88" i="12"/>
  <c r="CY88" i="12" s="1"/>
  <c r="CV88" i="12"/>
  <c r="CW88" i="12"/>
  <c r="EK88" i="12"/>
  <c r="EJ88" i="12"/>
  <c r="EI88" i="12"/>
  <c r="EH88" i="12"/>
  <c r="CO88" i="12"/>
  <c r="BR88" i="12"/>
  <c r="BQ88" i="12"/>
  <c r="BP88" i="12"/>
  <c r="AU88" i="12"/>
  <c r="BI88" i="12"/>
  <c r="AT88" i="12"/>
  <c r="BH88" i="12"/>
  <c r="AS88" i="12"/>
  <c r="BG88" i="12"/>
  <c r="AR88" i="12"/>
  <c r="BF88" i="12"/>
  <c r="DB87" i="12"/>
  <c r="DC87" i="12"/>
  <c r="CZ87" i="12"/>
  <c r="DA87" i="12" s="1"/>
  <c r="CX87" i="12"/>
  <c r="CY87" i="12"/>
  <c r="CV87" i="12"/>
  <c r="CW87" i="12" s="1"/>
  <c r="EK87" i="12"/>
  <c r="EJ87" i="12"/>
  <c r="EI87" i="12"/>
  <c r="EH87" i="12"/>
  <c r="CO87" i="12"/>
  <c r="BR87" i="12"/>
  <c r="BQ87" i="12"/>
  <c r="BP87" i="12"/>
  <c r="AU87" i="12"/>
  <c r="BI87" i="12"/>
  <c r="AT87" i="12"/>
  <c r="BH87" i="12"/>
  <c r="AS87" i="12"/>
  <c r="BG87" i="12"/>
  <c r="AR87" i="12"/>
  <c r="BF87" i="12"/>
  <c r="DB86" i="12"/>
  <c r="DC86" i="12" s="1"/>
  <c r="CZ86" i="12"/>
  <c r="DA86" i="12" s="1"/>
  <c r="CX86" i="12"/>
  <c r="CY86" i="12"/>
  <c r="CV86" i="12"/>
  <c r="CW86" i="12" s="1"/>
  <c r="EK86" i="12"/>
  <c r="EJ86" i="12"/>
  <c r="EI86" i="12"/>
  <c r="EH86" i="12"/>
  <c r="CO86" i="12"/>
  <c r="BR86" i="12"/>
  <c r="BQ86" i="12"/>
  <c r="BP86" i="12"/>
  <c r="AU86" i="12"/>
  <c r="BI86" i="12"/>
  <c r="AT86" i="12"/>
  <c r="BH86" i="12"/>
  <c r="AS86" i="12"/>
  <c r="BG86" i="12"/>
  <c r="AR86" i="12"/>
  <c r="BF86" i="12"/>
  <c r="DB85" i="12"/>
  <c r="DC85" i="12"/>
  <c r="CZ85" i="12"/>
  <c r="DA85" i="12"/>
  <c r="CX85" i="12"/>
  <c r="CY85" i="12"/>
  <c r="CV85" i="12"/>
  <c r="CW85" i="12"/>
  <c r="EK85" i="12"/>
  <c r="EJ85" i="12"/>
  <c r="EI85" i="12"/>
  <c r="EH85" i="12"/>
  <c r="CO85" i="12"/>
  <c r="BR85" i="12"/>
  <c r="BQ85" i="12"/>
  <c r="BP85" i="12"/>
  <c r="AU85" i="12"/>
  <c r="BI85" i="12"/>
  <c r="AT85" i="12"/>
  <c r="BH85" i="12"/>
  <c r="AS85" i="12"/>
  <c r="BG85" i="12"/>
  <c r="BF85" i="12"/>
  <c r="AR85" i="12"/>
  <c r="DB84" i="12"/>
  <c r="DC84" i="12" s="1"/>
  <c r="CZ84" i="12"/>
  <c r="DA84" i="12"/>
  <c r="CX84" i="12"/>
  <c r="CY84" i="12" s="1"/>
  <c r="CV84" i="12"/>
  <c r="CW84" i="12" s="1"/>
  <c r="EK84" i="12"/>
  <c r="EJ84" i="12"/>
  <c r="EI84" i="12"/>
  <c r="EH84" i="12"/>
  <c r="CO84" i="12"/>
  <c r="BR84" i="12"/>
  <c r="BQ84" i="12"/>
  <c r="BP84" i="12"/>
  <c r="AU84" i="12"/>
  <c r="BI84" i="12"/>
  <c r="AT84" i="12"/>
  <c r="BH84" i="12"/>
  <c r="AS84" i="12"/>
  <c r="BG84" i="12"/>
  <c r="AR84" i="12"/>
  <c r="BF84" i="12"/>
  <c r="DB83" i="12"/>
  <c r="DC83" i="12"/>
  <c r="CZ83" i="12"/>
  <c r="DA83" i="12"/>
  <c r="CX83" i="12"/>
  <c r="CY83" i="12"/>
  <c r="CV83" i="12"/>
  <c r="CW83" i="12"/>
  <c r="EK83" i="12"/>
  <c r="EJ83" i="12"/>
  <c r="EI83" i="12"/>
  <c r="EH83" i="12"/>
  <c r="CO83" i="12"/>
  <c r="BR83" i="12"/>
  <c r="BQ83" i="12"/>
  <c r="BP83" i="12"/>
  <c r="AU83" i="12"/>
  <c r="BI83" i="12"/>
  <c r="AT83" i="12"/>
  <c r="BH83" i="12"/>
  <c r="AS83" i="12"/>
  <c r="AZ83" i="12"/>
  <c r="BG83" i="12"/>
  <c r="AR83" i="12"/>
  <c r="BF83" i="12"/>
  <c r="DB82" i="12"/>
  <c r="DC82" i="12"/>
  <c r="CZ82" i="12"/>
  <c r="DA82" i="12" s="1"/>
  <c r="CX82" i="12"/>
  <c r="CY82" i="12" s="1"/>
  <c r="CV82" i="12"/>
  <c r="CW82" i="12" s="1"/>
  <c r="EK82" i="12"/>
  <c r="EJ82" i="12"/>
  <c r="EI82" i="12"/>
  <c r="EH82" i="12"/>
  <c r="CO82" i="12"/>
  <c r="BR82" i="12"/>
  <c r="BQ82" i="12"/>
  <c r="BP82" i="12"/>
  <c r="AU82" i="12"/>
  <c r="BI82" i="12"/>
  <c r="AT82" i="12"/>
  <c r="BH82" i="12"/>
  <c r="AS82" i="12"/>
  <c r="BG82" i="12"/>
  <c r="AR82" i="12"/>
  <c r="BF82" i="12"/>
  <c r="DB81" i="12"/>
  <c r="DC81" i="12" s="1"/>
  <c r="CZ81" i="12"/>
  <c r="DA81" i="12"/>
  <c r="CX81" i="12"/>
  <c r="CY81" i="12" s="1"/>
  <c r="CV81" i="12"/>
  <c r="CW81" i="12"/>
  <c r="EK81" i="12"/>
  <c r="EJ81" i="12"/>
  <c r="EI81" i="12"/>
  <c r="EH81" i="12"/>
  <c r="CO81" i="12"/>
  <c r="BR81" i="12"/>
  <c r="BQ81" i="12"/>
  <c r="BP81" i="12"/>
  <c r="AU81" i="12"/>
  <c r="BI81" i="12"/>
  <c r="AT81" i="12"/>
  <c r="BH81" i="12"/>
  <c r="AS81" i="12"/>
  <c r="BG81" i="12"/>
  <c r="AR81" i="12"/>
  <c r="BF81" i="12"/>
  <c r="DB80" i="12"/>
  <c r="DC80" i="12" s="1"/>
  <c r="CZ80" i="12"/>
  <c r="DA80" i="12" s="1"/>
  <c r="CX80" i="12"/>
  <c r="CY80" i="12" s="1"/>
  <c r="CV80" i="12"/>
  <c r="CW80" i="12"/>
  <c r="EK80" i="12"/>
  <c r="EJ80" i="12"/>
  <c r="EI80" i="12"/>
  <c r="EH80" i="12"/>
  <c r="CO80" i="12"/>
  <c r="BR80" i="12"/>
  <c r="BQ80" i="12"/>
  <c r="BP80" i="12"/>
  <c r="AU80" i="12"/>
  <c r="BI80" i="12"/>
  <c r="AT80" i="12"/>
  <c r="BH80" i="12"/>
  <c r="AS80" i="12"/>
  <c r="BG80" i="12"/>
  <c r="AR80" i="12"/>
  <c r="BF80" i="12"/>
  <c r="DB79" i="12"/>
  <c r="DC79" i="12"/>
  <c r="CZ79" i="12"/>
  <c r="DA79" i="12" s="1"/>
  <c r="CX79" i="12"/>
  <c r="CY79" i="12"/>
  <c r="CV79" i="12"/>
  <c r="CW79" i="12" s="1"/>
  <c r="EK79" i="12"/>
  <c r="EJ79" i="12"/>
  <c r="EI79" i="12"/>
  <c r="EH79" i="12"/>
  <c r="CO79" i="12"/>
  <c r="BR79" i="12"/>
  <c r="BQ79" i="12"/>
  <c r="BP79" i="12"/>
  <c r="AU79" i="12"/>
  <c r="BI79" i="12"/>
  <c r="AT79" i="12"/>
  <c r="BH79" i="12"/>
  <c r="AS79" i="12"/>
  <c r="BG79" i="12"/>
  <c r="AR79" i="12"/>
  <c r="BF79" i="12"/>
  <c r="DB78" i="12"/>
  <c r="DC78" i="12" s="1"/>
  <c r="CZ78" i="12"/>
  <c r="DA78" i="12" s="1"/>
  <c r="CX78" i="12"/>
  <c r="CY78" i="12"/>
  <c r="CV78" i="12"/>
  <c r="CW78" i="12" s="1"/>
  <c r="EK78" i="12"/>
  <c r="EJ78" i="12"/>
  <c r="EI78" i="12"/>
  <c r="EH78" i="12"/>
  <c r="CO78" i="12"/>
  <c r="BR78" i="12"/>
  <c r="BQ78" i="12"/>
  <c r="BP78" i="12"/>
  <c r="AU78" i="12"/>
  <c r="BI78" i="12"/>
  <c r="AT78" i="12"/>
  <c r="BH78" i="12"/>
  <c r="AS78" i="12"/>
  <c r="BG78" i="12"/>
  <c r="AR78" i="12"/>
  <c r="BF78" i="12"/>
  <c r="DB77" i="12"/>
  <c r="DC77" i="12"/>
  <c r="CZ77" i="12"/>
  <c r="DA77" i="12"/>
  <c r="CX77" i="12"/>
  <c r="CY77" i="12"/>
  <c r="CV77" i="12"/>
  <c r="CW77" i="12"/>
  <c r="EK77" i="12"/>
  <c r="EJ77" i="12"/>
  <c r="EI77" i="12"/>
  <c r="EH77" i="12"/>
  <c r="CO77" i="12"/>
  <c r="BR77" i="12"/>
  <c r="BQ77" i="12"/>
  <c r="BP77" i="12"/>
  <c r="AU77" i="12"/>
  <c r="BI77" i="12"/>
  <c r="AT77" i="12"/>
  <c r="BH77" i="12"/>
  <c r="AS77" i="12"/>
  <c r="BG77" i="12"/>
  <c r="AR77" i="12"/>
  <c r="BF77" i="12"/>
  <c r="DB76" i="12"/>
  <c r="DC76" i="12" s="1"/>
  <c r="CZ76" i="12"/>
  <c r="DA76" i="12"/>
  <c r="CX76" i="12"/>
  <c r="CY76" i="12" s="1"/>
  <c r="CV76" i="12"/>
  <c r="CW76" i="12" s="1"/>
  <c r="EK76" i="12"/>
  <c r="EJ76" i="12"/>
  <c r="EI76" i="12"/>
  <c r="EH76" i="12"/>
  <c r="CO76" i="12"/>
  <c r="BR76" i="12"/>
  <c r="BQ76" i="12"/>
  <c r="BP76" i="12"/>
  <c r="AU76" i="12"/>
  <c r="BI76" i="12"/>
  <c r="AT76" i="12"/>
  <c r="BH76" i="12"/>
  <c r="AS76" i="12"/>
  <c r="BG76" i="12"/>
  <c r="AR76" i="12"/>
  <c r="BF76" i="12"/>
  <c r="DB75" i="12"/>
  <c r="DC75" i="12"/>
  <c r="CZ75" i="12"/>
  <c r="DA75" i="12"/>
  <c r="CX75" i="12"/>
  <c r="CY75" i="12"/>
  <c r="CV75" i="12"/>
  <c r="CW75" i="12"/>
  <c r="EK75" i="12"/>
  <c r="EJ75" i="12"/>
  <c r="EI75" i="12"/>
  <c r="EH75" i="12"/>
  <c r="CO75" i="12"/>
  <c r="BR75" i="12"/>
  <c r="BQ75" i="12"/>
  <c r="BP75" i="12"/>
  <c r="AU75" i="12"/>
  <c r="BI75" i="12"/>
  <c r="AT75" i="12"/>
  <c r="BH75" i="12"/>
  <c r="AR75" i="12"/>
  <c r="BF75" i="12"/>
  <c r="AS75" i="12"/>
  <c r="DB74" i="12"/>
  <c r="DC74" i="12"/>
  <c r="CZ74" i="12"/>
  <c r="DA74" i="12"/>
  <c r="CX74" i="12"/>
  <c r="CY74" i="12"/>
  <c r="CV74" i="12"/>
  <c r="CW74" i="12"/>
  <c r="EK74" i="12"/>
  <c r="EJ74" i="12"/>
  <c r="EI74" i="12"/>
  <c r="EH74" i="12"/>
  <c r="CO74" i="12"/>
  <c r="BR74" i="12"/>
  <c r="BQ74" i="12"/>
  <c r="BP74" i="12"/>
  <c r="AU74" i="12"/>
  <c r="BI74" i="12"/>
  <c r="AT74" i="12"/>
  <c r="BH74" i="12"/>
  <c r="AS74" i="12"/>
  <c r="BG74" i="12"/>
  <c r="AR74" i="12"/>
  <c r="BF74" i="12"/>
  <c r="DB73" i="12"/>
  <c r="DC73" i="12"/>
  <c r="CZ73" i="12"/>
  <c r="DA73" i="12" s="1"/>
  <c r="CX73" i="12"/>
  <c r="CY73" i="12" s="1"/>
  <c r="CV73" i="12"/>
  <c r="CW73" i="12" s="1"/>
  <c r="EK73" i="12"/>
  <c r="EJ73" i="12"/>
  <c r="EI73" i="12"/>
  <c r="EH73" i="12"/>
  <c r="CO73" i="12"/>
  <c r="BR73" i="12"/>
  <c r="BQ73" i="12"/>
  <c r="BP73" i="12"/>
  <c r="AU73" i="12"/>
  <c r="BI73" i="12"/>
  <c r="AT73" i="12"/>
  <c r="BH73" i="12"/>
  <c r="AS73" i="12"/>
  <c r="BG73" i="12"/>
  <c r="AR73" i="12"/>
  <c r="BF73" i="12"/>
  <c r="DB72" i="12"/>
  <c r="DC72" i="12" s="1"/>
  <c r="CZ72" i="12"/>
  <c r="DA72" i="12"/>
  <c r="CX72" i="12"/>
  <c r="CY72" i="12" s="1"/>
  <c r="CV72" i="12"/>
  <c r="CW72" i="12"/>
  <c r="EK72" i="12"/>
  <c r="EJ72" i="12"/>
  <c r="EI72" i="12"/>
  <c r="EH72" i="12"/>
  <c r="CO72" i="12"/>
  <c r="BR72" i="12"/>
  <c r="BQ72" i="12"/>
  <c r="BP72" i="12"/>
  <c r="AU72" i="12"/>
  <c r="BI72" i="12"/>
  <c r="AT72" i="12"/>
  <c r="BH72" i="12"/>
  <c r="AR72" i="12"/>
  <c r="BF72" i="12"/>
  <c r="AS72" i="12"/>
  <c r="DB71" i="12"/>
  <c r="DC71" i="12" s="1"/>
  <c r="CZ71" i="12"/>
  <c r="DA71" i="12"/>
  <c r="CX71" i="12"/>
  <c r="CY71" i="12" s="1"/>
  <c r="CV71" i="12"/>
  <c r="CW71" i="12"/>
  <c r="EK71" i="12"/>
  <c r="EJ71" i="12"/>
  <c r="EI71" i="12"/>
  <c r="EH71" i="12"/>
  <c r="CO71" i="12"/>
  <c r="BR71" i="12"/>
  <c r="BQ71" i="12"/>
  <c r="BP71" i="12"/>
  <c r="AU71" i="12"/>
  <c r="BI71" i="12"/>
  <c r="AT71" i="12"/>
  <c r="BH71" i="12"/>
  <c r="AD71" i="12"/>
  <c r="AZ71" i="12" s="1"/>
  <c r="AS71" i="12"/>
  <c r="BG71" i="12"/>
  <c r="AR71" i="12"/>
  <c r="BF71" i="12"/>
  <c r="DB70" i="12"/>
  <c r="DC70" i="12" s="1"/>
  <c r="CZ70" i="12"/>
  <c r="DA70" i="12" s="1"/>
  <c r="CX70" i="12"/>
  <c r="CY70" i="12" s="1"/>
  <c r="CV70" i="12"/>
  <c r="CW70" i="12"/>
  <c r="EK70" i="12"/>
  <c r="EJ70" i="12"/>
  <c r="EI70" i="12"/>
  <c r="EH70" i="12"/>
  <c r="CO70" i="12"/>
  <c r="BR70" i="12"/>
  <c r="BQ70" i="12"/>
  <c r="BP70" i="12"/>
  <c r="AU70" i="12"/>
  <c r="BI70" i="12"/>
  <c r="AT70" i="12"/>
  <c r="BH70" i="12"/>
  <c r="AS70" i="12"/>
  <c r="BG70" i="12"/>
  <c r="AR70" i="12"/>
  <c r="BF70" i="12"/>
  <c r="DB69" i="12"/>
  <c r="DC69" i="12"/>
  <c r="CZ69" i="12"/>
  <c r="DA69" i="12" s="1"/>
  <c r="CX69" i="12"/>
  <c r="CY69" i="12"/>
  <c r="CV69" i="12"/>
  <c r="CW69" i="12" s="1"/>
  <c r="EK69" i="12"/>
  <c r="EJ69" i="12"/>
  <c r="EI69" i="12"/>
  <c r="EH69" i="12"/>
  <c r="CO69" i="12"/>
  <c r="BR69" i="12"/>
  <c r="BQ69" i="12"/>
  <c r="BP69" i="12"/>
  <c r="AU69" i="12"/>
  <c r="BI69" i="12"/>
  <c r="AT69" i="12"/>
  <c r="BH69" i="12"/>
  <c r="AS69" i="12"/>
  <c r="BG69" i="12"/>
  <c r="AR69" i="12"/>
  <c r="BF69" i="12"/>
  <c r="DB68" i="12"/>
  <c r="DC68" i="12" s="1"/>
  <c r="CZ68" i="12"/>
  <c r="DA68" i="12" s="1"/>
  <c r="CX68" i="12"/>
  <c r="CY68" i="12"/>
  <c r="CV68" i="12"/>
  <c r="CW68" i="12" s="1"/>
  <c r="EK68" i="12"/>
  <c r="EJ68" i="12"/>
  <c r="EI68" i="12"/>
  <c r="EH68" i="12"/>
  <c r="CO68" i="12"/>
  <c r="BR68" i="12"/>
  <c r="BQ68" i="12"/>
  <c r="BP68" i="12"/>
  <c r="AU68" i="12"/>
  <c r="BI68" i="12"/>
  <c r="AT68" i="12"/>
  <c r="BH68" i="12"/>
  <c r="AS68" i="12"/>
  <c r="BG68" i="12"/>
  <c r="AR68" i="12"/>
  <c r="BF68" i="12"/>
  <c r="DB67" i="12"/>
  <c r="DC67" i="12"/>
  <c r="CZ67" i="12"/>
  <c r="DA67" i="12"/>
  <c r="CX67" i="12"/>
  <c r="CY67" i="12"/>
  <c r="CV67" i="12"/>
  <c r="CW67" i="12"/>
  <c r="EK67" i="12"/>
  <c r="EJ67" i="12"/>
  <c r="EI67" i="12"/>
  <c r="EH67" i="12"/>
  <c r="CO67" i="12"/>
  <c r="BR67" i="12"/>
  <c r="BQ67" i="12"/>
  <c r="BP67" i="12"/>
  <c r="AU67" i="12"/>
  <c r="BI67" i="12"/>
  <c r="AT67" i="12"/>
  <c r="BH67" i="12"/>
  <c r="AS67" i="12"/>
  <c r="BG67" i="12"/>
  <c r="AR67" i="12"/>
  <c r="BF67" i="12"/>
  <c r="DB66" i="12"/>
  <c r="DC66" i="12" s="1"/>
  <c r="CZ66" i="12"/>
  <c r="DA66" i="12"/>
  <c r="CX66" i="12"/>
  <c r="CY66" i="12" s="1"/>
  <c r="CV66" i="12"/>
  <c r="CW66" i="12" s="1"/>
  <c r="EK66" i="12"/>
  <c r="EJ66" i="12"/>
  <c r="EI66" i="12"/>
  <c r="EH66" i="12"/>
  <c r="CO66" i="12"/>
  <c r="BR66" i="12"/>
  <c r="BQ66" i="12"/>
  <c r="BP66" i="12"/>
  <c r="BC66" i="12"/>
  <c r="EK65" i="12"/>
  <c r="EJ65" i="12"/>
  <c r="EI65" i="12"/>
  <c r="EH65" i="12"/>
  <c r="CO65" i="12"/>
  <c r="BR65" i="12"/>
  <c r="BQ65" i="12"/>
  <c r="BP65" i="12"/>
  <c r="AU65" i="12"/>
  <c r="BI65" i="12"/>
  <c r="AT65" i="12"/>
  <c r="BH65" i="12"/>
  <c r="AS65" i="12"/>
  <c r="BG65" i="12"/>
  <c r="AR65" i="12"/>
  <c r="BF65" i="12"/>
  <c r="DB64" i="12"/>
  <c r="DC64" i="12" s="1"/>
  <c r="CZ64" i="12"/>
  <c r="DA64" i="12" s="1"/>
  <c r="CX64" i="12"/>
  <c r="CY64" i="12"/>
  <c r="CV64" i="12"/>
  <c r="CW64" i="12" s="1"/>
  <c r="EK64" i="12"/>
  <c r="EJ64" i="12"/>
  <c r="EI64" i="12"/>
  <c r="EH64" i="12"/>
  <c r="CO64" i="12"/>
  <c r="BR64" i="12"/>
  <c r="BQ64" i="12"/>
  <c r="BP64" i="12"/>
  <c r="AU64" i="12"/>
  <c r="BI64" i="12"/>
  <c r="AT64" i="12"/>
  <c r="BH64" i="12"/>
  <c r="AS64" i="12"/>
  <c r="BG64" i="12"/>
  <c r="AR64" i="12"/>
  <c r="BF64" i="12"/>
  <c r="DB63" i="12"/>
  <c r="DC63" i="12"/>
  <c r="CZ63" i="12"/>
  <c r="DA63" i="12"/>
  <c r="CX63" i="12"/>
  <c r="CY63" i="12"/>
  <c r="CV63" i="12"/>
  <c r="CW63" i="12"/>
  <c r="EK63" i="12"/>
  <c r="EJ63" i="12"/>
  <c r="EI63" i="12"/>
  <c r="EH63" i="12"/>
  <c r="CO63" i="12"/>
  <c r="BR63" i="12"/>
  <c r="BQ63" i="12"/>
  <c r="BP63" i="12"/>
  <c r="AU63" i="12"/>
  <c r="BI63" i="12"/>
  <c r="AT63" i="12"/>
  <c r="BH63" i="12"/>
  <c r="AS63" i="12"/>
  <c r="BG63" i="12"/>
  <c r="AR63" i="12"/>
  <c r="BF63" i="12"/>
  <c r="DB62" i="12"/>
  <c r="DC62" i="12" s="1"/>
  <c r="CZ62" i="12"/>
  <c r="DA62" i="12"/>
  <c r="CX62" i="12"/>
  <c r="CY62" i="12" s="1"/>
  <c r="CV62" i="12"/>
  <c r="CW62" i="12" s="1"/>
  <c r="EK62" i="12"/>
  <c r="EJ62" i="12"/>
  <c r="EI62" i="12"/>
  <c r="EH62" i="12"/>
  <c r="CO62" i="12"/>
  <c r="BR62" i="12"/>
  <c r="BQ62" i="12"/>
  <c r="BP62" i="12"/>
  <c r="AU62" i="12"/>
  <c r="BI62" i="12"/>
  <c r="AT62" i="12"/>
  <c r="BH62" i="12"/>
  <c r="AS62" i="12"/>
  <c r="BG62" i="12"/>
  <c r="AR62" i="12"/>
  <c r="BF62" i="12"/>
  <c r="DB61" i="12"/>
  <c r="DC61" i="12"/>
  <c r="CZ61" i="12"/>
  <c r="DA61" i="12"/>
  <c r="CX61" i="12"/>
  <c r="CY61" i="12"/>
  <c r="CV61" i="12"/>
  <c r="CW61" i="12"/>
  <c r="EK61" i="12"/>
  <c r="EJ61" i="12"/>
  <c r="EI61" i="12"/>
  <c r="EH61" i="12"/>
  <c r="CO61" i="12"/>
  <c r="BR61" i="12"/>
  <c r="BQ61" i="12"/>
  <c r="BP61" i="12"/>
  <c r="AU61" i="12"/>
  <c r="BI61" i="12"/>
  <c r="AT61" i="12"/>
  <c r="BH61" i="12"/>
  <c r="AS61" i="12"/>
  <c r="BG61" i="12"/>
  <c r="AR61" i="12"/>
  <c r="BF61" i="12"/>
  <c r="DB60" i="12"/>
  <c r="DC60" i="12"/>
  <c r="CZ60" i="12"/>
  <c r="DA60" i="12" s="1"/>
  <c r="CX60" i="12"/>
  <c r="CY60" i="12" s="1"/>
  <c r="CV60" i="12"/>
  <c r="CW60" i="12" s="1"/>
  <c r="EK60" i="12"/>
  <c r="EJ60" i="12"/>
  <c r="EI60" i="12"/>
  <c r="EH60" i="12"/>
  <c r="CO60" i="12"/>
  <c r="BR60" i="12"/>
  <c r="BQ60" i="12"/>
  <c r="BP60" i="12"/>
  <c r="AU60" i="12"/>
  <c r="BI60" i="12"/>
  <c r="AT60" i="12"/>
  <c r="BH60" i="12"/>
  <c r="AS60" i="12"/>
  <c r="BG60" i="12"/>
  <c r="AR60" i="12"/>
  <c r="BF60" i="12"/>
  <c r="DB59" i="12"/>
  <c r="DC59" i="12" s="1"/>
  <c r="CZ59" i="12"/>
  <c r="DA59" i="12"/>
  <c r="CX59" i="12"/>
  <c r="CY59" i="12" s="1"/>
  <c r="CV59" i="12"/>
  <c r="CW59" i="12"/>
  <c r="EK59" i="12"/>
  <c r="EJ59" i="12"/>
  <c r="EI59" i="12"/>
  <c r="EH59" i="12"/>
  <c r="CO59" i="12"/>
  <c r="BR59" i="12"/>
  <c r="BQ59" i="12"/>
  <c r="BP59" i="12"/>
  <c r="AU59" i="12"/>
  <c r="BI59" i="12"/>
  <c r="AT59" i="12"/>
  <c r="BH59" i="12"/>
  <c r="AS59" i="12"/>
  <c r="BG59" i="12"/>
  <c r="AR59" i="12"/>
  <c r="BF59" i="12"/>
  <c r="DB58" i="12"/>
  <c r="DC58" i="12" s="1"/>
  <c r="CZ58" i="12"/>
  <c r="DA58" i="12" s="1"/>
  <c r="CX58" i="12"/>
  <c r="CY58" i="12" s="1"/>
  <c r="CV58" i="12"/>
  <c r="CW58" i="12"/>
  <c r="EK58" i="12"/>
  <c r="EJ58" i="12"/>
  <c r="EI58" i="12"/>
  <c r="EH58" i="12"/>
  <c r="CO58" i="12"/>
  <c r="BR58" i="12"/>
  <c r="BQ58" i="12"/>
  <c r="BP58" i="12"/>
  <c r="AU58" i="12"/>
  <c r="BI58" i="12"/>
  <c r="AT58" i="12"/>
  <c r="BH58" i="12"/>
  <c r="AS58" i="12"/>
  <c r="BG58" i="12"/>
  <c r="AR58" i="12"/>
  <c r="BF58" i="12"/>
  <c r="DB57" i="12"/>
  <c r="DC57" i="12"/>
  <c r="CZ57" i="12"/>
  <c r="DA57" i="12" s="1"/>
  <c r="CX57" i="12"/>
  <c r="CY57" i="12"/>
  <c r="CV57" i="12"/>
  <c r="CW57" i="12" s="1"/>
  <c r="EK57" i="12"/>
  <c r="EJ57" i="12"/>
  <c r="EI57" i="12"/>
  <c r="EH57" i="12"/>
  <c r="CO57" i="12"/>
  <c r="BR57" i="12"/>
  <c r="BQ57" i="12"/>
  <c r="BP57" i="12"/>
  <c r="BC57" i="12"/>
  <c r="DB56" i="12"/>
  <c r="DC56" i="12" s="1"/>
  <c r="CZ56" i="12"/>
  <c r="DA56" i="12" s="1"/>
  <c r="CX56" i="12"/>
  <c r="CY56" i="12"/>
  <c r="CV56" i="12"/>
  <c r="CW56" i="12" s="1"/>
  <c r="EK56" i="12"/>
  <c r="EJ56" i="12"/>
  <c r="EI56" i="12"/>
  <c r="EH56" i="12"/>
  <c r="CO56" i="12"/>
  <c r="BR56" i="12"/>
  <c r="BQ56" i="12"/>
  <c r="BP56" i="12"/>
  <c r="BC56" i="12"/>
  <c r="DB55" i="12"/>
  <c r="DC55" i="12" s="1"/>
  <c r="CX55" i="12"/>
  <c r="CY55" i="12"/>
  <c r="CV55" i="12"/>
  <c r="CW55" i="12" s="1"/>
  <c r="EK55" i="12"/>
  <c r="EJ55" i="12"/>
  <c r="EI55" i="12"/>
  <c r="EH55" i="12"/>
  <c r="CO55" i="12"/>
  <c r="BR55" i="12"/>
  <c r="BQ55" i="12"/>
  <c r="BP55" i="12"/>
  <c r="BC55" i="12"/>
  <c r="CX54" i="12"/>
  <c r="CY54" i="12" s="1"/>
  <c r="CV54" i="12"/>
  <c r="CW54" i="12" s="1"/>
  <c r="EK54" i="12"/>
  <c r="EJ54" i="12"/>
  <c r="EI54" i="12"/>
  <c r="EH54" i="12"/>
  <c r="CO54" i="12"/>
  <c r="BR54" i="12"/>
  <c r="BQ54" i="12"/>
  <c r="BP54" i="12"/>
  <c r="AU54" i="12"/>
  <c r="BI54" i="12"/>
  <c r="AT54" i="12"/>
  <c r="BH54" i="12"/>
  <c r="BG54" i="12"/>
  <c r="AR54" i="12"/>
  <c r="BF54" i="12"/>
  <c r="AS54" i="12"/>
  <c r="DB53" i="12"/>
  <c r="DC53" i="12"/>
  <c r="CZ53" i="12"/>
  <c r="DA53" i="12"/>
  <c r="CX53" i="12"/>
  <c r="CY53" i="12"/>
  <c r="CV53" i="12"/>
  <c r="CW53" i="12"/>
  <c r="EK53" i="12"/>
  <c r="EJ53" i="12"/>
  <c r="EI53" i="12"/>
  <c r="EH53" i="12"/>
  <c r="CO53" i="12"/>
  <c r="BR53" i="12"/>
  <c r="BQ53" i="12"/>
  <c r="BP53" i="12"/>
  <c r="AU53" i="12"/>
  <c r="BI53" i="12"/>
  <c r="AT53" i="12"/>
  <c r="BH53" i="12"/>
  <c r="AS53" i="12"/>
  <c r="BG53" i="12"/>
  <c r="AR53" i="12"/>
  <c r="BF53" i="12"/>
  <c r="DB52" i="12"/>
  <c r="DC52" i="12" s="1"/>
  <c r="CZ52" i="12"/>
  <c r="DA52" i="12"/>
  <c r="CX52" i="12"/>
  <c r="CY52" i="12" s="1"/>
  <c r="CV52" i="12"/>
  <c r="CW52" i="12" s="1"/>
  <c r="EK52" i="12"/>
  <c r="EJ52" i="12"/>
  <c r="EI52" i="12"/>
  <c r="EH52" i="12"/>
  <c r="CO52" i="12"/>
  <c r="BR52" i="12"/>
  <c r="BQ52" i="12"/>
  <c r="BP52" i="12"/>
  <c r="AU52" i="12"/>
  <c r="BI52" i="12"/>
  <c r="AT52" i="12"/>
  <c r="BH52" i="12"/>
  <c r="AS52" i="12"/>
  <c r="BG52" i="12"/>
  <c r="AR52" i="12"/>
  <c r="BF52" i="12"/>
  <c r="DB51" i="12"/>
  <c r="DC51" i="12"/>
  <c r="CZ51" i="12"/>
  <c r="DA51" i="12"/>
  <c r="CX51" i="12"/>
  <c r="CY51" i="12"/>
  <c r="CV51" i="12"/>
  <c r="CW51" i="12"/>
  <c r="EK51" i="12"/>
  <c r="EJ51" i="12"/>
  <c r="EI51" i="12"/>
  <c r="EH51" i="12"/>
  <c r="CO51" i="12"/>
  <c r="BR51" i="12"/>
  <c r="BQ51" i="12"/>
  <c r="BP51" i="12"/>
  <c r="AU51" i="12"/>
  <c r="BI51" i="12"/>
  <c r="AT51" i="12"/>
  <c r="BH51" i="12"/>
  <c r="AS51" i="12"/>
  <c r="BG51" i="12"/>
  <c r="AR51" i="12"/>
  <c r="BF51" i="12"/>
  <c r="DB50" i="12"/>
  <c r="DC50" i="12"/>
  <c r="CZ50" i="12"/>
  <c r="DA50" i="12" s="1"/>
  <c r="CX50" i="12"/>
  <c r="CY50" i="12" s="1"/>
  <c r="CV50" i="12"/>
  <c r="CW50" i="12" s="1"/>
  <c r="EK50" i="12"/>
  <c r="EJ50" i="12"/>
  <c r="EI50" i="12"/>
  <c r="EH50" i="12"/>
  <c r="CO50" i="12"/>
  <c r="BR50" i="12"/>
  <c r="BQ50" i="12"/>
  <c r="BP50" i="12"/>
  <c r="AU50" i="12"/>
  <c r="BI50" i="12"/>
  <c r="AT50" i="12"/>
  <c r="BH50" i="12"/>
  <c r="AS50" i="12"/>
  <c r="BG50" i="12"/>
  <c r="AR50" i="12"/>
  <c r="BF50" i="12"/>
  <c r="DB49" i="12"/>
  <c r="DC49" i="12" s="1"/>
  <c r="CZ49" i="12"/>
  <c r="DA49" i="12"/>
  <c r="CX49" i="12"/>
  <c r="CY49" i="12" s="1"/>
  <c r="CV49" i="12"/>
  <c r="CW49" i="12"/>
  <c r="EK49" i="12"/>
  <c r="EJ49" i="12"/>
  <c r="EI49" i="12"/>
  <c r="EH49" i="12"/>
  <c r="CO49" i="12"/>
  <c r="BR49" i="12"/>
  <c r="BQ49" i="12"/>
  <c r="BP49" i="12"/>
  <c r="AU49" i="12"/>
  <c r="BI49" i="12"/>
  <c r="AT49" i="12"/>
  <c r="BH49" i="12"/>
  <c r="AS49" i="12"/>
  <c r="BG49" i="12"/>
  <c r="AR49" i="12"/>
  <c r="BF49" i="12"/>
  <c r="DB48" i="12"/>
  <c r="DC48" i="12" s="1"/>
  <c r="CZ48" i="12"/>
  <c r="DA48" i="12" s="1"/>
  <c r="CX48" i="12"/>
  <c r="CY48" i="12" s="1"/>
  <c r="CV48" i="12"/>
  <c r="CW48" i="12"/>
  <c r="EK48" i="12"/>
  <c r="EJ48" i="12"/>
  <c r="EI48" i="12"/>
  <c r="EH48" i="12"/>
  <c r="CO48" i="12"/>
  <c r="BR48" i="12"/>
  <c r="BQ48" i="12"/>
  <c r="BP48" i="12"/>
  <c r="AU48" i="12"/>
  <c r="BI48" i="12"/>
  <c r="AT48" i="12"/>
  <c r="BH48" i="12"/>
  <c r="AS48" i="12"/>
  <c r="BG48" i="12"/>
  <c r="AR48" i="12"/>
  <c r="BF48" i="12"/>
  <c r="DB47" i="12"/>
  <c r="DC47" i="12"/>
  <c r="CZ47" i="12"/>
  <c r="DA47" i="12" s="1"/>
  <c r="CX47" i="12"/>
  <c r="CY47" i="12"/>
  <c r="CV47" i="12"/>
  <c r="CW47" i="12" s="1"/>
  <c r="EK47" i="12"/>
  <c r="EJ47" i="12"/>
  <c r="EI47" i="12"/>
  <c r="EH47" i="12"/>
  <c r="CO47" i="12"/>
  <c r="BR47" i="12"/>
  <c r="BQ47" i="12"/>
  <c r="BP47" i="12"/>
  <c r="BC47" i="12"/>
  <c r="DB46" i="12"/>
  <c r="DC46" i="12" s="1"/>
  <c r="CZ46" i="12"/>
  <c r="DA46" i="12" s="1"/>
  <c r="CX46" i="12"/>
  <c r="CY46" i="12"/>
  <c r="CV46" i="12"/>
  <c r="CW46" i="12" s="1"/>
  <c r="EK46" i="12"/>
  <c r="EJ46" i="12"/>
  <c r="EI46" i="12"/>
  <c r="EH46" i="12"/>
  <c r="CO46" i="12"/>
  <c r="BR46" i="12"/>
  <c r="BQ46" i="12"/>
  <c r="BP46" i="12"/>
  <c r="AU46" i="12"/>
  <c r="BI46" i="12"/>
  <c r="AT46" i="12"/>
  <c r="BH46" i="12"/>
  <c r="AS46" i="12"/>
  <c r="BG46" i="12"/>
  <c r="AR46" i="12"/>
  <c r="BF46" i="12"/>
  <c r="DB45" i="12"/>
  <c r="DC45" i="12"/>
  <c r="CZ45" i="12"/>
  <c r="DA45" i="12"/>
  <c r="CX45" i="12"/>
  <c r="CY45" i="12"/>
  <c r="CV45" i="12"/>
  <c r="CW45" i="12"/>
  <c r="EK45" i="12"/>
  <c r="EJ45" i="12"/>
  <c r="EI45" i="12"/>
  <c r="EH45" i="12"/>
  <c r="CO45" i="12"/>
  <c r="BR45" i="12"/>
  <c r="BQ45" i="12"/>
  <c r="BP45" i="12"/>
  <c r="AU45" i="12"/>
  <c r="BI45" i="12"/>
  <c r="AT45" i="12"/>
  <c r="BH45" i="12"/>
  <c r="AS45" i="12"/>
  <c r="BG45" i="12"/>
  <c r="AR45" i="12"/>
  <c r="BF45" i="12"/>
  <c r="DB44" i="12"/>
  <c r="DC44" i="12" s="1"/>
  <c r="CZ44" i="12"/>
  <c r="DA44" i="12"/>
  <c r="CX44" i="12"/>
  <c r="CY44" i="12" s="1"/>
  <c r="CV44" i="12"/>
  <c r="CW44" i="12" s="1"/>
  <c r="EK44" i="12"/>
  <c r="EJ44" i="12"/>
  <c r="EI44" i="12"/>
  <c r="EH44" i="12"/>
  <c r="CO44" i="12"/>
  <c r="BR44" i="12"/>
  <c r="BQ44" i="12"/>
  <c r="BP44" i="12"/>
  <c r="AU44" i="12"/>
  <c r="BI44" i="12"/>
  <c r="AT44" i="12"/>
  <c r="BH44" i="12"/>
  <c r="AS44" i="12"/>
  <c r="BG44" i="12"/>
  <c r="AR44" i="12"/>
  <c r="BF44" i="12"/>
  <c r="DB43" i="12"/>
  <c r="DC43" i="12"/>
  <c r="CZ43" i="12"/>
  <c r="DA43" i="12"/>
  <c r="CX43" i="12"/>
  <c r="CY43" i="12"/>
  <c r="CV43" i="12"/>
  <c r="CW43" i="12"/>
  <c r="EK43" i="12"/>
  <c r="EJ43" i="12"/>
  <c r="EI43" i="12"/>
  <c r="EH43" i="12"/>
  <c r="CO43" i="12"/>
  <c r="BR43" i="12"/>
  <c r="BQ43" i="12"/>
  <c r="BP43" i="12"/>
  <c r="AU43" i="12"/>
  <c r="BI43" i="12"/>
  <c r="AT43" i="12"/>
  <c r="BH43" i="12"/>
  <c r="AS43" i="12"/>
  <c r="BG43" i="12"/>
  <c r="AR43" i="12"/>
  <c r="BF43" i="12"/>
  <c r="DB42" i="12"/>
  <c r="DC42" i="12"/>
  <c r="CZ42" i="12"/>
  <c r="DA42" i="12" s="1"/>
  <c r="CX42" i="12"/>
  <c r="CY42" i="12" s="1"/>
  <c r="CV42" i="12"/>
  <c r="CW42" i="12" s="1"/>
  <c r="EK42" i="12"/>
  <c r="EJ42" i="12"/>
  <c r="EI42" i="12"/>
  <c r="EH42" i="12"/>
  <c r="CO42" i="12"/>
  <c r="BR42" i="12"/>
  <c r="BQ42" i="12"/>
  <c r="BP42" i="12"/>
  <c r="AU42" i="12"/>
  <c r="BI42" i="12"/>
  <c r="AT42" i="12"/>
  <c r="BH42" i="12"/>
  <c r="BG42" i="12"/>
  <c r="AR42" i="12"/>
  <c r="BF42" i="12"/>
  <c r="AS42" i="12"/>
  <c r="DB41" i="12"/>
  <c r="DC41" i="12"/>
  <c r="CZ41" i="12"/>
  <c r="DA41" i="12"/>
  <c r="CX41" i="12"/>
  <c r="CY41" i="12"/>
  <c r="CV41" i="12"/>
  <c r="CW41" i="12"/>
  <c r="EK41" i="12"/>
  <c r="EJ41" i="12"/>
  <c r="EI41" i="12"/>
  <c r="EH41" i="12"/>
  <c r="CO41" i="12"/>
  <c r="BR41" i="12"/>
  <c r="BQ41" i="12"/>
  <c r="BP41" i="12"/>
  <c r="BC41" i="12"/>
  <c r="DB40" i="12"/>
  <c r="DC40" i="12" s="1"/>
  <c r="CX40" i="12"/>
  <c r="CY40" i="12" s="1"/>
  <c r="CV40" i="12"/>
  <c r="CW40" i="12" s="1"/>
  <c r="EK40" i="12"/>
  <c r="EJ40" i="12"/>
  <c r="EI40" i="12"/>
  <c r="EH40" i="12"/>
  <c r="CO40" i="12"/>
  <c r="BR40" i="12"/>
  <c r="BQ40" i="12"/>
  <c r="BP40" i="12"/>
  <c r="BC40" i="12"/>
  <c r="EK39" i="12"/>
  <c r="EJ39" i="12"/>
  <c r="EI39" i="12"/>
  <c r="EH39" i="12"/>
  <c r="CO39" i="12"/>
  <c r="BR39" i="12"/>
  <c r="BQ39" i="12"/>
  <c r="BP39" i="12"/>
  <c r="BC39" i="12"/>
  <c r="DB38" i="12"/>
  <c r="DC38" i="12" s="1"/>
  <c r="CZ38" i="12"/>
  <c r="DA38" i="12" s="1"/>
  <c r="CX38" i="12"/>
  <c r="CY38" i="12" s="1"/>
  <c r="CV38" i="12"/>
  <c r="CW38" i="12"/>
  <c r="EK38" i="12"/>
  <c r="EJ38" i="12"/>
  <c r="EI38" i="12"/>
  <c r="EH38" i="12"/>
  <c r="CO38" i="12"/>
  <c r="BR38" i="12"/>
  <c r="BQ38" i="12"/>
  <c r="BP38" i="12"/>
  <c r="AU38" i="12"/>
  <c r="BI38" i="12"/>
  <c r="AT38" i="12"/>
  <c r="BH38" i="12"/>
  <c r="BG38" i="12"/>
  <c r="AR38" i="12"/>
  <c r="BF38" i="12"/>
  <c r="AS38" i="12"/>
  <c r="DB37" i="12"/>
  <c r="DC37" i="12"/>
  <c r="CZ37" i="12"/>
  <c r="DA37" i="12" s="1"/>
  <c r="CX37" i="12"/>
  <c r="CY37" i="12"/>
  <c r="CV37" i="12"/>
  <c r="CW37" i="12" s="1"/>
  <c r="EK37" i="12"/>
  <c r="EJ37" i="12"/>
  <c r="EI37" i="12"/>
  <c r="EH37" i="12"/>
  <c r="CO37" i="12"/>
  <c r="BR37" i="12"/>
  <c r="BQ37" i="12"/>
  <c r="BP37" i="12"/>
  <c r="AU37" i="12"/>
  <c r="BI37" i="12"/>
  <c r="AT37" i="12"/>
  <c r="BH37" i="12"/>
  <c r="AS37" i="12"/>
  <c r="BG37" i="12"/>
  <c r="AR37" i="12"/>
  <c r="BF37" i="12"/>
  <c r="DB36" i="12"/>
  <c r="DC36" i="12" s="1"/>
  <c r="CZ36" i="12"/>
  <c r="DA36" i="12" s="1"/>
  <c r="CX36" i="12"/>
  <c r="CY36" i="12"/>
  <c r="CV36" i="12"/>
  <c r="CW36" i="12" s="1"/>
  <c r="EK36" i="12"/>
  <c r="EJ36" i="12"/>
  <c r="EI36" i="12"/>
  <c r="EH36" i="12"/>
  <c r="CO36" i="12"/>
  <c r="BR36" i="12"/>
  <c r="BQ36" i="12"/>
  <c r="BP36" i="12"/>
  <c r="BH36" i="12"/>
  <c r="AS36" i="12"/>
  <c r="BG36" i="12"/>
  <c r="BC36" i="12"/>
  <c r="AT36" i="12"/>
  <c r="CZ35" i="12"/>
  <c r="DA35" i="12"/>
  <c r="CX35" i="12"/>
  <c r="CY35" i="12" s="1"/>
  <c r="EK35" i="12"/>
  <c r="EJ35" i="12"/>
  <c r="EI35" i="12"/>
  <c r="EH35" i="12"/>
  <c r="CO35" i="12"/>
  <c r="BR35" i="12"/>
  <c r="BQ35" i="12"/>
  <c r="BP35" i="12"/>
  <c r="AU35" i="12"/>
  <c r="BI35" i="12"/>
  <c r="AT35" i="12"/>
  <c r="BH35" i="12"/>
  <c r="AS35" i="12"/>
  <c r="BG35" i="12"/>
  <c r="AR35" i="12"/>
  <c r="BF35" i="12"/>
  <c r="DB34" i="12"/>
  <c r="DC34" i="12" s="1"/>
  <c r="CZ34" i="12"/>
  <c r="DA34" i="12" s="1"/>
  <c r="CX34" i="12"/>
  <c r="CY34" i="12"/>
  <c r="CV34" i="12"/>
  <c r="CW34" i="12" s="1"/>
  <c r="EK34" i="12"/>
  <c r="EJ34" i="12"/>
  <c r="EI34" i="12"/>
  <c r="EH34" i="12"/>
  <c r="CO34" i="12"/>
  <c r="BR34" i="12"/>
  <c r="BQ34" i="12"/>
  <c r="BP34" i="12"/>
  <c r="AU34" i="12"/>
  <c r="BI34" i="12"/>
  <c r="AT34" i="12"/>
  <c r="BH34" i="12"/>
  <c r="AS34" i="12"/>
  <c r="BG34" i="12"/>
  <c r="AR34" i="12"/>
  <c r="BF34" i="12"/>
  <c r="DB33" i="12"/>
  <c r="DC33" i="12"/>
  <c r="CZ33" i="12"/>
  <c r="DA33" i="12"/>
  <c r="CX33" i="12"/>
  <c r="CY33" i="12"/>
  <c r="CV33" i="12"/>
  <c r="CW33" i="12"/>
  <c r="EK33" i="12"/>
  <c r="EJ33" i="12"/>
  <c r="EI33" i="12"/>
  <c r="EH33" i="12"/>
  <c r="CO33" i="12"/>
  <c r="BR33" i="12"/>
  <c r="BQ33" i="12"/>
  <c r="BP33" i="12"/>
  <c r="AU33" i="12"/>
  <c r="BI33" i="12"/>
  <c r="AT33" i="12"/>
  <c r="BH33" i="12"/>
  <c r="AS33" i="12"/>
  <c r="BG33" i="12"/>
  <c r="AR33" i="12"/>
  <c r="BF33" i="12"/>
  <c r="DB32" i="12"/>
  <c r="DC32" i="12" s="1"/>
  <c r="CZ32" i="12"/>
  <c r="DA32" i="12"/>
  <c r="CX32" i="12"/>
  <c r="CY32" i="12" s="1"/>
  <c r="CV32" i="12"/>
  <c r="CW32" i="12" s="1"/>
  <c r="EK32" i="12"/>
  <c r="EJ32" i="12"/>
  <c r="EI32" i="12"/>
  <c r="EH32" i="12"/>
  <c r="CO32" i="12"/>
  <c r="BR32" i="12"/>
  <c r="BQ32" i="12"/>
  <c r="BP32" i="12"/>
  <c r="AU32" i="12"/>
  <c r="BI32" i="12"/>
  <c r="AT32" i="12"/>
  <c r="BH32" i="12"/>
  <c r="AS32" i="12"/>
  <c r="BG32" i="12"/>
  <c r="AR32" i="12"/>
  <c r="BF32" i="12"/>
  <c r="DB31" i="12"/>
  <c r="DC31" i="12"/>
  <c r="CZ31" i="12"/>
  <c r="DA31" i="12"/>
  <c r="CX31" i="12"/>
  <c r="CY31" i="12"/>
  <c r="CV31" i="12"/>
  <c r="CW31" i="12"/>
  <c r="EK31" i="12"/>
  <c r="EJ31" i="12"/>
  <c r="EI31" i="12"/>
  <c r="EH31" i="12"/>
  <c r="CO31" i="12"/>
  <c r="BR31" i="12"/>
  <c r="BQ31" i="12"/>
  <c r="BP31" i="12"/>
  <c r="AU31" i="12"/>
  <c r="BI31" i="12"/>
  <c r="AT31" i="12"/>
  <c r="BH31" i="12"/>
  <c r="AS31" i="12"/>
  <c r="BG31" i="12"/>
  <c r="AR31" i="12"/>
  <c r="BF31" i="12"/>
  <c r="DB30" i="12"/>
  <c r="DC30" i="12"/>
  <c r="CZ30" i="12"/>
  <c r="DA30" i="12" s="1"/>
  <c r="CX30" i="12"/>
  <c r="CY30" i="12" s="1"/>
  <c r="CV30" i="12"/>
  <c r="CW30" i="12" s="1"/>
  <c r="EK30" i="12"/>
  <c r="EJ30" i="12"/>
  <c r="EI30" i="12"/>
  <c r="EH30" i="12"/>
  <c r="CO30" i="12"/>
  <c r="BR30" i="12"/>
  <c r="BQ30" i="12"/>
  <c r="BP30" i="12"/>
  <c r="AU30" i="12"/>
  <c r="BI30" i="12"/>
  <c r="AT30" i="12"/>
  <c r="BH30" i="12"/>
  <c r="AS30" i="12"/>
  <c r="BG30" i="12"/>
  <c r="AR30" i="12"/>
  <c r="BF30" i="12"/>
  <c r="DB29" i="12"/>
  <c r="DC29" i="12" s="1"/>
  <c r="CZ29" i="12"/>
  <c r="DA29" i="12"/>
  <c r="CX29" i="12"/>
  <c r="CY29" i="12" s="1"/>
  <c r="CV29" i="12"/>
  <c r="CW29" i="12"/>
  <c r="EK29" i="12"/>
  <c r="EJ29" i="12"/>
  <c r="EI29" i="12"/>
  <c r="EH29" i="12"/>
  <c r="CO29" i="12"/>
  <c r="BR29" i="12"/>
  <c r="BQ29" i="12"/>
  <c r="BP29" i="12"/>
  <c r="BC29" i="12"/>
  <c r="DB28" i="12"/>
  <c r="DC28" i="12" s="1"/>
  <c r="CZ28" i="12"/>
  <c r="DA28" i="12"/>
  <c r="CX28" i="12"/>
  <c r="CY28" i="12" s="1"/>
  <c r="CV28" i="12"/>
  <c r="CW28" i="12" s="1"/>
  <c r="EK28" i="12"/>
  <c r="EJ28" i="12"/>
  <c r="EI28" i="12"/>
  <c r="EH28" i="12"/>
  <c r="CO28" i="12"/>
  <c r="BT28" i="12"/>
  <c r="BR28" i="12"/>
  <c r="BQ28" i="12"/>
  <c r="BP28" i="12"/>
  <c r="BC28" i="12"/>
  <c r="DB27" i="12"/>
  <c r="DC27" i="12"/>
  <c r="CZ27" i="12"/>
  <c r="DA27" i="12" s="1"/>
  <c r="CX27" i="12"/>
  <c r="CY27" i="12" s="1"/>
  <c r="CV27" i="12"/>
  <c r="CW27" i="12" s="1"/>
  <c r="EK27" i="12"/>
  <c r="EJ27" i="12"/>
  <c r="EI27" i="12"/>
  <c r="EH27" i="12"/>
  <c r="CO27" i="12"/>
  <c r="BT27" i="12"/>
  <c r="BR27" i="12"/>
  <c r="BQ27" i="12"/>
  <c r="BP27" i="12"/>
  <c r="BC27" i="12"/>
  <c r="DB26" i="12"/>
  <c r="DC26" i="12" s="1"/>
  <c r="CZ26" i="12"/>
  <c r="DA26" i="12"/>
  <c r="CX26" i="12"/>
  <c r="CY26" i="12" s="1"/>
  <c r="CV26" i="12"/>
  <c r="CW26" i="12" s="1"/>
  <c r="EK26" i="12"/>
  <c r="EJ26" i="12"/>
  <c r="EI26" i="12"/>
  <c r="EH26" i="12"/>
  <c r="CO26" i="12"/>
  <c r="BV26" i="12"/>
  <c r="BT26" i="12"/>
  <c r="BR26" i="12"/>
  <c r="BQ26" i="12"/>
  <c r="BP26" i="12"/>
  <c r="AU26" i="12"/>
  <c r="BI26" i="12"/>
  <c r="AT26" i="12"/>
  <c r="BH26" i="12"/>
  <c r="AS26" i="12"/>
  <c r="BG26" i="12"/>
  <c r="AR26" i="12"/>
  <c r="BF26" i="12"/>
  <c r="DB25" i="12"/>
  <c r="DC25" i="12"/>
  <c r="CZ25" i="12"/>
  <c r="DA25" i="12"/>
  <c r="CX25" i="12"/>
  <c r="CY25" i="12"/>
  <c r="CV25" i="12"/>
  <c r="CW25" i="12"/>
  <c r="EK25" i="12"/>
  <c r="EJ25" i="12"/>
  <c r="EI25" i="12"/>
  <c r="EH25" i="12"/>
  <c r="CO25" i="12"/>
  <c r="BV25" i="12"/>
  <c r="BT25" i="12"/>
  <c r="BR25" i="12"/>
  <c r="BQ25" i="12"/>
  <c r="BP25" i="12"/>
  <c r="BC25" i="12"/>
  <c r="DB24" i="12"/>
  <c r="DC24" i="12"/>
  <c r="CZ24" i="12"/>
  <c r="DA24" i="12" s="1"/>
  <c r="CX24" i="12"/>
  <c r="CY24" i="12" s="1"/>
  <c r="CV24" i="12"/>
  <c r="CW24" i="12" s="1"/>
  <c r="EK24" i="12"/>
  <c r="EJ24" i="12"/>
  <c r="EI24" i="12"/>
  <c r="EH24" i="12"/>
  <c r="CO24" i="12"/>
  <c r="BV24" i="12"/>
  <c r="BT24" i="12"/>
  <c r="BR24" i="12"/>
  <c r="BQ24" i="12"/>
  <c r="BP24" i="12"/>
  <c r="AU24" i="12"/>
  <c r="BI24" i="12"/>
  <c r="AT24" i="12"/>
  <c r="BH24" i="12"/>
  <c r="AS24" i="12"/>
  <c r="BG24" i="12"/>
  <c r="AR24" i="12"/>
  <c r="BF24" i="12"/>
  <c r="DB23" i="12"/>
  <c r="DC23" i="12"/>
  <c r="CX23" i="12"/>
  <c r="CY23" i="12" s="1"/>
  <c r="CV23" i="12"/>
  <c r="CW23" i="12"/>
  <c r="EK23" i="12"/>
  <c r="EJ23" i="12"/>
  <c r="EI23" i="12"/>
  <c r="EH23" i="12"/>
  <c r="CO23" i="12"/>
  <c r="BV23" i="12"/>
  <c r="BT23" i="12"/>
  <c r="BR23" i="12"/>
  <c r="BQ23" i="12"/>
  <c r="BP23" i="12"/>
  <c r="AU23" i="12"/>
  <c r="BI23" i="12"/>
  <c r="AT23" i="12"/>
  <c r="BH23" i="12"/>
  <c r="AS23" i="12"/>
  <c r="BG23" i="12"/>
  <c r="AR23" i="12"/>
  <c r="BF23" i="12"/>
  <c r="DB22" i="12"/>
  <c r="DC22" i="12" s="1"/>
  <c r="CV22" i="12"/>
  <c r="CW22" i="12" s="1"/>
  <c r="EK22" i="12"/>
  <c r="EJ22" i="12"/>
  <c r="EI22" i="12"/>
  <c r="EH22" i="12"/>
  <c r="CO22" i="12"/>
  <c r="BV22" i="12"/>
  <c r="BT22" i="12"/>
  <c r="BR22" i="12"/>
  <c r="BQ22" i="12"/>
  <c r="BP22" i="12"/>
  <c r="AU22" i="12"/>
  <c r="BI22" i="12"/>
  <c r="AT22" i="12"/>
  <c r="BH22" i="12"/>
  <c r="AS22" i="12"/>
  <c r="BG22" i="12"/>
  <c r="AR22" i="12"/>
  <c r="BF22" i="12"/>
  <c r="DB21" i="12"/>
  <c r="DC21" i="12"/>
  <c r="EK21" i="12"/>
  <c r="EJ21" i="12"/>
  <c r="EI21" i="12"/>
  <c r="EH21" i="12"/>
  <c r="CO21" i="12"/>
  <c r="BV21" i="12"/>
  <c r="BT21" i="12"/>
  <c r="BR21" i="12"/>
  <c r="BQ21" i="12"/>
  <c r="BP21" i="12"/>
  <c r="AU21" i="12"/>
  <c r="BI21" i="12"/>
  <c r="AT21" i="12"/>
  <c r="BH21" i="12"/>
  <c r="AS21" i="12"/>
  <c r="BG21" i="12"/>
  <c r="AR21" i="12"/>
  <c r="BF21" i="12"/>
  <c r="DB20" i="12"/>
  <c r="DC20" i="12" s="1"/>
  <c r="EK20" i="12"/>
  <c r="EJ20" i="12"/>
  <c r="EI20" i="12"/>
  <c r="EH20" i="12"/>
  <c r="CO20" i="12"/>
  <c r="BR20" i="12"/>
  <c r="BQ20" i="12"/>
  <c r="BP20" i="12"/>
  <c r="AU20" i="12"/>
  <c r="BI20" i="12"/>
  <c r="AT20" i="12"/>
  <c r="BH20" i="12"/>
  <c r="AS20" i="12"/>
  <c r="BG20" i="12"/>
  <c r="AR20" i="12"/>
  <c r="BF20" i="12"/>
  <c r="DB19" i="12"/>
  <c r="DC19" i="12"/>
  <c r="EK19" i="12"/>
  <c r="EJ19" i="12"/>
  <c r="EI19" i="12"/>
  <c r="EH19" i="12"/>
  <c r="CO19" i="12"/>
  <c r="BR19" i="12"/>
  <c r="BQ19" i="12"/>
  <c r="BP19" i="12"/>
  <c r="AU19" i="12"/>
  <c r="BI19" i="12"/>
  <c r="AT19" i="12"/>
  <c r="BH19" i="12"/>
  <c r="AS19" i="12"/>
  <c r="BG19" i="12"/>
  <c r="AR19" i="12"/>
  <c r="BF19" i="12"/>
  <c r="DB18" i="12"/>
  <c r="DC18" i="12" s="1"/>
  <c r="EK18" i="12"/>
  <c r="EJ18" i="12"/>
  <c r="EI18" i="12"/>
  <c r="EH18" i="12"/>
  <c r="CO18" i="12"/>
  <c r="BR18" i="12"/>
  <c r="BQ18" i="12"/>
  <c r="BP18" i="12"/>
  <c r="AU18" i="12"/>
  <c r="BI18" i="12"/>
  <c r="AT18" i="12"/>
  <c r="BH18" i="12"/>
  <c r="AS18" i="12"/>
  <c r="BG18" i="12"/>
  <c r="AR18" i="12"/>
  <c r="BF18" i="12"/>
  <c r="DB17" i="12"/>
  <c r="DC17" i="12" s="1"/>
  <c r="EK17" i="12"/>
  <c r="EJ17" i="12"/>
  <c r="EI17" i="12"/>
  <c r="EH17" i="12"/>
  <c r="CO17" i="12"/>
  <c r="BR17" i="12"/>
  <c r="BQ17" i="12"/>
  <c r="BP17" i="12"/>
  <c r="BC17" i="12"/>
  <c r="DB16" i="12"/>
  <c r="DC16" i="12" s="1"/>
  <c r="EK16" i="12"/>
  <c r="EJ16" i="12"/>
  <c r="EI16" i="12"/>
  <c r="EH16" i="12"/>
  <c r="CO16" i="12"/>
  <c r="BR16" i="12"/>
  <c r="BQ16" i="12"/>
  <c r="BP16" i="12"/>
  <c r="AU16" i="12"/>
  <c r="BI16" i="12"/>
  <c r="AT16" i="12"/>
  <c r="BH16" i="12"/>
  <c r="AS16" i="12"/>
  <c r="BG16" i="12"/>
  <c r="AR16" i="12"/>
  <c r="BF16" i="12"/>
  <c r="DB15" i="12"/>
  <c r="DC15" i="12"/>
  <c r="EK15" i="12"/>
  <c r="EJ15" i="12"/>
  <c r="EI15" i="12"/>
  <c r="EH15" i="12"/>
  <c r="CO15" i="12"/>
  <c r="BR15" i="12"/>
  <c r="BQ15" i="12"/>
  <c r="BP15" i="12"/>
  <c r="AU15" i="12"/>
  <c r="BI15" i="12"/>
  <c r="AT15" i="12"/>
  <c r="BH15" i="12"/>
  <c r="AS15" i="12"/>
  <c r="BG15" i="12"/>
  <c r="AR15" i="12"/>
  <c r="BF15" i="12"/>
  <c r="EK14" i="12"/>
  <c r="EJ14" i="12"/>
  <c r="EI14" i="12"/>
  <c r="EH14" i="12"/>
  <c r="CO14" i="12"/>
  <c r="BR14" i="12"/>
  <c r="BQ14" i="12"/>
  <c r="BP14" i="12"/>
  <c r="BC14" i="12"/>
  <c r="EK13" i="12"/>
  <c r="EJ13" i="12"/>
  <c r="EI13" i="12"/>
  <c r="EH13" i="12"/>
  <c r="CO13" i="12"/>
  <c r="BR13" i="12"/>
  <c r="BQ13" i="12"/>
  <c r="BP13" i="12"/>
  <c r="BC13" i="12"/>
  <c r="EK12" i="12"/>
  <c r="EJ12" i="12"/>
  <c r="EI12" i="12"/>
  <c r="EH12" i="12"/>
  <c r="CO12" i="12"/>
  <c r="BR12" i="12"/>
  <c r="BQ12" i="12"/>
  <c r="BP12" i="12"/>
  <c r="AR12" i="12"/>
  <c r="BF12" i="12"/>
  <c r="AU12" i="12"/>
  <c r="AT12" i="12"/>
  <c r="AS12" i="12"/>
  <c r="EK11" i="12"/>
  <c r="EJ11" i="12"/>
  <c r="EI11" i="12"/>
  <c r="EH11" i="12"/>
  <c r="CO11" i="12"/>
  <c r="BR11" i="12"/>
  <c r="BQ11" i="12"/>
  <c r="BP11" i="12"/>
  <c r="AT11" i="12"/>
  <c r="BH11" i="12"/>
  <c r="AU11" i="12"/>
  <c r="AS11" i="12"/>
  <c r="AR11" i="12"/>
  <c r="EK10" i="12"/>
  <c r="EJ10" i="12"/>
  <c r="CO10" i="12"/>
  <c r="BR10" i="12"/>
  <c r="BQ10" i="12"/>
  <c r="BP10" i="12"/>
  <c r="AU10" i="12"/>
  <c r="BI10" i="12"/>
  <c r="AT10" i="12"/>
  <c r="BH10" i="12"/>
  <c r="AS10" i="12"/>
  <c r="BG10" i="12"/>
  <c r="AR10" i="12"/>
  <c r="BF10" i="12"/>
  <c r="EK9" i="12"/>
  <c r="EJ9" i="12"/>
  <c r="EI9" i="12"/>
  <c r="EH9" i="12"/>
  <c r="CO9" i="12"/>
  <c r="BR9" i="12"/>
  <c r="BQ9" i="12"/>
  <c r="BP9" i="12"/>
  <c r="AU9" i="12"/>
  <c r="AT9" i="12"/>
  <c r="AS9" i="12"/>
  <c r="AR9" i="12"/>
  <c r="EK8" i="12"/>
  <c r="EJ8" i="12"/>
  <c r="EI8" i="12"/>
  <c r="EH8" i="12"/>
  <c r="CO8" i="12"/>
  <c r="BR8" i="12"/>
  <c r="BQ8" i="12"/>
  <c r="BP8" i="12"/>
  <c r="BC8" i="12"/>
  <c r="EK7" i="12"/>
  <c r="EJ7" i="12"/>
  <c r="EI7" i="12"/>
  <c r="EH7" i="12"/>
  <c r="CO7" i="12"/>
  <c r="AW3" i="6"/>
  <c r="AV3" i="6"/>
  <c r="AU3" i="6"/>
  <c r="AT3" i="6"/>
  <c r="AW2" i="6"/>
  <c r="AV2" i="6"/>
  <c r="AU2" i="6"/>
  <c r="AT2" i="6"/>
  <c r="DX92" i="6"/>
  <c r="DX93" i="6"/>
  <c r="DX94" i="6" s="1"/>
  <c r="DX95" i="6" s="1"/>
  <c r="DX96" i="6" s="1"/>
  <c r="DX97" i="6" s="1"/>
  <c r="DX98" i="6" s="1"/>
  <c r="DX99" i="6" s="1"/>
  <c r="DX100" i="6" s="1"/>
  <c r="DX101" i="6" s="1"/>
  <c r="DX102" i="6" s="1"/>
  <c r="DX103" i="6" s="1"/>
  <c r="DX104" i="6" s="1"/>
  <c r="DX105" i="6" s="1"/>
  <c r="DX106" i="6" s="1"/>
  <c r="DX107" i="6" s="1"/>
  <c r="DX108" i="6" s="1"/>
  <c r="DX109" i="6" s="1"/>
  <c r="DX110" i="6" s="1"/>
  <c r="DX111" i="6" s="1"/>
  <c r="DX112" i="6" s="1"/>
  <c r="DX113" i="6" s="1"/>
  <c r="DX114" i="6" s="1"/>
  <c r="DX115" i="6" s="1"/>
  <c r="DX116" i="6" s="1"/>
  <c r="DX117" i="6" s="1"/>
  <c r="DX118" i="6" s="1"/>
  <c r="DX119" i="6" s="1"/>
  <c r="DX120" i="6" s="1"/>
  <c r="DX121" i="6" s="1"/>
  <c r="DX122" i="6" s="1"/>
  <c r="DX123" i="6" s="1"/>
  <c r="DX124" i="6" s="1"/>
  <c r="DX125" i="6" s="1"/>
  <c r="DX126" i="6" s="1"/>
  <c r="DX127" i="6" s="1"/>
  <c r="DX128" i="6" s="1"/>
  <c r="DX129" i="6" s="1"/>
  <c r="DX130" i="6" s="1"/>
  <c r="DX131" i="6" s="1"/>
  <c r="AT5" i="6"/>
  <c r="AU5" i="6"/>
  <c r="AV5" i="6"/>
  <c r="AW5" i="6"/>
  <c r="AT6" i="6"/>
  <c r="AU6" i="6"/>
  <c r="AV6" i="6"/>
  <c r="AW6" i="6"/>
  <c r="AT7" i="6"/>
  <c r="AU7" i="6"/>
  <c r="AV7" i="6"/>
  <c r="AW7" i="6"/>
  <c r="AT8" i="6"/>
  <c r="AU8" i="6"/>
  <c r="AV8" i="6"/>
  <c r="AW8" i="6"/>
  <c r="AT9" i="6"/>
  <c r="AU9" i="6"/>
  <c r="AV9" i="6"/>
  <c r="AW9" i="6"/>
  <c r="AT10" i="6"/>
  <c r="AU10" i="6"/>
  <c r="AV10" i="6"/>
  <c r="AW10" i="6"/>
  <c r="AT11" i="6"/>
  <c r="AU11" i="6"/>
  <c r="AV11" i="6"/>
  <c r="AW11" i="6"/>
  <c r="AT12" i="6"/>
  <c r="AU12" i="6"/>
  <c r="AV12" i="6"/>
  <c r="AW12" i="6"/>
  <c r="AT13" i="6"/>
  <c r="AU13" i="6"/>
  <c r="AV13" i="6"/>
  <c r="AW13" i="6"/>
  <c r="AT14" i="6"/>
  <c r="AU14" i="6"/>
  <c r="AV14" i="6"/>
  <c r="AW14" i="6"/>
  <c r="AT15" i="6"/>
  <c r="AU15" i="6"/>
  <c r="AV15" i="6"/>
  <c r="AW15" i="6"/>
  <c r="AT16" i="6"/>
  <c r="AU16" i="6"/>
  <c r="AV16" i="6"/>
  <c r="AW16" i="6"/>
  <c r="AT17" i="6"/>
  <c r="AU17" i="6"/>
  <c r="AV17" i="6"/>
  <c r="AW17" i="6"/>
  <c r="AT18" i="6"/>
  <c r="AU18" i="6"/>
  <c r="AV18" i="6"/>
  <c r="AW18" i="6"/>
  <c r="AT19" i="6"/>
  <c r="AU19" i="6"/>
  <c r="AV19" i="6"/>
  <c r="AW19" i="6"/>
  <c r="AT20" i="6"/>
  <c r="AU20" i="6"/>
  <c r="AV20" i="6"/>
  <c r="AW20" i="6"/>
  <c r="AT21" i="6"/>
  <c r="AU21" i="6"/>
  <c r="AV21" i="6"/>
  <c r="AW21" i="6"/>
  <c r="AT22" i="6"/>
  <c r="AU22" i="6"/>
  <c r="AV22" i="6"/>
  <c r="AW22" i="6"/>
  <c r="AT23" i="6"/>
  <c r="AU23" i="6"/>
  <c r="AV23" i="6"/>
  <c r="AW23" i="6"/>
  <c r="AT24" i="6"/>
  <c r="AU24" i="6"/>
  <c r="AV24" i="6"/>
  <c r="AW24" i="6"/>
  <c r="AT25" i="6"/>
  <c r="AU25" i="6"/>
  <c r="AV25" i="6"/>
  <c r="AW25" i="6"/>
  <c r="AT26" i="6"/>
  <c r="AU26" i="6"/>
  <c r="AV26" i="6"/>
  <c r="AW26" i="6"/>
  <c r="AT27" i="6"/>
  <c r="AU27" i="6"/>
  <c r="AV27" i="6"/>
  <c r="AW27" i="6"/>
  <c r="AT28" i="6"/>
  <c r="AU28" i="6"/>
  <c r="AV28" i="6"/>
  <c r="AW28" i="6"/>
  <c r="AT29" i="6"/>
  <c r="AU29" i="6"/>
  <c r="AV29" i="6"/>
  <c r="AW29" i="6"/>
  <c r="AT30" i="6"/>
  <c r="AU30" i="6"/>
  <c r="AV30" i="6"/>
  <c r="AW30" i="6"/>
  <c r="AT31" i="6"/>
  <c r="AU31" i="6"/>
  <c r="AV31" i="6"/>
  <c r="AW31" i="6"/>
  <c r="AT32" i="6"/>
  <c r="AU32" i="6"/>
  <c r="AV32" i="6"/>
  <c r="AW32" i="6"/>
  <c r="AT33" i="6"/>
  <c r="AU33" i="6"/>
  <c r="AV33" i="6"/>
  <c r="AW33" i="6"/>
  <c r="AT34" i="6"/>
  <c r="AU34" i="6"/>
  <c r="AV34" i="6"/>
  <c r="AW34" i="6"/>
  <c r="AT35" i="6"/>
  <c r="AU35" i="6"/>
  <c r="AV35" i="6"/>
  <c r="AW35" i="6"/>
  <c r="AT36" i="6"/>
  <c r="AU36" i="6"/>
  <c r="AV36" i="6"/>
  <c r="AW36" i="6"/>
  <c r="AT37" i="6"/>
  <c r="AU37" i="6"/>
  <c r="AV37" i="6"/>
  <c r="AW37" i="6"/>
  <c r="AT38" i="6"/>
  <c r="AU38" i="6"/>
  <c r="AV38" i="6"/>
  <c r="AW38" i="6"/>
  <c r="AT39" i="6"/>
  <c r="AU39" i="6"/>
  <c r="AV39" i="6"/>
  <c r="AW39" i="6"/>
  <c r="AT40" i="6"/>
  <c r="AU40" i="6"/>
  <c r="AV40" i="6"/>
  <c r="AW40" i="6"/>
  <c r="AT41" i="6"/>
  <c r="AU41" i="6"/>
  <c r="AV41" i="6"/>
  <c r="AW41" i="6"/>
  <c r="AT42" i="6"/>
  <c r="AU42" i="6"/>
  <c r="AV42" i="6"/>
  <c r="AW42" i="6"/>
  <c r="AT43" i="6"/>
  <c r="AU43" i="6"/>
  <c r="AV43" i="6"/>
  <c r="AW43" i="6"/>
  <c r="AT44" i="6"/>
  <c r="AU44" i="6"/>
  <c r="AV44" i="6"/>
  <c r="AW44" i="6"/>
  <c r="AT45" i="6"/>
  <c r="AU45" i="6"/>
  <c r="AV45" i="6"/>
  <c r="AW45" i="6"/>
  <c r="AT46" i="6"/>
  <c r="AU46" i="6"/>
  <c r="AV46" i="6"/>
  <c r="AW46" i="6"/>
  <c r="AT47" i="6"/>
  <c r="AU47" i="6"/>
  <c r="AV47" i="6"/>
  <c r="AW47" i="6"/>
  <c r="AT48" i="6"/>
  <c r="AU48" i="6"/>
  <c r="AV48" i="6"/>
  <c r="AW48" i="6"/>
  <c r="AT49" i="6"/>
  <c r="AU49" i="6"/>
  <c r="AV49" i="6"/>
  <c r="AW49" i="6"/>
  <c r="AT50" i="6"/>
  <c r="AU50" i="6"/>
  <c r="AV50" i="6"/>
  <c r="AW50" i="6"/>
  <c r="AT51" i="6"/>
  <c r="AU51" i="6"/>
  <c r="AV51" i="6"/>
  <c r="AW51" i="6"/>
  <c r="AT52" i="6"/>
  <c r="AU52" i="6"/>
  <c r="AV52" i="6"/>
  <c r="AW52" i="6"/>
  <c r="AT53" i="6"/>
  <c r="AU53" i="6"/>
  <c r="AV53" i="6"/>
  <c r="AW53" i="6"/>
  <c r="AT54" i="6"/>
  <c r="AU54" i="6"/>
  <c r="AV54" i="6"/>
  <c r="AW54" i="6"/>
  <c r="AT55" i="6"/>
  <c r="AU55" i="6"/>
  <c r="AV55" i="6"/>
  <c r="AW55" i="6"/>
  <c r="AT56" i="6"/>
  <c r="AU56" i="6"/>
  <c r="AV56" i="6"/>
  <c r="AW56" i="6"/>
  <c r="AT57" i="6"/>
  <c r="AU57" i="6"/>
  <c r="AV57" i="6"/>
  <c r="AW57" i="6"/>
  <c r="AT58" i="6"/>
  <c r="AU58" i="6"/>
  <c r="AV58" i="6"/>
  <c r="AW58" i="6"/>
  <c r="AT59" i="6"/>
  <c r="AU59" i="6"/>
  <c r="AV59" i="6"/>
  <c r="AW59" i="6"/>
  <c r="AT60" i="6"/>
  <c r="AU60" i="6"/>
  <c r="AV60" i="6"/>
  <c r="AW60" i="6"/>
  <c r="AT61" i="6"/>
  <c r="AU61" i="6"/>
  <c r="AV61" i="6"/>
  <c r="AW61" i="6"/>
  <c r="AT62" i="6"/>
  <c r="AU62" i="6"/>
  <c r="AV62" i="6"/>
  <c r="AW62" i="6"/>
  <c r="AT63" i="6"/>
  <c r="AU63" i="6"/>
  <c r="AV63" i="6"/>
  <c r="AW63" i="6"/>
  <c r="AT64" i="6"/>
  <c r="AU64" i="6"/>
  <c r="AV64" i="6"/>
  <c r="AW64" i="6"/>
  <c r="AT65" i="6"/>
  <c r="AU65" i="6"/>
  <c r="AV65" i="6"/>
  <c r="AW65" i="6"/>
  <c r="AT66" i="6"/>
  <c r="AU66" i="6"/>
  <c r="AV66" i="6"/>
  <c r="AW66" i="6"/>
  <c r="AT67" i="6"/>
  <c r="AU67" i="6"/>
  <c r="AV67" i="6"/>
  <c r="AW67" i="6"/>
  <c r="AT68" i="6"/>
  <c r="AU68" i="6"/>
  <c r="AV68" i="6"/>
  <c r="AW68" i="6"/>
  <c r="AT69" i="6"/>
  <c r="AU69" i="6"/>
  <c r="AV69" i="6"/>
  <c r="AW69" i="6"/>
  <c r="AT70" i="6"/>
  <c r="AU70" i="6"/>
  <c r="AV70" i="6"/>
  <c r="AW70" i="6"/>
  <c r="AT71" i="6"/>
  <c r="AU71" i="6"/>
  <c r="AV71" i="6"/>
  <c r="AW71" i="6"/>
  <c r="AT72" i="6"/>
  <c r="AU72" i="6"/>
  <c r="AV72" i="6"/>
  <c r="AW72" i="6"/>
  <c r="AT73" i="6"/>
  <c r="AU73" i="6"/>
  <c r="AV73" i="6"/>
  <c r="AW73" i="6"/>
  <c r="AT74" i="6"/>
  <c r="AU74" i="6"/>
  <c r="AV74" i="6"/>
  <c r="AW74" i="6"/>
  <c r="AT75" i="6"/>
  <c r="AU75" i="6"/>
  <c r="AV75" i="6"/>
  <c r="AW75" i="6"/>
  <c r="AT76" i="6"/>
  <c r="AU76" i="6"/>
  <c r="AV76" i="6"/>
  <c r="AW76" i="6"/>
  <c r="AT77" i="6"/>
  <c r="AU77" i="6"/>
  <c r="AV77" i="6"/>
  <c r="AW77" i="6"/>
  <c r="AT78" i="6"/>
  <c r="AU78" i="6"/>
  <c r="AV78" i="6"/>
  <c r="AW78" i="6"/>
  <c r="AT79" i="6"/>
  <c r="AU79" i="6"/>
  <c r="AV79" i="6"/>
  <c r="AW79" i="6"/>
  <c r="AT80" i="6"/>
  <c r="AU80" i="6"/>
  <c r="AV80" i="6"/>
  <c r="AW80" i="6"/>
  <c r="AT81" i="6"/>
  <c r="AU81" i="6"/>
  <c r="AV81" i="6"/>
  <c r="AW81" i="6"/>
  <c r="AT82" i="6"/>
  <c r="AU82" i="6"/>
  <c r="AV82" i="6"/>
  <c r="AW82" i="6"/>
  <c r="AT83" i="6"/>
  <c r="AU83" i="6"/>
  <c r="AV83" i="6"/>
  <c r="AW83" i="6"/>
  <c r="AT84" i="6"/>
  <c r="AU84" i="6"/>
  <c r="AV84" i="6"/>
  <c r="AW84" i="6"/>
  <c r="AT85" i="6"/>
  <c r="AU85" i="6"/>
  <c r="AV85" i="6"/>
  <c r="AW85" i="6"/>
  <c r="AT86" i="6"/>
  <c r="AU86" i="6"/>
  <c r="AV86" i="6"/>
  <c r="AW86" i="6"/>
  <c r="AT87" i="6"/>
  <c r="AU87" i="6"/>
  <c r="AV87" i="6"/>
  <c r="AW87" i="6"/>
  <c r="AT88" i="6"/>
  <c r="AU88" i="6"/>
  <c r="AV88" i="6"/>
  <c r="AW88" i="6"/>
  <c r="AT89" i="6"/>
  <c r="AU89" i="6"/>
  <c r="AV89" i="6"/>
  <c r="AW89" i="6"/>
  <c r="AT90" i="6"/>
  <c r="AU90" i="6"/>
  <c r="AV90" i="6"/>
  <c r="AW90" i="6"/>
  <c r="AT91" i="6"/>
  <c r="AU91" i="6"/>
  <c r="AV91" i="6"/>
  <c r="AW91" i="6"/>
  <c r="AT92" i="6"/>
  <c r="AU92" i="6"/>
  <c r="AV92" i="6"/>
  <c r="AW92" i="6"/>
  <c r="AT93" i="6"/>
  <c r="AU93" i="6"/>
  <c r="AV93" i="6"/>
  <c r="AW93" i="6"/>
  <c r="AT94" i="6"/>
  <c r="AU94" i="6"/>
  <c r="AV94" i="6"/>
  <c r="AW94" i="6"/>
  <c r="AT95" i="6"/>
  <c r="AU95" i="6"/>
  <c r="AV95" i="6"/>
  <c r="AW95" i="6"/>
  <c r="AT96" i="6"/>
  <c r="AU96" i="6"/>
  <c r="AV96" i="6"/>
  <c r="AW96" i="6"/>
  <c r="AT97" i="6"/>
  <c r="AU97" i="6"/>
  <c r="AV97" i="6"/>
  <c r="AW97" i="6"/>
  <c r="AT98" i="6"/>
  <c r="AU98" i="6"/>
  <c r="AV98" i="6"/>
  <c r="AW98" i="6"/>
  <c r="AT99" i="6"/>
  <c r="AU99" i="6"/>
  <c r="AV99" i="6"/>
  <c r="AW99" i="6"/>
  <c r="AT100" i="6"/>
  <c r="AU100" i="6"/>
  <c r="AV100" i="6"/>
  <c r="AW100" i="6"/>
  <c r="AT101" i="6"/>
  <c r="AU101" i="6"/>
  <c r="AV101" i="6"/>
  <c r="AW101" i="6"/>
  <c r="AT102" i="6"/>
  <c r="AU102" i="6"/>
  <c r="AV102" i="6"/>
  <c r="AW102" i="6"/>
  <c r="AT103" i="6"/>
  <c r="AU103" i="6"/>
  <c r="AV103" i="6"/>
  <c r="AW103" i="6"/>
  <c r="AT104" i="6"/>
  <c r="AU104" i="6"/>
  <c r="AV104" i="6"/>
  <c r="AW104" i="6"/>
  <c r="AT105" i="6"/>
  <c r="AU105" i="6"/>
  <c r="AV105" i="6"/>
  <c r="AW105" i="6"/>
  <c r="AT106" i="6"/>
  <c r="AU106" i="6"/>
  <c r="AV106" i="6"/>
  <c r="AW106" i="6"/>
  <c r="AT107" i="6"/>
  <c r="AU107" i="6"/>
  <c r="AV107" i="6"/>
  <c r="AW107" i="6"/>
  <c r="AT108" i="6"/>
  <c r="AU108" i="6"/>
  <c r="AV108" i="6"/>
  <c r="AW108" i="6"/>
  <c r="AT109" i="6"/>
  <c r="AU109" i="6"/>
  <c r="AV109" i="6"/>
  <c r="AW109" i="6"/>
  <c r="AT110" i="6"/>
  <c r="AU110" i="6"/>
  <c r="AV110" i="6"/>
  <c r="AW110" i="6"/>
  <c r="AT111" i="6"/>
  <c r="AU111" i="6"/>
  <c r="AV111" i="6"/>
  <c r="AW111" i="6"/>
  <c r="AT112" i="6"/>
  <c r="AU112" i="6"/>
  <c r="AV112" i="6"/>
  <c r="AW112" i="6"/>
  <c r="AT113" i="6"/>
  <c r="AU113" i="6"/>
  <c r="AV113" i="6"/>
  <c r="AW113" i="6"/>
  <c r="AT114" i="6"/>
  <c r="AU114" i="6"/>
  <c r="AV114" i="6"/>
  <c r="AW114" i="6"/>
  <c r="AT115" i="6"/>
  <c r="AU115" i="6"/>
  <c r="AV115" i="6"/>
  <c r="AW115" i="6"/>
  <c r="AT116" i="6"/>
  <c r="AU116" i="6"/>
  <c r="AV116" i="6"/>
  <c r="AW116" i="6"/>
  <c r="AT117" i="6"/>
  <c r="AU117" i="6"/>
  <c r="AV117" i="6"/>
  <c r="AW117" i="6"/>
  <c r="AT118" i="6"/>
  <c r="AU118" i="6"/>
  <c r="AV118" i="6"/>
  <c r="AW118" i="6"/>
  <c r="AT119" i="6"/>
  <c r="AU119" i="6"/>
  <c r="AV119" i="6"/>
  <c r="AW119" i="6"/>
  <c r="AT120" i="6"/>
  <c r="AU120" i="6"/>
  <c r="AV120" i="6"/>
  <c r="AW120" i="6"/>
  <c r="AT121" i="6"/>
  <c r="AU121" i="6"/>
  <c r="AV121" i="6"/>
  <c r="AW121" i="6"/>
  <c r="AT122" i="6"/>
  <c r="AU122" i="6"/>
  <c r="AV122" i="6"/>
  <c r="AW122" i="6"/>
  <c r="AT123" i="6"/>
  <c r="AU123" i="6"/>
  <c r="AV123" i="6"/>
  <c r="AW123" i="6"/>
  <c r="AT124" i="6"/>
  <c r="AU124" i="6"/>
  <c r="AV124" i="6"/>
  <c r="AW124" i="6"/>
  <c r="AT125" i="6"/>
  <c r="AU125" i="6"/>
  <c r="AV125" i="6"/>
  <c r="AW125" i="6"/>
  <c r="AT126" i="6"/>
  <c r="AU126" i="6"/>
  <c r="AV126" i="6"/>
  <c r="AW126" i="6"/>
  <c r="AT127" i="6"/>
  <c r="AU127" i="6"/>
  <c r="AV127" i="6"/>
  <c r="AW127" i="6"/>
  <c r="AT128" i="6"/>
  <c r="AU128" i="6"/>
  <c r="AV128" i="6"/>
  <c r="AW128" i="6"/>
  <c r="AT129" i="6"/>
  <c r="AU129" i="6"/>
  <c r="AV129" i="6"/>
  <c r="AW129" i="6"/>
  <c r="AT130" i="6"/>
  <c r="AU130" i="6"/>
  <c r="AV130" i="6"/>
  <c r="AW130" i="6"/>
  <c r="AT131" i="6"/>
  <c r="AU131" i="6"/>
  <c r="AV131" i="6"/>
  <c r="AW131" i="6"/>
  <c r="AT132" i="6"/>
  <c r="AU132" i="6"/>
  <c r="AV132" i="6"/>
  <c r="AW132" i="6"/>
  <c r="AT133" i="6"/>
  <c r="AU133" i="6"/>
  <c r="AV133" i="6"/>
  <c r="AW133" i="6"/>
  <c r="AT134" i="6"/>
  <c r="AU134" i="6"/>
  <c r="AV134" i="6"/>
  <c r="AW134" i="6"/>
  <c r="AT135" i="6"/>
  <c r="AU135" i="6"/>
  <c r="AV135" i="6"/>
  <c r="AW135" i="6"/>
  <c r="AT136" i="6"/>
  <c r="AU136" i="6"/>
  <c r="AV136" i="6"/>
  <c r="AW136" i="6"/>
  <c r="AT137" i="6"/>
  <c r="AU137" i="6"/>
  <c r="AV137" i="6"/>
  <c r="AW137" i="6"/>
  <c r="AT138" i="6"/>
  <c r="AU138" i="6"/>
  <c r="AV138" i="6"/>
  <c r="AW138" i="6"/>
  <c r="AT139" i="6"/>
  <c r="AU139" i="6"/>
  <c r="AV139" i="6"/>
  <c r="AW139" i="6"/>
  <c r="AT140" i="6"/>
  <c r="AU140" i="6"/>
  <c r="AV140" i="6"/>
  <c r="AW140" i="6"/>
  <c r="AT141" i="6"/>
  <c r="AU141" i="6"/>
  <c r="AV141" i="6"/>
  <c r="AW141" i="6"/>
  <c r="AT142" i="6"/>
  <c r="AU142" i="6"/>
  <c r="AV142" i="6"/>
  <c r="AW142" i="6"/>
  <c r="AT143" i="6"/>
  <c r="AU143" i="6"/>
  <c r="AV143" i="6"/>
  <c r="AW143" i="6"/>
  <c r="AT144" i="6"/>
  <c r="AU144" i="6"/>
  <c r="AV144" i="6"/>
  <c r="AW144" i="6"/>
  <c r="AT145" i="6"/>
  <c r="AU145" i="6"/>
  <c r="AV145" i="6"/>
  <c r="AW145" i="6"/>
  <c r="AT146" i="6"/>
  <c r="AU146" i="6"/>
  <c r="AV146" i="6"/>
  <c r="AW4" i="6"/>
  <c r="AV4" i="6"/>
  <c r="AU4" i="6"/>
  <c r="AT4" i="6"/>
  <c r="DD93" i="6"/>
  <c r="GV8" i="6"/>
  <c r="GV7" i="6"/>
  <c r="GV6" i="6"/>
  <c r="GV5" i="6"/>
  <c r="GY4" i="6"/>
  <c r="GX4" i="6"/>
  <c r="GW4" i="6"/>
  <c r="GV4" i="6"/>
  <c r="F4" i="10"/>
  <c r="B81" i="11"/>
  <c r="E81" i="11" s="1"/>
  <c r="X16" i="11"/>
  <c r="D66" i="11"/>
  <c r="D105" i="11" s="1"/>
  <c r="W16" i="11"/>
  <c r="W24" i="11" s="1"/>
  <c r="C103" i="11"/>
  <c r="C104" i="11" s="1"/>
  <c r="C107" i="11" s="1"/>
  <c r="C66" i="11"/>
  <c r="C105" i="11"/>
  <c r="Z16" i="11"/>
  <c r="F66" i="11"/>
  <c r="F105" i="11" s="1"/>
  <c r="Y16" i="11"/>
  <c r="E96" i="11" s="1"/>
  <c r="E66" i="11"/>
  <c r="E105" i="11" s="1"/>
  <c r="B71" i="11"/>
  <c r="B92" i="11"/>
  <c r="F92" i="11"/>
  <c r="B72" i="11"/>
  <c r="B73" i="11"/>
  <c r="B94" i="11"/>
  <c r="F94" i="11" s="1"/>
  <c r="B74" i="11"/>
  <c r="B95" i="11"/>
  <c r="F95" i="11" s="1"/>
  <c r="B75" i="11"/>
  <c r="B96" i="11"/>
  <c r="F96" i="11"/>
  <c r="B76" i="11"/>
  <c r="F100" i="11"/>
  <c r="B77" i="11"/>
  <c r="E100" i="11"/>
  <c r="D92" i="11"/>
  <c r="D96" i="11"/>
  <c r="D100" i="11"/>
  <c r="C92" i="11"/>
  <c r="C95" i="11"/>
  <c r="C96" i="11"/>
  <c r="C100" i="11"/>
  <c r="A93" i="11"/>
  <c r="A94" i="11"/>
  <c r="A95" i="11" s="1"/>
  <c r="A96" i="11" s="1"/>
  <c r="A97" i="11" s="1"/>
  <c r="A98" i="11" s="1"/>
  <c r="W15" i="11"/>
  <c r="C71" i="11"/>
  <c r="C86" i="11" s="1"/>
  <c r="Z15" i="11"/>
  <c r="Y15" i="11"/>
  <c r="Y17" i="11" s="1"/>
  <c r="X15" i="11"/>
  <c r="D71" i="11" s="1"/>
  <c r="F71" i="11"/>
  <c r="F73" i="11"/>
  <c r="F74" i="11"/>
  <c r="F75" i="11"/>
  <c r="E71" i="11"/>
  <c r="E72" i="11"/>
  <c r="E75" i="11"/>
  <c r="E76" i="11"/>
  <c r="D75" i="11"/>
  <c r="C73" i="11"/>
  <c r="A72" i="11"/>
  <c r="A73" i="11" s="1"/>
  <c r="A74" i="11"/>
  <c r="A75" i="11" s="1"/>
  <c r="A76" i="11" s="1"/>
  <c r="A77" i="11" s="1"/>
  <c r="C67" i="11"/>
  <c r="W23" i="11" s="1"/>
  <c r="D67" i="11"/>
  <c r="G67" i="11" s="1"/>
  <c r="E67" i="11"/>
  <c r="F67" i="11"/>
  <c r="G66" i="11"/>
  <c r="Z22" i="11"/>
  <c r="Z56" i="11" s="1"/>
  <c r="Z65" i="11"/>
  <c r="X24" i="11"/>
  <c r="X56" i="11"/>
  <c r="X57" i="11" s="1"/>
  <c r="W56" i="11"/>
  <c r="W65" i="11" s="1"/>
  <c r="E28" i="11"/>
  <c r="Z50" i="11" s="1"/>
  <c r="Z17" i="11"/>
  <c r="Z19" i="11"/>
  <c r="Z21" i="11" s="1"/>
  <c r="Z51" i="11" s="1"/>
  <c r="Z20" i="11"/>
  <c r="Z52" i="11"/>
  <c r="Z31" i="11"/>
  <c r="Z53" i="11" s="1"/>
  <c r="E35" i="11"/>
  <c r="O18" i="11" s="1"/>
  <c r="Z27" i="11"/>
  <c r="Z54" i="11" s="1"/>
  <c r="E27" i="11"/>
  <c r="Y50" i="11"/>
  <c r="Y19" i="11"/>
  <c r="Y41" i="11" s="1"/>
  <c r="Y20" i="11"/>
  <c r="Y29" i="11" s="1"/>
  <c r="Y34" i="11" s="1"/>
  <c r="Y52" i="11"/>
  <c r="Y31" i="11"/>
  <c r="Y53" i="11"/>
  <c r="D35" i="11"/>
  <c r="Y27" i="11"/>
  <c r="Y54" i="11" s="1"/>
  <c r="E26" i="11"/>
  <c r="X50" i="11"/>
  <c r="N46" i="11" s="1"/>
  <c r="X20" i="11"/>
  <c r="X29" i="11" s="1"/>
  <c r="X52" i="11"/>
  <c r="X31" i="11"/>
  <c r="X53" i="11" s="1"/>
  <c r="N47" i="11" s="1"/>
  <c r="C35" i="11"/>
  <c r="X27" i="11" s="1"/>
  <c r="AB27" i="11" s="1"/>
  <c r="E25" i="11"/>
  <c r="W50" i="11"/>
  <c r="W17" i="11"/>
  <c r="W19" i="11" s="1"/>
  <c r="W52" i="11"/>
  <c r="W31" i="11"/>
  <c r="W53" i="11"/>
  <c r="B35" i="11"/>
  <c r="W27" i="11"/>
  <c r="W54" i="11" s="1"/>
  <c r="Z23" i="11"/>
  <c r="Z59" i="11" s="1"/>
  <c r="Z63" i="11"/>
  <c r="Y23" i="11"/>
  <c r="Y59" i="11"/>
  <c r="Y63" i="11" s="1"/>
  <c r="N54" i="11" s="1"/>
  <c r="W59" i="11"/>
  <c r="W63" i="11" s="1"/>
  <c r="G63" i="11"/>
  <c r="X58" i="11"/>
  <c r="F55" i="11"/>
  <c r="F56" i="11"/>
  <c r="F57" i="11"/>
  <c r="F58" i="11" s="1"/>
  <c r="E58" i="11"/>
  <c r="D58" i="11"/>
  <c r="C58" i="11"/>
  <c r="B58" i="11"/>
  <c r="N49" i="11"/>
  <c r="B33" i="11"/>
  <c r="C33" i="11"/>
  <c r="D33" i="11"/>
  <c r="F33" i="11" s="1"/>
  <c r="N50" i="11" s="1"/>
  <c r="E33" i="11"/>
  <c r="E36" i="11" s="1"/>
  <c r="N52" i="11"/>
  <c r="N53" i="11"/>
  <c r="BJ49" i="11"/>
  <c r="BI49" i="11"/>
  <c r="BH49" i="11"/>
  <c r="BD49" i="11"/>
  <c r="AV49" i="11"/>
  <c r="BB43" i="11" s="1"/>
  <c r="AU49" i="11"/>
  <c r="BB49" i="11"/>
  <c r="AT49" i="11"/>
  <c r="AS49" i="11" s="1"/>
  <c r="AZ49" i="11"/>
  <c r="BJ48" i="11"/>
  <c r="BI48" i="11"/>
  <c r="BH48" i="11"/>
  <c r="BD48" i="11"/>
  <c r="AV48" i="11"/>
  <c r="BC48" i="11"/>
  <c r="AU48" i="11"/>
  <c r="BB48" i="11"/>
  <c r="AT48" i="11"/>
  <c r="AS48" i="11" s="1"/>
  <c r="BA48" i="11"/>
  <c r="AZ48" i="11"/>
  <c r="BJ47" i="11"/>
  <c r="BI47" i="11"/>
  <c r="BH47" i="11"/>
  <c r="BD47" i="11"/>
  <c r="AV47" i="11"/>
  <c r="BC47" i="11" s="1"/>
  <c r="AU47" i="11"/>
  <c r="BB47" i="11"/>
  <c r="AT47" i="11"/>
  <c r="AS47" i="11" s="1"/>
  <c r="AZ47" i="11" s="1"/>
  <c r="BJ46" i="11"/>
  <c r="BI46" i="11"/>
  <c r="BH46" i="11"/>
  <c r="BD46" i="11"/>
  <c r="AV46" i="11"/>
  <c r="BC46" i="11"/>
  <c r="AU46" i="11"/>
  <c r="BB46" i="11"/>
  <c r="AT46" i="11"/>
  <c r="AS46" i="11" s="1"/>
  <c r="AZ46" i="11" s="1"/>
  <c r="BA46" i="11"/>
  <c r="Z41" i="11"/>
  <c r="Z43" i="11" s="1"/>
  <c r="Y40" i="11"/>
  <c r="Z40" i="11"/>
  <c r="Y43" i="11"/>
  <c r="Z42" i="11"/>
  <c r="Y42" i="11"/>
  <c r="F39" i="11"/>
  <c r="C43" i="11" s="1"/>
  <c r="C44" i="11" s="1"/>
  <c r="BB42" i="11"/>
  <c r="C41" i="11"/>
  <c r="C42" i="11" s="1"/>
  <c r="M3" i="11"/>
  <c r="P8" i="11" s="1"/>
  <c r="BB41" i="11"/>
  <c r="P34" i="11"/>
  <c r="P10" i="11"/>
  <c r="P32" i="11" s="1"/>
  <c r="P41" i="11" s="1"/>
  <c r="BB40" i="11"/>
  <c r="BX39" i="11"/>
  <c r="BV39" i="11"/>
  <c r="BT39" i="11"/>
  <c r="BR39" i="11"/>
  <c r="BL39" i="11"/>
  <c r="BK39" i="11"/>
  <c r="BJ39" i="11"/>
  <c r="BI39" i="11"/>
  <c r="E29" i="11"/>
  <c r="N19" i="11" s="1"/>
  <c r="L39" i="11"/>
  <c r="BX38" i="11"/>
  <c r="BV38" i="11"/>
  <c r="BT38" i="11"/>
  <c r="BR38" i="11"/>
  <c r="AY38" i="11"/>
  <c r="R38" i="11"/>
  <c r="BX37" i="11"/>
  <c r="BV37" i="11"/>
  <c r="BT37" i="11"/>
  <c r="BR37" i="11"/>
  <c r="AY37" i="11"/>
  <c r="M4" i="11"/>
  <c r="P7" i="11"/>
  <c r="P12" i="11" s="1"/>
  <c r="P17" i="11" s="1"/>
  <c r="B34" i="11"/>
  <c r="F34" i="11" s="1"/>
  <c r="C34" i="11"/>
  <c r="D34" i="11"/>
  <c r="M33" i="11" s="1"/>
  <c r="N33" i="11" s="1"/>
  <c r="O33" i="11" s="1"/>
  <c r="P33" i="11" s="1"/>
  <c r="Q33" i="11" s="1"/>
  <c r="R33" i="11" s="1"/>
  <c r="E34" i="11"/>
  <c r="Q34" i="11"/>
  <c r="R34" i="11" s="1"/>
  <c r="M35" i="11"/>
  <c r="N35" i="11" s="1"/>
  <c r="P35" i="11" s="1"/>
  <c r="Q35" i="11" s="1"/>
  <c r="R35" i="11" s="1"/>
  <c r="P18" i="11"/>
  <c r="P36" i="11" s="1"/>
  <c r="Q36" i="11" s="1"/>
  <c r="R36" i="11" s="1"/>
  <c r="M7" i="11"/>
  <c r="O7" i="11"/>
  <c r="M8" i="11"/>
  <c r="M10" i="11"/>
  <c r="O10" i="11" s="1"/>
  <c r="O32" i="11" s="1"/>
  <c r="O34" i="11"/>
  <c r="O36" i="11"/>
  <c r="N7" i="11"/>
  <c r="N34" i="11"/>
  <c r="N18" i="11"/>
  <c r="N36" i="11"/>
  <c r="M9" i="11"/>
  <c r="M31" i="11"/>
  <c r="M34" i="11"/>
  <c r="M18" i="11"/>
  <c r="M36" i="11"/>
  <c r="BX36" i="11"/>
  <c r="BV36" i="11"/>
  <c r="BT36" i="11"/>
  <c r="BR36" i="11"/>
  <c r="B36" i="11"/>
  <c r="W28" i="11"/>
  <c r="W32" i="11"/>
  <c r="AD32" i="11" s="1"/>
  <c r="X28" i="11"/>
  <c r="AD28" i="11" s="1"/>
  <c r="X32" i="11"/>
  <c r="Y28" i="11"/>
  <c r="Y32" i="11"/>
  <c r="Z29" i="11"/>
  <c r="Z28" i="11"/>
  <c r="Z30" i="11" s="1"/>
  <c r="Z32" i="11"/>
  <c r="AB15" i="11"/>
  <c r="AB17" i="11" s="1"/>
  <c r="W33" i="11"/>
  <c r="AA33" i="11" s="1"/>
  <c r="Z33" i="11"/>
  <c r="Y33" i="11"/>
  <c r="X33" i="11"/>
  <c r="AC32" i="11"/>
  <c r="AA32" i="11"/>
  <c r="AA31" i="11"/>
  <c r="AC28" i="11"/>
  <c r="AA28" i="11"/>
  <c r="C29" i="11"/>
  <c r="B29" i="11"/>
  <c r="AC27" i="11"/>
  <c r="Z26" i="11"/>
  <c r="Y26" i="11"/>
  <c r="W26" i="11"/>
  <c r="O16" i="11"/>
  <c r="O24" i="11" s="1"/>
  <c r="O12" i="11"/>
  <c r="O17" i="11" s="1"/>
  <c r="O25" i="11" s="1"/>
  <c r="O19" i="11"/>
  <c r="M16" i="11"/>
  <c r="M24" i="11" s="1"/>
  <c r="M12" i="11"/>
  <c r="M17" i="11" s="1"/>
  <c r="M25" i="11" s="1"/>
  <c r="M19" i="11"/>
  <c r="Z24" i="11"/>
  <c r="AA23" i="11"/>
  <c r="AG22" i="11"/>
  <c r="AF22" i="11"/>
  <c r="Y22" i="11"/>
  <c r="AF21" i="11" s="1"/>
  <c r="B21" i="11"/>
  <c r="AB16" i="11"/>
  <c r="AC16" i="11"/>
  <c r="AD16" i="11" s="1"/>
  <c r="AA16" i="11"/>
  <c r="M11" i="11"/>
  <c r="T5" i="11"/>
  <c r="T6" i="11"/>
  <c r="F2" i="11"/>
  <c r="F3" i="11"/>
  <c r="F6" i="11" s="1"/>
  <c r="F4" i="11"/>
  <c r="F5" i="11"/>
  <c r="AG5" i="11"/>
  <c r="AG4" i="11"/>
  <c r="H4" i="11"/>
  <c r="A3" i="10"/>
  <c r="G32" i="10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BH81" i="5"/>
  <c r="BH82" i="5"/>
  <c r="BH83" i="5"/>
  <c r="BH84" i="5"/>
  <c r="BH85" i="5"/>
  <c r="BH86" i="5"/>
  <c r="BH87" i="5"/>
  <c r="BH88" i="5"/>
  <c r="BH89" i="5"/>
  <c r="BH90" i="5"/>
  <c r="BH91" i="5"/>
  <c r="BH92" i="5"/>
  <c r="BH93" i="5"/>
  <c r="BH94" i="5"/>
  <c r="BH95" i="5"/>
  <c r="BH96" i="5"/>
  <c r="BH97" i="5"/>
  <c r="BH98" i="5"/>
  <c r="BH99" i="5"/>
  <c r="BH100" i="5"/>
  <c r="BH101" i="5"/>
  <c r="BH102" i="5"/>
  <c r="BH103" i="5"/>
  <c r="BH104" i="5"/>
  <c r="BH105" i="5"/>
  <c r="BH106" i="5"/>
  <c r="BH107" i="5"/>
  <c r="BH108" i="5"/>
  <c r="BH109" i="5"/>
  <c r="BH110" i="5"/>
  <c r="BH111" i="5"/>
  <c r="BH112" i="5"/>
  <c r="BH113" i="5"/>
  <c r="BH114" i="5"/>
  <c r="BH115" i="5"/>
  <c r="BH116" i="5"/>
  <c r="BH117" i="5"/>
  <c r="BH118" i="5"/>
  <c r="BH119" i="5"/>
  <c r="BH120" i="5"/>
  <c r="BH121" i="5"/>
  <c r="BH122" i="5"/>
  <c r="BH123" i="5"/>
  <c r="BH124" i="5"/>
  <c r="BH125" i="5"/>
  <c r="BH126" i="5"/>
  <c r="BH127" i="5"/>
  <c r="BH128" i="5"/>
  <c r="BH129" i="5"/>
  <c r="BH130" i="5"/>
  <c r="BH131" i="5"/>
  <c r="BH132" i="5"/>
  <c r="BH133" i="5"/>
  <c r="BH134" i="5"/>
  <c r="BH135" i="5"/>
  <c r="BH136" i="5"/>
  <c r="BH137" i="5"/>
  <c r="BH138" i="5"/>
  <c r="BH139" i="5"/>
  <c r="BH140" i="5"/>
  <c r="BH141" i="5"/>
  <c r="BH142" i="5"/>
  <c r="BH143" i="5"/>
  <c r="BH144" i="5"/>
  <c r="BH145" i="5"/>
  <c r="BH146" i="5"/>
  <c r="BH147" i="5"/>
  <c r="BH148" i="5"/>
  <c r="BH149" i="5"/>
  <c r="BH150" i="5"/>
  <c r="BH151" i="5"/>
  <c r="BH152" i="5"/>
  <c r="BH153" i="5"/>
  <c r="BH154" i="5"/>
  <c r="BH155" i="5"/>
  <c r="BH156" i="5"/>
  <c r="BH157" i="5"/>
  <c r="BH158" i="5"/>
  <c r="BH159" i="5"/>
  <c r="BH160" i="5"/>
  <c r="BH161" i="5"/>
  <c r="BH162" i="5"/>
  <c r="BH163" i="5"/>
  <c r="BH164" i="5"/>
  <c r="BH165" i="5"/>
  <c r="BH166" i="5"/>
  <c r="BH167" i="5"/>
  <c r="BH168" i="5"/>
  <c r="BH169" i="5"/>
  <c r="BH170" i="5"/>
  <c r="BH80" i="5"/>
  <c r="BF171" i="5"/>
  <c r="AT32" i="5"/>
  <c r="AT31" i="5"/>
  <c r="AS32" i="5"/>
  <c r="AS31" i="5"/>
  <c r="AT33" i="5"/>
  <c r="AT34" i="5"/>
  <c r="AS33" i="5"/>
  <c r="AS34" i="5"/>
  <c r="AB23" i="9"/>
  <c r="AE23" i="9"/>
  <c r="AF23" i="9" s="1"/>
  <c r="AB24" i="9"/>
  <c r="AE24" i="9" s="1"/>
  <c r="AF24" i="9" s="1"/>
  <c r="AB25" i="9"/>
  <c r="AE25" i="9"/>
  <c r="AF25" i="9" s="1"/>
  <c r="AB26" i="9"/>
  <c r="AE26" i="9" s="1"/>
  <c r="AF26" i="9" s="1"/>
  <c r="AB54" i="9"/>
  <c r="AE54" i="9"/>
  <c r="AF54" i="9" s="1"/>
  <c r="AB87" i="9"/>
  <c r="AE87" i="9" s="1"/>
  <c r="AF87" i="9" s="1"/>
  <c r="AB88" i="9"/>
  <c r="AE88" i="9"/>
  <c r="AF88" i="9" s="1"/>
  <c r="AB89" i="9"/>
  <c r="AE89" i="9" s="1"/>
  <c r="AF89" i="9" s="1"/>
  <c r="AB90" i="9"/>
  <c r="AE90" i="9"/>
  <c r="AF90" i="9" s="1"/>
  <c r="T23" i="9"/>
  <c r="W23" i="9" s="1"/>
  <c r="X23" i="9" s="1"/>
  <c r="T24" i="9"/>
  <c r="W24" i="9"/>
  <c r="X24" i="9" s="1"/>
  <c r="T25" i="9"/>
  <c r="W25" i="9" s="1"/>
  <c r="X25" i="9" s="1"/>
  <c r="T26" i="9"/>
  <c r="W26" i="9"/>
  <c r="X26" i="9" s="1"/>
  <c r="T38" i="9"/>
  <c r="W38" i="9" s="1"/>
  <c r="X38" i="9" s="1"/>
  <c r="T54" i="9"/>
  <c r="W54" i="9"/>
  <c r="X54" i="9" s="1"/>
  <c r="T29" i="9"/>
  <c r="W29" i="9" s="1"/>
  <c r="X29" i="9" s="1"/>
  <c r="T30" i="9"/>
  <c r="W30" i="9"/>
  <c r="X30" i="9" s="1"/>
  <c r="T32" i="9"/>
  <c r="W32" i="9" s="1"/>
  <c r="X32" i="9" s="1"/>
  <c r="L86" i="9"/>
  <c r="O86" i="9"/>
  <c r="P86" i="9" s="1"/>
  <c r="L54" i="9"/>
  <c r="O54" i="9" s="1"/>
  <c r="P54" i="9" s="1"/>
  <c r="L26" i="9"/>
  <c r="O26" i="9"/>
  <c r="P26" i="9" s="1"/>
  <c r="L25" i="9"/>
  <c r="O25" i="9" s="1"/>
  <c r="P25" i="9" s="1"/>
  <c r="L24" i="9"/>
  <c r="O24" i="9"/>
  <c r="P24" i="9" s="1"/>
  <c r="L23" i="9"/>
  <c r="O23" i="9" s="1"/>
  <c r="P23" i="9" s="1"/>
  <c r="AG112" i="9"/>
  <c r="AG113" i="9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B150" i="9"/>
  <c r="AE150" i="9" s="1"/>
  <c r="Y23" i="9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Y95" i="9" s="1"/>
  <c r="Y96" i="9" s="1"/>
  <c r="Y97" i="9" s="1"/>
  <c r="Y98" i="9" s="1"/>
  <c r="Y99" i="9" s="1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Y119" i="9" s="1"/>
  <c r="Y120" i="9" s="1"/>
  <c r="Y121" i="9" s="1"/>
  <c r="Y122" i="9" s="1"/>
  <c r="Y123" i="9" s="1"/>
  <c r="Y124" i="9" s="1"/>
  <c r="Y125" i="9" s="1"/>
  <c r="Y126" i="9" s="1"/>
  <c r="Y127" i="9" s="1"/>
  <c r="Y128" i="9" s="1"/>
  <c r="Y129" i="9" s="1"/>
  <c r="Y130" i="9" s="1"/>
  <c r="Y131" i="9" s="1"/>
  <c r="Y132" i="9" s="1"/>
  <c r="Y133" i="9" s="1"/>
  <c r="Y134" i="9" s="1"/>
  <c r="Y135" i="9" s="1"/>
  <c r="Y136" i="9" s="1"/>
  <c r="Y137" i="9" s="1"/>
  <c r="Y138" i="9" s="1"/>
  <c r="Y139" i="9" s="1"/>
  <c r="Y140" i="9" s="1"/>
  <c r="Y141" i="9" s="1"/>
  <c r="Y142" i="9" s="1"/>
  <c r="Y143" i="9" s="1"/>
  <c r="Y144" i="9" s="1"/>
  <c r="Y145" i="9" s="1"/>
  <c r="Y146" i="9" s="1"/>
  <c r="Y147" i="9" s="1"/>
  <c r="Y148" i="9" s="1"/>
  <c r="Y149" i="9" s="1"/>
  <c r="Y150" i="9" s="1"/>
  <c r="T150" i="9"/>
  <c r="W150" i="9" s="1"/>
  <c r="Q112" i="9"/>
  <c r="Q113" i="9" s="1"/>
  <c r="Q114" i="9" s="1"/>
  <c r="Q115" i="9" s="1"/>
  <c r="Q116" i="9" s="1"/>
  <c r="Q117" i="9" s="1"/>
  <c r="Q118" i="9" s="1"/>
  <c r="Q119" i="9" s="1"/>
  <c r="Q120" i="9" s="1"/>
  <c r="Q121" i="9" s="1"/>
  <c r="Q122" i="9" s="1"/>
  <c r="Q123" i="9" s="1"/>
  <c r="Q124" i="9" s="1"/>
  <c r="Q125" i="9" s="1"/>
  <c r="Q126" i="9" s="1"/>
  <c r="Q127" i="9" s="1"/>
  <c r="Q128" i="9" s="1"/>
  <c r="Q129" i="9" s="1"/>
  <c r="Q130" i="9" s="1"/>
  <c r="Q131" i="9" s="1"/>
  <c r="Q132" i="9" s="1"/>
  <c r="Q133" i="9" s="1"/>
  <c r="Q134" i="9" s="1"/>
  <c r="Q135" i="9" s="1"/>
  <c r="Q136" i="9" s="1"/>
  <c r="Q137" i="9" s="1"/>
  <c r="Q138" i="9" s="1"/>
  <c r="Q139" i="9" s="1"/>
  <c r="Q140" i="9" s="1"/>
  <c r="Q141" i="9" s="1"/>
  <c r="Q142" i="9" s="1"/>
  <c r="Q143" i="9" s="1"/>
  <c r="Q144" i="9" s="1"/>
  <c r="Q145" i="9" s="1"/>
  <c r="Q146" i="9" s="1"/>
  <c r="Q147" i="9" s="1"/>
  <c r="Q148" i="9" s="1"/>
  <c r="Q149" i="9" s="1"/>
  <c r="Q150" i="9" s="1"/>
  <c r="AB149" i="9"/>
  <c r="AE149" i="9"/>
  <c r="T149" i="9"/>
  <c r="W149" i="9"/>
  <c r="AB148" i="9"/>
  <c r="AE148" i="9"/>
  <c r="T148" i="9"/>
  <c r="W148" i="9"/>
  <c r="AB147" i="9"/>
  <c r="AE147" i="9"/>
  <c r="T147" i="9"/>
  <c r="W147" i="9"/>
  <c r="AB146" i="9"/>
  <c r="AE146" i="9"/>
  <c r="T146" i="9"/>
  <c r="W146" i="9"/>
  <c r="AB145" i="9"/>
  <c r="AE145" i="9"/>
  <c r="T145" i="9"/>
  <c r="W145" i="9"/>
  <c r="AB144" i="9"/>
  <c r="AE144" i="9"/>
  <c r="T144" i="9"/>
  <c r="W144" i="9"/>
  <c r="AB143" i="9"/>
  <c r="AE143" i="9"/>
  <c r="T143" i="9"/>
  <c r="W143" i="9"/>
  <c r="AB142" i="9"/>
  <c r="AE142" i="9"/>
  <c r="T142" i="9"/>
  <c r="W142" i="9"/>
  <c r="AB141" i="9"/>
  <c r="AE141" i="9"/>
  <c r="T141" i="9"/>
  <c r="W141" i="9"/>
  <c r="AB140" i="9"/>
  <c r="AE140" i="9"/>
  <c r="T140" i="9"/>
  <c r="W140" i="9"/>
  <c r="AB139" i="9"/>
  <c r="AE139" i="9"/>
  <c r="T139" i="9"/>
  <c r="W139" i="9"/>
  <c r="AB138" i="9"/>
  <c r="AE138" i="9"/>
  <c r="T138" i="9"/>
  <c r="W138" i="9"/>
  <c r="AB137" i="9"/>
  <c r="AE137" i="9"/>
  <c r="T137" i="9"/>
  <c r="W137" i="9"/>
  <c r="AB136" i="9"/>
  <c r="AE136" i="9"/>
  <c r="T136" i="9"/>
  <c r="W136" i="9"/>
  <c r="AB135" i="9"/>
  <c r="AE135" i="9"/>
  <c r="T135" i="9"/>
  <c r="W135" i="9"/>
  <c r="AB134" i="9"/>
  <c r="AE134" i="9"/>
  <c r="T134" i="9"/>
  <c r="W134" i="9"/>
  <c r="AB133" i="9"/>
  <c r="AE133" i="9"/>
  <c r="T133" i="9"/>
  <c r="W133" i="9"/>
  <c r="AB132" i="9"/>
  <c r="AE132" i="9"/>
  <c r="T132" i="9"/>
  <c r="W132" i="9"/>
  <c r="AB131" i="9"/>
  <c r="AE131" i="9"/>
  <c r="T131" i="9"/>
  <c r="W131" i="9"/>
  <c r="AB130" i="9"/>
  <c r="AE130" i="9"/>
  <c r="T130" i="9"/>
  <c r="W130" i="9"/>
  <c r="AB129" i="9"/>
  <c r="AE129" i="9"/>
  <c r="T129" i="9"/>
  <c r="W129" i="9"/>
  <c r="AB128" i="9"/>
  <c r="AE128" i="9"/>
  <c r="T128" i="9"/>
  <c r="W128" i="9"/>
  <c r="AB127" i="9"/>
  <c r="AE127" i="9"/>
  <c r="T127" i="9"/>
  <c r="W127" i="9"/>
  <c r="AB126" i="9"/>
  <c r="AE126" i="9"/>
  <c r="T126" i="9"/>
  <c r="W126" i="9"/>
  <c r="AB125" i="9"/>
  <c r="AE125" i="9"/>
  <c r="T125" i="9"/>
  <c r="W125" i="9"/>
  <c r="AB124" i="9"/>
  <c r="AE124" i="9"/>
  <c r="T124" i="9"/>
  <c r="W124" i="9"/>
  <c r="AB123" i="9"/>
  <c r="AE123" i="9"/>
  <c r="T123" i="9"/>
  <c r="W123" i="9"/>
  <c r="AB122" i="9"/>
  <c r="AE122" i="9"/>
  <c r="T122" i="9"/>
  <c r="W122" i="9"/>
  <c r="AB121" i="9"/>
  <c r="AE121" i="9"/>
  <c r="T121" i="9"/>
  <c r="W121" i="9"/>
  <c r="AB120" i="9"/>
  <c r="AE120" i="9"/>
  <c r="T120" i="9"/>
  <c r="W120" i="9"/>
  <c r="AB119" i="9"/>
  <c r="AE119" i="9"/>
  <c r="T119" i="9"/>
  <c r="W119" i="9"/>
  <c r="AB118" i="9"/>
  <c r="AE118" i="9"/>
  <c r="T118" i="9"/>
  <c r="W118" i="9"/>
  <c r="AB117" i="9"/>
  <c r="AE117" i="9"/>
  <c r="T117" i="9"/>
  <c r="W117" i="9"/>
  <c r="D117" i="9"/>
  <c r="G117" i="9"/>
  <c r="AB116" i="9"/>
  <c r="AE116" i="9"/>
  <c r="T116" i="9"/>
  <c r="W116" i="9"/>
  <c r="D116" i="9"/>
  <c r="G116" i="9"/>
  <c r="AB115" i="9"/>
  <c r="AE115" i="9"/>
  <c r="T115" i="9"/>
  <c r="W115" i="9"/>
  <c r="D115" i="9"/>
  <c r="G115" i="9"/>
  <c r="AB114" i="9"/>
  <c r="AE114" i="9"/>
  <c r="T114" i="9"/>
  <c r="W114" i="9"/>
  <c r="D114" i="9"/>
  <c r="G114" i="9"/>
  <c r="AB113" i="9"/>
  <c r="AE113" i="9"/>
  <c r="T113" i="9"/>
  <c r="W113" i="9"/>
  <c r="D113" i="9"/>
  <c r="G113" i="9"/>
  <c r="AB112" i="9"/>
  <c r="AE112" i="9"/>
  <c r="T112" i="9"/>
  <c r="W112" i="9"/>
  <c r="D112" i="9"/>
  <c r="G112" i="9"/>
  <c r="AB111" i="9"/>
  <c r="AE111" i="9"/>
  <c r="T111" i="9"/>
  <c r="W111" i="9"/>
  <c r="L111" i="9"/>
  <c r="O111" i="9"/>
  <c r="D111" i="9"/>
  <c r="G111" i="9"/>
  <c r="AB110" i="9"/>
  <c r="AE110" i="9"/>
  <c r="T110" i="9"/>
  <c r="W110" i="9"/>
  <c r="L110" i="9"/>
  <c r="O110" i="9"/>
  <c r="D110" i="9"/>
  <c r="G110" i="9"/>
  <c r="AB109" i="9"/>
  <c r="AE109" i="9"/>
  <c r="T109" i="9"/>
  <c r="W109" i="9"/>
  <c r="L109" i="9"/>
  <c r="O109" i="9"/>
  <c r="D109" i="9"/>
  <c r="G109" i="9"/>
  <c r="AB108" i="9"/>
  <c r="AE108" i="9"/>
  <c r="T108" i="9"/>
  <c r="W108" i="9"/>
  <c r="L108" i="9"/>
  <c r="O108" i="9"/>
  <c r="D108" i="9"/>
  <c r="G108" i="9"/>
  <c r="AB107" i="9"/>
  <c r="AE107" i="9"/>
  <c r="T107" i="9"/>
  <c r="W107" i="9"/>
  <c r="L107" i="9"/>
  <c r="O107" i="9"/>
  <c r="D107" i="9"/>
  <c r="G107" i="9"/>
  <c r="AB106" i="9"/>
  <c r="AE106" i="9"/>
  <c r="T106" i="9"/>
  <c r="W106" i="9"/>
  <c r="L106" i="9"/>
  <c r="O106" i="9"/>
  <c r="D106" i="9"/>
  <c r="G106" i="9"/>
  <c r="AB105" i="9"/>
  <c r="AE105" i="9"/>
  <c r="T105" i="9"/>
  <c r="W105" i="9"/>
  <c r="L105" i="9"/>
  <c r="O105" i="9"/>
  <c r="D105" i="9"/>
  <c r="G105" i="9"/>
  <c r="AB104" i="9"/>
  <c r="AE104" i="9"/>
  <c r="T104" i="9"/>
  <c r="W104" i="9"/>
  <c r="L104" i="9"/>
  <c r="O104" i="9"/>
  <c r="D104" i="9"/>
  <c r="G104" i="9"/>
  <c r="AB103" i="9"/>
  <c r="AE103" i="9"/>
  <c r="T103" i="9"/>
  <c r="W103" i="9"/>
  <c r="L103" i="9"/>
  <c r="O103" i="9"/>
  <c r="D103" i="9"/>
  <c r="G103" i="9"/>
  <c r="AB102" i="9"/>
  <c r="AE102" i="9"/>
  <c r="T102" i="9"/>
  <c r="W102" i="9"/>
  <c r="L102" i="9"/>
  <c r="O102" i="9"/>
  <c r="D102" i="9"/>
  <c r="G102" i="9"/>
  <c r="AB101" i="9"/>
  <c r="AE101" i="9"/>
  <c r="T101" i="9"/>
  <c r="W101" i="9"/>
  <c r="L101" i="9"/>
  <c r="O101" i="9"/>
  <c r="D101" i="9"/>
  <c r="G101" i="9"/>
  <c r="AB100" i="9"/>
  <c r="AE100" i="9"/>
  <c r="T100" i="9"/>
  <c r="W100" i="9"/>
  <c r="L100" i="9"/>
  <c r="O100" i="9"/>
  <c r="D100" i="9"/>
  <c r="G100" i="9"/>
  <c r="AB99" i="9"/>
  <c r="AE99" i="9"/>
  <c r="T99" i="9"/>
  <c r="W99" i="9"/>
  <c r="L99" i="9"/>
  <c r="O99" i="9"/>
  <c r="D99" i="9"/>
  <c r="G99" i="9"/>
  <c r="AB98" i="9"/>
  <c r="AE98" i="9"/>
  <c r="T98" i="9"/>
  <c r="W98" i="9"/>
  <c r="L98" i="9"/>
  <c r="O98" i="9"/>
  <c r="D98" i="9"/>
  <c r="G98" i="9"/>
  <c r="AB97" i="9"/>
  <c r="AE97" i="9"/>
  <c r="T97" i="9"/>
  <c r="W97" i="9"/>
  <c r="L97" i="9"/>
  <c r="O97" i="9"/>
  <c r="D97" i="9"/>
  <c r="G97" i="9"/>
  <c r="AB96" i="9"/>
  <c r="AE96" i="9"/>
  <c r="T96" i="9"/>
  <c r="W96" i="9"/>
  <c r="L96" i="9"/>
  <c r="O96" i="9"/>
  <c r="D96" i="9"/>
  <c r="G96" i="9"/>
  <c r="AB95" i="9"/>
  <c r="AE95" i="9"/>
  <c r="T95" i="9"/>
  <c r="W95" i="9"/>
  <c r="L95" i="9"/>
  <c r="O95" i="9"/>
  <c r="D95" i="9"/>
  <c r="G95" i="9"/>
  <c r="AB94" i="9"/>
  <c r="AE94" i="9"/>
  <c r="T94" i="9"/>
  <c r="W94" i="9"/>
  <c r="L94" i="9"/>
  <c r="O94" i="9"/>
  <c r="D94" i="9"/>
  <c r="G94" i="9"/>
  <c r="AB93" i="9"/>
  <c r="AE93" i="9"/>
  <c r="T93" i="9"/>
  <c r="W93" i="9"/>
  <c r="L93" i="9"/>
  <c r="O93" i="9"/>
  <c r="D93" i="9"/>
  <c r="G93" i="9"/>
  <c r="AB92" i="9"/>
  <c r="AE92" i="9"/>
  <c r="T92" i="9"/>
  <c r="W92" i="9"/>
  <c r="L92" i="9"/>
  <c r="O92" i="9"/>
  <c r="D92" i="9"/>
  <c r="G92" i="9"/>
  <c r="AB91" i="9"/>
  <c r="AE91" i="9"/>
  <c r="T91" i="9"/>
  <c r="W91" i="9"/>
  <c r="L91" i="9"/>
  <c r="O91" i="9"/>
  <c r="D91" i="9"/>
  <c r="G91" i="9"/>
  <c r="T90" i="9"/>
  <c r="W90" i="9"/>
  <c r="L90" i="9"/>
  <c r="O90" i="9"/>
  <c r="D90" i="9"/>
  <c r="G90" i="9"/>
  <c r="T89" i="9"/>
  <c r="W89" i="9"/>
  <c r="L89" i="9"/>
  <c r="O89" i="9"/>
  <c r="D89" i="9"/>
  <c r="G89" i="9"/>
  <c r="T88" i="9"/>
  <c r="W88" i="9"/>
  <c r="L88" i="9"/>
  <c r="O88" i="9"/>
  <c r="D88" i="9"/>
  <c r="G88" i="9"/>
  <c r="T87" i="9"/>
  <c r="W87" i="9"/>
  <c r="L87" i="9"/>
  <c r="O87" i="9"/>
  <c r="D87" i="9"/>
  <c r="G87" i="9"/>
  <c r="BF84" i="9"/>
  <c r="BF85" i="9"/>
  <c r="BF86" i="9" s="1"/>
  <c r="AB86" i="9"/>
  <c r="AE86" i="9" s="1"/>
  <c r="T86" i="9"/>
  <c r="W86" i="9" s="1"/>
  <c r="D86" i="9"/>
  <c r="G86" i="9" s="1"/>
  <c r="AB85" i="9"/>
  <c r="AE85" i="9" s="1"/>
  <c r="T85" i="9"/>
  <c r="W85" i="9" s="1"/>
  <c r="L85" i="9"/>
  <c r="O85" i="9" s="1"/>
  <c r="D85" i="9"/>
  <c r="G85" i="9" s="1"/>
  <c r="AB84" i="9"/>
  <c r="AE84" i="9" s="1"/>
  <c r="T84" i="9"/>
  <c r="W84" i="9" s="1"/>
  <c r="L84" i="9"/>
  <c r="O84" i="9" s="1"/>
  <c r="D84" i="9"/>
  <c r="G84" i="9" s="1"/>
  <c r="AB83" i="9"/>
  <c r="AE83" i="9" s="1"/>
  <c r="T83" i="9"/>
  <c r="W83" i="9" s="1"/>
  <c r="L83" i="9"/>
  <c r="O83" i="9" s="1"/>
  <c r="D83" i="9"/>
  <c r="G83" i="9" s="1"/>
  <c r="AB82" i="9"/>
  <c r="AE82" i="9" s="1"/>
  <c r="T82" i="9"/>
  <c r="W82" i="9" s="1"/>
  <c r="L82" i="9"/>
  <c r="O82" i="9" s="1"/>
  <c r="D82" i="9"/>
  <c r="G82" i="9" s="1"/>
  <c r="AB81" i="9"/>
  <c r="AE81" i="9" s="1"/>
  <c r="T81" i="9"/>
  <c r="W81" i="9" s="1"/>
  <c r="L81" i="9"/>
  <c r="O81" i="9" s="1"/>
  <c r="D81" i="9"/>
  <c r="G81" i="9" s="1"/>
  <c r="AB80" i="9"/>
  <c r="AE80" i="9" s="1"/>
  <c r="T80" i="9"/>
  <c r="W80" i="9" s="1"/>
  <c r="L80" i="9"/>
  <c r="O80" i="9" s="1"/>
  <c r="D80" i="9"/>
  <c r="G80" i="9" s="1"/>
  <c r="AB79" i="9"/>
  <c r="AE79" i="9" s="1"/>
  <c r="T79" i="9"/>
  <c r="W79" i="9" s="1"/>
  <c r="L79" i="9"/>
  <c r="O79" i="9" s="1"/>
  <c r="D79" i="9"/>
  <c r="G79" i="9" s="1"/>
  <c r="AB78" i="9"/>
  <c r="AE78" i="9" s="1"/>
  <c r="W78" i="9"/>
  <c r="L78" i="9"/>
  <c r="O78" i="9"/>
  <c r="D78" i="9"/>
  <c r="G78" i="9"/>
  <c r="AB77" i="9"/>
  <c r="AE77" i="9"/>
  <c r="T77" i="9"/>
  <c r="W77" i="9"/>
  <c r="L77" i="9"/>
  <c r="O77" i="9"/>
  <c r="D77" i="9"/>
  <c r="G77" i="9"/>
  <c r="AB76" i="9"/>
  <c r="AE76" i="9"/>
  <c r="T76" i="9"/>
  <c r="W76" i="9"/>
  <c r="L76" i="9"/>
  <c r="O76" i="9"/>
  <c r="D76" i="9"/>
  <c r="G76" i="9"/>
  <c r="AB75" i="9"/>
  <c r="AE75" i="9"/>
  <c r="T75" i="9"/>
  <c r="W75" i="9"/>
  <c r="L75" i="9"/>
  <c r="O75" i="9"/>
  <c r="D75" i="9"/>
  <c r="G75" i="9"/>
  <c r="AB74" i="9"/>
  <c r="AE74" i="9"/>
  <c r="T74" i="9"/>
  <c r="W74" i="9"/>
  <c r="L74" i="9"/>
  <c r="O74" i="9"/>
  <c r="D74" i="9"/>
  <c r="G74" i="9"/>
  <c r="AB73" i="9"/>
  <c r="AE73" i="9"/>
  <c r="T73" i="9"/>
  <c r="W73" i="9"/>
  <c r="L73" i="9"/>
  <c r="O73" i="9"/>
  <c r="D73" i="9"/>
  <c r="G73" i="9"/>
  <c r="AB72" i="9"/>
  <c r="AE72" i="9"/>
  <c r="T72" i="9"/>
  <c r="W72" i="9"/>
  <c r="L72" i="9"/>
  <c r="O72" i="9"/>
  <c r="D72" i="9"/>
  <c r="G72" i="9"/>
  <c r="AB71" i="9"/>
  <c r="AE71" i="9"/>
  <c r="T71" i="9"/>
  <c r="W71" i="9"/>
  <c r="L71" i="9"/>
  <c r="O71" i="9"/>
  <c r="D71" i="9"/>
  <c r="G71" i="9"/>
  <c r="AB70" i="9"/>
  <c r="AE70" i="9"/>
  <c r="T70" i="9"/>
  <c r="W70" i="9"/>
  <c r="L70" i="9"/>
  <c r="O70" i="9"/>
  <c r="D70" i="9"/>
  <c r="G70" i="9"/>
  <c r="AB69" i="9"/>
  <c r="AE69" i="9"/>
  <c r="T69" i="9"/>
  <c r="W69" i="9"/>
  <c r="L69" i="9"/>
  <c r="O69" i="9"/>
  <c r="D69" i="9"/>
  <c r="G69" i="9"/>
  <c r="AB68" i="9"/>
  <c r="AE68" i="9"/>
  <c r="T68" i="9"/>
  <c r="W68" i="9"/>
  <c r="L68" i="9"/>
  <c r="O68" i="9"/>
  <c r="D68" i="9"/>
  <c r="G68" i="9"/>
  <c r="AB67" i="9"/>
  <c r="AE67" i="9"/>
  <c r="T67" i="9"/>
  <c r="W67" i="9"/>
  <c r="L67" i="9"/>
  <c r="O67" i="9"/>
  <c r="D67" i="9"/>
  <c r="G67" i="9"/>
  <c r="AB66" i="9"/>
  <c r="AE66" i="9"/>
  <c r="T66" i="9"/>
  <c r="W66" i="9"/>
  <c r="L66" i="9"/>
  <c r="O66" i="9"/>
  <c r="D66" i="9"/>
  <c r="G66" i="9"/>
  <c r="AB65" i="9"/>
  <c r="AE65" i="9"/>
  <c r="T65" i="9"/>
  <c r="W65" i="9"/>
  <c r="L65" i="9"/>
  <c r="O65" i="9"/>
  <c r="D65" i="9"/>
  <c r="G65" i="9"/>
  <c r="BF56" i="9"/>
  <c r="BF57" i="9"/>
  <c r="BF58" i="9" s="1"/>
  <c r="BH53" i="9"/>
  <c r="BG56" i="9" s="1"/>
  <c r="AB64" i="9"/>
  <c r="AE64" i="9" s="1"/>
  <c r="T64" i="9"/>
  <c r="W64" i="9" s="1"/>
  <c r="L64" i="9"/>
  <c r="O64" i="9" s="1"/>
  <c r="D64" i="9"/>
  <c r="G64" i="9" s="1"/>
  <c r="AB63" i="9"/>
  <c r="AE63" i="9"/>
  <c r="T63" i="9"/>
  <c r="W63" i="9"/>
  <c r="L63" i="9"/>
  <c r="O63" i="9"/>
  <c r="D63" i="9"/>
  <c r="G63" i="9"/>
  <c r="AB62" i="9"/>
  <c r="AE62" i="9" s="1"/>
  <c r="T62" i="9"/>
  <c r="W62" i="9" s="1"/>
  <c r="L62" i="9"/>
  <c r="O62" i="9" s="1"/>
  <c r="D62" i="9"/>
  <c r="G62" i="9" s="1"/>
  <c r="AB61" i="9"/>
  <c r="AE61" i="9"/>
  <c r="T61" i="9"/>
  <c r="W61" i="9"/>
  <c r="L61" i="9"/>
  <c r="O61" i="9"/>
  <c r="D61" i="9"/>
  <c r="G61" i="9"/>
  <c r="AB60" i="9"/>
  <c r="AE60" i="9" s="1"/>
  <c r="T60" i="9"/>
  <c r="W60" i="9" s="1"/>
  <c r="L60" i="9"/>
  <c r="O60" i="9" s="1"/>
  <c r="D60" i="9"/>
  <c r="G60" i="9" s="1"/>
  <c r="AB59" i="9"/>
  <c r="AE59" i="9"/>
  <c r="T59" i="9"/>
  <c r="W59" i="9"/>
  <c r="L59" i="9"/>
  <c r="O59" i="9"/>
  <c r="D59" i="9"/>
  <c r="G59" i="9"/>
  <c r="AB58" i="9"/>
  <c r="AE58" i="9" s="1"/>
  <c r="T58" i="9"/>
  <c r="W58" i="9" s="1"/>
  <c r="L58" i="9"/>
  <c r="O58" i="9" s="1"/>
  <c r="D58" i="9"/>
  <c r="G58" i="9" s="1"/>
  <c r="BG57" i="9"/>
  <c r="AB57" i="9"/>
  <c r="AE57" i="9"/>
  <c r="T57" i="9"/>
  <c r="W57" i="9"/>
  <c r="L57" i="9"/>
  <c r="O57" i="9"/>
  <c r="D57" i="9"/>
  <c r="G57" i="9"/>
  <c r="AB56" i="9"/>
  <c r="AE56" i="9" s="1"/>
  <c r="T56" i="9"/>
  <c r="W56" i="9" s="1"/>
  <c r="L56" i="9"/>
  <c r="O56" i="9" s="1"/>
  <c r="D56" i="9"/>
  <c r="G56" i="9" s="1"/>
  <c r="BG55" i="9"/>
  <c r="AB55" i="9"/>
  <c r="AE55" i="9"/>
  <c r="T55" i="9"/>
  <c r="W55" i="9"/>
  <c r="L55" i="9"/>
  <c r="O55" i="9"/>
  <c r="D55" i="9"/>
  <c r="G55" i="9"/>
  <c r="D54" i="9"/>
  <c r="G54" i="9"/>
  <c r="AB53" i="9"/>
  <c r="AE53" i="9"/>
  <c r="T53" i="9"/>
  <c r="W53" i="9"/>
  <c r="L53" i="9"/>
  <c r="O53" i="9"/>
  <c r="D53" i="9"/>
  <c r="G53" i="9"/>
  <c r="AB52" i="9"/>
  <c r="AE52" i="9"/>
  <c r="T52" i="9"/>
  <c r="W52" i="9"/>
  <c r="L52" i="9"/>
  <c r="O52" i="9"/>
  <c r="D52" i="9"/>
  <c r="G52" i="9"/>
  <c r="AB51" i="9"/>
  <c r="AE51" i="9"/>
  <c r="T51" i="9"/>
  <c r="W51" i="9"/>
  <c r="L51" i="9"/>
  <c r="O51" i="9"/>
  <c r="D51" i="9"/>
  <c r="G51" i="9"/>
  <c r="AB50" i="9"/>
  <c r="AE50" i="9"/>
  <c r="T50" i="9"/>
  <c r="W50" i="9"/>
  <c r="L50" i="9"/>
  <c r="O50" i="9"/>
  <c r="D50" i="9"/>
  <c r="G50" i="9"/>
  <c r="AB49" i="9"/>
  <c r="AE49" i="9"/>
  <c r="T49" i="9"/>
  <c r="W49" i="9"/>
  <c r="L49" i="9"/>
  <c r="O49" i="9"/>
  <c r="D49" i="9"/>
  <c r="G49" i="9"/>
  <c r="AB48" i="9"/>
  <c r="AE48" i="9"/>
  <c r="T48" i="9"/>
  <c r="W48" i="9"/>
  <c r="L48" i="9"/>
  <c r="O48" i="9"/>
  <c r="D48" i="9"/>
  <c r="G48" i="9"/>
  <c r="AB47" i="9"/>
  <c r="AE47" i="9"/>
  <c r="T47" i="9"/>
  <c r="W47" i="9"/>
  <c r="L47" i="9"/>
  <c r="O47" i="9"/>
  <c r="D47" i="9"/>
  <c r="G47" i="9"/>
  <c r="AB46" i="9"/>
  <c r="AE46" i="9"/>
  <c r="T46" i="9"/>
  <c r="W46" i="9"/>
  <c r="L46" i="9"/>
  <c r="O46" i="9"/>
  <c r="D46" i="9"/>
  <c r="G46" i="9"/>
  <c r="AB45" i="9"/>
  <c r="AE45" i="9"/>
  <c r="T45" i="9"/>
  <c r="W45" i="9"/>
  <c r="L45" i="9"/>
  <c r="O45" i="9"/>
  <c r="D45" i="9"/>
  <c r="G45" i="9"/>
  <c r="AB44" i="9"/>
  <c r="AE44" i="9"/>
  <c r="T44" i="9"/>
  <c r="W44" i="9"/>
  <c r="L44" i="9"/>
  <c r="O44" i="9"/>
  <c r="D44" i="9"/>
  <c r="G44" i="9"/>
  <c r="AB43" i="9"/>
  <c r="AE43" i="9"/>
  <c r="T43" i="9"/>
  <c r="W43" i="9"/>
  <c r="L43" i="9"/>
  <c r="O43" i="9"/>
  <c r="D43" i="9"/>
  <c r="G43" i="9"/>
  <c r="AB42" i="9"/>
  <c r="AE42" i="9"/>
  <c r="T42" i="9"/>
  <c r="W42" i="9"/>
  <c r="L42" i="9"/>
  <c r="O42" i="9"/>
  <c r="D42" i="9"/>
  <c r="G42" i="9"/>
  <c r="AB41" i="9"/>
  <c r="AE41" i="9"/>
  <c r="T41" i="9"/>
  <c r="W41" i="9"/>
  <c r="L41" i="9"/>
  <c r="O41" i="9"/>
  <c r="D41" i="9"/>
  <c r="G41" i="9"/>
  <c r="AB40" i="9"/>
  <c r="AE40" i="9"/>
  <c r="T40" i="9"/>
  <c r="W40" i="9"/>
  <c r="L40" i="9"/>
  <c r="O40" i="9"/>
  <c r="D40" i="9"/>
  <c r="G40" i="9"/>
  <c r="AB39" i="9"/>
  <c r="AE39" i="9"/>
  <c r="T39" i="9"/>
  <c r="W39" i="9"/>
  <c r="L39" i="9"/>
  <c r="O39" i="9"/>
  <c r="D39" i="9"/>
  <c r="G39" i="9"/>
  <c r="AB38" i="9"/>
  <c r="AE38" i="9"/>
  <c r="L38" i="9"/>
  <c r="O38" i="9"/>
  <c r="D38" i="9"/>
  <c r="G38" i="9"/>
  <c r="AB37" i="9"/>
  <c r="AE37" i="9"/>
  <c r="T37" i="9"/>
  <c r="W37" i="9"/>
  <c r="L37" i="9"/>
  <c r="O37" i="9"/>
  <c r="D37" i="9"/>
  <c r="G37" i="9"/>
  <c r="AB36" i="9"/>
  <c r="AE36" i="9"/>
  <c r="T36" i="9"/>
  <c r="W36" i="9"/>
  <c r="L36" i="9"/>
  <c r="O36" i="9"/>
  <c r="D36" i="9"/>
  <c r="G36" i="9"/>
  <c r="AB35" i="9"/>
  <c r="AE35" i="9"/>
  <c r="T35" i="9"/>
  <c r="W35" i="9"/>
  <c r="L35" i="9"/>
  <c r="O35" i="9"/>
  <c r="D35" i="9"/>
  <c r="G35" i="9"/>
  <c r="AB34" i="9"/>
  <c r="AE34" i="9"/>
  <c r="T34" i="9"/>
  <c r="W34" i="9"/>
  <c r="L34" i="9"/>
  <c r="O34" i="9"/>
  <c r="D34" i="9"/>
  <c r="G34" i="9"/>
  <c r="AB33" i="9"/>
  <c r="AE33" i="9"/>
  <c r="T33" i="9"/>
  <c r="W33" i="9"/>
  <c r="L33" i="9"/>
  <c r="O33" i="9"/>
  <c r="D33" i="9"/>
  <c r="G33" i="9"/>
  <c r="AB32" i="9"/>
  <c r="AE32" i="9"/>
  <c r="L32" i="9"/>
  <c r="O32" i="9"/>
  <c r="D32" i="9"/>
  <c r="G32" i="9"/>
  <c r="AB31" i="9"/>
  <c r="AE31" i="9"/>
  <c r="T31" i="9"/>
  <c r="W31" i="9"/>
  <c r="L31" i="9"/>
  <c r="O31" i="9"/>
  <c r="B31" i="9"/>
  <c r="D31" i="9"/>
  <c r="G31" i="9" s="1"/>
  <c r="AB30" i="9"/>
  <c r="AE30" i="9" s="1"/>
  <c r="L30" i="9"/>
  <c r="O30" i="9" s="1"/>
  <c r="D30" i="9"/>
  <c r="G30" i="9" s="1"/>
  <c r="AB29" i="9"/>
  <c r="AE29" i="9" s="1"/>
  <c r="L29" i="9"/>
  <c r="O29" i="9" s="1"/>
  <c r="D29" i="9"/>
  <c r="G29" i="9" s="1"/>
  <c r="AB28" i="9"/>
  <c r="AE28" i="9" s="1"/>
  <c r="T28" i="9"/>
  <c r="W28" i="9" s="1"/>
  <c r="L28" i="9"/>
  <c r="O28" i="9" s="1"/>
  <c r="D28" i="9"/>
  <c r="G28" i="9" s="1"/>
  <c r="AB27" i="9"/>
  <c r="AE27" i="9" s="1"/>
  <c r="T27" i="9"/>
  <c r="W27" i="9" s="1"/>
  <c r="L27" i="9"/>
  <c r="O27" i="9" s="1"/>
  <c r="D27" i="9"/>
  <c r="G27" i="9" s="1"/>
  <c r="D26" i="9"/>
  <c r="G26" i="9" s="1"/>
  <c r="D25" i="9"/>
  <c r="G25" i="9" s="1"/>
  <c r="D24" i="9"/>
  <c r="G24" i="9" s="1"/>
  <c r="D23" i="9"/>
  <c r="G23" i="9" s="1"/>
  <c r="AT22" i="5"/>
  <c r="AT21" i="5"/>
  <c r="AT20" i="5"/>
  <c r="AT19" i="5"/>
  <c r="AM5" i="6"/>
  <c r="AN5" i="6" s="1"/>
  <c r="AM6" i="6"/>
  <c r="AN6" i="6" s="1"/>
  <c r="AM7" i="6"/>
  <c r="AN7" i="6" s="1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M35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M68" i="6"/>
  <c r="AN68" i="6"/>
  <c r="AM69" i="6"/>
  <c r="AN69" i="6"/>
  <c r="AM70" i="6"/>
  <c r="AN70" i="6"/>
  <c r="AM71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M4" i="6"/>
  <c r="AM132" i="6"/>
  <c r="AN132" i="6" s="1"/>
  <c r="AM136" i="6"/>
  <c r="AN136" i="6" s="1"/>
  <c r="AN4" i="6"/>
  <c r="AJ5" i="6"/>
  <c r="AK5" i="6"/>
  <c r="AJ6" i="6"/>
  <c r="AK6" i="6"/>
  <c r="AJ7" i="6"/>
  <c r="AK7" i="6"/>
  <c r="AK8" i="6"/>
  <c r="AK9" i="6"/>
  <c r="AJ10" i="6"/>
  <c r="AK10" i="6"/>
  <c r="AJ11" i="6"/>
  <c r="AK11" i="6"/>
  <c r="AK12" i="6"/>
  <c r="AJ13" i="6"/>
  <c r="AK13" i="6" s="1"/>
  <c r="AK14" i="6"/>
  <c r="AK15" i="6"/>
  <c r="AK16" i="6"/>
  <c r="AK17" i="6"/>
  <c r="AK18" i="6"/>
  <c r="AJ19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J35" i="6"/>
  <c r="AK35" i="6" s="1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J4" i="6"/>
  <c r="AJ133" i="6" s="1"/>
  <c r="AK133" i="6" s="1"/>
  <c r="AG5" i="6"/>
  <c r="AG136" i="6" s="1"/>
  <c r="AG6" i="6"/>
  <c r="AH6" i="6" s="1"/>
  <c r="AG7" i="6"/>
  <c r="AH7" i="6" s="1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G35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G67" i="6"/>
  <c r="AH67" i="6" s="1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G4" i="6"/>
  <c r="AH4" i="6"/>
  <c r="AD5" i="6"/>
  <c r="AE5" i="6"/>
  <c r="AD6" i="6"/>
  <c r="AE6" i="6"/>
  <c r="AE7" i="6"/>
  <c r="AD8" i="6"/>
  <c r="AE8" i="6" s="1"/>
  <c r="AD9" i="6"/>
  <c r="AE9" i="6" s="1"/>
  <c r="AE10" i="6"/>
  <c r="AE11" i="6"/>
  <c r="AD12" i="6"/>
  <c r="AE12" i="6" s="1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D35" i="6"/>
  <c r="AE35" i="6" s="1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D50" i="6"/>
  <c r="AE50" i="6" s="1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D93" i="6"/>
  <c r="AE93" i="6" s="1"/>
  <c r="AE94" i="6"/>
  <c r="AD4" i="6"/>
  <c r="AE4" i="6"/>
  <c r="AM219" i="8" a="1"/>
  <c r="AM220" i="8" s="1"/>
  <c r="AN220" i="8"/>
  <c r="AN222" i="8"/>
  <c r="AF130" i="7"/>
  <c r="AF131" i="7"/>
  <c r="AF132" i="7" s="1"/>
  <c r="H132" i="7"/>
  <c r="H135" i="7" s="1"/>
  <c r="H133" i="7"/>
  <c r="H134" i="7" s="1"/>
  <c r="F96" i="7"/>
  <c r="F97" i="7"/>
  <c r="F98" i="7" s="1"/>
  <c r="AG132" i="6"/>
  <c r="AB81" i="6"/>
  <c r="AB82" i="6" s="1"/>
  <c r="AB83" i="6" s="1"/>
  <c r="AB84" i="6" s="1"/>
  <c r="AB85" i="6"/>
  <c r="AB86" i="6" s="1"/>
  <c r="AB87" i="6" s="1"/>
  <c r="AB88" i="6" s="1"/>
  <c r="AB89" i="6"/>
  <c r="AB90" i="6" s="1"/>
  <c r="AB91" i="6" s="1"/>
  <c r="AB92" i="6" s="1"/>
  <c r="AB93" i="6"/>
  <c r="AB94" i="6" s="1"/>
  <c r="AB95" i="6" s="1"/>
  <c r="AB63" i="6"/>
  <c r="AB64" i="6"/>
  <c r="AB65" i="6" s="1"/>
  <c r="AB66" i="6" s="1"/>
  <c r="AB67" i="6" s="1"/>
  <c r="AB68" i="6"/>
  <c r="AB69" i="6" s="1"/>
  <c r="AB70" i="6" s="1"/>
  <c r="AB71" i="6" s="1"/>
  <c r="AB72" i="6"/>
  <c r="AB73" i="6" s="1"/>
  <c r="AB74" i="6" s="1"/>
  <c r="AB75" i="6" s="1"/>
  <c r="AB76" i="6" s="1"/>
  <c r="AB77" i="6" s="1"/>
  <c r="AB78" i="6" s="1"/>
  <c r="AB79" i="6" s="1"/>
  <c r="AB59" i="6"/>
  <c r="AB60" i="6" s="1"/>
  <c r="AB61" i="6" s="1"/>
  <c r="AB52" i="6"/>
  <c r="AB53" i="6"/>
  <c r="AB54" i="6" s="1"/>
  <c r="AB55" i="6" s="1"/>
  <c r="AB36" i="6"/>
  <c r="AB37" i="6"/>
  <c r="AB38" i="6" s="1"/>
  <c r="AB39" i="6" s="1"/>
  <c r="AB40" i="6" s="1"/>
  <c r="AB41" i="6"/>
  <c r="AB42" i="6" s="1"/>
  <c r="AB43" i="6" s="1"/>
  <c r="AB44" i="6" s="1"/>
  <c r="AB45" i="6"/>
  <c r="AB46" i="6" s="1"/>
  <c r="AB47" i="6" s="1"/>
  <c r="AB32" i="6"/>
  <c r="AB25" i="6"/>
  <c r="AB26" i="6" s="1"/>
  <c r="AB27" i="6" s="1"/>
  <c r="AB28" i="6" s="1"/>
  <c r="AB29" i="6"/>
  <c r="AB30" i="6" s="1"/>
  <c r="AB8" i="6"/>
  <c r="AB9" i="6" s="1"/>
  <c r="AB10" i="6" s="1"/>
  <c r="AB11" i="6" s="1"/>
  <c r="AB12" i="6" s="1"/>
  <c r="AB13" i="6" s="1"/>
  <c r="AB14" i="6" s="1"/>
  <c r="AB15" i="6" s="1"/>
  <c r="AB16" i="6" s="1"/>
  <c r="AB17" i="6" s="1"/>
  <c r="AB7" i="6"/>
  <c r="AB6" i="6"/>
  <c r="AB5" i="6"/>
  <c r="AB4" i="6"/>
  <c r="AD136" i="6"/>
  <c r="AD133" i="6"/>
  <c r="X136" i="6"/>
  <c r="W136" i="6"/>
  <c r="V136" i="6"/>
  <c r="U136" i="6"/>
  <c r="X132" i="6"/>
  <c r="X133" i="6"/>
  <c r="X135" i="6" s="1"/>
  <c r="W132" i="6"/>
  <c r="W133" i="6"/>
  <c r="V132" i="6"/>
  <c r="V133" i="6"/>
  <c r="V135" i="6" s="1"/>
  <c r="X134" i="6"/>
  <c r="U132" i="6"/>
  <c r="U135" i="6" s="1"/>
  <c r="U133" i="6"/>
  <c r="U134" i="6"/>
  <c r="S4" i="6"/>
  <c r="S5" i="6"/>
  <c r="S6" i="6"/>
  <c r="S7" i="6"/>
  <c r="M9" i="6"/>
  <c r="S9" i="6" s="1"/>
  <c r="M10" i="6"/>
  <c r="S10" i="6" s="1"/>
  <c r="M11" i="6"/>
  <c r="S11" i="6" s="1"/>
  <c r="M12" i="6"/>
  <c r="S12" i="6" s="1"/>
  <c r="M13" i="6"/>
  <c r="S13" i="6" s="1"/>
  <c r="M14" i="6"/>
  <c r="S14" i="6" s="1"/>
  <c r="M15" i="6"/>
  <c r="S15" i="6" s="1"/>
  <c r="M16" i="6"/>
  <c r="S16" i="6" s="1"/>
  <c r="M17" i="6"/>
  <c r="S17" i="6" s="1"/>
  <c r="S18" i="6"/>
  <c r="S21" i="6"/>
  <c r="S22" i="6"/>
  <c r="S24" i="6"/>
  <c r="M25" i="6"/>
  <c r="S25" i="6"/>
  <c r="M26" i="6"/>
  <c r="S26" i="6"/>
  <c r="M27" i="6"/>
  <c r="S27" i="6"/>
  <c r="M28" i="6"/>
  <c r="S28" i="6"/>
  <c r="M29" i="6"/>
  <c r="S29" i="6"/>
  <c r="M30" i="6"/>
  <c r="S30" i="6"/>
  <c r="M32" i="6"/>
  <c r="S32" i="6" s="1"/>
  <c r="S33" i="6"/>
  <c r="S34" i="6"/>
  <c r="S35" i="6"/>
  <c r="M36" i="6"/>
  <c r="S36" i="6"/>
  <c r="M37" i="6"/>
  <c r="S37" i="6"/>
  <c r="M38" i="6"/>
  <c r="S38" i="6"/>
  <c r="M39" i="6"/>
  <c r="S39" i="6"/>
  <c r="M40" i="6"/>
  <c r="S40" i="6"/>
  <c r="M41" i="6"/>
  <c r="S41" i="6"/>
  <c r="M42" i="6"/>
  <c r="S42" i="6"/>
  <c r="M43" i="6"/>
  <c r="S43" i="6"/>
  <c r="M44" i="6"/>
  <c r="S44" i="6"/>
  <c r="M45" i="6"/>
  <c r="S45" i="6"/>
  <c r="M46" i="6"/>
  <c r="S46" i="6"/>
  <c r="M47" i="6"/>
  <c r="S47" i="6"/>
  <c r="S48" i="6"/>
  <c r="S50" i="6"/>
  <c r="S51" i="6"/>
  <c r="M52" i="6"/>
  <c r="S52" i="6"/>
  <c r="M53" i="6"/>
  <c r="S53" i="6"/>
  <c r="M54" i="6"/>
  <c r="S54" i="6"/>
  <c r="M55" i="6"/>
  <c r="S55" i="6"/>
  <c r="S56" i="6"/>
  <c r="S58" i="6"/>
  <c r="M59" i="6"/>
  <c r="S59" i="6" s="1"/>
  <c r="M60" i="6"/>
  <c r="S60" i="6" s="1"/>
  <c r="M61" i="6"/>
  <c r="S61" i="6" s="1"/>
  <c r="S62" i="6"/>
  <c r="M63" i="6"/>
  <c r="S63" i="6"/>
  <c r="M64" i="6"/>
  <c r="S64" i="6"/>
  <c r="M65" i="6"/>
  <c r="S65" i="6"/>
  <c r="M66" i="6"/>
  <c r="S66" i="6"/>
  <c r="M67" i="6"/>
  <c r="S67" i="6"/>
  <c r="M68" i="6"/>
  <c r="S68" i="6"/>
  <c r="M69" i="6"/>
  <c r="S69" i="6"/>
  <c r="M70" i="6"/>
  <c r="S70" i="6"/>
  <c r="M71" i="6"/>
  <c r="S71" i="6"/>
  <c r="M72" i="6"/>
  <c r="S72" i="6"/>
  <c r="M73" i="6"/>
  <c r="S73" i="6"/>
  <c r="M74" i="6"/>
  <c r="S74" i="6"/>
  <c r="M75" i="6"/>
  <c r="S75" i="6"/>
  <c r="M76" i="6"/>
  <c r="S76" i="6"/>
  <c r="M77" i="6"/>
  <c r="S77" i="6"/>
  <c r="M78" i="6"/>
  <c r="S78" i="6"/>
  <c r="M79" i="6"/>
  <c r="S79" i="6"/>
  <c r="M81" i="6"/>
  <c r="S81" i="6" s="1"/>
  <c r="M82" i="6"/>
  <c r="S82" i="6" s="1"/>
  <c r="M83" i="6"/>
  <c r="S83" i="6" s="1"/>
  <c r="M84" i="6"/>
  <c r="S84" i="6" s="1"/>
  <c r="M85" i="6"/>
  <c r="S85" i="6" s="1"/>
  <c r="M86" i="6"/>
  <c r="S86" i="6" s="1"/>
  <c r="M87" i="6"/>
  <c r="S87" i="6" s="1"/>
  <c r="M88" i="6"/>
  <c r="S88" i="6" s="1"/>
  <c r="M89" i="6"/>
  <c r="S89" i="6" s="1"/>
  <c r="M90" i="6"/>
  <c r="S90" i="6" s="1"/>
  <c r="M91" i="6"/>
  <c r="S91" i="6" s="1"/>
  <c r="M92" i="6"/>
  <c r="S92" i="6" s="1"/>
  <c r="M93" i="6"/>
  <c r="S93" i="6" s="1"/>
  <c r="M94" i="6"/>
  <c r="S94" i="6" s="1"/>
  <c r="M95" i="6"/>
  <c r="S95" i="6" s="1"/>
  <c r="M96" i="6"/>
  <c r="S96" i="6" s="1"/>
  <c r="M97" i="6"/>
  <c r="S97" i="6" s="1"/>
  <c r="M98" i="6"/>
  <c r="S98" i="6" s="1"/>
  <c r="M99" i="6"/>
  <c r="S99" i="6" s="1"/>
  <c r="M100" i="6"/>
  <c r="S100" i="6" s="1"/>
  <c r="M101" i="6"/>
  <c r="S101" i="6" s="1"/>
  <c r="M102" i="6"/>
  <c r="S102" i="6" s="1"/>
  <c r="M103" i="6"/>
  <c r="S103" i="6" s="1"/>
  <c r="M104" i="6"/>
  <c r="S104" i="6" s="1"/>
  <c r="M105" i="6"/>
  <c r="S105" i="6" s="1"/>
  <c r="M106" i="6"/>
  <c r="S106" i="6" s="1"/>
  <c r="M107" i="6"/>
  <c r="S107" i="6" s="1"/>
  <c r="M108" i="6"/>
  <c r="S108" i="6" s="1"/>
  <c r="M109" i="6"/>
  <c r="S109" i="6" s="1"/>
  <c r="M110" i="6"/>
  <c r="S110" i="6" s="1"/>
  <c r="M111" i="6"/>
  <c r="S111" i="6" s="1"/>
  <c r="M112" i="6"/>
  <c r="S112" i="6" s="1"/>
  <c r="M113" i="6"/>
  <c r="S113" i="6" s="1"/>
  <c r="M114" i="6"/>
  <c r="S114" i="6" s="1"/>
  <c r="M115" i="6"/>
  <c r="S115" i="6" s="1"/>
  <c r="M116" i="6"/>
  <c r="S116" i="6" s="1"/>
  <c r="M117" i="6"/>
  <c r="S117" i="6" s="1"/>
  <c r="M118" i="6"/>
  <c r="S118" i="6" s="1"/>
  <c r="M119" i="6"/>
  <c r="S119" i="6" s="1"/>
  <c r="M120" i="6"/>
  <c r="S120" i="6" s="1"/>
  <c r="M121" i="6"/>
  <c r="S121" i="6" s="1"/>
  <c r="M122" i="6"/>
  <c r="S122" i="6" s="1"/>
  <c r="M123" i="6"/>
  <c r="S123" i="6" s="1"/>
  <c r="M124" i="6"/>
  <c r="S124" i="6" s="1"/>
  <c r="M125" i="6"/>
  <c r="S125" i="6" s="1"/>
  <c r="M126" i="6"/>
  <c r="S126" i="6" s="1"/>
  <c r="M127" i="6"/>
  <c r="S127" i="6" s="1"/>
  <c r="M128" i="6"/>
  <c r="S128" i="6" s="1"/>
  <c r="M129" i="6"/>
  <c r="S129" i="6" s="1"/>
  <c r="M130" i="6"/>
  <c r="S130" i="6" s="1"/>
  <c r="M131" i="6"/>
  <c r="S131" i="6" s="1"/>
  <c r="R5" i="6"/>
  <c r="R6" i="6"/>
  <c r="R7" i="6"/>
  <c r="L9" i="6"/>
  <c r="R9" i="6"/>
  <c r="L10" i="6"/>
  <c r="R10" i="6"/>
  <c r="L11" i="6"/>
  <c r="R11" i="6"/>
  <c r="L12" i="6"/>
  <c r="R12" i="6"/>
  <c r="L13" i="6"/>
  <c r="R13" i="6"/>
  <c r="L14" i="6"/>
  <c r="R14" i="6"/>
  <c r="L15" i="6"/>
  <c r="R15" i="6"/>
  <c r="L16" i="6"/>
  <c r="R16" i="6"/>
  <c r="L17" i="6"/>
  <c r="R17" i="6"/>
  <c r="R19" i="6"/>
  <c r="R20" i="6"/>
  <c r="R21" i="6"/>
  <c r="R22" i="6"/>
  <c r="R23" i="6"/>
  <c r="R24" i="6"/>
  <c r="L25" i="6"/>
  <c r="R25" i="6" s="1"/>
  <c r="L26" i="6"/>
  <c r="R26" i="6" s="1"/>
  <c r="L27" i="6"/>
  <c r="R27" i="6" s="1"/>
  <c r="L28" i="6"/>
  <c r="R28" i="6" s="1"/>
  <c r="L29" i="6"/>
  <c r="R29" i="6" s="1"/>
  <c r="L30" i="6"/>
  <c r="R30" i="6" s="1"/>
  <c r="R31" i="6"/>
  <c r="L32" i="6"/>
  <c r="R32" i="6"/>
  <c r="R34" i="6"/>
  <c r="R35" i="6"/>
  <c r="L36" i="6"/>
  <c r="R36" i="6" s="1"/>
  <c r="L37" i="6"/>
  <c r="R37" i="6" s="1"/>
  <c r="L38" i="6"/>
  <c r="R38" i="6" s="1"/>
  <c r="L39" i="6"/>
  <c r="R39" i="6" s="1"/>
  <c r="L40" i="6"/>
  <c r="R40" i="6" s="1"/>
  <c r="L41" i="6"/>
  <c r="R41" i="6" s="1"/>
  <c r="L42" i="6"/>
  <c r="R42" i="6" s="1"/>
  <c r="L43" i="6"/>
  <c r="R43" i="6" s="1"/>
  <c r="L44" i="6"/>
  <c r="R44" i="6" s="1"/>
  <c r="L45" i="6"/>
  <c r="R45" i="6" s="1"/>
  <c r="L46" i="6"/>
  <c r="R46" i="6" s="1"/>
  <c r="L47" i="6"/>
  <c r="R47" i="6" s="1"/>
  <c r="R48" i="6"/>
  <c r="R49" i="6"/>
  <c r="R50" i="6"/>
  <c r="R51" i="6"/>
  <c r="L52" i="6"/>
  <c r="R52" i="6" s="1"/>
  <c r="L53" i="6"/>
  <c r="R53" i="6" s="1"/>
  <c r="L54" i="6"/>
  <c r="R54" i="6" s="1"/>
  <c r="L55" i="6"/>
  <c r="R55" i="6" s="1"/>
  <c r="R56" i="6"/>
  <c r="R57" i="6"/>
  <c r="R58" i="6"/>
  <c r="L59" i="6"/>
  <c r="R59" i="6"/>
  <c r="L60" i="6"/>
  <c r="R60" i="6"/>
  <c r="L61" i="6"/>
  <c r="R61" i="6"/>
  <c r="R62" i="6"/>
  <c r="L63" i="6"/>
  <c r="R63" i="6" s="1"/>
  <c r="L64" i="6"/>
  <c r="R64" i="6" s="1"/>
  <c r="L65" i="6"/>
  <c r="R65" i="6" s="1"/>
  <c r="L66" i="6"/>
  <c r="R66" i="6" s="1"/>
  <c r="L67" i="6"/>
  <c r="R67" i="6" s="1"/>
  <c r="L68" i="6"/>
  <c r="R68" i="6" s="1"/>
  <c r="L69" i="6"/>
  <c r="R69" i="6" s="1"/>
  <c r="L70" i="6"/>
  <c r="R70" i="6" s="1"/>
  <c r="L71" i="6"/>
  <c r="R71" i="6" s="1"/>
  <c r="L72" i="6"/>
  <c r="R72" i="6" s="1"/>
  <c r="L73" i="6"/>
  <c r="R73" i="6" s="1"/>
  <c r="L74" i="6"/>
  <c r="R74" i="6" s="1"/>
  <c r="L75" i="6"/>
  <c r="R75" i="6" s="1"/>
  <c r="L76" i="6"/>
  <c r="R76" i="6" s="1"/>
  <c r="L77" i="6"/>
  <c r="R77" i="6" s="1"/>
  <c r="L78" i="6"/>
  <c r="R78" i="6" s="1"/>
  <c r="L79" i="6"/>
  <c r="R79" i="6" s="1"/>
  <c r="L81" i="6"/>
  <c r="R81" i="6"/>
  <c r="L82" i="6"/>
  <c r="R82" i="6"/>
  <c r="L83" i="6"/>
  <c r="R83" i="6"/>
  <c r="L84" i="6"/>
  <c r="R84" i="6"/>
  <c r="L85" i="6"/>
  <c r="R85" i="6"/>
  <c r="L86" i="6"/>
  <c r="R86" i="6"/>
  <c r="L87" i="6"/>
  <c r="R87" i="6"/>
  <c r="L88" i="6"/>
  <c r="R88" i="6"/>
  <c r="L89" i="6"/>
  <c r="R89" i="6"/>
  <c r="L90" i="6"/>
  <c r="R90" i="6"/>
  <c r="L91" i="6"/>
  <c r="R91" i="6"/>
  <c r="L92" i="6"/>
  <c r="R92" i="6"/>
  <c r="L93" i="6"/>
  <c r="R93" i="6"/>
  <c r="L94" i="6"/>
  <c r="R94" i="6"/>
  <c r="L95" i="6"/>
  <c r="R95" i="6"/>
  <c r="L96" i="6"/>
  <c r="R96" i="6"/>
  <c r="L97" i="6"/>
  <c r="R97" i="6"/>
  <c r="L98" i="6"/>
  <c r="R98" i="6"/>
  <c r="L99" i="6"/>
  <c r="R99" i="6"/>
  <c r="L100" i="6"/>
  <c r="R100" i="6"/>
  <c r="L101" i="6"/>
  <c r="R101" i="6"/>
  <c r="L102" i="6"/>
  <c r="R102" i="6"/>
  <c r="L103" i="6"/>
  <c r="R103" i="6"/>
  <c r="L104" i="6"/>
  <c r="R104" i="6"/>
  <c r="L105" i="6"/>
  <c r="R105" i="6"/>
  <c r="L106" i="6"/>
  <c r="R106" i="6"/>
  <c r="L107" i="6"/>
  <c r="R107" i="6"/>
  <c r="L108" i="6"/>
  <c r="R108" i="6"/>
  <c r="L109" i="6"/>
  <c r="R109" i="6"/>
  <c r="L110" i="6"/>
  <c r="R110" i="6"/>
  <c r="L111" i="6"/>
  <c r="R111" i="6"/>
  <c r="L112" i="6"/>
  <c r="R112" i="6"/>
  <c r="L113" i="6"/>
  <c r="R113" i="6"/>
  <c r="L114" i="6"/>
  <c r="R114" i="6"/>
  <c r="L115" i="6"/>
  <c r="R115" i="6"/>
  <c r="L116" i="6"/>
  <c r="R116" i="6"/>
  <c r="L117" i="6"/>
  <c r="R117" i="6"/>
  <c r="L118" i="6"/>
  <c r="R118" i="6"/>
  <c r="L119" i="6"/>
  <c r="R119" i="6"/>
  <c r="L120" i="6"/>
  <c r="R120" i="6"/>
  <c r="L121" i="6"/>
  <c r="R121" i="6"/>
  <c r="L122" i="6"/>
  <c r="R122" i="6"/>
  <c r="L123" i="6"/>
  <c r="R123" i="6"/>
  <c r="L124" i="6"/>
  <c r="R124" i="6"/>
  <c r="L125" i="6"/>
  <c r="R125" i="6"/>
  <c r="L126" i="6"/>
  <c r="R126" i="6"/>
  <c r="L127" i="6"/>
  <c r="R127" i="6"/>
  <c r="L128" i="6"/>
  <c r="R128" i="6"/>
  <c r="L129" i="6"/>
  <c r="R129" i="6"/>
  <c r="L130" i="6"/>
  <c r="R130" i="6"/>
  <c r="L131" i="6"/>
  <c r="R131" i="6"/>
  <c r="Q5" i="6"/>
  <c r="Q6" i="6"/>
  <c r="Q7" i="6"/>
  <c r="K9" i="6"/>
  <c r="Q9" i="6" s="1"/>
  <c r="K10" i="6"/>
  <c r="Q10" i="6" s="1"/>
  <c r="K11" i="6"/>
  <c r="Q11" i="6" s="1"/>
  <c r="K12" i="6"/>
  <c r="Q12" i="6" s="1"/>
  <c r="K13" i="6"/>
  <c r="Q13" i="6" s="1"/>
  <c r="K14" i="6"/>
  <c r="Q14" i="6" s="1"/>
  <c r="K15" i="6"/>
  <c r="Q15" i="6" s="1"/>
  <c r="K16" i="6"/>
  <c r="Q16" i="6" s="1"/>
  <c r="K17" i="6"/>
  <c r="Q17" i="6" s="1"/>
  <c r="Q18" i="6"/>
  <c r="Q19" i="6"/>
  <c r="Q21" i="6"/>
  <c r="Q22" i="6"/>
  <c r="Q23" i="6"/>
  <c r="K25" i="6"/>
  <c r="Q25" i="6"/>
  <c r="K26" i="6"/>
  <c r="Q26" i="6"/>
  <c r="K27" i="6"/>
  <c r="Q27" i="6"/>
  <c r="K28" i="6"/>
  <c r="Q28" i="6"/>
  <c r="K29" i="6"/>
  <c r="Q29" i="6"/>
  <c r="K30" i="6"/>
  <c r="Q30" i="6"/>
  <c r="K32" i="6"/>
  <c r="Q32" i="6" s="1"/>
  <c r="Q33" i="6"/>
  <c r="Q34" i="6"/>
  <c r="Q35" i="6"/>
  <c r="K36" i="6"/>
  <c r="Q36" i="6"/>
  <c r="K37" i="6"/>
  <c r="Q37" i="6"/>
  <c r="K38" i="6"/>
  <c r="Q38" i="6"/>
  <c r="K39" i="6"/>
  <c r="Q39" i="6"/>
  <c r="K40" i="6"/>
  <c r="Q40" i="6"/>
  <c r="K41" i="6"/>
  <c r="Q41" i="6"/>
  <c r="K42" i="6"/>
  <c r="Q42" i="6"/>
  <c r="K43" i="6"/>
  <c r="Q43" i="6"/>
  <c r="K44" i="6"/>
  <c r="Q44" i="6"/>
  <c r="K45" i="6"/>
  <c r="Q45" i="6"/>
  <c r="K46" i="6"/>
  <c r="Q46" i="6"/>
  <c r="K47" i="6"/>
  <c r="Q47" i="6"/>
  <c r="Q48" i="6"/>
  <c r="Q49" i="6"/>
  <c r="Q50" i="6"/>
  <c r="K52" i="6"/>
  <c r="Q52" i="6"/>
  <c r="K53" i="6"/>
  <c r="Q53" i="6"/>
  <c r="K54" i="6"/>
  <c r="Q54" i="6"/>
  <c r="K55" i="6"/>
  <c r="Q55" i="6"/>
  <c r="Q56" i="6"/>
  <c r="Q57" i="6"/>
  <c r="K59" i="6"/>
  <c r="Q59" i="6" s="1"/>
  <c r="K60" i="6"/>
  <c r="Q60" i="6" s="1"/>
  <c r="K61" i="6"/>
  <c r="Q61" i="6" s="1"/>
  <c r="Q62" i="6"/>
  <c r="K63" i="6"/>
  <c r="Q63" i="6"/>
  <c r="K64" i="6"/>
  <c r="Q64" i="6"/>
  <c r="K65" i="6"/>
  <c r="Q65" i="6"/>
  <c r="K66" i="6"/>
  <c r="Q66" i="6"/>
  <c r="K67" i="6"/>
  <c r="Q67" i="6"/>
  <c r="K68" i="6"/>
  <c r="Q68" i="6"/>
  <c r="K69" i="6"/>
  <c r="Q69" i="6"/>
  <c r="K70" i="6"/>
  <c r="Q70" i="6"/>
  <c r="K71" i="6"/>
  <c r="Q71" i="6"/>
  <c r="K72" i="6"/>
  <c r="Q72" i="6"/>
  <c r="K73" i="6"/>
  <c r="Q73" i="6"/>
  <c r="K74" i="6"/>
  <c r="Q74" i="6"/>
  <c r="K75" i="6"/>
  <c r="Q75" i="6"/>
  <c r="K76" i="6"/>
  <c r="Q76" i="6"/>
  <c r="K77" i="6"/>
  <c r="Q77" i="6"/>
  <c r="K78" i="6"/>
  <c r="Q78" i="6"/>
  <c r="K79" i="6"/>
  <c r="Q79" i="6"/>
  <c r="K81" i="6"/>
  <c r="Q81" i="6" s="1"/>
  <c r="K82" i="6"/>
  <c r="Q82" i="6" s="1"/>
  <c r="K83" i="6"/>
  <c r="Q83" i="6" s="1"/>
  <c r="K84" i="6"/>
  <c r="Q84" i="6" s="1"/>
  <c r="K85" i="6"/>
  <c r="Q85" i="6" s="1"/>
  <c r="K86" i="6"/>
  <c r="Q86" i="6" s="1"/>
  <c r="K87" i="6"/>
  <c r="Q87" i="6" s="1"/>
  <c r="K88" i="6"/>
  <c r="Q88" i="6" s="1"/>
  <c r="K89" i="6"/>
  <c r="Q89" i="6" s="1"/>
  <c r="K90" i="6"/>
  <c r="Q90" i="6" s="1"/>
  <c r="K91" i="6"/>
  <c r="Q91" i="6" s="1"/>
  <c r="K92" i="6"/>
  <c r="Q92" i="6" s="1"/>
  <c r="P6" i="6"/>
  <c r="P7" i="6"/>
  <c r="J9" i="6"/>
  <c r="P9" i="6"/>
  <c r="J10" i="6"/>
  <c r="P10" i="6"/>
  <c r="J11" i="6"/>
  <c r="P11" i="6"/>
  <c r="J12" i="6"/>
  <c r="P12" i="6"/>
  <c r="J13" i="6"/>
  <c r="P13" i="6"/>
  <c r="J14" i="6"/>
  <c r="P14" i="6"/>
  <c r="J15" i="6"/>
  <c r="P15" i="6"/>
  <c r="J16" i="6"/>
  <c r="P16" i="6"/>
  <c r="J17" i="6"/>
  <c r="P17" i="6"/>
  <c r="P19" i="6"/>
  <c r="P23" i="6"/>
  <c r="J25" i="6"/>
  <c r="P25" i="6" s="1"/>
  <c r="J26" i="6"/>
  <c r="P26" i="6" s="1"/>
  <c r="J27" i="6"/>
  <c r="P27" i="6" s="1"/>
  <c r="J28" i="6"/>
  <c r="P28" i="6" s="1"/>
  <c r="J29" i="6"/>
  <c r="P29" i="6" s="1"/>
  <c r="J30" i="6"/>
  <c r="P30" i="6" s="1"/>
  <c r="P31" i="6"/>
  <c r="J32" i="6"/>
  <c r="P32" i="6"/>
  <c r="P34" i="6"/>
  <c r="P35" i="6"/>
  <c r="J36" i="6"/>
  <c r="P36" i="6" s="1"/>
  <c r="J37" i="6"/>
  <c r="P37" i="6" s="1"/>
  <c r="J38" i="6"/>
  <c r="P38" i="6" s="1"/>
  <c r="J39" i="6"/>
  <c r="P39" i="6" s="1"/>
  <c r="J40" i="6"/>
  <c r="P40" i="6" s="1"/>
  <c r="J41" i="6"/>
  <c r="P41" i="6" s="1"/>
  <c r="J42" i="6"/>
  <c r="P42" i="6" s="1"/>
  <c r="J43" i="6"/>
  <c r="P43" i="6" s="1"/>
  <c r="J44" i="6"/>
  <c r="P44" i="6" s="1"/>
  <c r="J45" i="6"/>
  <c r="P45" i="6" s="1"/>
  <c r="J46" i="6"/>
  <c r="P46" i="6" s="1"/>
  <c r="J47" i="6"/>
  <c r="P47" i="6" s="1"/>
  <c r="P51" i="6"/>
  <c r="J52" i="6"/>
  <c r="P52" i="6" s="1"/>
  <c r="J53" i="6"/>
  <c r="P53" i="6" s="1"/>
  <c r="J54" i="6"/>
  <c r="P54" i="6" s="1"/>
  <c r="J55" i="6"/>
  <c r="P55" i="6" s="1"/>
  <c r="P57" i="6"/>
  <c r="P58" i="6"/>
  <c r="J59" i="6"/>
  <c r="P59" i="6"/>
  <c r="J60" i="6"/>
  <c r="P60" i="6"/>
  <c r="J61" i="6"/>
  <c r="P61" i="6"/>
  <c r="J63" i="6"/>
  <c r="P63" i="6" s="1"/>
  <c r="J64" i="6"/>
  <c r="P64" i="6" s="1"/>
  <c r="J65" i="6"/>
  <c r="P65" i="6" s="1"/>
  <c r="J66" i="6"/>
  <c r="P66" i="6" s="1"/>
  <c r="J67" i="6"/>
  <c r="P67" i="6" s="1"/>
  <c r="J68" i="6"/>
  <c r="P68" i="6" s="1"/>
  <c r="J69" i="6"/>
  <c r="P69" i="6" s="1"/>
  <c r="J70" i="6"/>
  <c r="P70" i="6" s="1"/>
  <c r="J71" i="6"/>
  <c r="P71" i="6" s="1"/>
  <c r="J72" i="6"/>
  <c r="P72" i="6" s="1"/>
  <c r="J73" i="6"/>
  <c r="P73" i="6" s="1"/>
  <c r="J74" i="6"/>
  <c r="P74" i="6" s="1"/>
  <c r="J75" i="6"/>
  <c r="P75" i="6" s="1"/>
  <c r="J76" i="6"/>
  <c r="P76" i="6" s="1"/>
  <c r="J77" i="6"/>
  <c r="P77" i="6" s="1"/>
  <c r="J78" i="6"/>
  <c r="P78" i="6" s="1"/>
  <c r="J79" i="6"/>
  <c r="P79" i="6" s="1"/>
  <c r="J81" i="6"/>
  <c r="P81" i="6"/>
  <c r="J82" i="6"/>
  <c r="P82" i="6"/>
  <c r="J83" i="6"/>
  <c r="P83" i="6"/>
  <c r="J84" i="6"/>
  <c r="P84" i="6"/>
  <c r="J85" i="6"/>
  <c r="P85" i="6"/>
  <c r="J86" i="6"/>
  <c r="P86" i="6"/>
  <c r="J87" i="6"/>
  <c r="P87" i="6"/>
  <c r="J88" i="6"/>
  <c r="P88" i="6"/>
  <c r="J89" i="6"/>
  <c r="P89" i="6"/>
  <c r="J90" i="6"/>
  <c r="P90" i="6"/>
  <c r="J91" i="6"/>
  <c r="P91" i="6"/>
  <c r="J92" i="6"/>
  <c r="P92" i="6"/>
  <c r="J93" i="6"/>
  <c r="P93" i="6"/>
  <c r="J94" i="6"/>
  <c r="P94" i="6"/>
  <c r="J95" i="6"/>
  <c r="P95" i="6"/>
  <c r="C81" i="6"/>
  <c r="C82" i="6"/>
  <c r="C83" i="6" s="1"/>
  <c r="C84" i="6" s="1"/>
  <c r="C85" i="6" s="1"/>
  <c r="C86" i="6"/>
  <c r="C87" i="6" s="1"/>
  <c r="C88" i="6" s="1"/>
  <c r="C89" i="6" s="1"/>
  <c r="C90" i="6" s="1"/>
  <c r="C91" i="6" s="1"/>
  <c r="C92" i="6" s="1"/>
  <c r="C63" i="6"/>
  <c r="C64" i="6"/>
  <c r="C65" i="6" s="1"/>
  <c r="C66" i="6" s="1"/>
  <c r="C67" i="6" s="1"/>
  <c r="C68" i="6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59" i="6"/>
  <c r="C60" i="6" s="1"/>
  <c r="C61" i="6" s="1"/>
  <c r="C52" i="6"/>
  <c r="C53" i="6"/>
  <c r="C54" i="6" s="1"/>
  <c r="C55" i="6" s="1"/>
  <c r="C36" i="6"/>
  <c r="C37" i="6"/>
  <c r="C38" i="6" s="1"/>
  <c r="C39" i="6" s="1"/>
  <c r="C40" i="6" s="1"/>
  <c r="C41" i="6"/>
  <c r="C42" i="6" s="1"/>
  <c r="C43" i="6" s="1"/>
  <c r="C44" i="6" s="1"/>
  <c r="C45" i="6" s="1"/>
  <c r="C46" i="6" s="1"/>
  <c r="C47" i="6" s="1"/>
  <c r="C32" i="6"/>
  <c r="C25" i="6"/>
  <c r="C26" i="6" s="1"/>
  <c r="C27" i="6" s="1"/>
  <c r="C28" i="6" s="1"/>
  <c r="C29" i="6"/>
  <c r="C30" i="6" s="1"/>
  <c r="C8" i="6"/>
  <c r="C9" i="6" s="1"/>
  <c r="C10" i="6"/>
  <c r="C11" i="6" s="1"/>
  <c r="C12" i="6" s="1"/>
  <c r="C13" i="6" s="1"/>
  <c r="C14" i="6"/>
  <c r="C15" i="6" s="1"/>
  <c r="C16" i="6" s="1"/>
  <c r="C17" i="6" s="1"/>
  <c r="C7" i="6"/>
  <c r="C6" i="6"/>
  <c r="C5" i="6"/>
  <c r="C4" i="6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3" i="5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3" i="5"/>
  <c r="P95" i="5"/>
  <c r="P94" i="5"/>
  <c r="P92" i="5"/>
  <c r="P91" i="5"/>
  <c r="AO4" i="5" a="1"/>
  <c r="AP7" i="5" s="1"/>
  <c r="P8" i="5"/>
  <c r="P9" i="5"/>
  <c r="P10" i="5"/>
  <c r="P11" i="5"/>
  <c r="P12" i="5"/>
  <c r="P13" i="5"/>
  <c r="P14" i="5"/>
  <c r="P15" i="5"/>
  <c r="P16" i="5"/>
  <c r="P24" i="5"/>
  <c r="P25" i="5"/>
  <c r="P26" i="5"/>
  <c r="P27" i="5"/>
  <c r="P28" i="5"/>
  <c r="P29" i="5"/>
  <c r="P31" i="5"/>
  <c r="P32" i="5"/>
  <c r="P37" i="5"/>
  <c r="P38" i="5"/>
  <c r="P39" i="5"/>
  <c r="P40" i="5"/>
  <c r="P42" i="5"/>
  <c r="P43" i="5"/>
  <c r="P44" i="5"/>
  <c r="P45" i="5"/>
  <c r="P46" i="5"/>
  <c r="P52" i="5"/>
  <c r="P53" i="5"/>
  <c r="P54" i="5"/>
  <c r="P58" i="5"/>
  <c r="P59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80" i="5"/>
  <c r="P81" i="5"/>
  <c r="P82" i="5"/>
  <c r="P83" i="5"/>
  <c r="P84" i="5"/>
  <c r="P85" i="5"/>
  <c r="P87" i="5"/>
  <c r="P88" i="5"/>
  <c r="P89" i="5"/>
  <c r="P90" i="5"/>
  <c r="P93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S8" i="5"/>
  <c r="T8" i="5"/>
  <c r="U8" i="5"/>
  <c r="S9" i="5"/>
  <c r="T9" i="5"/>
  <c r="U9" i="5"/>
  <c r="S10" i="5"/>
  <c r="T10" i="5"/>
  <c r="U10" i="5"/>
  <c r="S11" i="5"/>
  <c r="T11" i="5"/>
  <c r="U11" i="5"/>
  <c r="S12" i="5"/>
  <c r="T12" i="5"/>
  <c r="U12" i="5"/>
  <c r="S13" i="5"/>
  <c r="U13" i="5"/>
  <c r="S14" i="5"/>
  <c r="T14" i="5"/>
  <c r="U14" i="5"/>
  <c r="S15" i="5"/>
  <c r="T15" i="5"/>
  <c r="U15" i="5"/>
  <c r="S16" i="5"/>
  <c r="T16" i="5"/>
  <c r="U16" i="5"/>
  <c r="S24" i="5"/>
  <c r="T24" i="5"/>
  <c r="U24" i="5"/>
  <c r="S25" i="5"/>
  <c r="T25" i="5"/>
  <c r="U25" i="5"/>
  <c r="S26" i="5"/>
  <c r="T26" i="5"/>
  <c r="U26" i="5"/>
  <c r="S27" i="5"/>
  <c r="T27" i="5"/>
  <c r="U27" i="5"/>
  <c r="S28" i="5"/>
  <c r="T28" i="5"/>
  <c r="U28" i="5"/>
  <c r="S29" i="5"/>
  <c r="T29" i="5"/>
  <c r="U29" i="5"/>
  <c r="S31" i="5"/>
  <c r="T31" i="5"/>
  <c r="U31" i="5"/>
  <c r="S32" i="5"/>
  <c r="T32" i="5"/>
  <c r="U32" i="5"/>
  <c r="S37" i="5"/>
  <c r="T37" i="5"/>
  <c r="U37" i="5"/>
  <c r="S38" i="5"/>
  <c r="T38" i="5"/>
  <c r="U38" i="5"/>
  <c r="S39" i="5"/>
  <c r="T39" i="5"/>
  <c r="U39" i="5"/>
  <c r="S40" i="5"/>
  <c r="T40" i="5"/>
  <c r="U40" i="5"/>
  <c r="S42" i="5"/>
  <c r="T42" i="5"/>
  <c r="U42" i="5"/>
  <c r="S43" i="5"/>
  <c r="T43" i="5"/>
  <c r="U43" i="5"/>
  <c r="S44" i="5"/>
  <c r="T44" i="5"/>
  <c r="U44" i="5"/>
  <c r="S45" i="5"/>
  <c r="T45" i="5"/>
  <c r="U45" i="5"/>
  <c r="S46" i="5"/>
  <c r="T46" i="5"/>
  <c r="U46" i="5"/>
  <c r="S52" i="5"/>
  <c r="T52" i="5"/>
  <c r="U52" i="5"/>
  <c r="S53" i="5"/>
  <c r="T53" i="5"/>
  <c r="U53" i="5"/>
  <c r="S54" i="5"/>
  <c r="T54" i="5"/>
  <c r="U54" i="5"/>
  <c r="S58" i="5"/>
  <c r="U58" i="5"/>
  <c r="S59" i="5"/>
  <c r="T59" i="5"/>
  <c r="U59" i="5"/>
  <c r="S62" i="5"/>
  <c r="T62" i="5"/>
  <c r="U62" i="5"/>
  <c r="S63" i="5"/>
  <c r="T63" i="5"/>
  <c r="U63" i="5"/>
  <c r="S64" i="5"/>
  <c r="T64" i="5"/>
  <c r="U64" i="5"/>
  <c r="S65" i="5"/>
  <c r="T65" i="5"/>
  <c r="U65" i="5"/>
  <c r="S66" i="5"/>
  <c r="T66" i="5"/>
  <c r="U66" i="5"/>
  <c r="S67" i="5"/>
  <c r="T67" i="5"/>
  <c r="U67" i="5"/>
  <c r="S68" i="5"/>
  <c r="T68" i="5"/>
  <c r="U68" i="5"/>
  <c r="S69" i="5"/>
  <c r="T69" i="5"/>
  <c r="U69" i="5"/>
  <c r="S70" i="5"/>
  <c r="T70" i="5"/>
  <c r="U70" i="5"/>
  <c r="S71" i="5"/>
  <c r="T71" i="5"/>
  <c r="U71" i="5"/>
  <c r="S72" i="5"/>
  <c r="T72" i="5"/>
  <c r="U72" i="5"/>
  <c r="S73" i="5"/>
  <c r="T73" i="5"/>
  <c r="U73" i="5"/>
  <c r="S74" i="5"/>
  <c r="T74" i="5"/>
  <c r="U74" i="5"/>
  <c r="S75" i="5"/>
  <c r="T75" i="5"/>
  <c r="U75" i="5"/>
  <c r="S76" i="5"/>
  <c r="T76" i="5"/>
  <c r="U76" i="5"/>
  <c r="S77" i="5"/>
  <c r="T77" i="5"/>
  <c r="U77" i="5"/>
  <c r="S78" i="5"/>
  <c r="T78" i="5"/>
  <c r="U78" i="5"/>
  <c r="S80" i="5"/>
  <c r="T80" i="5"/>
  <c r="U80" i="5"/>
  <c r="S81" i="5"/>
  <c r="T81" i="5"/>
  <c r="U81" i="5"/>
  <c r="S82" i="5"/>
  <c r="T82" i="5"/>
  <c r="U82" i="5"/>
  <c r="S83" i="5"/>
  <c r="T83" i="5"/>
  <c r="U83" i="5"/>
  <c r="S84" i="5"/>
  <c r="T84" i="5"/>
  <c r="U84" i="5"/>
  <c r="S85" i="5"/>
  <c r="T85" i="5"/>
  <c r="U85" i="5"/>
  <c r="S87" i="5"/>
  <c r="T87" i="5"/>
  <c r="U87" i="5"/>
  <c r="S88" i="5"/>
  <c r="T88" i="5"/>
  <c r="U88" i="5"/>
  <c r="S89" i="5"/>
  <c r="T89" i="5"/>
  <c r="U89" i="5"/>
  <c r="S90" i="5"/>
  <c r="T90" i="5"/>
  <c r="U90" i="5"/>
  <c r="S91" i="5"/>
  <c r="T91" i="5"/>
  <c r="U91" i="5"/>
  <c r="T92" i="5"/>
  <c r="U92" i="5"/>
  <c r="T93" i="5"/>
  <c r="U93" i="5"/>
  <c r="T94" i="5"/>
  <c r="U94" i="5"/>
  <c r="T95" i="5"/>
  <c r="U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BF56" i="1"/>
  <c r="BF57" i="1" s="1"/>
  <c r="BG57" i="1" s="1"/>
  <c r="BH53" i="1"/>
  <c r="BG56" i="1"/>
  <c r="BG55" i="1"/>
  <c r="BF84" i="1"/>
  <c r="BF85" i="1"/>
  <c r="BF86" i="1"/>
  <c r="G93" i="4"/>
  <c r="G92" i="4"/>
  <c r="G91" i="4"/>
  <c r="G90" i="4"/>
  <c r="G89" i="4"/>
  <c r="G88" i="4"/>
  <c r="F93" i="4"/>
  <c r="F92" i="4"/>
  <c r="F91" i="4"/>
  <c r="F90" i="4"/>
  <c r="F89" i="4"/>
  <c r="F88" i="4"/>
  <c r="E93" i="4"/>
  <c r="E92" i="4"/>
  <c r="E91" i="4"/>
  <c r="E90" i="4"/>
  <c r="E89" i="4"/>
  <c r="E88" i="4"/>
  <c r="G87" i="4"/>
  <c r="F87" i="4"/>
  <c r="E87" i="4"/>
  <c r="D81" i="4"/>
  <c r="G81" i="4" s="1"/>
  <c r="F81" i="4"/>
  <c r="E81" i="4"/>
  <c r="D80" i="4"/>
  <c r="G80" i="4" s="1"/>
  <c r="F80" i="4"/>
  <c r="E80" i="4"/>
  <c r="D71" i="4"/>
  <c r="G71" i="4" s="1"/>
  <c r="F71" i="4"/>
  <c r="E71" i="4"/>
  <c r="D70" i="4"/>
  <c r="G70" i="4" s="1"/>
  <c r="F70" i="4"/>
  <c r="E70" i="4"/>
  <c r="D69" i="4"/>
  <c r="G69" i="4" s="1"/>
  <c r="F69" i="4"/>
  <c r="E69" i="4"/>
  <c r="D68" i="4"/>
  <c r="G68" i="4" s="1"/>
  <c r="F68" i="4"/>
  <c r="E68" i="4"/>
  <c r="D61" i="4"/>
  <c r="G61" i="4" s="1"/>
  <c r="F61" i="4"/>
  <c r="E61" i="4"/>
  <c r="D56" i="4"/>
  <c r="G56" i="4" s="1"/>
  <c r="F56" i="4"/>
  <c r="E56" i="4"/>
  <c r="D55" i="4"/>
  <c r="G55" i="4" s="1"/>
  <c r="F55" i="4"/>
  <c r="E55" i="4"/>
  <c r="D53" i="4"/>
  <c r="G53" i="4" s="1"/>
  <c r="F53" i="4"/>
  <c r="E53" i="4"/>
  <c r="D43" i="4"/>
  <c r="G43" i="4" s="1"/>
  <c r="F43" i="4"/>
  <c r="E43" i="4"/>
  <c r="D42" i="4"/>
  <c r="G42" i="4" s="1"/>
  <c r="F42" i="4"/>
  <c r="E42" i="4"/>
  <c r="D41" i="4"/>
  <c r="G41" i="4" s="1"/>
  <c r="F41" i="4"/>
  <c r="E41" i="4"/>
  <c r="D39" i="4"/>
  <c r="G39" i="4" s="1"/>
  <c r="F39" i="4"/>
  <c r="E39" i="4"/>
  <c r="D32" i="4"/>
  <c r="G32" i="4" s="1"/>
  <c r="D31" i="4"/>
  <c r="G31" i="4" s="1"/>
  <c r="D30" i="4"/>
  <c r="G30" i="4" s="1"/>
  <c r="F32" i="4"/>
  <c r="F31" i="4"/>
  <c r="F30" i="4"/>
  <c r="E32" i="4"/>
  <c r="E31" i="4"/>
  <c r="E30" i="4"/>
  <c r="D24" i="4"/>
  <c r="G24" i="4" s="1"/>
  <c r="D25" i="4"/>
  <c r="G25" i="4" s="1"/>
  <c r="D26" i="4"/>
  <c r="G26" i="4" s="1"/>
  <c r="D27" i="4"/>
  <c r="G27" i="4" s="1"/>
  <c r="D28" i="4"/>
  <c r="G28" i="4" s="1"/>
  <c r="D23" i="4"/>
  <c r="G23" i="4" s="1"/>
  <c r="F24" i="4"/>
  <c r="F25" i="4"/>
  <c r="F26" i="4"/>
  <c r="F27" i="4"/>
  <c r="F28" i="4"/>
  <c r="F23" i="4"/>
  <c r="E24" i="4"/>
  <c r="E25" i="4"/>
  <c r="E26" i="4"/>
  <c r="E27" i="4"/>
  <c r="E28" i="4"/>
  <c r="E23" i="4"/>
  <c r="B1" i="4"/>
  <c r="C1" i="4"/>
  <c r="D1" i="4"/>
  <c r="B2" i="4"/>
  <c r="C2" i="4"/>
  <c r="D2" i="4"/>
  <c r="B3" i="4"/>
  <c r="C3" i="4"/>
  <c r="D3" i="4"/>
  <c r="B4" i="4"/>
  <c r="C4" i="4"/>
  <c r="D4" i="4"/>
  <c r="B5" i="4"/>
  <c r="C5" i="4"/>
  <c r="D5" i="4"/>
  <c r="B6" i="4"/>
  <c r="C6" i="4"/>
  <c r="D6" i="4"/>
  <c r="B7" i="4"/>
  <c r="C7" i="4"/>
  <c r="D7" i="4"/>
  <c r="B8" i="4"/>
  <c r="C8" i="4"/>
  <c r="D8" i="4"/>
  <c r="B9" i="4"/>
  <c r="C9" i="4"/>
  <c r="D9" i="4"/>
  <c r="B10" i="4"/>
  <c r="C10" i="4"/>
  <c r="D10" i="4"/>
  <c r="B11" i="4"/>
  <c r="C11" i="4"/>
  <c r="D11" i="4"/>
  <c r="B12" i="4"/>
  <c r="C12" i="4"/>
  <c r="D12" i="4"/>
  <c r="B13" i="4"/>
  <c r="C13" i="4"/>
  <c r="D13" i="4"/>
  <c r="B14" i="4"/>
  <c r="C14" i="4"/>
  <c r="D14" i="4"/>
  <c r="B15" i="4"/>
  <c r="C15" i="4"/>
  <c r="D15" i="4"/>
  <c r="B16" i="4"/>
  <c r="C16" i="4"/>
  <c r="D16" i="4"/>
  <c r="B17" i="4"/>
  <c r="C17" i="4"/>
  <c r="D17" i="4"/>
  <c r="B18" i="4"/>
  <c r="C18" i="4"/>
  <c r="D18" i="4"/>
  <c r="B19" i="4"/>
  <c r="C19" i="4"/>
  <c r="D19" i="4"/>
  <c r="B20" i="4"/>
  <c r="C20" i="4"/>
  <c r="D20" i="4"/>
  <c r="B21" i="4"/>
  <c r="C21" i="4"/>
  <c r="D21" i="4"/>
  <c r="B22" i="4"/>
  <c r="C22" i="4"/>
  <c r="D22" i="4"/>
  <c r="AB23" i="1"/>
  <c r="O23" i="2"/>
  <c r="C23" i="4"/>
  <c r="AB24" i="1"/>
  <c r="AE24" i="1"/>
  <c r="AF24" i="1" s="1"/>
  <c r="N24" i="2" s="1"/>
  <c r="B24" i="4" s="1"/>
  <c r="O24" i="2"/>
  <c r="C24" i="4" s="1"/>
  <c r="AB25" i="1"/>
  <c r="AE25" i="1" s="1"/>
  <c r="AF25" i="1"/>
  <c r="O25" i="2"/>
  <c r="C25" i="4"/>
  <c r="AB26" i="1"/>
  <c r="AE26" i="1"/>
  <c r="AF26" i="1" s="1"/>
  <c r="R5" i="3" s="1"/>
  <c r="N26" i="2"/>
  <c r="B26" i="4" s="1"/>
  <c r="O26" i="2"/>
  <c r="C26" i="4" s="1"/>
  <c r="AB27" i="1"/>
  <c r="O27" i="2"/>
  <c r="C27" i="4"/>
  <c r="AB28" i="1"/>
  <c r="AE28" i="1"/>
  <c r="AF28" i="1" s="1"/>
  <c r="N28" i="2" s="1"/>
  <c r="B28" i="4" s="1"/>
  <c r="O28" i="2"/>
  <c r="C28" i="4" s="1"/>
  <c r="AB29" i="1"/>
  <c r="AE29" i="1" s="1"/>
  <c r="AF29" i="1"/>
  <c r="O29" i="2"/>
  <c r="C29" i="4"/>
  <c r="D29" i="4"/>
  <c r="AB30" i="1"/>
  <c r="AE30" i="1" s="1"/>
  <c r="AF30" i="1"/>
  <c r="N30" i="2" s="1"/>
  <c r="B30" i="4" s="1"/>
  <c r="O30" i="2"/>
  <c r="C30" i="4"/>
  <c r="AB31" i="1"/>
  <c r="AE31" i="1"/>
  <c r="AF31" i="1" s="1"/>
  <c r="R10" i="3" s="1"/>
  <c r="N31" i="2"/>
  <c r="B31" i="4" s="1"/>
  <c r="O31" i="2"/>
  <c r="C31" i="4" s="1"/>
  <c r="AB32" i="1"/>
  <c r="AE32" i="1" s="1"/>
  <c r="AF32" i="1" s="1"/>
  <c r="N32" i="2" s="1"/>
  <c r="B32" i="4"/>
  <c r="O32" i="2"/>
  <c r="C32" i="4"/>
  <c r="AB33" i="1"/>
  <c r="AE33" i="1"/>
  <c r="AF33" i="1" s="1"/>
  <c r="O33" i="2"/>
  <c r="C33" i="4" s="1"/>
  <c r="D33" i="4"/>
  <c r="AB34" i="1"/>
  <c r="AE34" i="1"/>
  <c r="AF34" i="1" s="1"/>
  <c r="N34" i="2" s="1"/>
  <c r="B34" i="4" s="1"/>
  <c r="O34" i="2"/>
  <c r="C34" i="4" s="1"/>
  <c r="D34" i="4"/>
  <c r="AB35" i="1"/>
  <c r="AE35" i="1"/>
  <c r="AF35" i="1" s="1"/>
  <c r="O35" i="2"/>
  <c r="C35" i="4" s="1"/>
  <c r="D35" i="4"/>
  <c r="AB36" i="1"/>
  <c r="AE36" i="1"/>
  <c r="AF36" i="1" s="1"/>
  <c r="N36" i="2" s="1"/>
  <c r="B36" i="4" s="1"/>
  <c r="O36" i="2"/>
  <c r="C36" i="4" s="1"/>
  <c r="D36" i="4"/>
  <c r="AB37" i="1"/>
  <c r="AE37" i="1"/>
  <c r="AF37" i="1" s="1"/>
  <c r="O37" i="2"/>
  <c r="C37" i="4" s="1"/>
  <c r="D37" i="4"/>
  <c r="AB38" i="1"/>
  <c r="AE38" i="1"/>
  <c r="AF38" i="1" s="1"/>
  <c r="N38" i="2" s="1"/>
  <c r="B38" i="4" s="1"/>
  <c r="O38" i="2"/>
  <c r="C38" i="4" s="1"/>
  <c r="D38" i="4"/>
  <c r="AB39" i="1"/>
  <c r="AE39" i="1"/>
  <c r="AF39" i="1" s="1"/>
  <c r="O39" i="2"/>
  <c r="C39" i="4" s="1"/>
  <c r="AB40" i="1"/>
  <c r="AE40" i="1" s="1"/>
  <c r="AF40" i="1"/>
  <c r="N40" i="2" s="1"/>
  <c r="B40" i="4" s="1"/>
  <c r="O40" i="2"/>
  <c r="C40" i="4"/>
  <c r="D40" i="4"/>
  <c r="AB41" i="1"/>
  <c r="AE41" i="1" s="1"/>
  <c r="AF41" i="1"/>
  <c r="O41" i="2"/>
  <c r="C41" i="4"/>
  <c r="AB42" i="1"/>
  <c r="AE42" i="1"/>
  <c r="AF42" i="1" s="1"/>
  <c r="R21" i="3" s="1"/>
  <c r="N42" i="2"/>
  <c r="B42" i="4" s="1"/>
  <c r="O42" i="2"/>
  <c r="C42" i="4" s="1"/>
  <c r="AB43" i="1"/>
  <c r="O43" i="2"/>
  <c r="C43" i="4"/>
  <c r="AB44" i="1"/>
  <c r="AE44" i="1"/>
  <c r="AF44" i="1" s="1"/>
  <c r="N44" i="2" s="1"/>
  <c r="B44" i="4" s="1"/>
  <c r="O44" i="2"/>
  <c r="C44" i="4" s="1"/>
  <c r="D44" i="4"/>
  <c r="AB45" i="1"/>
  <c r="AE45" i="1"/>
  <c r="AF45" i="1" s="1"/>
  <c r="O45" i="2"/>
  <c r="C45" i="4" s="1"/>
  <c r="D45" i="4"/>
  <c r="AB46" i="1"/>
  <c r="AE46" i="1"/>
  <c r="AF46" i="1" s="1"/>
  <c r="N46" i="2" s="1"/>
  <c r="B46" i="4" s="1"/>
  <c r="O46" i="2"/>
  <c r="C46" i="4" s="1"/>
  <c r="D46" i="4"/>
  <c r="AB47" i="1"/>
  <c r="AE47" i="1"/>
  <c r="AF47" i="1" s="1"/>
  <c r="O47" i="2"/>
  <c r="C47" i="4" s="1"/>
  <c r="D47" i="4"/>
  <c r="AB48" i="1"/>
  <c r="AE48" i="1"/>
  <c r="AF48" i="1" s="1"/>
  <c r="N48" i="2" s="1"/>
  <c r="B48" i="4" s="1"/>
  <c r="O48" i="2"/>
  <c r="C48" i="4" s="1"/>
  <c r="D48" i="4"/>
  <c r="AB49" i="1"/>
  <c r="AE49" i="1"/>
  <c r="AF49" i="1" s="1"/>
  <c r="O49" i="2"/>
  <c r="C49" i="4" s="1"/>
  <c r="D49" i="4"/>
  <c r="AB50" i="1"/>
  <c r="AE50" i="1"/>
  <c r="AF50" i="1" s="1"/>
  <c r="N50" i="2" s="1"/>
  <c r="B50" i="4" s="1"/>
  <c r="O50" i="2"/>
  <c r="C50" i="4" s="1"/>
  <c r="D50" i="4"/>
  <c r="AB51" i="1"/>
  <c r="AE51" i="1"/>
  <c r="AF51" i="1" s="1"/>
  <c r="O51" i="2"/>
  <c r="C51" i="4" s="1"/>
  <c r="D51" i="4"/>
  <c r="AB52" i="1"/>
  <c r="AE52" i="1"/>
  <c r="AF52" i="1" s="1"/>
  <c r="N52" i="2" s="1"/>
  <c r="B52" i="4" s="1"/>
  <c r="O52" i="2"/>
  <c r="C52" i="4" s="1"/>
  <c r="D52" i="4"/>
  <c r="AB53" i="1"/>
  <c r="AE53" i="1"/>
  <c r="AF53" i="1" s="1"/>
  <c r="O53" i="2"/>
  <c r="C53" i="4" s="1"/>
  <c r="AB54" i="1"/>
  <c r="AE54" i="1" s="1"/>
  <c r="AF54" i="1"/>
  <c r="N54" i="2" s="1"/>
  <c r="B54" i="4" s="1"/>
  <c r="O54" i="2"/>
  <c r="C54" i="4"/>
  <c r="D54" i="4"/>
  <c r="AB55" i="1"/>
  <c r="AE55" i="1" s="1"/>
  <c r="AF55" i="1"/>
  <c r="O55" i="2"/>
  <c r="C55" i="4"/>
  <c r="AB56" i="1"/>
  <c r="AE56" i="1"/>
  <c r="AF56" i="1" s="1"/>
  <c r="N56" i="2"/>
  <c r="B56" i="4" s="1"/>
  <c r="O56" i="2"/>
  <c r="C56" i="4" s="1"/>
  <c r="AB57" i="1"/>
  <c r="O57" i="2"/>
  <c r="C57" i="4"/>
  <c r="D57" i="4"/>
  <c r="AB58" i="1"/>
  <c r="AE58" i="1" s="1"/>
  <c r="AF58" i="1" s="1"/>
  <c r="N58" i="2" s="1"/>
  <c r="B58" i="4"/>
  <c r="O58" i="2"/>
  <c r="C58" i="4"/>
  <c r="D58" i="4"/>
  <c r="AB59" i="1"/>
  <c r="O59" i="2"/>
  <c r="C59" i="4"/>
  <c r="D59" i="4"/>
  <c r="AB60" i="1"/>
  <c r="AE60" i="1" s="1"/>
  <c r="AF60" i="1" s="1"/>
  <c r="N60" i="2" s="1"/>
  <c r="B60" i="4"/>
  <c r="O60" i="2"/>
  <c r="C60" i="4"/>
  <c r="D60" i="4"/>
  <c r="AB61" i="1"/>
  <c r="O61" i="2"/>
  <c r="C61" i="4"/>
  <c r="AB62" i="1"/>
  <c r="AE62" i="1"/>
  <c r="AF62" i="1" s="1"/>
  <c r="N62" i="2" s="1"/>
  <c r="B62" i="4" s="1"/>
  <c r="O62" i="2"/>
  <c r="C62" i="4" s="1"/>
  <c r="D62" i="4"/>
  <c r="AB63" i="1"/>
  <c r="AE63" i="1"/>
  <c r="AF63" i="1" s="1"/>
  <c r="O63" i="2"/>
  <c r="C63" i="4" s="1"/>
  <c r="D63" i="4"/>
  <c r="AB64" i="1"/>
  <c r="AE64" i="1"/>
  <c r="AF64" i="1" s="1"/>
  <c r="N64" i="2" s="1"/>
  <c r="B64" i="4" s="1"/>
  <c r="O64" i="2"/>
  <c r="C64" i="4" s="1"/>
  <c r="D64" i="4"/>
  <c r="AB65" i="1"/>
  <c r="AE65" i="1"/>
  <c r="AF65" i="1" s="1"/>
  <c r="O65" i="2"/>
  <c r="C65" i="4" s="1"/>
  <c r="D65" i="4"/>
  <c r="AB66" i="1"/>
  <c r="AE66" i="1"/>
  <c r="AF66" i="1" s="1"/>
  <c r="N66" i="2" s="1"/>
  <c r="B66" i="4" s="1"/>
  <c r="O66" i="2"/>
  <c r="C66" i="4" s="1"/>
  <c r="D66" i="4"/>
  <c r="AB67" i="1"/>
  <c r="AE67" i="1"/>
  <c r="AF67" i="1" s="1"/>
  <c r="O67" i="2"/>
  <c r="C67" i="4" s="1"/>
  <c r="D67" i="4"/>
  <c r="AB68" i="1"/>
  <c r="AE68" i="1"/>
  <c r="AF68" i="1" s="1"/>
  <c r="N68" i="2" s="1"/>
  <c r="B68" i="4" s="1"/>
  <c r="O68" i="2"/>
  <c r="C68" i="4" s="1"/>
  <c r="AB69" i="1"/>
  <c r="AE69" i="1" s="1"/>
  <c r="AF69" i="1"/>
  <c r="O69" i="2"/>
  <c r="C69" i="4"/>
  <c r="AB70" i="1"/>
  <c r="AE70" i="1"/>
  <c r="AF70" i="1" s="1"/>
  <c r="N70" i="2"/>
  <c r="B70" i="4" s="1"/>
  <c r="O70" i="2"/>
  <c r="C70" i="4" s="1"/>
  <c r="AB71" i="1"/>
  <c r="O71" i="2"/>
  <c r="C71" i="4"/>
  <c r="AB72" i="1"/>
  <c r="AE72" i="1"/>
  <c r="AF72" i="1" s="1"/>
  <c r="N72" i="2" s="1"/>
  <c r="B72" i="4" s="1"/>
  <c r="O72" i="2"/>
  <c r="C72" i="4" s="1"/>
  <c r="D72" i="4"/>
  <c r="AB73" i="1"/>
  <c r="AE73" i="1"/>
  <c r="AF73" i="1" s="1"/>
  <c r="O73" i="2"/>
  <c r="C73" i="4" s="1"/>
  <c r="D73" i="4"/>
  <c r="AB74" i="1"/>
  <c r="AE74" i="1"/>
  <c r="AF74" i="1" s="1"/>
  <c r="N74" i="2" s="1"/>
  <c r="B74" i="4" s="1"/>
  <c r="O74" i="2"/>
  <c r="C74" i="4" s="1"/>
  <c r="D74" i="4"/>
  <c r="AB75" i="1"/>
  <c r="AE75" i="1"/>
  <c r="AF75" i="1" s="1"/>
  <c r="O75" i="2"/>
  <c r="C75" i="4" s="1"/>
  <c r="D75" i="4"/>
  <c r="AB76" i="1"/>
  <c r="AE76" i="1"/>
  <c r="AF76" i="1" s="1"/>
  <c r="N76" i="2" s="1"/>
  <c r="B76" i="4" s="1"/>
  <c r="O76" i="2"/>
  <c r="C76" i="4" s="1"/>
  <c r="D76" i="4"/>
  <c r="AB77" i="1"/>
  <c r="AE77" i="1"/>
  <c r="AF77" i="1" s="1"/>
  <c r="O77" i="2"/>
  <c r="C77" i="4" s="1"/>
  <c r="D77" i="4"/>
  <c r="AB78" i="1"/>
  <c r="AE78" i="1"/>
  <c r="AF78" i="1" s="1"/>
  <c r="N78" i="2" s="1"/>
  <c r="B78" i="4" s="1"/>
  <c r="O78" i="2"/>
  <c r="C78" i="4" s="1"/>
  <c r="D78" i="4"/>
  <c r="AB79" i="1"/>
  <c r="AE79" i="1"/>
  <c r="AF79" i="1" s="1"/>
  <c r="O79" i="2"/>
  <c r="C79" i="4" s="1"/>
  <c r="D79" i="4"/>
  <c r="AB80" i="1"/>
  <c r="AE80" i="1"/>
  <c r="AF80" i="1" s="1"/>
  <c r="N80" i="2" s="1"/>
  <c r="B80" i="4" s="1"/>
  <c r="O80" i="2"/>
  <c r="C80" i="4" s="1"/>
  <c r="AB81" i="1"/>
  <c r="AE81" i="1" s="1"/>
  <c r="AF81" i="1" s="1"/>
  <c r="O81" i="2"/>
  <c r="C81" i="4"/>
  <c r="AB82" i="1"/>
  <c r="AE82" i="1"/>
  <c r="AF82" i="1" s="1"/>
  <c r="N82" i="2"/>
  <c r="B82" i="4" s="1"/>
  <c r="O82" i="2"/>
  <c r="C82" i="4" s="1"/>
  <c r="D82" i="4"/>
  <c r="AB83" i="1"/>
  <c r="AE83" i="1"/>
  <c r="AF83" i="1" s="1"/>
  <c r="R62" i="3" s="1"/>
  <c r="N83" i="2"/>
  <c r="B83" i="4" s="1"/>
  <c r="O83" i="2"/>
  <c r="C83" i="4" s="1"/>
  <c r="D83" i="4"/>
  <c r="AB84" i="1"/>
  <c r="AE84" i="1"/>
  <c r="AF84" i="1" s="1"/>
  <c r="R63" i="3" s="1"/>
  <c r="N84" i="2"/>
  <c r="B84" i="4" s="1"/>
  <c r="O84" i="2"/>
  <c r="C84" i="4" s="1"/>
  <c r="D84" i="4"/>
  <c r="AB85" i="1"/>
  <c r="AE85" i="1"/>
  <c r="AF85" i="1" s="1"/>
  <c r="R64" i="3" s="1"/>
  <c r="O85" i="2"/>
  <c r="C85" i="4" s="1"/>
  <c r="D85" i="4"/>
  <c r="AB86" i="1"/>
  <c r="AE86" i="1"/>
  <c r="AF86" i="1" s="1"/>
  <c r="N86" i="2"/>
  <c r="B86" i="4" s="1"/>
  <c r="O86" i="2"/>
  <c r="C86" i="4" s="1"/>
  <c r="D86" i="4"/>
  <c r="AB87" i="1"/>
  <c r="AE87" i="1"/>
  <c r="AF87" i="1" s="1"/>
  <c r="R66" i="3" s="1"/>
  <c r="N87" i="2"/>
  <c r="B87" i="4" s="1"/>
  <c r="O87" i="2"/>
  <c r="C87" i="4" s="1"/>
  <c r="D87" i="4"/>
  <c r="AB88" i="1"/>
  <c r="AE88" i="1"/>
  <c r="AF88" i="1" s="1"/>
  <c r="N88" i="2"/>
  <c r="B88" i="4" s="1"/>
  <c r="O88" i="2"/>
  <c r="C88" i="4" s="1"/>
  <c r="D88" i="4"/>
  <c r="AB89" i="1"/>
  <c r="AE89" i="1"/>
  <c r="AF89" i="1" s="1"/>
  <c r="R68" i="3" s="1"/>
  <c r="O89" i="2"/>
  <c r="C89" i="4" s="1"/>
  <c r="D89" i="4"/>
  <c r="AB90" i="1"/>
  <c r="AE90" i="1"/>
  <c r="AF90" i="1" s="1"/>
  <c r="N90" i="2"/>
  <c r="B90" i="4" s="1"/>
  <c r="O90" i="2"/>
  <c r="C90" i="4" s="1"/>
  <c r="D90" i="4"/>
  <c r="AB91" i="1"/>
  <c r="AE91" i="1"/>
  <c r="AF91" i="1" s="1"/>
  <c r="R70" i="3" s="1"/>
  <c r="N91" i="2"/>
  <c r="B91" i="4" s="1"/>
  <c r="O91" i="2"/>
  <c r="C91" i="4" s="1"/>
  <c r="D91" i="4"/>
  <c r="AB92" i="1"/>
  <c r="AE92" i="1"/>
  <c r="AF92" i="1" s="1"/>
  <c r="R71" i="3" s="1"/>
  <c r="N92" i="2"/>
  <c r="B92" i="4" s="1"/>
  <c r="O92" i="2"/>
  <c r="C92" i="4" s="1"/>
  <c r="D92" i="4"/>
  <c r="AB93" i="1"/>
  <c r="AE93" i="1"/>
  <c r="AF93" i="1" s="1"/>
  <c r="R72" i="3" s="1"/>
  <c r="O93" i="2"/>
  <c r="C93" i="4" s="1"/>
  <c r="D93" i="4"/>
  <c r="AB94" i="1"/>
  <c r="AE94" i="1"/>
  <c r="AF94" i="1" s="1"/>
  <c r="N94" i="2"/>
  <c r="B94" i="4" s="1"/>
  <c r="O94" i="2"/>
  <c r="C94" i="4" s="1"/>
  <c r="D94" i="4"/>
  <c r="AB95" i="1"/>
  <c r="AE95" i="1"/>
  <c r="AF95" i="1" s="1"/>
  <c r="R74" i="3" s="1"/>
  <c r="N95" i="2"/>
  <c r="B95" i="4" s="1"/>
  <c r="O95" i="2"/>
  <c r="C95" i="4" s="1"/>
  <c r="D95" i="4"/>
  <c r="AB96" i="1"/>
  <c r="AE96" i="1"/>
  <c r="AF96" i="1" s="1"/>
  <c r="N96" i="2"/>
  <c r="B96" i="4" s="1"/>
  <c r="O96" i="2"/>
  <c r="C96" i="4" s="1"/>
  <c r="D96" i="4"/>
  <c r="AB97" i="1"/>
  <c r="AE97" i="1"/>
  <c r="AF97" i="1" s="1"/>
  <c r="R76" i="3" s="1"/>
  <c r="O97" i="2"/>
  <c r="C97" i="4" s="1"/>
  <c r="D97" i="4"/>
  <c r="AB98" i="1"/>
  <c r="AE98" i="1"/>
  <c r="AF98" i="1" s="1"/>
  <c r="N98" i="2"/>
  <c r="B98" i="4" s="1"/>
  <c r="O98" i="2"/>
  <c r="C98" i="4" s="1"/>
  <c r="D98" i="4"/>
  <c r="AB99" i="1"/>
  <c r="AE99" i="1"/>
  <c r="AF99" i="1" s="1"/>
  <c r="R78" i="3" s="1"/>
  <c r="N99" i="2"/>
  <c r="B99" i="4" s="1"/>
  <c r="O99" i="2"/>
  <c r="C99" i="4" s="1"/>
  <c r="D99" i="4"/>
  <c r="AB100" i="1"/>
  <c r="AE100" i="1"/>
  <c r="AF100" i="1" s="1"/>
  <c r="R79" i="3" s="1"/>
  <c r="N100" i="2"/>
  <c r="B100" i="4" s="1"/>
  <c r="O100" i="2"/>
  <c r="C100" i="4" s="1"/>
  <c r="D100" i="4"/>
  <c r="AB101" i="1"/>
  <c r="AE101" i="1"/>
  <c r="AF101" i="1" s="1"/>
  <c r="R80" i="3" s="1"/>
  <c r="O101" i="2"/>
  <c r="C101" i="4" s="1"/>
  <c r="D101" i="4"/>
  <c r="AB102" i="1"/>
  <c r="AE102" i="1"/>
  <c r="AF102" i="1" s="1"/>
  <c r="N102" i="2"/>
  <c r="B102" i="4" s="1"/>
  <c r="O102" i="2"/>
  <c r="C102" i="4" s="1"/>
  <c r="D102" i="4"/>
  <c r="AB103" i="1"/>
  <c r="AE103" i="1"/>
  <c r="AF103" i="1" s="1"/>
  <c r="R82" i="3" s="1"/>
  <c r="N103" i="2"/>
  <c r="B103" i="4" s="1"/>
  <c r="O103" i="2"/>
  <c r="C103" i="4" s="1"/>
  <c r="D103" i="4"/>
  <c r="AB104" i="1"/>
  <c r="AE104" i="1"/>
  <c r="AF104" i="1" s="1"/>
  <c r="N104" i="2"/>
  <c r="B104" i="4" s="1"/>
  <c r="O104" i="2"/>
  <c r="C104" i="4" s="1"/>
  <c r="D104" i="4"/>
  <c r="AB105" i="1"/>
  <c r="AE105" i="1"/>
  <c r="AF105" i="1" s="1"/>
  <c r="R84" i="3" s="1"/>
  <c r="O105" i="2"/>
  <c r="C105" i="4" s="1"/>
  <c r="D105" i="4"/>
  <c r="AB106" i="1"/>
  <c r="AE106" i="1"/>
  <c r="AF106" i="1" s="1"/>
  <c r="N106" i="2"/>
  <c r="B106" i="4" s="1"/>
  <c r="O106" i="2"/>
  <c r="C106" i="4" s="1"/>
  <c r="D106" i="4"/>
  <c r="AB107" i="1"/>
  <c r="AE107" i="1"/>
  <c r="AF107" i="1" s="1"/>
  <c r="R86" i="3" s="1"/>
  <c r="N107" i="2"/>
  <c r="B107" i="4" s="1"/>
  <c r="O107" i="2"/>
  <c r="C107" i="4" s="1"/>
  <c r="D107" i="4"/>
  <c r="AB108" i="1"/>
  <c r="AE108" i="1"/>
  <c r="AF108" i="1" s="1"/>
  <c r="R87" i="3" s="1"/>
  <c r="N108" i="2"/>
  <c r="B108" i="4" s="1"/>
  <c r="O108" i="2"/>
  <c r="C108" i="4" s="1"/>
  <c r="D108" i="4"/>
  <c r="AB109" i="1"/>
  <c r="AE109" i="1"/>
  <c r="AF109" i="1" s="1"/>
  <c r="R88" i="3" s="1"/>
  <c r="O109" i="2"/>
  <c r="C109" i="4" s="1"/>
  <c r="D109" i="4"/>
  <c r="AB110" i="1"/>
  <c r="AE110" i="1"/>
  <c r="AF110" i="1" s="1"/>
  <c r="N110" i="2"/>
  <c r="B110" i="4" s="1"/>
  <c r="O110" i="2"/>
  <c r="C110" i="4" s="1"/>
  <c r="D110" i="4"/>
  <c r="AB111" i="1"/>
  <c r="AE111" i="1"/>
  <c r="AF111" i="1" s="1"/>
  <c r="R90" i="3" s="1"/>
  <c r="N111" i="2"/>
  <c r="B111" i="4" s="1"/>
  <c r="O111" i="2"/>
  <c r="C111" i="4" s="1"/>
  <c r="D111" i="4"/>
  <c r="AB112" i="1"/>
  <c r="AE112" i="1"/>
  <c r="AF112" i="1" s="1"/>
  <c r="N112" i="2"/>
  <c r="B112" i="4" s="1"/>
  <c r="O112" i="2"/>
  <c r="C112" i="4" s="1"/>
  <c r="D112" i="4"/>
  <c r="AB113" i="1"/>
  <c r="AE113" i="1"/>
  <c r="AF113" i="1" s="1"/>
  <c r="R92" i="3" s="1"/>
  <c r="O113" i="2"/>
  <c r="C113" i="4" s="1"/>
  <c r="D113" i="4"/>
  <c r="AB114" i="1"/>
  <c r="AE114" i="1"/>
  <c r="AF114" i="1" s="1"/>
  <c r="N114" i="2"/>
  <c r="B114" i="4" s="1"/>
  <c r="O114" i="2"/>
  <c r="C114" i="4" s="1"/>
  <c r="D114" i="4"/>
  <c r="AB115" i="1"/>
  <c r="AE115" i="1"/>
  <c r="AF115" i="1" s="1"/>
  <c r="R94" i="3" s="1"/>
  <c r="N115" i="2"/>
  <c r="B115" i="4" s="1"/>
  <c r="O115" i="2"/>
  <c r="C115" i="4" s="1"/>
  <c r="D115" i="4"/>
  <c r="AB116" i="1"/>
  <c r="AE116" i="1"/>
  <c r="AF116" i="1" s="1"/>
  <c r="R95" i="3" s="1"/>
  <c r="N116" i="2"/>
  <c r="B116" i="4" s="1"/>
  <c r="O116" i="2"/>
  <c r="C116" i="4" s="1"/>
  <c r="D116" i="4"/>
  <c r="AB117" i="1"/>
  <c r="AE117" i="1"/>
  <c r="AF117" i="1" s="1"/>
  <c r="R96" i="3" s="1"/>
  <c r="O117" i="2"/>
  <c r="C117" i="4" s="1"/>
  <c r="D117" i="4"/>
  <c r="AB118" i="1"/>
  <c r="AE118" i="1"/>
  <c r="AF118" i="1" s="1"/>
  <c r="N118" i="2"/>
  <c r="B118" i="4" s="1"/>
  <c r="O118" i="2"/>
  <c r="C118" i="4" s="1"/>
  <c r="D118" i="4"/>
  <c r="AB119" i="1"/>
  <c r="AE119" i="1"/>
  <c r="AF119" i="1" s="1"/>
  <c r="R98" i="3" s="1"/>
  <c r="N119" i="2"/>
  <c r="B119" i="4" s="1"/>
  <c r="O119" i="2"/>
  <c r="C119" i="4" s="1"/>
  <c r="D119" i="4"/>
  <c r="AB120" i="1"/>
  <c r="AE120" i="1"/>
  <c r="AF120" i="1" s="1"/>
  <c r="N120" i="2"/>
  <c r="B120" i="4" s="1"/>
  <c r="O120" i="2"/>
  <c r="C120" i="4" s="1"/>
  <c r="D120" i="4"/>
  <c r="AB121" i="1"/>
  <c r="AE121" i="1"/>
  <c r="AF121" i="1" s="1"/>
  <c r="R100" i="3" s="1"/>
  <c r="O121" i="2"/>
  <c r="C121" i="4" s="1"/>
  <c r="D121" i="4"/>
  <c r="AB122" i="1"/>
  <c r="AE122" i="1"/>
  <c r="AF122" i="1" s="1"/>
  <c r="N122" i="2"/>
  <c r="B122" i="4" s="1"/>
  <c r="O122" i="2"/>
  <c r="C122" i="4" s="1"/>
  <c r="D122" i="4"/>
  <c r="AB123" i="1"/>
  <c r="AE123" i="1"/>
  <c r="AF123" i="1" s="1"/>
  <c r="R102" i="3" s="1"/>
  <c r="N123" i="2"/>
  <c r="B123" i="4" s="1"/>
  <c r="O123" i="2"/>
  <c r="C123" i="4" s="1"/>
  <c r="D123" i="4"/>
  <c r="AB124" i="1"/>
  <c r="AE124" i="1"/>
  <c r="AF124" i="1" s="1"/>
  <c r="R103" i="3" s="1"/>
  <c r="N124" i="2"/>
  <c r="B124" i="4" s="1"/>
  <c r="O124" i="2"/>
  <c r="C124" i="4" s="1"/>
  <c r="D124" i="4"/>
  <c r="AB125" i="1"/>
  <c r="AE125" i="1"/>
  <c r="AF125" i="1" s="1"/>
  <c r="R104" i="3" s="1"/>
  <c r="O125" i="2"/>
  <c r="C125" i="4" s="1"/>
  <c r="D125" i="4"/>
  <c r="AB126" i="1"/>
  <c r="AE126" i="1"/>
  <c r="AF126" i="1" s="1"/>
  <c r="N126" i="2"/>
  <c r="B126" i="4" s="1"/>
  <c r="O126" i="2"/>
  <c r="C126" i="4" s="1"/>
  <c r="D126" i="4"/>
  <c r="AB127" i="1"/>
  <c r="AE127" i="1"/>
  <c r="AF127" i="1" s="1"/>
  <c r="R106" i="3" s="1"/>
  <c r="N127" i="2"/>
  <c r="B127" i="4" s="1"/>
  <c r="O127" i="2"/>
  <c r="C127" i="4" s="1"/>
  <c r="D127" i="4"/>
  <c r="AB128" i="1"/>
  <c r="AE128" i="1"/>
  <c r="AF128" i="1" s="1"/>
  <c r="N128" i="2"/>
  <c r="B128" i="4" s="1"/>
  <c r="O128" i="2"/>
  <c r="C128" i="4" s="1"/>
  <c r="D128" i="4"/>
  <c r="AB129" i="1"/>
  <c r="AE129" i="1"/>
  <c r="AF129" i="1" s="1"/>
  <c r="R108" i="3" s="1"/>
  <c r="O129" i="2"/>
  <c r="C129" i="4" s="1"/>
  <c r="D129" i="4"/>
  <c r="AB130" i="1"/>
  <c r="AE130" i="1"/>
  <c r="AF130" i="1" s="1"/>
  <c r="N130" i="2"/>
  <c r="B130" i="4" s="1"/>
  <c r="O130" i="2"/>
  <c r="C130" i="4" s="1"/>
  <c r="D130" i="4"/>
  <c r="AB131" i="1"/>
  <c r="AE131" i="1"/>
  <c r="AF131" i="1" s="1"/>
  <c r="R110" i="3" s="1"/>
  <c r="N131" i="2"/>
  <c r="B131" i="4" s="1"/>
  <c r="O131" i="2"/>
  <c r="C131" i="4" s="1"/>
  <c r="D131" i="4"/>
  <c r="AB132" i="1"/>
  <c r="AE132" i="1"/>
  <c r="AF132" i="1" s="1"/>
  <c r="R111" i="3" s="1"/>
  <c r="N132" i="2"/>
  <c r="B132" i="4" s="1"/>
  <c r="O132" i="2"/>
  <c r="C132" i="4" s="1"/>
  <c r="D132" i="4"/>
  <c r="AB133" i="1"/>
  <c r="AE133" i="1"/>
  <c r="AF133" i="1" s="1"/>
  <c r="R112" i="3" s="1"/>
  <c r="O133" i="2"/>
  <c r="C133" i="4" s="1"/>
  <c r="D133" i="4"/>
  <c r="AB134" i="1"/>
  <c r="AE134" i="1"/>
  <c r="AF134" i="1" s="1"/>
  <c r="N134" i="2"/>
  <c r="B134" i="4" s="1"/>
  <c r="O134" i="2"/>
  <c r="C134" i="4" s="1"/>
  <c r="D134" i="4"/>
  <c r="AB135" i="1"/>
  <c r="AE135" i="1"/>
  <c r="AF135" i="1" s="1"/>
  <c r="R114" i="3" s="1"/>
  <c r="N135" i="2"/>
  <c r="B135" i="4" s="1"/>
  <c r="O135" i="2"/>
  <c r="C135" i="4" s="1"/>
  <c r="D135" i="4"/>
  <c r="AB136" i="1"/>
  <c r="AE136" i="1"/>
  <c r="AF136" i="1" s="1"/>
  <c r="N136" i="2"/>
  <c r="B136" i="4" s="1"/>
  <c r="O136" i="2"/>
  <c r="C136" i="4" s="1"/>
  <c r="D136" i="4"/>
  <c r="AB137" i="1"/>
  <c r="AE137" i="1"/>
  <c r="AF137" i="1" s="1"/>
  <c r="R116" i="3" s="1"/>
  <c r="O137" i="2"/>
  <c r="C137" i="4" s="1"/>
  <c r="D137" i="4"/>
  <c r="AB138" i="1"/>
  <c r="AE138" i="1"/>
  <c r="AF138" i="1" s="1"/>
  <c r="N138" i="2"/>
  <c r="B138" i="4" s="1"/>
  <c r="O138" i="2"/>
  <c r="C138" i="4" s="1"/>
  <c r="D138" i="4"/>
  <c r="AB139" i="1"/>
  <c r="AE139" i="1"/>
  <c r="AF139" i="1" s="1"/>
  <c r="R118" i="3" s="1"/>
  <c r="N139" i="2"/>
  <c r="B139" i="4" s="1"/>
  <c r="O139" i="2"/>
  <c r="C139" i="4" s="1"/>
  <c r="D139" i="4"/>
  <c r="AB140" i="1"/>
  <c r="AE140" i="1"/>
  <c r="AF140" i="1" s="1"/>
  <c r="R119" i="3" s="1"/>
  <c r="N140" i="2"/>
  <c r="B140" i="4" s="1"/>
  <c r="O140" i="2"/>
  <c r="C140" i="4" s="1"/>
  <c r="D140" i="4"/>
  <c r="AB141" i="1"/>
  <c r="AE141" i="1"/>
  <c r="AF141" i="1" s="1"/>
  <c r="R120" i="3" s="1"/>
  <c r="O141" i="2"/>
  <c r="C141" i="4" s="1"/>
  <c r="D141" i="4"/>
  <c r="AB142" i="1"/>
  <c r="AE142" i="1"/>
  <c r="AF142" i="1" s="1"/>
  <c r="N142" i="2"/>
  <c r="B142" i="4" s="1"/>
  <c r="O142" i="2"/>
  <c r="C142" i="4" s="1"/>
  <c r="D142" i="4"/>
  <c r="AB143" i="1"/>
  <c r="AE143" i="1"/>
  <c r="AF143" i="1" s="1"/>
  <c r="R122" i="3" s="1"/>
  <c r="N143" i="2"/>
  <c r="B143" i="4" s="1"/>
  <c r="O143" i="2"/>
  <c r="C143" i="4" s="1"/>
  <c r="D143" i="4"/>
  <c r="AB144" i="1"/>
  <c r="AE144" i="1"/>
  <c r="AF144" i="1" s="1"/>
  <c r="N144" i="2"/>
  <c r="B144" i="4" s="1"/>
  <c r="O144" i="2"/>
  <c r="C144" i="4" s="1"/>
  <c r="D144" i="4"/>
  <c r="AB145" i="1"/>
  <c r="AE145" i="1"/>
  <c r="AF145" i="1" s="1"/>
  <c r="R124" i="3" s="1"/>
  <c r="O145" i="2"/>
  <c r="C145" i="4" s="1"/>
  <c r="D145" i="4"/>
  <c r="AB146" i="1"/>
  <c r="AE146" i="1"/>
  <c r="AF146" i="1" s="1"/>
  <c r="N146" i="2"/>
  <c r="B146" i="4" s="1"/>
  <c r="O146" i="2"/>
  <c r="C146" i="4" s="1"/>
  <c r="D146" i="4"/>
  <c r="AB147" i="1"/>
  <c r="AE147" i="1"/>
  <c r="AF147" i="1" s="1"/>
  <c r="R126" i="3" s="1"/>
  <c r="N147" i="2"/>
  <c r="B147" i="4" s="1"/>
  <c r="O147" i="2"/>
  <c r="C147" i="4" s="1"/>
  <c r="D147" i="4"/>
  <c r="AB148" i="1"/>
  <c r="AE148" i="1"/>
  <c r="AF148" i="1" s="1"/>
  <c r="R127" i="3" s="1"/>
  <c r="N148" i="2"/>
  <c r="B148" i="4" s="1"/>
  <c r="O148" i="2"/>
  <c r="C148" i="4" s="1"/>
  <c r="D148" i="4"/>
  <c r="AB149" i="1"/>
  <c r="AE149" i="1"/>
  <c r="AF149" i="1" s="1"/>
  <c r="R128" i="3" s="1"/>
  <c r="O149" i="2"/>
  <c r="C149" i="4" s="1"/>
  <c r="D149" i="4"/>
  <c r="AB150" i="1"/>
  <c r="AE150" i="1"/>
  <c r="AF150" i="1" s="1"/>
  <c r="N150" i="2"/>
  <c r="B150" i="4" s="1"/>
  <c r="O150" i="2"/>
  <c r="C150" i="4" s="1"/>
  <c r="D150" i="4"/>
  <c r="M43" i="2"/>
  <c r="M42" i="2"/>
  <c r="M41" i="2" s="1"/>
  <c r="A41" i="4" s="1"/>
  <c r="M40" i="2"/>
  <c r="A43" i="4"/>
  <c r="A44" i="4"/>
  <c r="M45" i="2"/>
  <c r="A45" i="4" s="1"/>
  <c r="M46" i="2"/>
  <c r="A1" i="4"/>
  <c r="AM96" i="2"/>
  <c r="AM95" i="2"/>
  <c r="AM94" i="2"/>
  <c r="AM93" i="2"/>
  <c r="AM92" i="2"/>
  <c r="AM91" i="2"/>
  <c r="AM90" i="2"/>
  <c r="AM89" i="2"/>
  <c r="AM88" i="2"/>
  <c r="R3" i="3"/>
  <c r="R9" i="3"/>
  <c r="R11" i="3"/>
  <c r="R17" i="3"/>
  <c r="R19" i="3"/>
  <c r="R25" i="3"/>
  <c r="R27" i="3"/>
  <c r="R33" i="3"/>
  <c r="R35" i="3"/>
  <c r="R39" i="3"/>
  <c r="R41" i="3"/>
  <c r="R43" i="3"/>
  <c r="R49" i="3"/>
  <c r="R51" i="3"/>
  <c r="R55" i="3"/>
  <c r="R57" i="3"/>
  <c r="R59" i="3"/>
  <c r="R61" i="3"/>
  <c r="R65" i="3"/>
  <c r="R67" i="3"/>
  <c r="R69" i="3"/>
  <c r="R73" i="3"/>
  <c r="R75" i="3"/>
  <c r="R77" i="3"/>
  <c r="R81" i="3"/>
  <c r="R83" i="3"/>
  <c r="R85" i="3"/>
  <c r="R89" i="3"/>
  <c r="R91" i="3"/>
  <c r="R93" i="3"/>
  <c r="R97" i="3"/>
  <c r="R99" i="3"/>
  <c r="R101" i="3"/>
  <c r="R105" i="3"/>
  <c r="R107" i="3"/>
  <c r="R109" i="3"/>
  <c r="R113" i="3"/>
  <c r="R115" i="3"/>
  <c r="R117" i="3"/>
  <c r="R121" i="3"/>
  <c r="R123" i="3"/>
  <c r="R125" i="3"/>
  <c r="R129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2" i="3"/>
  <c r="P3" i="3"/>
  <c r="P5" i="3"/>
  <c r="P7" i="3"/>
  <c r="P9" i="3"/>
  <c r="P10" i="3"/>
  <c r="P12" i="3"/>
  <c r="P13" i="3"/>
  <c r="P14" i="3"/>
  <c r="P15" i="3"/>
  <c r="P16" i="3"/>
  <c r="P17" i="3"/>
  <c r="P18" i="3"/>
  <c r="P19" i="3"/>
  <c r="P21" i="3"/>
  <c r="P23" i="3"/>
  <c r="P24" i="3"/>
  <c r="P25" i="3"/>
  <c r="P26" i="3"/>
  <c r="P27" i="3"/>
  <c r="P28" i="3"/>
  <c r="P29" i="3"/>
  <c r="P30" i="3"/>
  <c r="P31" i="3"/>
  <c r="P32" i="3"/>
  <c r="P33" i="3"/>
  <c r="P35" i="3"/>
  <c r="P37" i="3"/>
  <c r="P39" i="3"/>
  <c r="P41" i="3"/>
  <c r="P42" i="3"/>
  <c r="P43" i="3"/>
  <c r="P44" i="3"/>
  <c r="P45" i="3"/>
  <c r="P46" i="3"/>
  <c r="P47" i="3"/>
  <c r="P49" i="3"/>
  <c r="P51" i="3"/>
  <c r="P52" i="3"/>
  <c r="P53" i="3"/>
  <c r="P54" i="3"/>
  <c r="P55" i="3"/>
  <c r="P56" i="3"/>
  <c r="P57" i="3"/>
  <c r="P58" i="3"/>
  <c r="P59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Y23" i="1"/>
  <c r="C3" i="3"/>
  <c r="E3" i="3" s="1"/>
  <c r="T24" i="1"/>
  <c r="B3" i="3"/>
  <c r="C6" i="3"/>
  <c r="T27" i="1"/>
  <c r="B6" i="3"/>
  <c r="C7" i="3"/>
  <c r="T28" i="1"/>
  <c r="B7" i="3"/>
  <c r="C8" i="3"/>
  <c r="E8" i="3" s="1"/>
  <c r="T29" i="1"/>
  <c r="B8" i="3"/>
  <c r="C9" i="3"/>
  <c r="E9" i="3" s="1"/>
  <c r="T30" i="1"/>
  <c r="B9" i="3"/>
  <c r="C10" i="3"/>
  <c r="T31" i="1"/>
  <c r="B10" i="3"/>
  <c r="C11" i="3"/>
  <c r="T32" i="1"/>
  <c r="B11" i="3"/>
  <c r="C13" i="3"/>
  <c r="E13" i="3" s="1"/>
  <c r="T34" i="1"/>
  <c r="B13" i="3"/>
  <c r="C14" i="3"/>
  <c r="E14" i="3" s="1"/>
  <c r="T35" i="1"/>
  <c r="B14" i="3"/>
  <c r="C15" i="3"/>
  <c r="T36" i="1"/>
  <c r="B15" i="3"/>
  <c r="C16" i="3"/>
  <c r="T37" i="1"/>
  <c r="B16" i="3"/>
  <c r="C17" i="3"/>
  <c r="E17" i="3" s="1"/>
  <c r="T38" i="1"/>
  <c r="B17" i="3"/>
  <c r="C18" i="3"/>
  <c r="E18" i="3" s="1"/>
  <c r="T39" i="1"/>
  <c r="B18" i="3"/>
  <c r="C19" i="3"/>
  <c r="T40" i="1"/>
  <c r="B19" i="3"/>
  <c r="C20" i="3"/>
  <c r="T41" i="1"/>
  <c r="B20" i="3"/>
  <c r="C21" i="3"/>
  <c r="E21" i="3" s="1"/>
  <c r="T42" i="1"/>
  <c r="B21" i="3"/>
  <c r="C22" i="3"/>
  <c r="E22" i="3" s="1"/>
  <c r="T43" i="1"/>
  <c r="B22" i="3"/>
  <c r="C23" i="3"/>
  <c r="T44" i="1"/>
  <c r="B23" i="3"/>
  <c r="C24" i="3"/>
  <c r="T45" i="1"/>
  <c r="B24" i="3"/>
  <c r="C25" i="3"/>
  <c r="E25" i="3" s="1"/>
  <c r="T46" i="1"/>
  <c r="B25" i="3"/>
  <c r="C26" i="3"/>
  <c r="E26" i="3" s="1"/>
  <c r="T47" i="1"/>
  <c r="B26" i="3"/>
  <c r="C27" i="3"/>
  <c r="T48" i="1"/>
  <c r="B27" i="3"/>
  <c r="C28" i="3"/>
  <c r="T49" i="1"/>
  <c r="B28" i="3"/>
  <c r="C29" i="3"/>
  <c r="E29" i="3" s="1"/>
  <c r="T50" i="1"/>
  <c r="B29" i="3"/>
  <c r="C30" i="3"/>
  <c r="E30" i="3" s="1"/>
  <c r="T51" i="1"/>
  <c r="B30" i="3"/>
  <c r="C31" i="3"/>
  <c r="T52" i="1"/>
  <c r="B31" i="3"/>
  <c r="C32" i="3"/>
  <c r="T53" i="1"/>
  <c r="B32" i="3"/>
  <c r="C35" i="3"/>
  <c r="E35" i="3" s="1"/>
  <c r="T56" i="1"/>
  <c r="B35" i="3"/>
  <c r="C36" i="3"/>
  <c r="E36" i="3" s="1"/>
  <c r="T57" i="1"/>
  <c r="B36" i="3"/>
  <c r="C37" i="3"/>
  <c r="T58" i="1"/>
  <c r="B37" i="3"/>
  <c r="C38" i="3"/>
  <c r="T59" i="1"/>
  <c r="B38" i="3"/>
  <c r="C39" i="3"/>
  <c r="E39" i="3" s="1"/>
  <c r="T60" i="1"/>
  <c r="B39" i="3"/>
  <c r="C40" i="3"/>
  <c r="E40" i="3" s="1"/>
  <c r="T61" i="1"/>
  <c r="B40" i="3"/>
  <c r="C41" i="3"/>
  <c r="T62" i="1"/>
  <c r="B41" i="3"/>
  <c r="C42" i="3"/>
  <c r="T63" i="1"/>
  <c r="B42" i="3"/>
  <c r="C43" i="3"/>
  <c r="E43" i="3" s="1"/>
  <c r="T64" i="1"/>
  <c r="B43" i="3"/>
  <c r="C44" i="3"/>
  <c r="E44" i="3" s="1"/>
  <c r="T65" i="1"/>
  <c r="B44" i="3"/>
  <c r="C45" i="3"/>
  <c r="T66" i="1"/>
  <c r="B45" i="3"/>
  <c r="C46" i="3"/>
  <c r="T67" i="1"/>
  <c r="B46" i="3"/>
  <c r="C47" i="3"/>
  <c r="E47" i="3" s="1"/>
  <c r="T68" i="1"/>
  <c r="B47" i="3"/>
  <c r="C50" i="3"/>
  <c r="E50" i="3" s="1"/>
  <c r="T71" i="1"/>
  <c r="B50" i="3"/>
  <c r="C51" i="3"/>
  <c r="T72" i="1"/>
  <c r="B51" i="3"/>
  <c r="C52" i="3"/>
  <c r="T73" i="1"/>
  <c r="B52" i="3"/>
  <c r="C53" i="3"/>
  <c r="E53" i="3" s="1"/>
  <c r="T74" i="1"/>
  <c r="B53" i="3"/>
  <c r="C54" i="3"/>
  <c r="E54" i="3" s="1"/>
  <c r="T75" i="1"/>
  <c r="B54" i="3"/>
  <c r="C55" i="3"/>
  <c r="T76" i="1"/>
  <c r="B55" i="3"/>
  <c r="C56" i="3"/>
  <c r="T77" i="1"/>
  <c r="B56" i="3"/>
  <c r="C58" i="3"/>
  <c r="E58" i="3" s="1"/>
  <c r="T79" i="1"/>
  <c r="B58" i="3"/>
  <c r="C61" i="3"/>
  <c r="E61" i="3" s="1"/>
  <c r="T82" i="1"/>
  <c r="B61" i="3"/>
  <c r="C62" i="3"/>
  <c r="T83" i="1"/>
  <c r="B62" i="3"/>
  <c r="C63" i="3"/>
  <c r="T84" i="1"/>
  <c r="B63" i="3"/>
  <c r="C64" i="3"/>
  <c r="E64" i="3" s="1"/>
  <c r="T85" i="1"/>
  <c r="B64" i="3"/>
  <c r="C65" i="3"/>
  <c r="E65" i="3" s="1"/>
  <c r="T86" i="1"/>
  <c r="B65" i="3"/>
  <c r="C66" i="3"/>
  <c r="T87" i="1"/>
  <c r="B66" i="3"/>
  <c r="C67" i="3"/>
  <c r="T88" i="1"/>
  <c r="B67" i="3"/>
  <c r="C68" i="3"/>
  <c r="E68" i="3" s="1"/>
  <c r="T89" i="1"/>
  <c r="B68" i="3"/>
  <c r="C69" i="3"/>
  <c r="E69" i="3" s="1"/>
  <c r="T90" i="1"/>
  <c r="B69" i="3"/>
  <c r="C70" i="3"/>
  <c r="T91" i="1"/>
  <c r="B70" i="3"/>
  <c r="C71" i="3"/>
  <c r="T92" i="1"/>
  <c r="B71" i="3"/>
  <c r="C72" i="3"/>
  <c r="E72" i="3" s="1"/>
  <c r="T93" i="1"/>
  <c r="B72" i="3"/>
  <c r="C73" i="3"/>
  <c r="E73" i="3" s="1"/>
  <c r="T94" i="1"/>
  <c r="B73" i="3"/>
  <c r="C74" i="3"/>
  <c r="T95" i="1"/>
  <c r="B74" i="3"/>
  <c r="C75" i="3"/>
  <c r="T96" i="1"/>
  <c r="B75" i="3"/>
  <c r="C76" i="3"/>
  <c r="E76" i="3" s="1"/>
  <c r="T97" i="1"/>
  <c r="B76" i="3"/>
  <c r="C77" i="3"/>
  <c r="E77" i="3" s="1"/>
  <c r="T98" i="1"/>
  <c r="B77" i="3"/>
  <c r="C78" i="3"/>
  <c r="T99" i="1"/>
  <c r="B78" i="3"/>
  <c r="C79" i="3"/>
  <c r="T100" i="1"/>
  <c r="B79" i="3"/>
  <c r="C80" i="3"/>
  <c r="E80" i="3" s="1"/>
  <c r="T101" i="1"/>
  <c r="B80" i="3"/>
  <c r="C81" i="3"/>
  <c r="E81" i="3" s="1"/>
  <c r="T102" i="1"/>
  <c r="B81" i="3"/>
  <c r="C82" i="3"/>
  <c r="T103" i="1"/>
  <c r="B82" i="3"/>
  <c r="C83" i="3"/>
  <c r="T104" i="1"/>
  <c r="B83" i="3"/>
  <c r="C84" i="3"/>
  <c r="E84" i="3" s="1"/>
  <c r="T105" i="1"/>
  <c r="B84" i="3"/>
  <c r="C86" i="3"/>
  <c r="E86" i="3" s="1"/>
  <c r="T107" i="1"/>
  <c r="B86" i="3"/>
  <c r="C87" i="3"/>
  <c r="T108" i="1"/>
  <c r="B87" i="3"/>
  <c r="C88" i="3"/>
  <c r="T109" i="1"/>
  <c r="B88" i="3"/>
  <c r="C89" i="3"/>
  <c r="E89" i="3" s="1"/>
  <c r="T110" i="1"/>
  <c r="B89" i="3"/>
  <c r="C90" i="3"/>
  <c r="E90" i="3" s="1"/>
  <c r="T111" i="1"/>
  <c r="B90" i="3"/>
  <c r="C91" i="3"/>
  <c r="T112" i="1"/>
  <c r="B91" i="3"/>
  <c r="C92" i="3"/>
  <c r="T113" i="1"/>
  <c r="B92" i="3"/>
  <c r="C93" i="3"/>
  <c r="E93" i="3" s="1"/>
  <c r="T114" i="1"/>
  <c r="B93" i="3"/>
  <c r="C94" i="3"/>
  <c r="E94" i="3" s="1"/>
  <c r="T115" i="1"/>
  <c r="B94" i="3"/>
  <c r="C95" i="3"/>
  <c r="T116" i="1"/>
  <c r="B95" i="3"/>
  <c r="C96" i="3"/>
  <c r="T117" i="1"/>
  <c r="B96" i="3"/>
  <c r="C97" i="3"/>
  <c r="E97" i="3" s="1"/>
  <c r="T118" i="1"/>
  <c r="B97" i="3"/>
  <c r="C98" i="3"/>
  <c r="E98" i="3" s="1"/>
  <c r="T119" i="1"/>
  <c r="B98" i="3"/>
  <c r="C99" i="3"/>
  <c r="T120" i="1"/>
  <c r="B99" i="3"/>
  <c r="C100" i="3"/>
  <c r="T121" i="1"/>
  <c r="B100" i="3"/>
  <c r="C101" i="3"/>
  <c r="E101" i="3" s="1"/>
  <c r="T122" i="1"/>
  <c r="B101" i="3"/>
  <c r="T25" i="1"/>
  <c r="B4" i="3"/>
  <c r="T26" i="1"/>
  <c r="B5" i="3"/>
  <c r="T33" i="1"/>
  <c r="B12" i="3"/>
  <c r="T54" i="1"/>
  <c r="B33" i="3"/>
  <c r="T55" i="1"/>
  <c r="B34" i="3"/>
  <c r="T69" i="1"/>
  <c r="B48" i="3"/>
  <c r="T70" i="1"/>
  <c r="B49" i="3"/>
  <c r="B57" i="3"/>
  <c r="T80" i="1"/>
  <c r="B59" i="3" s="1"/>
  <c r="T81" i="1"/>
  <c r="T106" i="1"/>
  <c r="B85" i="3" s="1"/>
  <c r="T123" i="1"/>
  <c r="T124" i="1"/>
  <c r="B103" i="3" s="1"/>
  <c r="T125" i="1"/>
  <c r="T126" i="1"/>
  <c r="B105" i="3" s="1"/>
  <c r="T127" i="1"/>
  <c r="T128" i="1"/>
  <c r="B107" i="3" s="1"/>
  <c r="T129" i="1"/>
  <c r="T130" i="1"/>
  <c r="B109" i="3" s="1"/>
  <c r="T131" i="1"/>
  <c r="T132" i="1"/>
  <c r="B111" i="3" s="1"/>
  <c r="T133" i="1"/>
  <c r="T134" i="1"/>
  <c r="B113" i="3" s="1"/>
  <c r="T135" i="1"/>
  <c r="T136" i="1"/>
  <c r="B115" i="3" s="1"/>
  <c r="T137" i="1"/>
  <c r="T138" i="1"/>
  <c r="B117" i="3" s="1"/>
  <c r="T139" i="1"/>
  <c r="T140" i="1"/>
  <c r="B119" i="3" s="1"/>
  <c r="T141" i="1"/>
  <c r="T142" i="1"/>
  <c r="B121" i="3" s="1"/>
  <c r="T143" i="1"/>
  <c r="T144" i="1"/>
  <c r="B123" i="3" s="1"/>
  <c r="T145" i="1"/>
  <c r="T146" i="1"/>
  <c r="B125" i="3" s="1"/>
  <c r="T147" i="1"/>
  <c r="T148" i="1"/>
  <c r="B127" i="3" s="1"/>
  <c r="T149" i="1"/>
  <c r="T150" i="1"/>
  <c r="B129" i="3" s="1"/>
  <c r="T23" i="1"/>
  <c r="B2" i="3" s="1"/>
  <c r="W77" i="1"/>
  <c r="X77" i="1" s="1"/>
  <c r="D56" i="3"/>
  <c r="W76" i="1"/>
  <c r="X76" i="1"/>
  <c r="W75" i="1"/>
  <c r="X75" i="1" s="1"/>
  <c r="J75" i="2" s="1"/>
  <c r="D54" i="3"/>
  <c r="W74" i="1"/>
  <c r="X74" i="1"/>
  <c r="W73" i="1"/>
  <c r="X73" i="1" s="1"/>
  <c r="J73" i="2" s="1"/>
  <c r="D52" i="3"/>
  <c r="W72" i="1"/>
  <c r="X72" i="1"/>
  <c r="W71" i="1"/>
  <c r="X71" i="1" s="1"/>
  <c r="D50" i="3"/>
  <c r="W68" i="1"/>
  <c r="X68" i="1"/>
  <c r="W67" i="1"/>
  <c r="X67" i="1" s="1"/>
  <c r="J67" i="2" s="1"/>
  <c r="D46" i="3"/>
  <c r="W66" i="1"/>
  <c r="X66" i="1"/>
  <c r="W65" i="1"/>
  <c r="X65" i="1" s="1"/>
  <c r="J65" i="2" s="1"/>
  <c r="D44" i="3"/>
  <c r="W64" i="1"/>
  <c r="X64" i="1"/>
  <c r="W63" i="1"/>
  <c r="X63" i="1" s="1"/>
  <c r="D42" i="3"/>
  <c r="W62" i="1"/>
  <c r="X62" i="1"/>
  <c r="W61" i="1"/>
  <c r="X61" i="1" s="1"/>
  <c r="D40" i="3"/>
  <c r="W60" i="1"/>
  <c r="X60" i="1"/>
  <c r="W59" i="1"/>
  <c r="X59" i="1" s="1"/>
  <c r="J59" i="2" s="1"/>
  <c r="D38" i="3"/>
  <c r="W58" i="1"/>
  <c r="X58" i="1"/>
  <c r="W57" i="1"/>
  <c r="X57" i="1" s="1"/>
  <c r="J57" i="2" s="1"/>
  <c r="D36" i="3"/>
  <c r="W56" i="1"/>
  <c r="X56" i="1"/>
  <c r="W53" i="1"/>
  <c r="X53" i="1" s="1"/>
  <c r="D32" i="3"/>
  <c r="W52" i="1"/>
  <c r="X52" i="1"/>
  <c r="W51" i="1"/>
  <c r="X51" i="1" s="1"/>
  <c r="J51" i="2" s="1"/>
  <c r="D30" i="3"/>
  <c r="W50" i="1"/>
  <c r="X50" i="1"/>
  <c r="W49" i="1"/>
  <c r="X49" i="1" s="1"/>
  <c r="J49" i="2" s="1"/>
  <c r="D28" i="3"/>
  <c r="W48" i="1"/>
  <c r="X48" i="1"/>
  <c r="W47" i="1"/>
  <c r="X47" i="1" s="1"/>
  <c r="D26" i="3"/>
  <c r="W46" i="1"/>
  <c r="X46" i="1"/>
  <c r="W45" i="1"/>
  <c r="X45" i="1" s="1"/>
  <c r="D24" i="3"/>
  <c r="W44" i="1"/>
  <c r="X44" i="1"/>
  <c r="W43" i="1"/>
  <c r="X43" i="1" s="1"/>
  <c r="J43" i="2" s="1"/>
  <c r="D22" i="3"/>
  <c r="W42" i="1"/>
  <c r="X42" i="1"/>
  <c r="W41" i="1"/>
  <c r="X41" i="1" s="1"/>
  <c r="J41" i="2" s="1"/>
  <c r="D20" i="3"/>
  <c r="W40" i="1"/>
  <c r="X40" i="1"/>
  <c r="W39" i="1"/>
  <c r="X39" i="1" s="1"/>
  <c r="D18" i="3"/>
  <c r="W38" i="1"/>
  <c r="X38" i="1"/>
  <c r="W37" i="1"/>
  <c r="X37" i="1" s="1"/>
  <c r="D16" i="3"/>
  <c r="W36" i="1"/>
  <c r="X36" i="1"/>
  <c r="W35" i="1"/>
  <c r="X35" i="1" s="1"/>
  <c r="J35" i="2" s="1"/>
  <c r="D14" i="3"/>
  <c r="W34" i="1"/>
  <c r="X34" i="1"/>
  <c r="W32" i="1"/>
  <c r="X32" i="1" s="1"/>
  <c r="J32" i="2" s="1"/>
  <c r="D11" i="3"/>
  <c r="W31" i="1"/>
  <c r="X31" i="1"/>
  <c r="D10" i="3" s="1"/>
  <c r="W30" i="1"/>
  <c r="X30" i="1" s="1"/>
  <c r="J30" i="2" s="1"/>
  <c r="D9" i="3"/>
  <c r="W29" i="1"/>
  <c r="X29" i="1"/>
  <c r="D8" i="3" s="1"/>
  <c r="W28" i="1"/>
  <c r="X28" i="1" s="1"/>
  <c r="J28" i="2" s="1"/>
  <c r="D7" i="3"/>
  <c r="W27" i="1"/>
  <c r="X27" i="1"/>
  <c r="D6" i="3" s="1"/>
  <c r="W24" i="1"/>
  <c r="X24" i="1" s="1"/>
  <c r="J24" i="2" s="1"/>
  <c r="D3" i="3"/>
  <c r="W25" i="1"/>
  <c r="X25" i="1"/>
  <c r="D4" i="3" s="1"/>
  <c r="W26" i="1"/>
  <c r="X26" i="1" s="1"/>
  <c r="J26" i="2" s="1"/>
  <c r="D5" i="3"/>
  <c r="W33" i="1"/>
  <c r="X33" i="1"/>
  <c r="D12" i="3" s="1"/>
  <c r="W54" i="1"/>
  <c r="X54" i="1" s="1"/>
  <c r="J54" i="2" s="1"/>
  <c r="D33" i="3"/>
  <c r="W55" i="1"/>
  <c r="X55" i="1"/>
  <c r="D34" i="3" s="1"/>
  <c r="W69" i="1"/>
  <c r="X69" i="1" s="1"/>
  <c r="D48" i="3"/>
  <c r="W70" i="1"/>
  <c r="X70" i="1"/>
  <c r="W78" i="1"/>
  <c r="X78" i="1" s="1"/>
  <c r="J78" i="2" s="1"/>
  <c r="D57" i="3"/>
  <c r="W79" i="1"/>
  <c r="X79" i="1"/>
  <c r="D58" i="3" s="1"/>
  <c r="W80" i="1"/>
  <c r="X80" i="1" s="1"/>
  <c r="J80" i="2" s="1"/>
  <c r="D59" i="3"/>
  <c r="W82" i="1"/>
  <c r="X82" i="1" s="1"/>
  <c r="J82" i="2" s="1"/>
  <c r="D61" i="3"/>
  <c r="W83" i="1"/>
  <c r="X83" i="1"/>
  <c r="D62" i="3" s="1"/>
  <c r="W84" i="1"/>
  <c r="X84" i="1" s="1"/>
  <c r="J84" i="2" s="1"/>
  <c r="D63" i="3"/>
  <c r="W85" i="1"/>
  <c r="X85" i="1"/>
  <c r="D64" i="3" s="1"/>
  <c r="W86" i="1"/>
  <c r="X86" i="1" s="1"/>
  <c r="J86" i="2" s="1"/>
  <c r="D65" i="3"/>
  <c r="W87" i="1"/>
  <c r="X87" i="1"/>
  <c r="D66" i="3" s="1"/>
  <c r="W88" i="1"/>
  <c r="X88" i="1" s="1"/>
  <c r="J88" i="2" s="1"/>
  <c r="D67" i="3"/>
  <c r="W89" i="1"/>
  <c r="X89" i="1"/>
  <c r="D68" i="3" s="1"/>
  <c r="W90" i="1"/>
  <c r="X90" i="1" s="1"/>
  <c r="J90" i="2" s="1"/>
  <c r="D69" i="3"/>
  <c r="W91" i="1"/>
  <c r="X91" i="1"/>
  <c r="D70" i="3" s="1"/>
  <c r="W92" i="1"/>
  <c r="X92" i="1" s="1"/>
  <c r="J92" i="2" s="1"/>
  <c r="D71" i="3"/>
  <c r="W93" i="1"/>
  <c r="X93" i="1"/>
  <c r="D72" i="3" s="1"/>
  <c r="W94" i="1"/>
  <c r="X94" i="1" s="1"/>
  <c r="J94" i="2" s="1"/>
  <c r="D73" i="3"/>
  <c r="W95" i="1"/>
  <c r="X95" i="1"/>
  <c r="D74" i="3" s="1"/>
  <c r="W96" i="1"/>
  <c r="X96" i="1" s="1"/>
  <c r="J96" i="2" s="1"/>
  <c r="D75" i="3"/>
  <c r="W97" i="1"/>
  <c r="X97" i="1"/>
  <c r="D76" i="3" s="1"/>
  <c r="W98" i="1"/>
  <c r="X98" i="1" s="1"/>
  <c r="J98" i="2" s="1"/>
  <c r="D77" i="3"/>
  <c r="W99" i="1"/>
  <c r="X99" i="1"/>
  <c r="D78" i="3" s="1"/>
  <c r="W100" i="1"/>
  <c r="X100" i="1" s="1"/>
  <c r="J100" i="2" s="1"/>
  <c r="D79" i="3"/>
  <c r="W101" i="1"/>
  <c r="X101" i="1"/>
  <c r="D80" i="3" s="1"/>
  <c r="W102" i="1"/>
  <c r="X102" i="1" s="1"/>
  <c r="J102" i="2" s="1"/>
  <c r="D81" i="3"/>
  <c r="W103" i="1"/>
  <c r="X103" i="1"/>
  <c r="D82" i="3" s="1"/>
  <c r="W104" i="1"/>
  <c r="X104" i="1" s="1"/>
  <c r="J104" i="2" s="1"/>
  <c r="D83" i="3"/>
  <c r="W105" i="1"/>
  <c r="X105" i="1"/>
  <c r="D84" i="3" s="1"/>
  <c r="W106" i="1"/>
  <c r="X106" i="1" s="1"/>
  <c r="J106" i="2" s="1"/>
  <c r="D85" i="3"/>
  <c r="W107" i="1"/>
  <c r="X107" i="1"/>
  <c r="D86" i="3" s="1"/>
  <c r="W108" i="1"/>
  <c r="X108" i="1" s="1"/>
  <c r="J108" i="2" s="1"/>
  <c r="D87" i="3"/>
  <c r="W109" i="1"/>
  <c r="X109" i="1"/>
  <c r="D88" i="3" s="1"/>
  <c r="W110" i="1"/>
  <c r="X110" i="1" s="1"/>
  <c r="J110" i="2" s="1"/>
  <c r="D89" i="3"/>
  <c r="W111" i="1"/>
  <c r="X111" i="1"/>
  <c r="D90" i="3" s="1"/>
  <c r="W112" i="1"/>
  <c r="X112" i="1" s="1"/>
  <c r="J112" i="2" s="1"/>
  <c r="D91" i="3"/>
  <c r="W113" i="1"/>
  <c r="X113" i="1"/>
  <c r="D92" i="3" s="1"/>
  <c r="W114" i="1"/>
  <c r="X114" i="1" s="1"/>
  <c r="J114" i="2" s="1"/>
  <c r="D93" i="3"/>
  <c r="W115" i="1"/>
  <c r="X115" i="1"/>
  <c r="D94" i="3" s="1"/>
  <c r="W116" i="1"/>
  <c r="X116" i="1" s="1"/>
  <c r="J116" i="2" s="1"/>
  <c r="D95" i="3"/>
  <c r="W117" i="1"/>
  <c r="X117" i="1"/>
  <c r="D96" i="3" s="1"/>
  <c r="W118" i="1"/>
  <c r="X118" i="1" s="1"/>
  <c r="J118" i="2" s="1"/>
  <c r="D97" i="3"/>
  <c r="W119" i="1"/>
  <c r="X119" i="1"/>
  <c r="D98" i="3" s="1"/>
  <c r="W120" i="1"/>
  <c r="X120" i="1" s="1"/>
  <c r="J120" i="2" s="1"/>
  <c r="D99" i="3"/>
  <c r="W121" i="1"/>
  <c r="X121" i="1"/>
  <c r="D100" i="3" s="1"/>
  <c r="W122" i="1"/>
  <c r="X122" i="1" s="1"/>
  <c r="J122" i="2" s="1"/>
  <c r="D101" i="3"/>
  <c r="W126" i="1"/>
  <c r="X126" i="1" s="1"/>
  <c r="J126" i="2" s="1"/>
  <c r="W128" i="1"/>
  <c r="X128" i="1" s="1"/>
  <c r="J128" i="2" s="1"/>
  <c r="D107" i="3"/>
  <c r="W130" i="1"/>
  <c r="X130" i="1" s="1"/>
  <c r="J130" i="2" s="1"/>
  <c r="D109" i="3"/>
  <c r="W134" i="1"/>
  <c r="X134" i="1" s="1"/>
  <c r="J134" i="2" s="1"/>
  <c r="W136" i="1"/>
  <c r="X136" i="1" s="1"/>
  <c r="J136" i="2" s="1"/>
  <c r="D115" i="3"/>
  <c r="W138" i="1"/>
  <c r="X138" i="1" s="1"/>
  <c r="J138" i="2" s="1"/>
  <c r="D117" i="3"/>
  <c r="W142" i="1"/>
  <c r="X142" i="1" s="1"/>
  <c r="J142" i="2" s="1"/>
  <c r="W144" i="1"/>
  <c r="X144" i="1" s="1"/>
  <c r="J144" i="2" s="1"/>
  <c r="D123" i="3"/>
  <c r="W146" i="1"/>
  <c r="X146" i="1" s="1"/>
  <c r="J146" i="2" s="1"/>
  <c r="D125" i="3"/>
  <c r="W150" i="1"/>
  <c r="X150" i="1" s="1"/>
  <c r="J150" i="2" s="1"/>
  <c r="C4" i="3"/>
  <c r="C5" i="3"/>
  <c r="C12" i="3"/>
  <c r="C33" i="3"/>
  <c r="C34" i="3"/>
  <c r="C48" i="3"/>
  <c r="C49" i="3"/>
  <c r="C57" i="3"/>
  <c r="C59" i="3"/>
  <c r="C60" i="3"/>
  <c r="C85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2" i="3"/>
  <c r="Q112" i="1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C1" i="3"/>
  <c r="AG112" i="1"/>
  <c r="AG113" i="1" s="1"/>
  <c r="AG114" i="1"/>
  <c r="AG115" i="1" s="1"/>
  <c r="AG116" i="1"/>
  <c r="AG117" i="1" s="1"/>
  <c r="AG118" i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23" i="2"/>
  <c r="J27" i="2"/>
  <c r="J29" i="2"/>
  <c r="J31" i="2"/>
  <c r="J37" i="2"/>
  <c r="J39" i="2"/>
  <c r="J45" i="2"/>
  <c r="J47" i="2"/>
  <c r="J53" i="2"/>
  <c r="J55" i="2"/>
  <c r="J61" i="2"/>
  <c r="J63" i="2"/>
  <c r="J69" i="2"/>
  <c r="J71" i="2"/>
  <c r="J77" i="2"/>
  <c r="J79" i="2"/>
  <c r="J83" i="2"/>
  <c r="J85" i="2"/>
  <c r="J87" i="2"/>
  <c r="J89" i="2"/>
  <c r="J91" i="2"/>
  <c r="J93" i="2"/>
  <c r="J95" i="2"/>
  <c r="J97" i="2"/>
  <c r="J99" i="2"/>
  <c r="J101" i="2"/>
  <c r="J103" i="2"/>
  <c r="J105" i="2"/>
  <c r="J107" i="2"/>
  <c r="J109" i="2"/>
  <c r="J111" i="2"/>
  <c r="J113" i="2"/>
  <c r="J115" i="2"/>
  <c r="J117" i="2"/>
  <c r="J119" i="2"/>
  <c r="J121" i="2"/>
  <c r="I45" i="2"/>
  <c r="I46" i="2"/>
  <c r="I47" i="2" s="1"/>
  <c r="I48" i="2"/>
  <c r="I49" i="2" s="1"/>
  <c r="I50" i="2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43" i="2"/>
  <c r="I42" i="2"/>
  <c r="I41" i="2" s="1"/>
  <c r="I40" i="2" s="1"/>
  <c r="I39" i="2" s="1"/>
  <c r="I38" i="2" s="1"/>
  <c r="I37" i="2" s="1"/>
  <c r="I36" i="2" s="1"/>
  <c r="I35" i="2" s="1"/>
  <c r="I34" i="2" s="1"/>
  <c r="I33" i="2" s="1"/>
  <c r="I32" i="2" s="1"/>
  <c r="I31" i="2" s="1"/>
  <c r="I30" i="2" s="1"/>
  <c r="I29" i="2" s="1"/>
  <c r="I28" i="2" s="1"/>
  <c r="I27" i="2" s="1"/>
  <c r="I26" i="2" s="1"/>
  <c r="I25" i="2" s="1"/>
  <c r="I24" i="2" s="1"/>
  <c r="I23" i="2" s="1"/>
  <c r="I22" i="2" s="1"/>
  <c r="I21" i="2" s="1"/>
  <c r="I20" i="2" s="1"/>
  <c r="I19" i="2" s="1"/>
  <c r="I18" i="2" s="1"/>
  <c r="I17" i="2" s="1"/>
  <c r="I16" i="2" s="1"/>
  <c r="I15" i="2" s="1"/>
  <c r="I14" i="2" s="1"/>
  <c r="I13" i="2" s="1"/>
  <c r="I12" i="2" s="1"/>
  <c r="I11" i="2" s="1"/>
  <c r="I10" i="2" s="1"/>
  <c r="I9" i="2" s="1"/>
  <c r="I8" i="2" s="1"/>
  <c r="I7" i="2" s="1"/>
  <c r="I6" i="2" s="1"/>
  <c r="I5" i="2" s="1"/>
  <c r="I4" i="2" s="1"/>
  <c r="I3" i="2" s="1"/>
  <c r="I2" i="2" s="1"/>
  <c r="E45" i="2"/>
  <c r="E46" i="2"/>
  <c r="E47" i="2" s="1"/>
  <c r="E48" i="2"/>
  <c r="E49" i="2" s="1"/>
  <c r="E50" i="2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43" i="2"/>
  <c r="E42" i="2"/>
  <c r="E41" i="2" s="1"/>
  <c r="E40" i="2" s="1"/>
  <c r="E39" i="2" s="1"/>
  <c r="E38" i="2" s="1"/>
  <c r="E37" i="2" s="1"/>
  <c r="E36" i="2" s="1"/>
  <c r="E35" i="2" s="1"/>
  <c r="E34" i="2" s="1"/>
  <c r="E33" i="2" s="1"/>
  <c r="E32" i="2" s="1"/>
  <c r="E31" i="2" s="1"/>
  <c r="E30" i="2" s="1"/>
  <c r="E29" i="2" s="1"/>
  <c r="E28" i="2" s="1"/>
  <c r="E27" i="2" s="1"/>
  <c r="E26" i="2" s="1"/>
  <c r="E25" i="2" s="1"/>
  <c r="E24" i="2" s="1"/>
  <c r="E23" i="2" s="1"/>
  <c r="E22" i="2" s="1"/>
  <c r="E21" i="2" s="1"/>
  <c r="E20" i="2" s="1"/>
  <c r="E19" i="2" s="1"/>
  <c r="E18" i="2" s="1"/>
  <c r="E17" i="2" s="1"/>
  <c r="E16" i="2" s="1"/>
  <c r="E15" i="2" s="1"/>
  <c r="E14" i="2" s="1"/>
  <c r="E13" i="2" s="1"/>
  <c r="E12" i="2" s="1"/>
  <c r="E11" i="2" s="1"/>
  <c r="E10" i="2" s="1"/>
  <c r="E9" i="2" s="1"/>
  <c r="E8" i="2" s="1"/>
  <c r="E7" i="2" s="1"/>
  <c r="E6" i="2" s="1"/>
  <c r="E5" i="2" s="1"/>
  <c r="E4" i="2" s="1"/>
  <c r="E3" i="2" s="1"/>
  <c r="E2" i="2" s="1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23" i="2"/>
  <c r="L76" i="1"/>
  <c r="O76" i="1" s="1"/>
  <c r="P76" i="1"/>
  <c r="F76" i="2" s="1"/>
  <c r="L77" i="1"/>
  <c r="O77" i="1" s="1"/>
  <c r="P77" i="1" s="1"/>
  <c r="F77" i="2" s="1"/>
  <c r="L78" i="1"/>
  <c r="O78" i="1" s="1"/>
  <c r="P78" i="1"/>
  <c r="F78" i="2" s="1"/>
  <c r="L79" i="1"/>
  <c r="O79" i="1" s="1"/>
  <c r="P79" i="1" s="1"/>
  <c r="F79" i="2" s="1"/>
  <c r="L80" i="1"/>
  <c r="O80" i="1" s="1"/>
  <c r="P80" i="1"/>
  <c r="F80" i="2" s="1"/>
  <c r="L81" i="1"/>
  <c r="O81" i="1" s="1"/>
  <c r="P81" i="1" s="1"/>
  <c r="F81" i="2" s="1"/>
  <c r="L82" i="1"/>
  <c r="O82" i="1" s="1"/>
  <c r="P82" i="1"/>
  <c r="F82" i="2" s="1"/>
  <c r="L83" i="1"/>
  <c r="O83" i="1" s="1"/>
  <c r="P83" i="1" s="1"/>
  <c r="F83" i="2" s="1"/>
  <c r="L84" i="1"/>
  <c r="O84" i="1" s="1"/>
  <c r="P84" i="1"/>
  <c r="F84" i="2" s="1"/>
  <c r="L85" i="1"/>
  <c r="O85" i="1" s="1"/>
  <c r="P85" i="1" s="1"/>
  <c r="F85" i="2" s="1"/>
  <c r="L86" i="1"/>
  <c r="O86" i="1" s="1"/>
  <c r="P86" i="1"/>
  <c r="F86" i="2" s="1"/>
  <c r="L87" i="1"/>
  <c r="O87" i="1" s="1"/>
  <c r="P87" i="1" s="1"/>
  <c r="F87" i="2" s="1"/>
  <c r="L88" i="1"/>
  <c r="O88" i="1" s="1"/>
  <c r="P88" i="1"/>
  <c r="F88" i="2" s="1"/>
  <c r="L89" i="1"/>
  <c r="O89" i="1" s="1"/>
  <c r="P89" i="1" s="1"/>
  <c r="F89" i="2" s="1"/>
  <c r="L90" i="1"/>
  <c r="O90" i="1" s="1"/>
  <c r="P90" i="1"/>
  <c r="F90" i="2" s="1"/>
  <c r="L91" i="1"/>
  <c r="O91" i="1" s="1"/>
  <c r="P91" i="1" s="1"/>
  <c r="F91" i="2" s="1"/>
  <c r="L92" i="1"/>
  <c r="O92" i="1" s="1"/>
  <c r="P92" i="1"/>
  <c r="F92" i="2" s="1"/>
  <c r="L93" i="1"/>
  <c r="O93" i="1" s="1"/>
  <c r="P93" i="1" s="1"/>
  <c r="F93" i="2" s="1"/>
  <c r="L94" i="1"/>
  <c r="O94" i="1" s="1"/>
  <c r="P94" i="1"/>
  <c r="F94" i="2" s="1"/>
  <c r="L95" i="1"/>
  <c r="O95" i="1" s="1"/>
  <c r="P95" i="1" s="1"/>
  <c r="F95" i="2" s="1"/>
  <c r="L96" i="1"/>
  <c r="O96" i="1" s="1"/>
  <c r="P96" i="1"/>
  <c r="F96" i="2" s="1"/>
  <c r="L97" i="1"/>
  <c r="O97" i="1" s="1"/>
  <c r="P97" i="1" s="1"/>
  <c r="F97" i="2" s="1"/>
  <c r="L98" i="1"/>
  <c r="O98" i="1" s="1"/>
  <c r="P98" i="1"/>
  <c r="F98" i="2" s="1"/>
  <c r="L99" i="1"/>
  <c r="O99" i="1" s="1"/>
  <c r="P99" i="1" s="1"/>
  <c r="F99" i="2" s="1"/>
  <c r="L100" i="1"/>
  <c r="O100" i="1" s="1"/>
  <c r="P100" i="1"/>
  <c r="F100" i="2" s="1"/>
  <c r="L101" i="1"/>
  <c r="O101" i="1" s="1"/>
  <c r="P101" i="1" s="1"/>
  <c r="F101" i="2" s="1"/>
  <c r="L102" i="1"/>
  <c r="O102" i="1" s="1"/>
  <c r="P102" i="1"/>
  <c r="F102" i="2" s="1"/>
  <c r="L103" i="1"/>
  <c r="O103" i="1" s="1"/>
  <c r="P103" i="1" s="1"/>
  <c r="F103" i="2" s="1"/>
  <c r="L104" i="1"/>
  <c r="O104" i="1" s="1"/>
  <c r="P104" i="1"/>
  <c r="F104" i="2" s="1"/>
  <c r="L105" i="1"/>
  <c r="O105" i="1" s="1"/>
  <c r="P105" i="1" s="1"/>
  <c r="F105" i="2" s="1"/>
  <c r="L106" i="1"/>
  <c r="O106" i="1" s="1"/>
  <c r="P106" i="1"/>
  <c r="F106" i="2" s="1"/>
  <c r="L107" i="1"/>
  <c r="O107" i="1" s="1"/>
  <c r="P107" i="1" s="1"/>
  <c r="F107" i="2" s="1"/>
  <c r="L108" i="1"/>
  <c r="O108" i="1" s="1"/>
  <c r="P108" i="1"/>
  <c r="F108" i="2" s="1"/>
  <c r="L109" i="1"/>
  <c r="O109" i="1" s="1"/>
  <c r="P109" i="1" s="1"/>
  <c r="F109" i="2" s="1"/>
  <c r="L110" i="1"/>
  <c r="O110" i="1" s="1"/>
  <c r="P110" i="1"/>
  <c r="F110" i="2" s="1"/>
  <c r="L111" i="1"/>
  <c r="O111" i="1" s="1"/>
  <c r="P111" i="1" s="1"/>
  <c r="F111" i="2" s="1"/>
  <c r="L24" i="1"/>
  <c r="O24" i="1" s="1"/>
  <c r="P24" i="1"/>
  <c r="F24" i="2" s="1"/>
  <c r="L25" i="1"/>
  <c r="O25" i="1" s="1"/>
  <c r="P25" i="1" s="1"/>
  <c r="F25" i="2" s="1"/>
  <c r="L26" i="1"/>
  <c r="O26" i="1" s="1"/>
  <c r="P26" i="1"/>
  <c r="F26" i="2" s="1"/>
  <c r="L27" i="1"/>
  <c r="O27" i="1" s="1"/>
  <c r="P27" i="1" s="1"/>
  <c r="F27" i="2" s="1"/>
  <c r="L28" i="1"/>
  <c r="O28" i="1" s="1"/>
  <c r="P28" i="1"/>
  <c r="F28" i="2" s="1"/>
  <c r="L29" i="1"/>
  <c r="O29" i="1" s="1"/>
  <c r="P29" i="1" s="1"/>
  <c r="F29" i="2" s="1"/>
  <c r="L30" i="1"/>
  <c r="O30" i="1" s="1"/>
  <c r="P30" i="1"/>
  <c r="F30" i="2" s="1"/>
  <c r="L31" i="1"/>
  <c r="O31" i="1" s="1"/>
  <c r="P31" i="1" s="1"/>
  <c r="F31" i="2" s="1"/>
  <c r="L32" i="1"/>
  <c r="O32" i="1" s="1"/>
  <c r="P32" i="1"/>
  <c r="F32" i="2" s="1"/>
  <c r="L33" i="1"/>
  <c r="O33" i="1" s="1"/>
  <c r="P33" i="1" s="1"/>
  <c r="F33" i="2" s="1"/>
  <c r="L34" i="1"/>
  <c r="O34" i="1" s="1"/>
  <c r="P34" i="1"/>
  <c r="F34" i="2" s="1"/>
  <c r="L35" i="1"/>
  <c r="O35" i="1" s="1"/>
  <c r="P35" i="1" s="1"/>
  <c r="F35" i="2" s="1"/>
  <c r="L36" i="1"/>
  <c r="O36" i="1" s="1"/>
  <c r="P36" i="1"/>
  <c r="F36" i="2" s="1"/>
  <c r="L37" i="1"/>
  <c r="O37" i="1" s="1"/>
  <c r="P37" i="1" s="1"/>
  <c r="F37" i="2" s="1"/>
  <c r="L38" i="1"/>
  <c r="O38" i="1" s="1"/>
  <c r="P38" i="1"/>
  <c r="F38" i="2" s="1"/>
  <c r="L39" i="1"/>
  <c r="O39" i="1" s="1"/>
  <c r="P39" i="1" s="1"/>
  <c r="F39" i="2" s="1"/>
  <c r="L40" i="1"/>
  <c r="O40" i="1" s="1"/>
  <c r="P40" i="1"/>
  <c r="F40" i="2" s="1"/>
  <c r="L41" i="1"/>
  <c r="O41" i="1" s="1"/>
  <c r="P41" i="1" s="1"/>
  <c r="F41" i="2" s="1"/>
  <c r="L42" i="1"/>
  <c r="O42" i="1" s="1"/>
  <c r="P42" i="1"/>
  <c r="F42" i="2" s="1"/>
  <c r="L43" i="1"/>
  <c r="O43" i="1" s="1"/>
  <c r="P43" i="1" s="1"/>
  <c r="F43" i="2" s="1"/>
  <c r="L44" i="1"/>
  <c r="O44" i="1" s="1"/>
  <c r="P44" i="1"/>
  <c r="F44" i="2" s="1"/>
  <c r="L45" i="1"/>
  <c r="O45" i="1" s="1"/>
  <c r="P45" i="1" s="1"/>
  <c r="F45" i="2" s="1"/>
  <c r="L46" i="1"/>
  <c r="O46" i="1" s="1"/>
  <c r="P46" i="1"/>
  <c r="F46" i="2" s="1"/>
  <c r="L47" i="1"/>
  <c r="O47" i="1" s="1"/>
  <c r="P47" i="1" s="1"/>
  <c r="F47" i="2" s="1"/>
  <c r="L48" i="1"/>
  <c r="O48" i="1" s="1"/>
  <c r="P48" i="1"/>
  <c r="F48" i="2" s="1"/>
  <c r="L49" i="1"/>
  <c r="O49" i="1" s="1"/>
  <c r="P49" i="1" s="1"/>
  <c r="F49" i="2" s="1"/>
  <c r="L50" i="1"/>
  <c r="O50" i="1" s="1"/>
  <c r="P50" i="1"/>
  <c r="F50" i="2" s="1"/>
  <c r="L51" i="1"/>
  <c r="O51" i="1" s="1"/>
  <c r="P51" i="1" s="1"/>
  <c r="F51" i="2" s="1"/>
  <c r="L52" i="1"/>
  <c r="O52" i="1" s="1"/>
  <c r="P52" i="1"/>
  <c r="F52" i="2" s="1"/>
  <c r="L53" i="1"/>
  <c r="O53" i="1" s="1"/>
  <c r="P53" i="1" s="1"/>
  <c r="F53" i="2" s="1"/>
  <c r="L54" i="1"/>
  <c r="O54" i="1" s="1"/>
  <c r="P54" i="1"/>
  <c r="F54" i="2" s="1"/>
  <c r="L55" i="1"/>
  <c r="O55" i="1" s="1"/>
  <c r="P55" i="1" s="1"/>
  <c r="F55" i="2" s="1"/>
  <c r="L56" i="1"/>
  <c r="O56" i="1" s="1"/>
  <c r="P56" i="1"/>
  <c r="F56" i="2" s="1"/>
  <c r="L57" i="1"/>
  <c r="O57" i="1" s="1"/>
  <c r="P57" i="1" s="1"/>
  <c r="F57" i="2" s="1"/>
  <c r="L58" i="1"/>
  <c r="O58" i="1" s="1"/>
  <c r="P58" i="1"/>
  <c r="F58" i="2" s="1"/>
  <c r="L59" i="1"/>
  <c r="O59" i="1" s="1"/>
  <c r="P59" i="1" s="1"/>
  <c r="F59" i="2" s="1"/>
  <c r="L60" i="1"/>
  <c r="O60" i="1" s="1"/>
  <c r="P60" i="1"/>
  <c r="F60" i="2" s="1"/>
  <c r="L61" i="1"/>
  <c r="O61" i="1" s="1"/>
  <c r="P61" i="1" s="1"/>
  <c r="F61" i="2" s="1"/>
  <c r="L62" i="1"/>
  <c r="O62" i="1" s="1"/>
  <c r="P62" i="1"/>
  <c r="F62" i="2" s="1"/>
  <c r="L63" i="1"/>
  <c r="O63" i="1" s="1"/>
  <c r="P63" i="1" s="1"/>
  <c r="F63" i="2" s="1"/>
  <c r="L64" i="1"/>
  <c r="O64" i="1" s="1"/>
  <c r="P64" i="1"/>
  <c r="F64" i="2" s="1"/>
  <c r="L65" i="1"/>
  <c r="O65" i="1" s="1"/>
  <c r="P65" i="1" s="1"/>
  <c r="F65" i="2" s="1"/>
  <c r="L66" i="1"/>
  <c r="O66" i="1" s="1"/>
  <c r="P66" i="1"/>
  <c r="F66" i="2" s="1"/>
  <c r="L67" i="1"/>
  <c r="O67" i="1" s="1"/>
  <c r="P67" i="1" s="1"/>
  <c r="F67" i="2" s="1"/>
  <c r="L68" i="1"/>
  <c r="O68" i="1" s="1"/>
  <c r="P68" i="1"/>
  <c r="F68" i="2" s="1"/>
  <c r="L69" i="1"/>
  <c r="O69" i="1" s="1"/>
  <c r="P69" i="1" s="1"/>
  <c r="F69" i="2" s="1"/>
  <c r="L70" i="1"/>
  <c r="O70" i="1" s="1"/>
  <c r="P70" i="1"/>
  <c r="F70" i="2" s="1"/>
  <c r="L71" i="1"/>
  <c r="O71" i="1" s="1"/>
  <c r="P71" i="1" s="1"/>
  <c r="F71" i="2" s="1"/>
  <c r="L72" i="1"/>
  <c r="O72" i="1" s="1"/>
  <c r="P72" i="1"/>
  <c r="F72" i="2" s="1"/>
  <c r="L73" i="1"/>
  <c r="O73" i="1" s="1"/>
  <c r="P73" i="1" s="1"/>
  <c r="F73" i="2" s="1"/>
  <c r="L74" i="1"/>
  <c r="O74" i="1" s="1"/>
  <c r="P74" i="1"/>
  <c r="F74" i="2" s="1"/>
  <c r="L75" i="1"/>
  <c r="O75" i="1" s="1"/>
  <c r="P75" i="1" s="1"/>
  <c r="F75" i="2" s="1"/>
  <c r="L23" i="1"/>
  <c r="O23" i="1" s="1"/>
  <c r="P23" i="1"/>
  <c r="F23" i="2" s="1"/>
  <c r="D24" i="1"/>
  <c r="G24" i="1" s="1"/>
  <c r="H24" i="1" s="1"/>
  <c r="B24" i="2" s="1"/>
  <c r="D25" i="1"/>
  <c r="G25" i="1" s="1"/>
  <c r="H25" i="1"/>
  <c r="B25" i="2" s="1"/>
  <c r="D26" i="1"/>
  <c r="G26" i="1" s="1"/>
  <c r="H26" i="1" s="1"/>
  <c r="B26" i="2" s="1"/>
  <c r="D27" i="1"/>
  <c r="G27" i="1" s="1"/>
  <c r="H27" i="1"/>
  <c r="B27" i="2" s="1"/>
  <c r="D28" i="1"/>
  <c r="G28" i="1" s="1"/>
  <c r="H28" i="1" s="1"/>
  <c r="B28" i="2" s="1"/>
  <c r="D29" i="1"/>
  <c r="G29" i="1" s="1"/>
  <c r="H29" i="1"/>
  <c r="B29" i="2" s="1"/>
  <c r="D30" i="1"/>
  <c r="G30" i="1" s="1"/>
  <c r="H30" i="1" s="1"/>
  <c r="B30" i="2" s="1"/>
  <c r="B31" i="1"/>
  <c r="D31" i="1" s="1"/>
  <c r="G31" i="1"/>
  <c r="H31" i="1" s="1"/>
  <c r="B31" i="2"/>
  <c r="D32" i="1"/>
  <c r="G32" i="1"/>
  <c r="H32" i="1" s="1"/>
  <c r="B32" i="2"/>
  <c r="D33" i="1"/>
  <c r="G33" i="1"/>
  <c r="H33" i="1" s="1"/>
  <c r="B33" i="2"/>
  <c r="D34" i="1"/>
  <c r="G34" i="1"/>
  <c r="H34" i="1" s="1"/>
  <c r="B34" i="2" s="1"/>
  <c r="D35" i="1"/>
  <c r="G35" i="1"/>
  <c r="H35" i="1" s="1"/>
  <c r="B35" i="2"/>
  <c r="D36" i="1"/>
  <c r="G36" i="1"/>
  <c r="H36" i="1" s="1"/>
  <c r="B36" i="2"/>
  <c r="D37" i="1"/>
  <c r="G37" i="1"/>
  <c r="H37" i="1" s="1"/>
  <c r="B37" i="2"/>
  <c r="D38" i="1"/>
  <c r="G38" i="1"/>
  <c r="H38" i="1" s="1"/>
  <c r="B38" i="2" s="1"/>
  <c r="D39" i="1"/>
  <c r="G39" i="1"/>
  <c r="H39" i="1" s="1"/>
  <c r="B39" i="2"/>
  <c r="D40" i="1"/>
  <c r="G40" i="1"/>
  <c r="H40" i="1" s="1"/>
  <c r="B40" i="2"/>
  <c r="D41" i="1"/>
  <c r="G41" i="1"/>
  <c r="H41" i="1" s="1"/>
  <c r="B41" i="2"/>
  <c r="D42" i="1"/>
  <c r="G42" i="1"/>
  <c r="H42" i="1" s="1"/>
  <c r="B42" i="2" s="1"/>
  <c r="D43" i="1"/>
  <c r="G43" i="1"/>
  <c r="H43" i="1" s="1"/>
  <c r="B43" i="2"/>
  <c r="D44" i="1"/>
  <c r="G44" i="1"/>
  <c r="H44" i="1" s="1"/>
  <c r="B44" i="2"/>
  <c r="D45" i="1"/>
  <c r="G45" i="1"/>
  <c r="H45" i="1" s="1"/>
  <c r="B45" i="2"/>
  <c r="D46" i="1"/>
  <c r="G46" i="1"/>
  <c r="H46" i="1" s="1"/>
  <c r="B46" i="2" s="1"/>
  <c r="D47" i="1"/>
  <c r="G47" i="1"/>
  <c r="H47" i="1" s="1"/>
  <c r="B47" i="2"/>
  <c r="D48" i="1"/>
  <c r="G48" i="1"/>
  <c r="H48" i="1" s="1"/>
  <c r="B48" i="2"/>
  <c r="D49" i="1"/>
  <c r="G49" i="1"/>
  <c r="H49" i="1" s="1"/>
  <c r="B49" i="2"/>
  <c r="D50" i="1"/>
  <c r="G50" i="1"/>
  <c r="H50" i="1" s="1"/>
  <c r="B50" i="2" s="1"/>
  <c r="D51" i="1"/>
  <c r="G51" i="1"/>
  <c r="H51" i="1" s="1"/>
  <c r="B51" i="2"/>
  <c r="D52" i="1"/>
  <c r="G52" i="1"/>
  <c r="H52" i="1" s="1"/>
  <c r="B52" i="2"/>
  <c r="D53" i="1"/>
  <c r="G53" i="1"/>
  <c r="H53" i="1" s="1"/>
  <c r="B53" i="2"/>
  <c r="D54" i="1"/>
  <c r="G54" i="1"/>
  <c r="H54" i="1" s="1"/>
  <c r="B54" i="2" s="1"/>
  <c r="D55" i="1"/>
  <c r="G55" i="1"/>
  <c r="H55" i="1" s="1"/>
  <c r="B55" i="2"/>
  <c r="D56" i="1"/>
  <c r="G56" i="1"/>
  <c r="H56" i="1" s="1"/>
  <c r="B56" i="2"/>
  <c r="D57" i="1"/>
  <c r="G57" i="1"/>
  <c r="H57" i="1" s="1"/>
  <c r="B57" i="2"/>
  <c r="D58" i="1"/>
  <c r="G58" i="1"/>
  <c r="H58" i="1" s="1"/>
  <c r="B58" i="2" s="1"/>
  <c r="D59" i="1"/>
  <c r="G59" i="1"/>
  <c r="H59" i="1" s="1"/>
  <c r="B59" i="2"/>
  <c r="D60" i="1"/>
  <c r="G60" i="1"/>
  <c r="H60" i="1" s="1"/>
  <c r="B60" i="2"/>
  <c r="D61" i="1"/>
  <c r="G61" i="1"/>
  <c r="H61" i="1" s="1"/>
  <c r="B61" i="2"/>
  <c r="D62" i="1"/>
  <c r="G62" i="1"/>
  <c r="H62" i="1" s="1"/>
  <c r="B62" i="2" s="1"/>
  <c r="D63" i="1"/>
  <c r="G63" i="1"/>
  <c r="H63" i="1" s="1"/>
  <c r="B63" i="2"/>
  <c r="D64" i="1"/>
  <c r="G64" i="1"/>
  <c r="H64" i="1" s="1"/>
  <c r="B64" i="2"/>
  <c r="D65" i="1"/>
  <c r="G65" i="1"/>
  <c r="H65" i="1" s="1"/>
  <c r="B65" i="2"/>
  <c r="D66" i="1"/>
  <c r="G66" i="1"/>
  <c r="H66" i="1" s="1"/>
  <c r="B66" i="2" s="1"/>
  <c r="D67" i="1"/>
  <c r="G67" i="1"/>
  <c r="H67" i="1" s="1"/>
  <c r="B67" i="2"/>
  <c r="D68" i="1"/>
  <c r="G68" i="1"/>
  <c r="H68" i="1" s="1"/>
  <c r="B68" i="2"/>
  <c r="D69" i="1"/>
  <c r="G69" i="1"/>
  <c r="H69" i="1" s="1"/>
  <c r="B69" i="2"/>
  <c r="D70" i="1"/>
  <c r="G70" i="1"/>
  <c r="H70" i="1" s="1"/>
  <c r="B70" i="2" s="1"/>
  <c r="D71" i="1"/>
  <c r="G71" i="1"/>
  <c r="H71" i="1" s="1"/>
  <c r="B71" i="2"/>
  <c r="D72" i="1"/>
  <c r="G72" i="1"/>
  <c r="H72" i="1" s="1"/>
  <c r="B72" i="2"/>
  <c r="D73" i="1"/>
  <c r="G73" i="1"/>
  <c r="H73" i="1" s="1"/>
  <c r="B73" i="2"/>
  <c r="D74" i="1"/>
  <c r="G74" i="1"/>
  <c r="H74" i="1" s="1"/>
  <c r="B74" i="2" s="1"/>
  <c r="D75" i="1"/>
  <c r="G75" i="1"/>
  <c r="H75" i="1" s="1"/>
  <c r="B75" i="2"/>
  <c r="D76" i="1"/>
  <c r="G76" i="1"/>
  <c r="H76" i="1" s="1"/>
  <c r="B76" i="2"/>
  <c r="D77" i="1"/>
  <c r="G77" i="1"/>
  <c r="H77" i="1" s="1"/>
  <c r="B77" i="2"/>
  <c r="D78" i="1"/>
  <c r="G78" i="1"/>
  <c r="H78" i="1" s="1"/>
  <c r="B78" i="2" s="1"/>
  <c r="D79" i="1"/>
  <c r="G79" i="1"/>
  <c r="H79" i="1" s="1"/>
  <c r="B79" i="2"/>
  <c r="D80" i="1"/>
  <c r="G80" i="1"/>
  <c r="H80" i="1" s="1"/>
  <c r="B80" i="2"/>
  <c r="D81" i="1"/>
  <c r="G81" i="1"/>
  <c r="H81" i="1" s="1"/>
  <c r="B81" i="2"/>
  <c r="D82" i="1"/>
  <c r="G82" i="1"/>
  <c r="H82" i="1" s="1"/>
  <c r="B82" i="2" s="1"/>
  <c r="D83" i="1"/>
  <c r="G83" i="1"/>
  <c r="H83" i="1" s="1"/>
  <c r="B83" i="2"/>
  <c r="D84" i="1"/>
  <c r="G84" i="1"/>
  <c r="H84" i="1" s="1"/>
  <c r="B84" i="2"/>
  <c r="D85" i="1"/>
  <c r="G85" i="1"/>
  <c r="H85" i="1" s="1"/>
  <c r="B85" i="2"/>
  <c r="D86" i="1"/>
  <c r="G86" i="1"/>
  <c r="H86" i="1" s="1"/>
  <c r="B86" i="2" s="1"/>
  <c r="D87" i="1"/>
  <c r="G87" i="1"/>
  <c r="H87" i="1" s="1"/>
  <c r="B87" i="2"/>
  <c r="D88" i="1"/>
  <c r="G88" i="1"/>
  <c r="H88" i="1" s="1"/>
  <c r="B88" i="2"/>
  <c r="D89" i="1"/>
  <c r="G89" i="1"/>
  <c r="H89" i="1" s="1"/>
  <c r="B89" i="2"/>
  <c r="D90" i="1"/>
  <c r="G90" i="1"/>
  <c r="H90" i="1" s="1"/>
  <c r="B90" i="2" s="1"/>
  <c r="D91" i="1"/>
  <c r="G91" i="1"/>
  <c r="H91" i="1" s="1"/>
  <c r="B91" i="2"/>
  <c r="D92" i="1"/>
  <c r="G92" i="1"/>
  <c r="H92" i="1" s="1"/>
  <c r="B92" i="2"/>
  <c r="D93" i="1"/>
  <c r="G93" i="1"/>
  <c r="H93" i="1" s="1"/>
  <c r="B93" i="2"/>
  <c r="D94" i="1"/>
  <c r="G94" i="1"/>
  <c r="H94" i="1" s="1"/>
  <c r="B94" i="2" s="1"/>
  <c r="D95" i="1"/>
  <c r="G95" i="1"/>
  <c r="H95" i="1" s="1"/>
  <c r="B95" i="2"/>
  <c r="D96" i="1"/>
  <c r="G96" i="1"/>
  <c r="H96" i="1" s="1"/>
  <c r="B96" i="2"/>
  <c r="D97" i="1"/>
  <c r="G97" i="1"/>
  <c r="H97" i="1" s="1"/>
  <c r="B97" i="2"/>
  <c r="D98" i="1"/>
  <c r="G98" i="1"/>
  <c r="H98" i="1" s="1"/>
  <c r="B98" i="2" s="1"/>
  <c r="D99" i="1"/>
  <c r="G99" i="1"/>
  <c r="H99" i="1" s="1"/>
  <c r="B99" i="2"/>
  <c r="D100" i="1"/>
  <c r="G100" i="1"/>
  <c r="H100" i="1" s="1"/>
  <c r="B100" i="2"/>
  <c r="D101" i="1"/>
  <c r="G101" i="1"/>
  <c r="H101" i="1" s="1"/>
  <c r="B101" i="2"/>
  <c r="D102" i="1"/>
  <c r="G102" i="1"/>
  <c r="H102" i="1" s="1"/>
  <c r="B102" i="2" s="1"/>
  <c r="D103" i="1"/>
  <c r="G103" i="1"/>
  <c r="H103" i="1" s="1"/>
  <c r="B103" i="2"/>
  <c r="D104" i="1"/>
  <c r="G104" i="1"/>
  <c r="H104" i="1" s="1"/>
  <c r="B104" i="2"/>
  <c r="D105" i="1"/>
  <c r="G105" i="1"/>
  <c r="H105" i="1" s="1"/>
  <c r="B105" i="2"/>
  <c r="D106" i="1"/>
  <c r="G106" i="1"/>
  <c r="H106" i="1" s="1"/>
  <c r="B106" i="2" s="1"/>
  <c r="D107" i="1"/>
  <c r="G107" i="1"/>
  <c r="H107" i="1" s="1"/>
  <c r="B107" i="2"/>
  <c r="D108" i="1"/>
  <c r="G108" i="1"/>
  <c r="H108" i="1" s="1"/>
  <c r="B108" i="2"/>
  <c r="D109" i="1"/>
  <c r="G109" i="1"/>
  <c r="H109" i="1" s="1"/>
  <c r="B109" i="2"/>
  <c r="D110" i="1"/>
  <c r="G110" i="1"/>
  <c r="H110" i="1" s="1"/>
  <c r="B110" i="2" s="1"/>
  <c r="D111" i="1"/>
  <c r="G111" i="1"/>
  <c r="H111" i="1" s="1"/>
  <c r="B111" i="2"/>
  <c r="D112" i="1"/>
  <c r="G112" i="1"/>
  <c r="H112" i="1" s="1"/>
  <c r="B112" i="2"/>
  <c r="D113" i="1"/>
  <c r="G113" i="1"/>
  <c r="H113" i="1" s="1"/>
  <c r="B113" i="2"/>
  <c r="D114" i="1"/>
  <c r="G114" i="1"/>
  <c r="H114" i="1" s="1"/>
  <c r="B114" i="2" s="1"/>
  <c r="D115" i="1"/>
  <c r="G115" i="1"/>
  <c r="H115" i="1" s="1"/>
  <c r="B115" i="2"/>
  <c r="D116" i="1"/>
  <c r="G116" i="1"/>
  <c r="H116" i="1" s="1"/>
  <c r="B116" i="2"/>
  <c r="D117" i="1"/>
  <c r="G117" i="1"/>
  <c r="H117" i="1" s="1"/>
  <c r="B117" i="2"/>
  <c r="D23" i="1"/>
  <c r="G23" i="1"/>
  <c r="H23" i="1" s="1"/>
  <c r="B23" i="2" s="1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23" i="2"/>
  <c r="A45" i="2"/>
  <c r="A46" i="2" s="1"/>
  <c r="A47" i="2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43" i="2"/>
  <c r="A42" i="2" s="1"/>
  <c r="A41" i="2" s="1"/>
  <c r="A40" i="2" s="1"/>
  <c r="A39" i="2" s="1"/>
  <c r="A38" i="2" s="1"/>
  <c r="A37" i="2" s="1"/>
  <c r="A36" i="2" s="1"/>
  <c r="A35" i="2" s="1"/>
  <c r="A34" i="2" s="1"/>
  <c r="A33" i="2" s="1"/>
  <c r="A32" i="2" s="1"/>
  <c r="A31" i="2" s="1"/>
  <c r="A30" i="2" s="1"/>
  <c r="A29" i="2" s="1"/>
  <c r="A28" i="2" s="1"/>
  <c r="A27" i="2" s="1"/>
  <c r="A26" i="2" s="1"/>
  <c r="A25" i="2" s="1"/>
  <c r="A24" i="2" s="1"/>
  <c r="A23" i="2" s="1"/>
  <c r="A22" i="2" s="1"/>
  <c r="A21" i="2" s="1"/>
  <c r="A20" i="2" s="1"/>
  <c r="A19" i="2" s="1"/>
  <c r="A18" i="2" s="1"/>
  <c r="A17" i="2" s="1"/>
  <c r="A16" i="2" s="1"/>
  <c r="A15" i="2" s="1"/>
  <c r="A14" i="2" s="1"/>
  <c r="A13" i="2" s="1"/>
  <c r="A12" i="2" s="1"/>
  <c r="A11" i="2" s="1"/>
  <c r="A10" i="2" s="1"/>
  <c r="A9" i="2" s="1"/>
  <c r="A8" i="2" s="1"/>
  <c r="A7" i="2" s="1"/>
  <c r="A6" i="2" s="1"/>
  <c r="A5" i="2" s="1"/>
  <c r="A4" i="2" s="1"/>
  <c r="A3" i="2" s="1"/>
  <c r="A2" i="2" s="1"/>
  <c r="N81" i="2" l="1"/>
  <c r="B81" i="4" s="1"/>
  <c r="R60" i="3"/>
  <c r="AF24" i="12"/>
  <c r="BB24" i="12" s="1"/>
  <c r="BC24" i="12" s="1"/>
  <c r="FA50" i="6"/>
  <c r="P50" i="6"/>
  <c r="Q113" i="1"/>
  <c r="A91" i="3"/>
  <c r="B128" i="3"/>
  <c r="W149" i="1"/>
  <c r="X149" i="1" s="1"/>
  <c r="B124" i="3"/>
  <c r="W145" i="1"/>
  <c r="X145" i="1" s="1"/>
  <c r="B120" i="3"/>
  <c r="W141" i="1"/>
  <c r="X141" i="1" s="1"/>
  <c r="B116" i="3"/>
  <c r="W137" i="1"/>
  <c r="X137" i="1" s="1"/>
  <c r="B112" i="3"/>
  <c r="W133" i="1"/>
  <c r="X133" i="1" s="1"/>
  <c r="B108" i="3"/>
  <c r="W129" i="1"/>
  <c r="X129" i="1" s="1"/>
  <c r="B104" i="3"/>
  <c r="W125" i="1"/>
  <c r="X125" i="1" s="1"/>
  <c r="B60" i="3"/>
  <c r="W81" i="1"/>
  <c r="X81" i="1" s="1"/>
  <c r="P38" i="3"/>
  <c r="AE59" i="1"/>
  <c r="AF59" i="1" s="1"/>
  <c r="P132" i="5"/>
  <c r="P133" i="5"/>
  <c r="AG134" i="6"/>
  <c r="BG58" i="9"/>
  <c r="BF59" i="9"/>
  <c r="AE103" i="12"/>
  <c r="BA103" i="12" s="1"/>
  <c r="X70" i="12"/>
  <c r="D17" i="3"/>
  <c r="J38" i="2"/>
  <c r="D21" i="3"/>
  <c r="J42" i="2"/>
  <c r="D25" i="3"/>
  <c r="J46" i="2"/>
  <c r="D29" i="3"/>
  <c r="J50" i="2"/>
  <c r="D35" i="3"/>
  <c r="J56" i="2"/>
  <c r="D39" i="3"/>
  <c r="J60" i="2"/>
  <c r="D41" i="3"/>
  <c r="J62" i="2"/>
  <c r="D45" i="3"/>
  <c r="J66" i="2"/>
  <c r="J72" i="2"/>
  <c r="D51" i="3"/>
  <c r="D53" i="3"/>
  <c r="J74" i="2"/>
  <c r="J76" i="2"/>
  <c r="D55" i="3"/>
  <c r="B122" i="3"/>
  <c r="W143" i="1"/>
  <c r="X143" i="1" s="1"/>
  <c r="B114" i="3"/>
  <c r="W135" i="1"/>
  <c r="X135" i="1" s="1"/>
  <c r="B102" i="3"/>
  <c r="W123" i="1"/>
  <c r="X123" i="1" s="1"/>
  <c r="E91" i="3"/>
  <c r="E87" i="3"/>
  <c r="E62" i="3"/>
  <c r="E55" i="3"/>
  <c r="E37" i="3"/>
  <c r="E27" i="3"/>
  <c r="E23" i="3"/>
  <c r="E6" i="3"/>
  <c r="R47" i="3"/>
  <c r="R31" i="3"/>
  <c r="R23" i="3"/>
  <c r="R15" i="3"/>
  <c r="R7" i="3"/>
  <c r="R58" i="3"/>
  <c r="N79" i="2"/>
  <c r="B79" i="4" s="1"/>
  <c r="R54" i="3"/>
  <c r="N75" i="2"/>
  <c r="B75" i="4" s="1"/>
  <c r="AE57" i="1"/>
  <c r="AF57" i="1" s="1"/>
  <c r="P36" i="3"/>
  <c r="F99" i="7"/>
  <c r="AF133" i="7"/>
  <c r="M26" i="11"/>
  <c r="Y30" i="11"/>
  <c r="Y137" i="12"/>
  <c r="X114" i="12"/>
  <c r="AE107" i="12"/>
  <c r="BA107" i="12" s="1"/>
  <c r="X106" i="12"/>
  <c r="X98" i="12"/>
  <c r="AC98" i="12" s="1"/>
  <c r="AY98" i="12" s="1"/>
  <c r="AE91" i="12"/>
  <c r="BA91" i="12" s="1"/>
  <c r="X90" i="12"/>
  <c r="AC90" i="12" s="1"/>
  <c r="AY90" i="12" s="1"/>
  <c r="X82" i="12"/>
  <c r="AE75" i="12"/>
  <c r="BA75" i="12" s="1"/>
  <c r="X74" i="12"/>
  <c r="AC74" i="12" s="1"/>
  <c r="AY74" i="12" s="1"/>
  <c r="X66" i="12"/>
  <c r="AC66" i="12" s="1"/>
  <c r="AO5" i="5"/>
  <c r="AO7" i="5"/>
  <c r="AO4" i="5"/>
  <c r="AO6" i="5"/>
  <c r="AO8" i="5"/>
  <c r="AP4" i="5"/>
  <c r="AP6" i="5"/>
  <c r="AP8" i="5"/>
  <c r="W134" i="6"/>
  <c r="W135" i="6"/>
  <c r="X102" i="12"/>
  <c r="AE71" i="12"/>
  <c r="BA71" i="12" s="1"/>
  <c r="AC46" i="12"/>
  <c r="AY46" i="12" s="1"/>
  <c r="AC42" i="12"/>
  <c r="AY42" i="12" s="1"/>
  <c r="AC30" i="12"/>
  <c r="AY30" i="12" s="1"/>
  <c r="AC22" i="12"/>
  <c r="AY22" i="12" s="1"/>
  <c r="O2" i="3"/>
  <c r="Y24" i="1"/>
  <c r="M39" i="2"/>
  <c r="A40" i="4"/>
  <c r="R46" i="3"/>
  <c r="N67" i="2"/>
  <c r="B67" i="4" s="1"/>
  <c r="R44" i="3"/>
  <c r="N65" i="2"/>
  <c r="B65" i="4" s="1"/>
  <c r="R42" i="3"/>
  <c r="N63" i="2"/>
  <c r="B63" i="4" s="1"/>
  <c r="R34" i="3"/>
  <c r="N55" i="2"/>
  <c r="B55" i="4" s="1"/>
  <c r="R32" i="3"/>
  <c r="N53" i="2"/>
  <c r="B53" i="4" s="1"/>
  <c r="R30" i="3"/>
  <c r="N51" i="2"/>
  <c r="B51" i="4" s="1"/>
  <c r="R28" i="3"/>
  <c r="N49" i="2"/>
  <c r="B49" i="4" s="1"/>
  <c r="R26" i="3"/>
  <c r="N47" i="2"/>
  <c r="B47" i="4" s="1"/>
  <c r="R24" i="3"/>
  <c r="N45" i="2"/>
  <c r="B45" i="4" s="1"/>
  <c r="N41" i="2"/>
  <c r="B41" i="4" s="1"/>
  <c r="R20" i="3"/>
  <c r="R18" i="3"/>
  <c r="N39" i="2"/>
  <c r="B39" i="4" s="1"/>
  <c r="R16" i="3"/>
  <c r="N37" i="2"/>
  <c r="B37" i="4" s="1"/>
  <c r="R14" i="3"/>
  <c r="N35" i="2"/>
  <c r="B35" i="4" s="1"/>
  <c r="R12" i="3"/>
  <c r="N33" i="2"/>
  <c r="B33" i="4" s="1"/>
  <c r="N25" i="2"/>
  <c r="B25" i="4" s="1"/>
  <c r="R4" i="3"/>
  <c r="P2" i="3"/>
  <c r="AE23" i="1"/>
  <c r="AF23" i="1" s="1"/>
  <c r="O26" i="11"/>
  <c r="AB19" i="11"/>
  <c r="AC15" i="11"/>
  <c r="AF107" i="12"/>
  <c r="BB107" i="12" s="1"/>
  <c r="BC107" i="12" s="1"/>
  <c r="D49" i="3"/>
  <c r="J70" i="2"/>
  <c r="D13" i="3"/>
  <c r="J34" i="2"/>
  <c r="J36" i="2"/>
  <c r="D15" i="3"/>
  <c r="J40" i="2"/>
  <c r="D19" i="3"/>
  <c r="J44" i="2"/>
  <c r="D23" i="3"/>
  <c r="J48" i="2"/>
  <c r="D27" i="3"/>
  <c r="J52" i="2"/>
  <c r="D31" i="3"/>
  <c r="D37" i="3"/>
  <c r="J58" i="2"/>
  <c r="D43" i="3"/>
  <c r="J64" i="2"/>
  <c r="D47" i="3"/>
  <c r="J68" i="2"/>
  <c r="B126" i="3"/>
  <c r="W147" i="1"/>
  <c r="X147" i="1" s="1"/>
  <c r="B118" i="3"/>
  <c r="W139" i="1"/>
  <c r="X139" i="1" s="1"/>
  <c r="B110" i="3"/>
  <c r="W131" i="1"/>
  <c r="X131" i="1" s="1"/>
  <c r="B106" i="3"/>
  <c r="W127" i="1"/>
  <c r="X127" i="1" s="1"/>
  <c r="E99" i="3"/>
  <c r="E95" i="3"/>
  <c r="E82" i="3"/>
  <c r="E78" i="3"/>
  <c r="E74" i="3"/>
  <c r="E70" i="3"/>
  <c r="E66" i="3"/>
  <c r="E51" i="3"/>
  <c r="E45" i="3"/>
  <c r="E41" i="3"/>
  <c r="E31" i="3"/>
  <c r="E19" i="3"/>
  <c r="E15" i="3"/>
  <c r="E10" i="3"/>
  <c r="A46" i="4"/>
  <c r="M47" i="2"/>
  <c r="R56" i="3"/>
  <c r="N77" i="2"/>
  <c r="B77" i="4" s="1"/>
  <c r="R52" i="3"/>
  <c r="N73" i="2"/>
  <c r="B73" i="4" s="1"/>
  <c r="N69" i="2"/>
  <c r="B69" i="4" s="1"/>
  <c r="R48" i="3"/>
  <c r="AE61" i="1"/>
  <c r="AF61" i="1" s="1"/>
  <c r="P40" i="3"/>
  <c r="P22" i="3"/>
  <c r="AE43" i="1"/>
  <c r="AF43" i="1" s="1"/>
  <c r="N29" i="2"/>
  <c r="B29" i="4" s="1"/>
  <c r="R8" i="3"/>
  <c r="P6" i="3"/>
  <c r="AE27" i="1"/>
  <c r="AF27" i="1" s="1"/>
  <c r="J33" i="2"/>
  <c r="J25" i="2"/>
  <c r="W23" i="1"/>
  <c r="X23" i="1" s="1"/>
  <c r="D129" i="3"/>
  <c r="W148" i="1"/>
  <c r="X148" i="1" s="1"/>
  <c r="D121" i="3"/>
  <c r="W140" i="1"/>
  <c r="X140" i="1" s="1"/>
  <c r="D113" i="3"/>
  <c r="W132" i="1"/>
  <c r="X132" i="1" s="1"/>
  <c r="D105" i="3"/>
  <c r="W124" i="1"/>
  <c r="X124" i="1" s="1"/>
  <c r="E100" i="3"/>
  <c r="E96" i="3"/>
  <c r="E92" i="3"/>
  <c r="E88" i="3"/>
  <c r="E83" i="3"/>
  <c r="E79" i="3"/>
  <c r="E75" i="3"/>
  <c r="E71" i="3"/>
  <c r="E67" i="3"/>
  <c r="E63" i="3"/>
  <c r="E56" i="3"/>
  <c r="E52" i="3"/>
  <c r="E46" i="3"/>
  <c r="E42" i="3"/>
  <c r="E38" i="3"/>
  <c r="E32" i="3"/>
  <c r="E28" i="3"/>
  <c r="E24" i="3"/>
  <c r="E20" i="3"/>
  <c r="E16" i="3"/>
  <c r="E11" i="3"/>
  <c r="E7" i="3"/>
  <c r="P11" i="3"/>
  <c r="R53" i="3"/>
  <c r="R45" i="3"/>
  <c r="R37" i="3"/>
  <c r="R29" i="3"/>
  <c r="R13" i="3"/>
  <c r="N149" i="2"/>
  <c r="B149" i="4" s="1"/>
  <c r="N145" i="2"/>
  <c r="B145" i="4" s="1"/>
  <c r="N141" i="2"/>
  <c r="B141" i="4" s="1"/>
  <c r="N137" i="2"/>
  <c r="B137" i="4" s="1"/>
  <c r="N133" i="2"/>
  <c r="B133" i="4" s="1"/>
  <c r="N129" i="2"/>
  <c r="B129" i="4" s="1"/>
  <c r="N125" i="2"/>
  <c r="B125" i="4" s="1"/>
  <c r="N121" i="2"/>
  <c r="B121" i="4" s="1"/>
  <c r="N117" i="2"/>
  <c r="B117" i="4" s="1"/>
  <c r="N113" i="2"/>
  <c r="B113" i="4" s="1"/>
  <c r="N109" i="2"/>
  <c r="B109" i="4" s="1"/>
  <c r="N105" i="2"/>
  <c r="B105" i="4" s="1"/>
  <c r="N101" i="2"/>
  <c r="B101" i="4" s="1"/>
  <c r="N97" i="2"/>
  <c r="B97" i="4" s="1"/>
  <c r="N93" i="2"/>
  <c r="B93" i="4" s="1"/>
  <c r="N89" i="2"/>
  <c r="B89" i="4" s="1"/>
  <c r="N85" i="2"/>
  <c r="B85" i="4" s="1"/>
  <c r="P50" i="3"/>
  <c r="AE71" i="1"/>
  <c r="AF71" i="1" s="1"/>
  <c r="BF58" i="1"/>
  <c r="AP5" i="5"/>
  <c r="V134" i="6"/>
  <c r="W21" i="11"/>
  <c r="W41" i="11"/>
  <c r="Z123" i="12"/>
  <c r="AE123" i="12" s="1"/>
  <c r="BA123" i="12" s="1"/>
  <c r="AF112" i="12"/>
  <c r="BB112" i="12" s="1"/>
  <c r="BC112" i="12" s="1"/>
  <c r="AF96" i="12"/>
  <c r="BB96" i="12" s="1"/>
  <c r="BC96" i="12" s="1"/>
  <c r="AF95" i="12"/>
  <c r="BB95" i="12" s="1"/>
  <c r="BC95" i="12" s="1"/>
  <c r="AF91" i="12"/>
  <c r="BB91" i="12" s="1"/>
  <c r="BC91" i="12" s="1"/>
  <c r="AF80" i="12"/>
  <c r="BB80" i="12" s="1"/>
  <c r="BC80" i="12" s="1"/>
  <c r="AF71" i="12"/>
  <c r="BB71" i="12" s="1"/>
  <c r="BC71" i="12" s="1"/>
  <c r="AF67" i="12"/>
  <c r="BB67" i="12" s="1"/>
  <c r="BC67" i="12" s="1"/>
  <c r="AF64" i="12"/>
  <c r="BB64" i="12" s="1"/>
  <c r="BC64" i="12" s="1"/>
  <c r="AF63" i="12"/>
  <c r="BB63" i="12" s="1"/>
  <c r="BC63" i="12" s="1"/>
  <c r="FA18" i="6"/>
  <c r="P18" i="6"/>
  <c r="AN223" i="8"/>
  <c r="AN221" i="8"/>
  <c r="AN219" i="8"/>
  <c r="W20" i="11"/>
  <c r="AA15" i="11"/>
  <c r="B98" i="11"/>
  <c r="E77" i="11"/>
  <c r="D77" i="11"/>
  <c r="T1963" i="12"/>
  <c r="R1963" i="12"/>
  <c r="R1961" i="12"/>
  <c r="T1961" i="12"/>
  <c r="T1955" i="12"/>
  <c r="U1955" i="12"/>
  <c r="S1803" i="12"/>
  <c r="U1803" i="12"/>
  <c r="R1796" i="12"/>
  <c r="S1796" i="12"/>
  <c r="T1790" i="12"/>
  <c r="S1790" i="12"/>
  <c r="R1639" i="12"/>
  <c r="S1639" i="12"/>
  <c r="T1633" i="12"/>
  <c r="S1633" i="12"/>
  <c r="R1631" i="12"/>
  <c r="U1631" i="12"/>
  <c r="S1481" i="12"/>
  <c r="U1481" i="12"/>
  <c r="R1474" i="12"/>
  <c r="S1474" i="12"/>
  <c r="T1468" i="12"/>
  <c r="S1468" i="12"/>
  <c r="R1466" i="12"/>
  <c r="U1466" i="12"/>
  <c r="R1321" i="12"/>
  <c r="T1321" i="12"/>
  <c r="T1315" i="12"/>
  <c r="U1315" i="12"/>
  <c r="S1308" i="12"/>
  <c r="R1308" i="12"/>
  <c r="S1151" i="12"/>
  <c r="T1151" i="12"/>
  <c r="U1787" i="12"/>
  <c r="AA149" i="12" s="1"/>
  <c r="AF149" i="12" s="1"/>
  <c r="R1787" i="12"/>
  <c r="Z146" i="12"/>
  <c r="X146" i="12"/>
  <c r="S1459" i="12"/>
  <c r="R1459" i="12"/>
  <c r="X145" i="12" s="1"/>
  <c r="AA140" i="12"/>
  <c r="X140" i="12"/>
  <c r="R1290" i="12"/>
  <c r="S1290" i="12"/>
  <c r="U1290" i="12"/>
  <c r="AA138" i="12" s="1"/>
  <c r="AF138" i="12" s="1"/>
  <c r="U1451" i="12"/>
  <c r="R1451" i="12"/>
  <c r="T1451" i="12"/>
  <c r="Y136" i="12"/>
  <c r="T1610" i="12"/>
  <c r="Z134" i="12" s="1"/>
  <c r="R1610" i="12"/>
  <c r="S1771" i="12"/>
  <c r="R1771" i="12"/>
  <c r="U1771" i="12"/>
  <c r="R1930" i="12"/>
  <c r="S1930" i="12"/>
  <c r="U1930" i="12"/>
  <c r="U2091" i="12"/>
  <c r="R2091" i="12"/>
  <c r="X129" i="12" s="1"/>
  <c r="T2091" i="12"/>
  <c r="S2091" i="12"/>
  <c r="Y127" i="12"/>
  <c r="R2085" i="12"/>
  <c r="S2085" i="12"/>
  <c r="R1274" i="12"/>
  <c r="S1274" i="12"/>
  <c r="Y122" i="12" s="1"/>
  <c r="U1274" i="12"/>
  <c r="U1435" i="12"/>
  <c r="X120" i="12"/>
  <c r="S1595" i="12"/>
  <c r="T1595" i="12"/>
  <c r="Z119" i="12" s="1"/>
  <c r="AE119" i="12" s="1"/>
  <c r="BA119" i="12" s="1"/>
  <c r="U1595" i="12"/>
  <c r="T1594" i="12"/>
  <c r="Z118" i="12" s="1"/>
  <c r="AE118" i="12" s="1"/>
  <c r="BA118" i="12" s="1"/>
  <c r="R1594" i="12"/>
  <c r="R1917" i="12"/>
  <c r="S1917" i="12"/>
  <c r="U1917" i="12"/>
  <c r="S1591" i="12"/>
  <c r="T1591" i="12"/>
  <c r="Z115" i="12" s="1"/>
  <c r="AE115" i="12" s="1"/>
  <c r="BA115" i="12" s="1"/>
  <c r="U1591" i="12"/>
  <c r="U1266" i="12"/>
  <c r="T1266" i="12"/>
  <c r="Z114" i="12" s="1"/>
  <c r="U2075" i="12"/>
  <c r="S2075" i="12"/>
  <c r="S1751" i="12"/>
  <c r="T1751" i="12"/>
  <c r="U1427" i="12"/>
  <c r="AA113" i="12" s="1"/>
  <c r="S1427" i="12"/>
  <c r="X112" i="12"/>
  <c r="U1262" i="12"/>
  <c r="T1262" i="12"/>
  <c r="U2071" i="12"/>
  <c r="S2071" i="12"/>
  <c r="S1747" i="12"/>
  <c r="T1747" i="12"/>
  <c r="U1423" i="12"/>
  <c r="AA109" i="12" s="1"/>
  <c r="S1423" i="12"/>
  <c r="X108" i="12"/>
  <c r="U1258" i="12"/>
  <c r="T1258" i="12"/>
  <c r="U2067" i="12"/>
  <c r="S2067" i="12"/>
  <c r="S1743" i="12"/>
  <c r="T1743" i="12"/>
  <c r="U1419" i="12"/>
  <c r="AA105" i="12" s="1"/>
  <c r="S1419" i="12"/>
  <c r="Y105" i="12" s="1"/>
  <c r="X104" i="12"/>
  <c r="U1254" i="12"/>
  <c r="T1254" i="12"/>
  <c r="U2063" i="12"/>
  <c r="S2063" i="12"/>
  <c r="S1739" i="12"/>
  <c r="T1739" i="12"/>
  <c r="U1415" i="12"/>
  <c r="AA101" i="12" s="1"/>
  <c r="S1415" i="12"/>
  <c r="X100" i="12"/>
  <c r="U1250" i="12"/>
  <c r="T1250" i="12"/>
  <c r="Z98" i="12" s="1"/>
  <c r="AE98" i="12" s="1"/>
  <c r="BA98" i="12" s="1"/>
  <c r="U2059" i="12"/>
  <c r="S2059" i="12"/>
  <c r="S1735" i="12"/>
  <c r="T1735" i="12"/>
  <c r="Z97" i="12" s="1"/>
  <c r="AE97" i="12" s="1"/>
  <c r="BA97" i="12" s="1"/>
  <c r="U1411" i="12"/>
  <c r="AA97" i="12" s="1"/>
  <c r="S1411" i="12"/>
  <c r="X96" i="12"/>
  <c r="U1246" i="12"/>
  <c r="AA94" i="12" s="1"/>
  <c r="AF94" i="12" s="1"/>
  <c r="BB94" i="12" s="1"/>
  <c r="BC94" i="12" s="1"/>
  <c r="T1246" i="12"/>
  <c r="U2055" i="12"/>
  <c r="S2055" i="12"/>
  <c r="S1731" i="12"/>
  <c r="T1731" i="12"/>
  <c r="U1407" i="12"/>
  <c r="AA93" i="12" s="1"/>
  <c r="S1407" i="12"/>
  <c r="X92" i="12"/>
  <c r="AC92" i="12" s="1"/>
  <c r="AY92" i="12" s="1"/>
  <c r="U1242" i="12"/>
  <c r="T1242" i="12"/>
  <c r="U2051" i="12"/>
  <c r="S2051" i="12"/>
  <c r="S1727" i="12"/>
  <c r="T1727" i="12"/>
  <c r="U1403" i="12"/>
  <c r="AA89" i="12" s="1"/>
  <c r="S1403" i="12"/>
  <c r="Y89" i="12" s="1"/>
  <c r="X88" i="12"/>
  <c r="U1238" i="12"/>
  <c r="T1238" i="12"/>
  <c r="U2047" i="12"/>
  <c r="S2047" i="12"/>
  <c r="S1723" i="12"/>
  <c r="T1723" i="12"/>
  <c r="Z85" i="12" s="1"/>
  <c r="U1399" i="12"/>
  <c r="AA85" i="12" s="1"/>
  <c r="AF84" i="12" s="1"/>
  <c r="BB84" i="12" s="1"/>
  <c r="BC84" i="12" s="1"/>
  <c r="S1399" i="12"/>
  <c r="X84" i="12"/>
  <c r="U1234" i="12"/>
  <c r="T1234" i="12"/>
  <c r="U2043" i="12"/>
  <c r="S2043" i="12"/>
  <c r="S1719" i="12"/>
  <c r="T1719" i="12"/>
  <c r="Z81" i="12" s="1"/>
  <c r="U1395" i="12"/>
  <c r="AA81" i="12" s="1"/>
  <c r="S1395" i="12"/>
  <c r="X80" i="12"/>
  <c r="U1230" i="12"/>
  <c r="T1230" i="12"/>
  <c r="U2039" i="12"/>
  <c r="S2039" i="12"/>
  <c r="S1715" i="12"/>
  <c r="T1715" i="12"/>
  <c r="U1391" i="12"/>
  <c r="AA77" i="12" s="1"/>
  <c r="AF76" i="12" s="1"/>
  <c r="BB76" i="12" s="1"/>
  <c r="BC76" i="12" s="1"/>
  <c r="S1391" i="12"/>
  <c r="X76" i="12"/>
  <c r="AC76" i="12" s="1"/>
  <c r="AY76" i="12" s="1"/>
  <c r="U1226" i="12"/>
  <c r="T1226" i="12"/>
  <c r="U2035" i="12"/>
  <c r="S2035" i="12"/>
  <c r="S1711" i="12"/>
  <c r="T1711" i="12"/>
  <c r="U1387" i="12"/>
  <c r="AA73" i="12" s="1"/>
  <c r="S1387" i="12"/>
  <c r="Y73" i="12" s="1"/>
  <c r="X72" i="12"/>
  <c r="U1222" i="12"/>
  <c r="T1222" i="12"/>
  <c r="Z70" i="12" s="1"/>
  <c r="AE70" i="12" s="1"/>
  <c r="BA70" i="12" s="1"/>
  <c r="U2031" i="12"/>
  <c r="S2031" i="12"/>
  <c r="S1707" i="12"/>
  <c r="T1707" i="12"/>
  <c r="U1383" i="12"/>
  <c r="AA69" i="12" s="1"/>
  <c r="AF68" i="12" s="1"/>
  <c r="BB68" i="12" s="1"/>
  <c r="BC68" i="12" s="1"/>
  <c r="S1383" i="12"/>
  <c r="X68" i="12"/>
  <c r="U1218" i="12"/>
  <c r="T1218" i="12"/>
  <c r="Z66" i="12" s="1"/>
  <c r="AE66" i="12" s="1"/>
  <c r="U2027" i="12"/>
  <c r="S2027" i="12"/>
  <c r="S1703" i="12"/>
  <c r="T1703" i="12"/>
  <c r="Z65" i="12" s="1"/>
  <c r="AE65" i="12" s="1"/>
  <c r="BA65" i="12" s="1"/>
  <c r="U1379" i="12"/>
  <c r="AA65" i="12" s="1"/>
  <c r="S1379" i="12"/>
  <c r="R1979" i="12"/>
  <c r="T1979" i="12"/>
  <c r="S1979" i="12"/>
  <c r="S1491" i="12"/>
  <c r="U1491" i="12"/>
  <c r="R1327" i="12"/>
  <c r="U1327" i="12"/>
  <c r="R1649" i="12"/>
  <c r="T1649" i="12"/>
  <c r="S1649" i="12"/>
  <c r="U1649" i="12"/>
  <c r="R1971" i="12"/>
  <c r="T1971" i="12"/>
  <c r="S1971" i="12"/>
  <c r="FA62" i="6"/>
  <c r="EJ33" i="6"/>
  <c r="FR33" i="6" s="1"/>
  <c r="EE34" i="6"/>
  <c r="FN69" i="6"/>
  <c r="FS69" i="6"/>
  <c r="FS15" i="6"/>
  <c r="FN15" i="6"/>
  <c r="P60" i="3"/>
  <c r="P48" i="3"/>
  <c r="P20" i="3"/>
  <c r="P8" i="3"/>
  <c r="P4" i="3"/>
  <c r="P62" i="6"/>
  <c r="Q31" i="6"/>
  <c r="AD132" i="6"/>
  <c r="AG133" i="6"/>
  <c r="AG135" i="6" s="1"/>
  <c r="AM223" i="8"/>
  <c r="AM221" i="8"/>
  <c r="AM219" i="8"/>
  <c r="AH5" i="6"/>
  <c r="AJ136" i="6"/>
  <c r="AK136" i="6" s="1"/>
  <c r="AJ132" i="6"/>
  <c r="X22" i="11"/>
  <c r="AE21" i="11" s="1"/>
  <c r="N12" i="11"/>
  <c r="N17" i="11" s="1"/>
  <c r="N25" i="11" s="1"/>
  <c r="P19" i="11"/>
  <c r="P25" i="11" s="1"/>
  <c r="P16" i="11"/>
  <c r="P24" i="11" s="1"/>
  <c r="AD27" i="11"/>
  <c r="X30" i="11"/>
  <c r="AB28" i="11"/>
  <c r="AB31" i="11"/>
  <c r="AB32" i="11"/>
  <c r="AB33" i="11"/>
  <c r="C36" i="11"/>
  <c r="N10" i="11"/>
  <c r="N32" i="11" s="1"/>
  <c r="O8" i="11"/>
  <c r="O9" i="11" s="1"/>
  <c r="N8" i="11"/>
  <c r="N9" i="11" s="1"/>
  <c r="M20" i="11"/>
  <c r="BA49" i="11"/>
  <c r="BC49" i="11"/>
  <c r="W58" i="11"/>
  <c r="X23" i="11"/>
  <c r="X54" i="11"/>
  <c r="X17" i="11"/>
  <c r="Y44" i="11"/>
  <c r="X65" i="11"/>
  <c r="Y24" i="11"/>
  <c r="Y56" i="11" s="1"/>
  <c r="C72" i="11"/>
  <c r="C78" i="11" s="1"/>
  <c r="D74" i="11"/>
  <c r="E92" i="11"/>
  <c r="B97" i="11"/>
  <c r="F76" i="11"/>
  <c r="E73" i="11"/>
  <c r="D73" i="11"/>
  <c r="D78" i="11" s="1"/>
  <c r="S1964" i="12"/>
  <c r="R1964" i="12"/>
  <c r="S1956" i="12"/>
  <c r="U1956" i="12"/>
  <c r="T1806" i="12"/>
  <c r="S1806" i="12"/>
  <c r="R1804" i="12"/>
  <c r="U1804" i="12"/>
  <c r="S1791" i="12"/>
  <c r="T1791" i="12"/>
  <c r="S1634" i="12"/>
  <c r="T1634" i="12"/>
  <c r="R1482" i="12"/>
  <c r="U1482" i="12"/>
  <c r="S1469" i="12"/>
  <c r="T1469" i="12"/>
  <c r="S1316" i="12"/>
  <c r="U1316" i="12"/>
  <c r="R1309" i="12"/>
  <c r="S1309" i="12"/>
  <c r="T1303" i="12"/>
  <c r="S1303" i="12"/>
  <c r="T1154" i="12"/>
  <c r="R1154" i="12"/>
  <c r="R1152" i="12"/>
  <c r="T1152" i="12"/>
  <c r="T1146" i="12"/>
  <c r="U1146" i="12"/>
  <c r="S2111" i="12"/>
  <c r="R2111" i="12"/>
  <c r="U2111" i="12"/>
  <c r="AA148" i="12"/>
  <c r="U1786" i="12"/>
  <c r="T1786" i="12"/>
  <c r="U2109" i="12"/>
  <c r="R2109" i="12"/>
  <c r="U1459" i="12"/>
  <c r="U1783" i="12"/>
  <c r="R1783" i="12"/>
  <c r="S1783" i="12"/>
  <c r="R2106" i="12"/>
  <c r="Z142" i="12"/>
  <c r="AE142" i="12" s="1"/>
  <c r="X142" i="12"/>
  <c r="Z141" i="12"/>
  <c r="S1455" i="12"/>
  <c r="R1455" i="12"/>
  <c r="AA139" i="12"/>
  <c r="T1290" i="12"/>
  <c r="T1614" i="12"/>
  <c r="R1614" i="12"/>
  <c r="S1775" i="12"/>
  <c r="R1775" i="12"/>
  <c r="U1775" i="12"/>
  <c r="AA137" i="12" s="1"/>
  <c r="AF137" i="12" s="1"/>
  <c r="X137" i="12"/>
  <c r="R1934" i="12"/>
  <c r="S1934" i="12"/>
  <c r="U1934" i="12"/>
  <c r="T1771" i="12"/>
  <c r="U2095" i="12"/>
  <c r="R2095" i="12"/>
  <c r="X133" i="12" s="1"/>
  <c r="T2095" i="12"/>
  <c r="S2095" i="12"/>
  <c r="X128" i="12"/>
  <c r="R1278" i="12"/>
  <c r="S1278" i="12"/>
  <c r="U1278" i="12"/>
  <c r="X124" i="12"/>
  <c r="S1599" i="12"/>
  <c r="T1599" i="12"/>
  <c r="U1599" i="12"/>
  <c r="T1274" i="12"/>
  <c r="T1598" i="12"/>
  <c r="R1598" i="12"/>
  <c r="S1435" i="12"/>
  <c r="R1921" i="12"/>
  <c r="S1921" i="12"/>
  <c r="U1921" i="12"/>
  <c r="R1435" i="12"/>
  <c r="R1918" i="12"/>
  <c r="S1918" i="12"/>
  <c r="U1918" i="12"/>
  <c r="T1917" i="12"/>
  <c r="U1914" i="12"/>
  <c r="S1266" i="12"/>
  <c r="Y114" i="12" s="1"/>
  <c r="R1914" i="12"/>
  <c r="U1910" i="12"/>
  <c r="S1262" i="12"/>
  <c r="R1910" i="12"/>
  <c r="X110" i="12" s="1"/>
  <c r="U1906" i="12"/>
  <c r="S1258" i="12"/>
  <c r="R1906" i="12"/>
  <c r="U1902" i="12"/>
  <c r="S1254" i="12"/>
  <c r="R1902" i="12"/>
  <c r="U1898" i="12"/>
  <c r="S1250" i="12"/>
  <c r="Y98" i="12" s="1"/>
  <c r="R1898" i="12"/>
  <c r="U1894" i="12"/>
  <c r="S1246" i="12"/>
  <c r="R1894" i="12"/>
  <c r="X94" i="12" s="1"/>
  <c r="AC94" i="12" s="1"/>
  <c r="AY94" i="12" s="1"/>
  <c r="U1890" i="12"/>
  <c r="S1242" i="12"/>
  <c r="Y90" i="12" s="1"/>
  <c r="AD90" i="12" s="1"/>
  <c r="R1890" i="12"/>
  <c r="U1886" i="12"/>
  <c r="S1238" i="12"/>
  <c r="R1886" i="12"/>
  <c r="X86" i="12" s="1"/>
  <c r="AC86" i="12" s="1"/>
  <c r="AY86" i="12" s="1"/>
  <c r="U1882" i="12"/>
  <c r="S1234" i="12"/>
  <c r="Y82" i="12" s="1"/>
  <c r="AD82" i="12" s="1"/>
  <c r="AZ82" i="12" s="1"/>
  <c r="R1882" i="12"/>
  <c r="U1878" i="12"/>
  <c r="S1230" i="12"/>
  <c r="R1878" i="12"/>
  <c r="X78" i="12" s="1"/>
  <c r="AC78" i="12" s="1"/>
  <c r="AY78" i="12" s="1"/>
  <c r="U1874" i="12"/>
  <c r="S1226" i="12"/>
  <c r="Y74" i="12" s="1"/>
  <c r="AD74" i="12" s="1"/>
  <c r="AZ74" i="12" s="1"/>
  <c r="R1874" i="12"/>
  <c r="U1870" i="12"/>
  <c r="S1222" i="12"/>
  <c r="R1870" i="12"/>
  <c r="U1866" i="12"/>
  <c r="S1218" i="12"/>
  <c r="Y66" i="12" s="1"/>
  <c r="AD66" i="12" s="1"/>
  <c r="R1866" i="12"/>
  <c r="U2023" i="12"/>
  <c r="S2023" i="12"/>
  <c r="S1699" i="12"/>
  <c r="T1699" i="12"/>
  <c r="U1375" i="12"/>
  <c r="AA61" i="12" s="1"/>
  <c r="S1375" i="12"/>
  <c r="AA58" i="12"/>
  <c r="AF58" i="12" s="1"/>
  <c r="BB58" i="12" s="1"/>
  <c r="BC58" i="12" s="1"/>
  <c r="U2019" i="12"/>
  <c r="S2019" i="12"/>
  <c r="S1695" i="12"/>
  <c r="T1695" i="12"/>
  <c r="U1371" i="12"/>
  <c r="AA57" i="12" s="1"/>
  <c r="AF57" i="12" s="1"/>
  <c r="S1371" i="12"/>
  <c r="U2015" i="12"/>
  <c r="S2015" i="12"/>
  <c r="S1691" i="12"/>
  <c r="T1691" i="12"/>
  <c r="U1367" i="12"/>
  <c r="AA53" i="12" s="1"/>
  <c r="S1367" i="12"/>
  <c r="Z50" i="12"/>
  <c r="AE50" i="12" s="1"/>
  <c r="BA50" i="12" s="1"/>
  <c r="U2011" i="12"/>
  <c r="S2011" i="12"/>
  <c r="S1687" i="12"/>
  <c r="T1687" i="12"/>
  <c r="U1363" i="12"/>
  <c r="AA49" i="12" s="1"/>
  <c r="AF48" i="12" s="1"/>
  <c r="BB48" i="12" s="1"/>
  <c r="BC48" i="12" s="1"/>
  <c r="S1363" i="12"/>
  <c r="U2007" i="12"/>
  <c r="S2007" i="12"/>
  <c r="S1683" i="12"/>
  <c r="T1683" i="12"/>
  <c r="U1359" i="12"/>
  <c r="AA45" i="12" s="1"/>
  <c r="S1359" i="12"/>
  <c r="AA42" i="12"/>
  <c r="AF42" i="12" s="1"/>
  <c r="BB42" i="12" s="1"/>
  <c r="BC42" i="12" s="1"/>
  <c r="U2003" i="12"/>
  <c r="S2003" i="12"/>
  <c r="S1679" i="12"/>
  <c r="T1679" i="12"/>
  <c r="U1355" i="12"/>
  <c r="AA41" i="12" s="1"/>
  <c r="S1355" i="12"/>
  <c r="U1999" i="12"/>
  <c r="S1999" i="12"/>
  <c r="S1675" i="12"/>
  <c r="T1675" i="12"/>
  <c r="U1351" i="12"/>
  <c r="AA37" i="12" s="1"/>
  <c r="S1351" i="12"/>
  <c r="Z34" i="12"/>
  <c r="AE34" i="12" s="1"/>
  <c r="BA34" i="12" s="1"/>
  <c r="U1995" i="12"/>
  <c r="S1995" i="12"/>
  <c r="S1671" i="12"/>
  <c r="T1671" i="12"/>
  <c r="U1347" i="12"/>
  <c r="AA33" i="12" s="1"/>
  <c r="S1347" i="12"/>
  <c r="U1991" i="12"/>
  <c r="S1991" i="12"/>
  <c r="S1667" i="12"/>
  <c r="T1667" i="12"/>
  <c r="U1343" i="12"/>
  <c r="AA29" i="12" s="1"/>
  <c r="S1343" i="12"/>
  <c r="AA26" i="12"/>
  <c r="AF26" i="12" s="1"/>
  <c r="BB26" i="12" s="1"/>
  <c r="BC26" i="12" s="1"/>
  <c r="Z26" i="12"/>
  <c r="AE26" i="12" s="1"/>
  <c r="BA26" i="12" s="1"/>
  <c r="U1987" i="12"/>
  <c r="S1987" i="12"/>
  <c r="S1663" i="12"/>
  <c r="T1663" i="12"/>
  <c r="U1339" i="12"/>
  <c r="AA25" i="12" s="1"/>
  <c r="S1339" i="12"/>
  <c r="U1983" i="12"/>
  <c r="S1983" i="12"/>
  <c r="S1659" i="12"/>
  <c r="T1659" i="12"/>
  <c r="U1335" i="12"/>
  <c r="AA21" i="12" s="1"/>
  <c r="S1335" i="12"/>
  <c r="U1979" i="12"/>
  <c r="U1817" i="12"/>
  <c r="R1817" i="12"/>
  <c r="R1331" i="12"/>
  <c r="S1331" i="12"/>
  <c r="T1331" i="12"/>
  <c r="U1331" i="12"/>
  <c r="T1330" i="12"/>
  <c r="R1330" i="12"/>
  <c r="U1330" i="12"/>
  <c r="S1328" i="12"/>
  <c r="R1814" i="12"/>
  <c r="S1814" i="12"/>
  <c r="U1814" i="12"/>
  <c r="T1327" i="12"/>
  <c r="S1327" i="12"/>
  <c r="U1813" i="12"/>
  <c r="S1813" i="12"/>
  <c r="U1650" i="12"/>
  <c r="R1650" i="12"/>
  <c r="Z11" i="12"/>
  <c r="U1971" i="12"/>
  <c r="U1809" i="12"/>
  <c r="R1809" i="12"/>
  <c r="R1323" i="12"/>
  <c r="X9" i="12" s="1"/>
  <c r="S1323" i="12"/>
  <c r="T1323" i="12"/>
  <c r="U1323" i="12"/>
  <c r="T1322" i="12"/>
  <c r="Z8" i="12" s="1"/>
  <c r="R1322" i="12"/>
  <c r="U1322" i="12"/>
  <c r="AA8" i="12" s="1"/>
  <c r="AF8" i="12" s="1"/>
  <c r="FR76" i="6"/>
  <c r="AM135" i="6"/>
  <c r="AN135" i="6" s="1"/>
  <c r="AM133" i="6"/>
  <c r="W22" i="11"/>
  <c r="AA27" i="11"/>
  <c r="AC31" i="11"/>
  <c r="Z34" i="11"/>
  <c r="D36" i="11"/>
  <c r="P9" i="11"/>
  <c r="AA17" i="11"/>
  <c r="AA19" i="11" s="1"/>
  <c r="W40" i="11"/>
  <c r="W57" i="11"/>
  <c r="Z61" i="11"/>
  <c r="Z64" i="11" s="1"/>
  <c r="D72" i="11"/>
  <c r="F81" i="11"/>
  <c r="D94" i="11"/>
  <c r="E95" i="11"/>
  <c r="D95" i="11"/>
  <c r="R1965" i="12"/>
  <c r="S1965" i="12"/>
  <c r="U1963" i="12"/>
  <c r="U1961" i="12"/>
  <c r="T1959" i="12"/>
  <c r="S1959" i="12"/>
  <c r="R1957" i="12"/>
  <c r="U1957" i="12"/>
  <c r="S1955" i="12"/>
  <c r="S1807" i="12"/>
  <c r="T1807" i="12"/>
  <c r="T1803" i="12"/>
  <c r="U1796" i="12"/>
  <c r="T1794" i="12"/>
  <c r="R1794" i="12"/>
  <c r="R1792" i="12"/>
  <c r="T1792" i="12"/>
  <c r="U1790" i="12"/>
  <c r="U1639" i="12"/>
  <c r="T1637" i="12"/>
  <c r="R1637" i="12"/>
  <c r="R1635" i="12"/>
  <c r="T1635" i="12"/>
  <c r="U1633" i="12"/>
  <c r="T1631" i="12"/>
  <c r="T1629" i="12"/>
  <c r="U1629" i="12"/>
  <c r="T1481" i="12"/>
  <c r="U1474" i="12"/>
  <c r="T1472" i="12"/>
  <c r="R1472" i="12"/>
  <c r="R1470" i="12"/>
  <c r="T1470" i="12"/>
  <c r="U1468" i="12"/>
  <c r="T1466" i="12"/>
  <c r="U1321" i="12"/>
  <c r="T1319" i="12"/>
  <c r="S1319" i="12"/>
  <c r="R1317" i="12"/>
  <c r="U1317" i="12"/>
  <c r="S1315" i="12"/>
  <c r="U1308" i="12"/>
  <c r="S1304" i="12"/>
  <c r="T1304" i="12"/>
  <c r="S1155" i="12"/>
  <c r="R1155" i="12"/>
  <c r="U1151" i="12"/>
  <c r="S1147" i="12"/>
  <c r="U1147" i="12"/>
  <c r="Z148" i="12"/>
  <c r="X148" i="12"/>
  <c r="U1785" i="12"/>
  <c r="AA147" i="12" s="1"/>
  <c r="S1785" i="12"/>
  <c r="S2107" i="12"/>
  <c r="R2107" i="12"/>
  <c r="U2107" i="12"/>
  <c r="U1782" i="12"/>
  <c r="AA144" i="12" s="1"/>
  <c r="T1782" i="12"/>
  <c r="U1458" i="12"/>
  <c r="S1458" i="12"/>
  <c r="U1779" i="12"/>
  <c r="AA141" i="12" s="1"/>
  <c r="AF141" i="12" s="1"/>
  <c r="R1779" i="12"/>
  <c r="R1938" i="12"/>
  <c r="S1938" i="12"/>
  <c r="U1938" i="12"/>
  <c r="U2099" i="12"/>
  <c r="R2099" i="12"/>
  <c r="T2099" i="12"/>
  <c r="S2099" i="12"/>
  <c r="U1610" i="12"/>
  <c r="AA132" i="12"/>
  <c r="X132" i="12"/>
  <c r="R1282" i="12"/>
  <c r="S1282" i="12"/>
  <c r="Y130" i="12" s="1"/>
  <c r="U1282" i="12"/>
  <c r="AA130" i="12" s="1"/>
  <c r="U1443" i="12"/>
  <c r="R1443" i="12"/>
  <c r="T1443" i="12"/>
  <c r="Z129" i="12" s="1"/>
  <c r="Y128" i="12"/>
  <c r="AA127" i="12"/>
  <c r="T1602" i="12"/>
  <c r="Z126" i="12" s="1"/>
  <c r="R1602" i="12"/>
  <c r="R1925" i="12"/>
  <c r="S1925" i="12"/>
  <c r="U1925" i="12"/>
  <c r="R1922" i="12"/>
  <c r="S1922" i="12"/>
  <c r="U1922" i="12"/>
  <c r="U1271" i="12"/>
  <c r="AA119" i="12" s="1"/>
  <c r="AF119" i="12" s="1"/>
  <c r="BB119" i="12" s="1"/>
  <c r="BC119" i="12" s="1"/>
  <c r="R1271" i="12"/>
  <c r="X119" i="12" s="1"/>
  <c r="S1271" i="12"/>
  <c r="U1267" i="12"/>
  <c r="R1267" i="12"/>
  <c r="S1267" i="12"/>
  <c r="Y115" i="12" s="1"/>
  <c r="T1590" i="12"/>
  <c r="S1590" i="12"/>
  <c r="U1590" i="12"/>
  <c r="X111" i="12"/>
  <c r="T1586" i="12"/>
  <c r="S1586" i="12"/>
  <c r="U1586" i="12"/>
  <c r="X107" i="12"/>
  <c r="T1582" i="12"/>
  <c r="S1582" i="12"/>
  <c r="U1582" i="12"/>
  <c r="X103" i="12"/>
  <c r="T1578" i="12"/>
  <c r="S1578" i="12"/>
  <c r="U1578" i="12"/>
  <c r="AF99" i="12"/>
  <c r="BB99" i="12" s="1"/>
  <c r="BC99" i="12" s="1"/>
  <c r="X99" i="12"/>
  <c r="T1574" i="12"/>
  <c r="S1574" i="12"/>
  <c r="U1574" i="12"/>
  <c r="X95" i="12"/>
  <c r="AC95" i="12" s="1"/>
  <c r="AY95" i="12" s="1"/>
  <c r="T1570" i="12"/>
  <c r="S1570" i="12"/>
  <c r="U1570" i="12"/>
  <c r="X91" i="12"/>
  <c r="T1566" i="12"/>
  <c r="S1566" i="12"/>
  <c r="U1566" i="12"/>
  <c r="AF87" i="12"/>
  <c r="BB87" i="12" s="1"/>
  <c r="BC87" i="12" s="1"/>
  <c r="X87" i="12"/>
  <c r="AC87" i="12" s="1"/>
  <c r="AY87" i="12" s="1"/>
  <c r="T1562" i="12"/>
  <c r="S1562" i="12"/>
  <c r="U1562" i="12"/>
  <c r="AF83" i="12"/>
  <c r="BB83" i="12" s="1"/>
  <c r="BC83" i="12" s="1"/>
  <c r="X83" i="12"/>
  <c r="AC83" i="12" s="1"/>
  <c r="AY83" i="12" s="1"/>
  <c r="T1558" i="12"/>
  <c r="S1558" i="12"/>
  <c r="U1558" i="12"/>
  <c r="AF79" i="12"/>
  <c r="BB79" i="12" s="1"/>
  <c r="BC79" i="12" s="1"/>
  <c r="X79" i="12"/>
  <c r="T1554" i="12"/>
  <c r="S1554" i="12"/>
  <c r="U1554" i="12"/>
  <c r="AF75" i="12"/>
  <c r="BB75" i="12" s="1"/>
  <c r="BC75" i="12" s="1"/>
  <c r="X75" i="12"/>
  <c r="T1550" i="12"/>
  <c r="S1550" i="12"/>
  <c r="U1550" i="12"/>
  <c r="X71" i="12"/>
  <c r="AC71" i="12" s="1"/>
  <c r="AY71" i="12" s="1"/>
  <c r="T1546" i="12"/>
  <c r="S1546" i="12"/>
  <c r="U1546" i="12"/>
  <c r="X67" i="12"/>
  <c r="T1542" i="12"/>
  <c r="S1542" i="12"/>
  <c r="U1542" i="12"/>
  <c r="Y54" i="12"/>
  <c r="AD54" i="12" s="1"/>
  <c r="AZ54" i="12" s="1"/>
  <c r="Y38" i="12"/>
  <c r="AD38" i="12" s="1"/>
  <c r="AZ38" i="12" s="1"/>
  <c r="Y22" i="12"/>
  <c r="AD22" i="12" s="1"/>
  <c r="AZ22" i="12" s="1"/>
  <c r="T1980" i="12"/>
  <c r="S1980" i="12"/>
  <c r="R1980" i="12"/>
  <c r="U1980" i="12"/>
  <c r="U1167" i="12"/>
  <c r="S1167" i="12"/>
  <c r="Y15" i="12" s="1"/>
  <c r="R1167" i="12"/>
  <c r="T1167" i="12"/>
  <c r="T1328" i="12"/>
  <c r="U1328" i="12"/>
  <c r="AA14" i="12" s="1"/>
  <c r="R1488" i="12"/>
  <c r="U1488" i="12"/>
  <c r="S1488" i="12"/>
  <c r="T1488" i="12"/>
  <c r="T1972" i="12"/>
  <c r="S1972" i="12"/>
  <c r="R1972" i="12"/>
  <c r="U1972" i="12"/>
  <c r="FA70" i="6"/>
  <c r="P34" i="3"/>
  <c r="A42" i="4"/>
  <c r="P22" i="6"/>
  <c r="AM222" i="8"/>
  <c r="AM138" i="6"/>
  <c r="AK4" i="6"/>
  <c r="AG21" i="11"/>
  <c r="AB20" i="11"/>
  <c r="N16" i="11"/>
  <c r="N24" i="11" s="1"/>
  <c r="N26" i="11" s="1"/>
  <c r="X26" i="11"/>
  <c r="AD31" i="11"/>
  <c r="M32" i="11"/>
  <c r="M37" i="11" s="1"/>
  <c r="O35" i="11"/>
  <c r="Q32" i="11"/>
  <c r="R32" i="11" s="1"/>
  <c r="AY40" i="11"/>
  <c r="Z44" i="11"/>
  <c r="BA47" i="11"/>
  <c r="AY39" i="11"/>
  <c r="Y21" i="11"/>
  <c r="Y51" i="11" s="1"/>
  <c r="Y61" i="11" s="1"/>
  <c r="Y64" i="11" s="1"/>
  <c r="Z58" i="11"/>
  <c r="Z57" i="11"/>
  <c r="C75" i="11"/>
  <c r="D76" i="11"/>
  <c r="E74" i="11"/>
  <c r="D81" i="11"/>
  <c r="C81" i="11"/>
  <c r="C94" i="11"/>
  <c r="E94" i="11"/>
  <c r="C74" i="11"/>
  <c r="B93" i="11"/>
  <c r="F72" i="11"/>
  <c r="C106" i="11"/>
  <c r="B103" i="11"/>
  <c r="U1964" i="12"/>
  <c r="S1963" i="12"/>
  <c r="S1961" i="12"/>
  <c r="S1960" i="12"/>
  <c r="T1960" i="12"/>
  <c r="T1956" i="12"/>
  <c r="R1955" i="12"/>
  <c r="U1806" i="12"/>
  <c r="T1804" i="12"/>
  <c r="R1803" i="12"/>
  <c r="T1802" i="12"/>
  <c r="U1802" i="12"/>
  <c r="T1796" i="12"/>
  <c r="S1795" i="12"/>
  <c r="R1795" i="12"/>
  <c r="U1791" i="12"/>
  <c r="R1790" i="12"/>
  <c r="S1787" i="12"/>
  <c r="T1645" i="12"/>
  <c r="U1645" i="12"/>
  <c r="T1639" i="12"/>
  <c r="S1638" i="12"/>
  <c r="R1638" i="12"/>
  <c r="U1634" i="12"/>
  <c r="R1633" i="12"/>
  <c r="S1631" i="12"/>
  <c r="S1630" i="12"/>
  <c r="U1630" i="12"/>
  <c r="T1482" i="12"/>
  <c r="R1481" i="12"/>
  <c r="T1480" i="12"/>
  <c r="U1480" i="12"/>
  <c r="T1474" i="12"/>
  <c r="S1473" i="12"/>
  <c r="R1473" i="12"/>
  <c r="U1469" i="12"/>
  <c r="R1468" i="12"/>
  <c r="S1466" i="12"/>
  <c r="S1465" i="12"/>
  <c r="U1465" i="12"/>
  <c r="S1321" i="12"/>
  <c r="S1320" i="12"/>
  <c r="T1320" i="12"/>
  <c r="T1316" i="12"/>
  <c r="R1315" i="12"/>
  <c r="U1309" i="12"/>
  <c r="T1308" i="12"/>
  <c r="T1307" i="12"/>
  <c r="R1307" i="12"/>
  <c r="R1305" i="12"/>
  <c r="T1305" i="12"/>
  <c r="U1303" i="12"/>
  <c r="R1156" i="12"/>
  <c r="S1156" i="12"/>
  <c r="U1154" i="12"/>
  <c r="U1152" i="12"/>
  <c r="R1151" i="12"/>
  <c r="T1150" i="12"/>
  <c r="S1150" i="12"/>
  <c r="R1148" i="12"/>
  <c r="U1148" i="12"/>
  <c r="S1146" i="12"/>
  <c r="Z150" i="12"/>
  <c r="AE150" i="12" s="1"/>
  <c r="X150" i="12"/>
  <c r="Z149" i="12"/>
  <c r="AE149" i="12" s="1"/>
  <c r="S1463" i="12"/>
  <c r="R1463" i="12"/>
  <c r="X149" i="12" s="1"/>
  <c r="T2107" i="12"/>
  <c r="T1459" i="12"/>
  <c r="Z145" i="12" s="1"/>
  <c r="AE145" i="12" s="1"/>
  <c r="U2106" i="12"/>
  <c r="Z144" i="12"/>
  <c r="X144" i="12"/>
  <c r="U1781" i="12"/>
  <c r="AA143" i="12" s="1"/>
  <c r="S1781" i="12"/>
  <c r="S2103" i="12"/>
  <c r="R2103" i="12"/>
  <c r="X141" i="12" s="1"/>
  <c r="U2103" i="12"/>
  <c r="U1614" i="12"/>
  <c r="X136" i="12"/>
  <c r="R1286" i="12"/>
  <c r="S1286" i="12"/>
  <c r="Y134" i="12" s="1"/>
  <c r="U1286" i="12"/>
  <c r="AA134" i="12" s="1"/>
  <c r="AF134" i="12" s="1"/>
  <c r="BB134" i="12" s="1"/>
  <c r="BC134" i="12" s="1"/>
  <c r="U1447" i="12"/>
  <c r="AA133" i="12" s="1"/>
  <c r="AF133" i="12" s="1"/>
  <c r="BB133" i="12" s="1"/>
  <c r="BC133" i="12" s="1"/>
  <c r="R1447" i="12"/>
  <c r="T1447" i="12"/>
  <c r="Y132" i="12"/>
  <c r="AA131" i="12"/>
  <c r="AF131" i="12" s="1"/>
  <c r="BB131" i="12" s="1"/>
  <c r="BC131" i="12" s="1"/>
  <c r="T1282" i="12"/>
  <c r="T1606" i="12"/>
  <c r="R1606" i="12"/>
  <c r="S1767" i="12"/>
  <c r="Y129" i="12" s="1"/>
  <c r="R1767" i="12"/>
  <c r="U1767" i="12"/>
  <c r="AA129" i="12" s="1"/>
  <c r="AF129" i="12" s="1"/>
  <c r="BB129" i="12" s="1"/>
  <c r="BC129" i="12" s="1"/>
  <c r="R1926" i="12"/>
  <c r="S1926" i="12"/>
  <c r="U1926" i="12"/>
  <c r="T1925" i="12"/>
  <c r="U2085" i="12"/>
  <c r="U1275" i="12"/>
  <c r="R1275" i="12"/>
  <c r="S1275" i="12"/>
  <c r="U1598" i="12"/>
  <c r="R2081" i="12"/>
  <c r="S2081" i="12"/>
  <c r="R1595" i="12"/>
  <c r="R1270" i="12"/>
  <c r="X118" i="12" s="1"/>
  <c r="S1270" i="12"/>
  <c r="U1270" i="12"/>
  <c r="AA118" i="12" s="1"/>
  <c r="U1431" i="12"/>
  <c r="X116" i="12"/>
  <c r="R2077" i="12"/>
  <c r="S2077" i="12"/>
  <c r="R1591" i="12"/>
  <c r="T2075" i="12"/>
  <c r="Z113" i="12" s="1"/>
  <c r="AE113" i="12" s="1"/>
  <c r="BA113" i="12" s="1"/>
  <c r="R2075" i="12"/>
  <c r="R1751" i="12"/>
  <c r="R1427" i="12"/>
  <c r="X113" i="12" s="1"/>
  <c r="T2071" i="12"/>
  <c r="Z109" i="12" s="1"/>
  <c r="R2071" i="12"/>
  <c r="R1747" i="12"/>
  <c r="R1423" i="12"/>
  <c r="T2067" i="12"/>
  <c r="Z105" i="12" s="1"/>
  <c r="R2067" i="12"/>
  <c r="R1743" i="12"/>
  <c r="R1419" i="12"/>
  <c r="T2063" i="12"/>
  <c r="Z101" i="12" s="1"/>
  <c r="R2063" i="12"/>
  <c r="R1739" i="12"/>
  <c r="R1415" i="12"/>
  <c r="X101" i="12" s="1"/>
  <c r="AC101" i="12" s="1"/>
  <c r="AY101" i="12" s="1"/>
  <c r="T2059" i="12"/>
  <c r="R2059" i="12"/>
  <c r="R1735" i="12"/>
  <c r="R1411" i="12"/>
  <c r="X97" i="12" s="1"/>
  <c r="AC97" i="12" s="1"/>
  <c r="AY97" i="12" s="1"/>
  <c r="T2055" i="12"/>
  <c r="Z93" i="12" s="1"/>
  <c r="R2055" i="12"/>
  <c r="R1731" i="12"/>
  <c r="R1407" i="12"/>
  <c r="T2051" i="12"/>
  <c r="Z89" i="12" s="1"/>
  <c r="R2051" i="12"/>
  <c r="R1727" i="12"/>
  <c r="R1403" i="12"/>
  <c r="T2047" i="12"/>
  <c r="R2047" i="12"/>
  <c r="R1723" i="12"/>
  <c r="R1399" i="12"/>
  <c r="X85" i="12" s="1"/>
  <c r="T2043" i="12"/>
  <c r="R2043" i="12"/>
  <c r="R1719" i="12"/>
  <c r="R1395" i="12"/>
  <c r="X81" i="12" s="1"/>
  <c r="AC81" i="12" s="1"/>
  <c r="AY81" i="12" s="1"/>
  <c r="T2039" i="12"/>
  <c r="Z77" i="12" s="1"/>
  <c r="R2039" i="12"/>
  <c r="R1715" i="12"/>
  <c r="R1391" i="12"/>
  <c r="T2035" i="12"/>
  <c r="Z73" i="12" s="1"/>
  <c r="R2035" i="12"/>
  <c r="R1711" i="12"/>
  <c r="R1387" i="12"/>
  <c r="T2031" i="12"/>
  <c r="Z69" i="12" s="1"/>
  <c r="AE69" i="12" s="1"/>
  <c r="BA69" i="12" s="1"/>
  <c r="R2031" i="12"/>
  <c r="R1707" i="12"/>
  <c r="R1383" i="12"/>
  <c r="X69" i="12" s="1"/>
  <c r="AC69" i="12" s="1"/>
  <c r="AY69" i="12" s="1"/>
  <c r="T2027" i="12"/>
  <c r="R2027" i="12"/>
  <c r="R1703" i="12"/>
  <c r="R1379" i="12"/>
  <c r="X65" i="12" s="1"/>
  <c r="AC65" i="12" s="1"/>
  <c r="AY65" i="12" s="1"/>
  <c r="Z63" i="12"/>
  <c r="X63" i="12"/>
  <c r="T1538" i="12"/>
  <c r="Z62" i="12" s="1"/>
  <c r="AE62" i="12" s="1"/>
  <c r="BA62" i="12" s="1"/>
  <c r="S1538" i="12"/>
  <c r="Y62" i="12" s="1"/>
  <c r="AD62" i="12" s="1"/>
  <c r="AZ62" i="12" s="1"/>
  <c r="U1538" i="12"/>
  <c r="AA62" i="12" s="1"/>
  <c r="AF62" i="12" s="1"/>
  <c r="BB62" i="12" s="1"/>
  <c r="BC62" i="12" s="1"/>
  <c r="T1375" i="12"/>
  <c r="X59" i="12"/>
  <c r="AC59" i="12" s="1"/>
  <c r="AY59" i="12" s="1"/>
  <c r="T1534" i="12"/>
  <c r="Z58" i="12" s="1"/>
  <c r="AE58" i="12" s="1"/>
  <c r="BA58" i="12" s="1"/>
  <c r="S1534" i="12"/>
  <c r="Y58" i="12" s="1"/>
  <c r="AD58" i="12" s="1"/>
  <c r="AZ58" i="12" s="1"/>
  <c r="U1534" i="12"/>
  <c r="T1371" i="12"/>
  <c r="Z57" i="12" s="1"/>
  <c r="X55" i="12"/>
  <c r="AC55" i="12" s="1"/>
  <c r="T1530" i="12"/>
  <c r="Z54" i="12" s="1"/>
  <c r="AE54" i="12" s="1"/>
  <c r="BA54" i="12" s="1"/>
  <c r="S1530" i="12"/>
  <c r="U1530" i="12"/>
  <c r="AA54" i="12" s="1"/>
  <c r="AF54" i="12" s="1"/>
  <c r="BB54" i="12" s="1"/>
  <c r="BC54" i="12" s="1"/>
  <c r="T1367" i="12"/>
  <c r="Z53" i="12" s="1"/>
  <c r="X51" i="12"/>
  <c r="AC51" i="12" s="1"/>
  <c r="AY51" i="12" s="1"/>
  <c r="T1526" i="12"/>
  <c r="S1526" i="12"/>
  <c r="Y50" i="12" s="1"/>
  <c r="AD50" i="12" s="1"/>
  <c r="AZ50" i="12" s="1"/>
  <c r="U1526" i="12"/>
  <c r="AA50" i="12" s="1"/>
  <c r="AF50" i="12" s="1"/>
  <c r="BB50" i="12" s="1"/>
  <c r="BC50" i="12" s="1"/>
  <c r="T1363" i="12"/>
  <c r="Z49" i="12" s="1"/>
  <c r="AE49" i="12" s="1"/>
  <c r="BA49" i="12" s="1"/>
  <c r="X47" i="12"/>
  <c r="AC47" i="12" s="1"/>
  <c r="T1522" i="12"/>
  <c r="Z46" i="12" s="1"/>
  <c r="AE46" i="12" s="1"/>
  <c r="BA46" i="12" s="1"/>
  <c r="S1522" i="12"/>
  <c r="Y46" i="12" s="1"/>
  <c r="AD46" i="12" s="1"/>
  <c r="AZ46" i="12" s="1"/>
  <c r="U1522" i="12"/>
  <c r="AA46" i="12" s="1"/>
  <c r="AF46" i="12" s="1"/>
  <c r="BB46" i="12" s="1"/>
  <c r="BC46" i="12" s="1"/>
  <c r="T1359" i="12"/>
  <c r="X43" i="12"/>
  <c r="AC43" i="12" s="1"/>
  <c r="AY43" i="12" s="1"/>
  <c r="T1518" i="12"/>
  <c r="Z42" i="12" s="1"/>
  <c r="AE42" i="12" s="1"/>
  <c r="BA42" i="12" s="1"/>
  <c r="S1518" i="12"/>
  <c r="Y42" i="12" s="1"/>
  <c r="AD42" i="12" s="1"/>
  <c r="AZ42" i="12" s="1"/>
  <c r="U1518" i="12"/>
  <c r="T1355" i="12"/>
  <c r="Z41" i="12" s="1"/>
  <c r="X39" i="12"/>
  <c r="AC39" i="12" s="1"/>
  <c r="T1514" i="12"/>
  <c r="Z38" i="12" s="1"/>
  <c r="AE38" i="12" s="1"/>
  <c r="BA38" i="12" s="1"/>
  <c r="S1514" i="12"/>
  <c r="U1514" i="12"/>
  <c r="AA38" i="12" s="1"/>
  <c r="AF38" i="12" s="1"/>
  <c r="BB38" i="12" s="1"/>
  <c r="BC38" i="12" s="1"/>
  <c r="T1351" i="12"/>
  <c r="Z37" i="12" s="1"/>
  <c r="X35" i="12"/>
  <c r="AC35" i="12" s="1"/>
  <c r="AY35" i="12" s="1"/>
  <c r="T1510" i="12"/>
  <c r="S1510" i="12"/>
  <c r="Y34" i="12" s="1"/>
  <c r="AD34" i="12" s="1"/>
  <c r="AZ34" i="12" s="1"/>
  <c r="U1510" i="12"/>
  <c r="AA34" i="12" s="1"/>
  <c r="AF34" i="12" s="1"/>
  <c r="BB34" i="12" s="1"/>
  <c r="BC34" i="12" s="1"/>
  <c r="T1347" i="12"/>
  <c r="Z33" i="12" s="1"/>
  <c r="AE33" i="12" s="1"/>
  <c r="BA33" i="12" s="1"/>
  <c r="X31" i="12"/>
  <c r="AC31" i="12" s="1"/>
  <c r="AY31" i="12" s="1"/>
  <c r="T1506" i="12"/>
  <c r="Z30" i="12" s="1"/>
  <c r="AE30" i="12" s="1"/>
  <c r="BA30" i="12" s="1"/>
  <c r="S1506" i="12"/>
  <c r="Y30" i="12" s="1"/>
  <c r="AD30" i="12" s="1"/>
  <c r="AZ30" i="12" s="1"/>
  <c r="U1506" i="12"/>
  <c r="AA30" i="12" s="1"/>
  <c r="AF30" i="12" s="1"/>
  <c r="BB30" i="12" s="1"/>
  <c r="BC30" i="12" s="1"/>
  <c r="T1343" i="12"/>
  <c r="X27" i="12"/>
  <c r="AC27" i="12" s="1"/>
  <c r="T1502" i="12"/>
  <c r="S1502" i="12"/>
  <c r="Y26" i="12" s="1"/>
  <c r="AD26" i="12" s="1"/>
  <c r="AZ26" i="12" s="1"/>
  <c r="U1502" i="12"/>
  <c r="T1339" i="12"/>
  <c r="X23" i="12"/>
  <c r="AC23" i="12" s="1"/>
  <c r="AY23" i="12" s="1"/>
  <c r="T1498" i="12"/>
  <c r="Z22" i="12" s="1"/>
  <c r="AE22" i="12" s="1"/>
  <c r="BA22" i="12" s="1"/>
  <c r="S1498" i="12"/>
  <c r="U1498" i="12"/>
  <c r="AA22" i="12" s="1"/>
  <c r="AF22" i="12" s="1"/>
  <c r="BB22" i="12" s="1"/>
  <c r="BC22" i="12" s="1"/>
  <c r="T1335" i="12"/>
  <c r="X19" i="12"/>
  <c r="AC19" i="12" s="1"/>
  <c r="AY19" i="12" s="1"/>
  <c r="R1818" i="12"/>
  <c r="S1818" i="12"/>
  <c r="U1818" i="12"/>
  <c r="T1817" i="12"/>
  <c r="R1977" i="12"/>
  <c r="S1977" i="12"/>
  <c r="T1977" i="12"/>
  <c r="U1977" i="12"/>
  <c r="R1491" i="12"/>
  <c r="S1489" i="12"/>
  <c r="T1489" i="12"/>
  <c r="R1489" i="12"/>
  <c r="T1974" i="12"/>
  <c r="U1974" i="12"/>
  <c r="U1811" i="12"/>
  <c r="R1811" i="12"/>
  <c r="S1811" i="12"/>
  <c r="T1811" i="12"/>
  <c r="R1810" i="12"/>
  <c r="S1810" i="12"/>
  <c r="U1810" i="12"/>
  <c r="T1809" i="12"/>
  <c r="FA11" i="6"/>
  <c r="EJ23" i="6"/>
  <c r="EE24" i="6"/>
  <c r="FN73" i="6"/>
  <c r="FS73" i="6"/>
  <c r="FN71" i="6"/>
  <c r="FS71" i="6"/>
  <c r="FB64" i="6"/>
  <c r="FI64" i="6" s="1"/>
  <c r="FB29" i="6"/>
  <c r="FI29" i="6" s="1"/>
  <c r="FN5" i="6"/>
  <c r="FS5" i="6"/>
  <c r="EL128" i="6"/>
  <c r="FC128" i="6"/>
  <c r="FJ128" i="6" s="1"/>
  <c r="FT112" i="6"/>
  <c r="FO112" i="6"/>
  <c r="FC108" i="6"/>
  <c r="FJ108" i="6" s="1"/>
  <c r="EL108" i="6"/>
  <c r="FO88" i="6"/>
  <c r="FT88" i="6"/>
  <c r="EG86" i="6"/>
  <c r="EL85" i="6"/>
  <c r="FC75" i="6"/>
  <c r="FJ75" i="6" s="1"/>
  <c r="FC69" i="6"/>
  <c r="FJ69" i="6" s="1"/>
  <c r="FC38" i="6"/>
  <c r="FJ38" i="6" s="1"/>
  <c r="FT28" i="6"/>
  <c r="FO28" i="6"/>
  <c r="FP141" i="6"/>
  <c r="FU141" i="6"/>
  <c r="FD92" i="6"/>
  <c r="FK92" i="6" s="1"/>
  <c r="EM92" i="6"/>
  <c r="FD46" i="6"/>
  <c r="FK46" i="6" s="1"/>
  <c r="AK82" i="16"/>
  <c r="AN82" i="16" s="1"/>
  <c r="Z82" i="16"/>
  <c r="AM82" i="16" s="1"/>
  <c r="Z80" i="16"/>
  <c r="AM80" i="16" s="1"/>
  <c r="AK80" i="16"/>
  <c r="AN80" i="16" s="1"/>
  <c r="AK67" i="16"/>
  <c r="AN67" i="16" s="1"/>
  <c r="Z67" i="16"/>
  <c r="AM67" i="16" s="1"/>
  <c r="Z62" i="16"/>
  <c r="AM62" i="16" s="1"/>
  <c r="AK62" i="16"/>
  <c r="AN62" i="16" s="1"/>
  <c r="L126" i="16"/>
  <c r="AA126" i="16" s="1"/>
  <c r="H126" i="16"/>
  <c r="AO118" i="16"/>
  <c r="AC118" i="16"/>
  <c r="AQ118" i="16" s="1"/>
  <c r="AC107" i="16"/>
  <c r="AQ107" i="16" s="1"/>
  <c r="AO107" i="16"/>
  <c r="AO103" i="16"/>
  <c r="AC103" i="16"/>
  <c r="AQ103" i="16" s="1"/>
  <c r="AR90" i="16"/>
  <c r="AC20" i="16"/>
  <c r="AQ20" i="16" s="1"/>
  <c r="AO20" i="16"/>
  <c r="AR20" i="16" s="1"/>
  <c r="AC17" i="16"/>
  <c r="AQ17" i="16" s="1"/>
  <c r="AO17" i="16"/>
  <c r="AR17" i="16" s="1"/>
  <c r="AC13" i="16"/>
  <c r="AQ13" i="16" s="1"/>
  <c r="AO13" i="16"/>
  <c r="AR13" i="16" s="1"/>
  <c r="AC9" i="16"/>
  <c r="AQ9" i="16" s="1"/>
  <c r="AO9" i="16"/>
  <c r="AR9" i="16" s="1"/>
  <c r="AR7" i="16"/>
  <c r="AF134" i="16"/>
  <c r="AU134" i="16" s="1"/>
  <c r="AS134" i="16"/>
  <c r="AV134" i="16" s="1"/>
  <c r="AF70" i="16"/>
  <c r="AU70" i="16" s="1"/>
  <c r="AS70" i="16"/>
  <c r="AV70" i="16" s="1"/>
  <c r="Z147" i="16"/>
  <c r="AK147" i="16"/>
  <c r="AY144" i="16"/>
  <c r="AZ144" i="16"/>
  <c r="Z133" i="16"/>
  <c r="AK133" i="16"/>
  <c r="Z124" i="16"/>
  <c r="AK124" i="16"/>
  <c r="AI102" i="16"/>
  <c r="AY102" i="16" s="1"/>
  <c r="AW102" i="16"/>
  <c r="AI100" i="16"/>
  <c r="AY100" i="16" s="1"/>
  <c r="AW100" i="16"/>
  <c r="AZ100" i="16" s="1"/>
  <c r="FR30" i="6"/>
  <c r="FR23" i="6"/>
  <c r="FB28" i="6"/>
  <c r="FI28" i="6" s="1"/>
  <c r="FN72" i="6"/>
  <c r="FS72" i="6"/>
  <c r="FR2" i="6"/>
  <c r="FH149" i="6"/>
  <c r="AG138" i="16"/>
  <c r="AI138" i="16" s="1"/>
  <c r="FT144" i="6"/>
  <c r="FO144" i="6"/>
  <c r="FT138" i="6"/>
  <c r="FO138" i="6"/>
  <c r="EL130" i="6"/>
  <c r="FC130" i="6"/>
  <c r="FJ130" i="6" s="1"/>
  <c r="FT127" i="6"/>
  <c r="FO127" i="6"/>
  <c r="FT125" i="6"/>
  <c r="EL120" i="6"/>
  <c r="FC120" i="6"/>
  <c r="FJ120" i="6" s="1"/>
  <c r="EL110" i="6"/>
  <c r="FC110" i="6"/>
  <c r="FJ110" i="6" s="1"/>
  <c r="FO107" i="6"/>
  <c r="FT107" i="6"/>
  <c r="FT106" i="6"/>
  <c r="FO106" i="6"/>
  <c r="EG80" i="6"/>
  <c r="EL80" i="6" s="1"/>
  <c r="EL79" i="6"/>
  <c r="EL48" i="6"/>
  <c r="EG49" i="6"/>
  <c r="EL49" i="6" s="1"/>
  <c r="FT37" i="6"/>
  <c r="FO37" i="6"/>
  <c r="FO10" i="6"/>
  <c r="FT10" i="6"/>
  <c r="GA3" i="6"/>
  <c r="FP145" i="6"/>
  <c r="FU145" i="6"/>
  <c r="FP17" i="6"/>
  <c r="FU17" i="6"/>
  <c r="CL47" i="6"/>
  <c r="CP47" i="6" s="1"/>
  <c r="GJ47" i="6"/>
  <c r="GJ4" i="6"/>
  <c r="CL4" i="6"/>
  <c r="CP4" i="6" s="1"/>
  <c r="GJ62" i="6"/>
  <c r="BZ94" i="6"/>
  <c r="Z36" i="16"/>
  <c r="AM36" i="16" s="1"/>
  <c r="AK36" i="16"/>
  <c r="AN36" i="16" s="1"/>
  <c r="Z33" i="16"/>
  <c r="AM33" i="16" s="1"/>
  <c r="AK33" i="16"/>
  <c r="AN33" i="16" s="1"/>
  <c r="AC151" i="16"/>
  <c r="AO151" i="16"/>
  <c r="Z140" i="12"/>
  <c r="AE140" i="12" s="1"/>
  <c r="Z136" i="12"/>
  <c r="Z132" i="12"/>
  <c r="Z128" i="12"/>
  <c r="AE128" i="12" s="1"/>
  <c r="BA128" i="12" s="1"/>
  <c r="R1277" i="12"/>
  <c r="S1277" i="12"/>
  <c r="Y125" i="12" s="1"/>
  <c r="R1273" i="12"/>
  <c r="S1273" i="12"/>
  <c r="R1269" i="12"/>
  <c r="X117" i="12" s="1"/>
  <c r="S1269" i="12"/>
  <c r="X109" i="12"/>
  <c r="X105" i="12"/>
  <c r="X93" i="12"/>
  <c r="X89" i="12"/>
  <c r="AC89" i="12" s="1"/>
  <c r="AY89" i="12" s="1"/>
  <c r="X77" i="12"/>
  <c r="X73" i="12"/>
  <c r="AC73" i="12" s="1"/>
  <c r="AY73" i="12" s="1"/>
  <c r="X61" i="12"/>
  <c r="X57" i="12"/>
  <c r="X53" i="12"/>
  <c r="X49" i="12"/>
  <c r="X45" i="12"/>
  <c r="X41" i="12"/>
  <c r="X37" i="12"/>
  <c r="X33" i="12"/>
  <c r="X29" i="12"/>
  <c r="AC29" i="12" s="1"/>
  <c r="X25" i="12"/>
  <c r="X21" i="12"/>
  <c r="R1656" i="12"/>
  <c r="T1656" i="12"/>
  <c r="Z18" i="12" s="1"/>
  <c r="AE18" i="12" s="1"/>
  <c r="BA18" i="12" s="1"/>
  <c r="R1170" i="12"/>
  <c r="S1170" i="12"/>
  <c r="Y17" i="12"/>
  <c r="R1655" i="12"/>
  <c r="X17" i="12" s="1"/>
  <c r="T1655" i="12"/>
  <c r="U1655" i="12"/>
  <c r="T1978" i="12"/>
  <c r="R1978" i="12"/>
  <c r="U1978" i="12"/>
  <c r="R1492" i="12"/>
  <c r="U1492" i="12"/>
  <c r="T1492" i="12"/>
  <c r="R1166" i="12"/>
  <c r="S1166" i="12"/>
  <c r="T1166" i="12"/>
  <c r="Z14" i="12" s="1"/>
  <c r="Y13" i="12"/>
  <c r="U1165" i="12"/>
  <c r="R1165" i="12"/>
  <c r="AA12" i="12"/>
  <c r="T1326" i="12"/>
  <c r="Z12" i="12" s="1"/>
  <c r="R1326" i="12"/>
  <c r="S1326" i="12"/>
  <c r="S1487" i="12"/>
  <c r="Y11" i="12" s="1"/>
  <c r="R1487" i="12"/>
  <c r="R1648" i="12"/>
  <c r="T1648" i="12"/>
  <c r="Z10" i="12" s="1"/>
  <c r="AE10" i="12" s="1"/>
  <c r="BA10" i="12" s="1"/>
  <c r="R1162" i="12"/>
  <c r="S1162" i="12"/>
  <c r="Y9" i="12"/>
  <c r="R1647" i="12"/>
  <c r="T1647" i="12"/>
  <c r="U1647" i="12"/>
  <c r="T1970" i="12"/>
  <c r="R1970" i="12"/>
  <c r="U1970" i="12"/>
  <c r="R1484" i="12"/>
  <c r="U1484" i="12"/>
  <c r="T1484" i="12"/>
  <c r="B92" i="13"/>
  <c r="CK81" i="6"/>
  <c r="CO81" i="6" s="1"/>
  <c r="FA81" i="6" s="1"/>
  <c r="CK65" i="6"/>
  <c r="CO65" i="6" s="1"/>
  <c r="FA65" i="6" s="1"/>
  <c r="CK49" i="6"/>
  <c r="CO49" i="6" s="1"/>
  <c r="CK33" i="6"/>
  <c r="CO33" i="6" s="1"/>
  <c r="FA23" i="6"/>
  <c r="CK17" i="6"/>
  <c r="CO17" i="6" s="1"/>
  <c r="FA17" i="6" s="1"/>
  <c r="FA10" i="6"/>
  <c r="CQ50" i="11"/>
  <c r="FR55" i="6"/>
  <c r="FR52" i="6"/>
  <c r="FR16" i="6"/>
  <c r="FM2" i="6"/>
  <c r="FN89" i="6"/>
  <c r="FS89" i="6"/>
  <c r="FB85" i="6"/>
  <c r="FI85" i="6" s="1"/>
  <c r="EK83" i="6"/>
  <c r="FO125" i="6"/>
  <c r="FO103" i="6"/>
  <c r="N119" i="16"/>
  <c r="AG119" i="16" s="1"/>
  <c r="AI119" i="16" s="1"/>
  <c r="J119" i="16"/>
  <c r="FC129" i="6"/>
  <c r="FJ129" i="6" s="1"/>
  <c r="EL129" i="6"/>
  <c r="FC122" i="6"/>
  <c r="FJ122" i="6" s="1"/>
  <c r="EL122" i="6"/>
  <c r="FC117" i="6"/>
  <c r="FJ117" i="6" s="1"/>
  <c r="EL117" i="6"/>
  <c r="FC109" i="6"/>
  <c r="FJ109" i="6" s="1"/>
  <c r="EL109" i="6"/>
  <c r="FT99" i="6"/>
  <c r="FO99" i="6"/>
  <c r="FT94" i="6"/>
  <c r="FO94" i="6"/>
  <c r="FC85" i="6"/>
  <c r="FJ85" i="6" s="1"/>
  <c r="FT81" i="6"/>
  <c r="FO81" i="6"/>
  <c r="FC71" i="6"/>
  <c r="FJ71" i="6" s="1"/>
  <c r="EL61" i="6"/>
  <c r="EG62" i="6"/>
  <c r="EL62" i="6" s="1"/>
  <c r="FC56" i="6"/>
  <c r="FJ56" i="6" s="1"/>
  <c r="FT44" i="6"/>
  <c r="FO44" i="6"/>
  <c r="FO25" i="6"/>
  <c r="FT25" i="6"/>
  <c r="FT14" i="6"/>
  <c r="FO14" i="6"/>
  <c r="FD100" i="6"/>
  <c r="FK100" i="6" s="1"/>
  <c r="EM100" i="6"/>
  <c r="FP77" i="6"/>
  <c r="FU77" i="6"/>
  <c r="FU66" i="6"/>
  <c r="FP66" i="6"/>
  <c r="FD64" i="6"/>
  <c r="FK64" i="6" s="1"/>
  <c r="FP4" i="6"/>
  <c r="FU4" i="6"/>
  <c r="GJ2" i="6"/>
  <c r="GL149" i="6"/>
  <c r="CL59" i="6"/>
  <c r="CP59" i="6" s="1"/>
  <c r="GJ32" i="6"/>
  <c r="CL32" i="6"/>
  <c r="CP32" i="6" s="1"/>
  <c r="Z104" i="16"/>
  <c r="AM104" i="16" s="1"/>
  <c r="AK104" i="16"/>
  <c r="AN104" i="16" s="1"/>
  <c r="Z147" i="12"/>
  <c r="X147" i="12"/>
  <c r="Z143" i="12"/>
  <c r="X143" i="12"/>
  <c r="U1616" i="12"/>
  <c r="S1616" i="12"/>
  <c r="Y140" i="12" s="1"/>
  <c r="T1777" i="12"/>
  <c r="Z139" i="12" s="1"/>
  <c r="AE139" i="12" s="1"/>
  <c r="S1453" i="12"/>
  <c r="Y139" i="12" s="1"/>
  <c r="X139" i="12"/>
  <c r="U1612" i="12"/>
  <c r="AA136" i="12" s="1"/>
  <c r="S1612" i="12"/>
  <c r="T1773" i="12"/>
  <c r="Z135" i="12" s="1"/>
  <c r="AE135" i="12" s="1"/>
  <c r="BA135" i="12" s="1"/>
  <c r="S1449" i="12"/>
  <c r="Y135" i="12" s="1"/>
  <c r="X135" i="12"/>
  <c r="U1608" i="12"/>
  <c r="S1608" i="12"/>
  <c r="T1769" i="12"/>
  <c r="Z131" i="12" s="1"/>
  <c r="AE131" i="12" s="1"/>
  <c r="BA131" i="12" s="1"/>
  <c r="S1445" i="12"/>
  <c r="Y131" i="12" s="1"/>
  <c r="X131" i="12"/>
  <c r="U1604" i="12"/>
  <c r="AA128" i="12" s="1"/>
  <c r="AF128" i="12" s="1"/>
  <c r="BB128" i="12" s="1"/>
  <c r="BC128" i="12" s="1"/>
  <c r="S1604" i="12"/>
  <c r="T1765" i="12"/>
  <c r="Z127" i="12" s="1"/>
  <c r="AE127" i="12" s="1"/>
  <c r="BA127" i="12" s="1"/>
  <c r="S1441" i="12"/>
  <c r="X127" i="12"/>
  <c r="T1277" i="12"/>
  <c r="Z125" i="12" s="1"/>
  <c r="R1601" i="12"/>
  <c r="U1601" i="12"/>
  <c r="AA125" i="12" s="1"/>
  <c r="U1437" i="12"/>
  <c r="S1923" i="12"/>
  <c r="R1761" i="12"/>
  <c r="T1761" i="12"/>
  <c r="T1273" i="12"/>
  <c r="Z121" i="12" s="1"/>
  <c r="R1597" i="12"/>
  <c r="U1597" i="12"/>
  <c r="AA121" i="12" s="1"/>
  <c r="U1433" i="12"/>
  <c r="S1919" i="12"/>
  <c r="R1757" i="12"/>
  <c r="T1757" i="12"/>
  <c r="T1269" i="12"/>
  <c r="R1593" i="12"/>
  <c r="U1593" i="12"/>
  <c r="AA117" i="12" s="1"/>
  <c r="U1429" i="12"/>
  <c r="S1915" i="12"/>
  <c r="R1753" i="12"/>
  <c r="T1753" i="12"/>
  <c r="Z112" i="12"/>
  <c r="AE111" i="12" s="1"/>
  <c r="BA111" i="12" s="1"/>
  <c r="Z108" i="12"/>
  <c r="Z104" i="12"/>
  <c r="Z100" i="12"/>
  <c r="Z96" i="12"/>
  <c r="Z92" i="12"/>
  <c r="Z88" i="12"/>
  <c r="AE87" i="12" s="1"/>
  <c r="BA87" i="12" s="1"/>
  <c r="Z84" i="12"/>
  <c r="Z80" i="12"/>
  <c r="AE79" i="12" s="1"/>
  <c r="BA79" i="12" s="1"/>
  <c r="Z76" i="12"/>
  <c r="Z72" i="12"/>
  <c r="Z68" i="12"/>
  <c r="Z64" i="12"/>
  <c r="X64" i="12"/>
  <c r="Z60" i="12"/>
  <c r="AE59" i="12" s="1"/>
  <c r="BA59" i="12" s="1"/>
  <c r="Z56" i="12"/>
  <c r="Z52" i="12"/>
  <c r="AE52" i="12" s="1"/>
  <c r="BA52" i="12" s="1"/>
  <c r="Z48" i="12"/>
  <c r="Z44" i="12"/>
  <c r="Z40" i="12"/>
  <c r="AE40" i="12" s="1"/>
  <c r="Z36" i="12"/>
  <c r="AE36" i="12" s="1"/>
  <c r="BA36" i="12" s="1"/>
  <c r="Z32" i="12"/>
  <c r="Z28" i="12"/>
  <c r="AE27" i="12" s="1"/>
  <c r="Z24" i="12"/>
  <c r="Z20" i="12"/>
  <c r="R1494" i="12"/>
  <c r="U1494" i="12"/>
  <c r="AA18" i="12" s="1"/>
  <c r="AF18" i="12" s="1"/>
  <c r="BB18" i="12" s="1"/>
  <c r="BC18" i="12" s="1"/>
  <c r="U1169" i="12"/>
  <c r="T1169" i="12"/>
  <c r="Z17" i="12" s="1"/>
  <c r="S1492" i="12"/>
  <c r="R1816" i="12"/>
  <c r="S1816" i="12"/>
  <c r="R1653" i="12"/>
  <c r="T1653" i="12"/>
  <c r="R1164" i="12"/>
  <c r="S1164" i="12"/>
  <c r="U1487" i="12"/>
  <c r="AA11" i="12" s="1"/>
  <c r="AF11" i="12" s="1"/>
  <c r="BB11" i="12" s="1"/>
  <c r="BC11" i="12" s="1"/>
  <c r="T1487" i="12"/>
  <c r="R1325" i="12"/>
  <c r="T1325" i="12"/>
  <c r="R1486" i="12"/>
  <c r="U1486" i="12"/>
  <c r="AA10" i="12" s="1"/>
  <c r="AF10" i="12" s="1"/>
  <c r="BB10" i="12" s="1"/>
  <c r="BC10" i="12" s="1"/>
  <c r="U1161" i="12"/>
  <c r="AA9" i="12" s="1"/>
  <c r="T1161" i="12"/>
  <c r="S1484" i="12"/>
  <c r="R1808" i="12"/>
  <c r="S1808" i="12"/>
  <c r="CK85" i="6"/>
  <c r="CO85" i="6" s="1"/>
  <c r="FA85" i="6" s="1"/>
  <c r="CK69" i="6"/>
  <c r="CO69" i="6" s="1"/>
  <c r="FA69" i="6" s="1"/>
  <c r="CK53" i="6"/>
  <c r="CO53" i="6" s="1"/>
  <c r="FA53" i="6" s="1"/>
  <c r="CK37" i="6"/>
  <c r="CO37" i="6" s="1"/>
  <c r="FA37" i="6" s="1"/>
  <c r="CK21" i="6"/>
  <c r="CO21" i="6" s="1"/>
  <c r="CK5" i="6"/>
  <c r="CO5" i="6" s="1"/>
  <c r="CQ47" i="11"/>
  <c r="EE86" i="6"/>
  <c r="EJ86" i="6" s="1"/>
  <c r="FR86" i="6" s="1"/>
  <c r="FR83" i="6"/>
  <c r="FR42" i="6"/>
  <c r="EJ21" i="6"/>
  <c r="FR21" i="6" s="1"/>
  <c r="EE11" i="6"/>
  <c r="FR9" i="6"/>
  <c r="FS2" i="6"/>
  <c r="EA81" i="6"/>
  <c r="EF81" i="6" s="1"/>
  <c r="EK81" i="6" s="1"/>
  <c r="FO77" i="6"/>
  <c r="FS74" i="6"/>
  <c r="FB66" i="6"/>
  <c r="FI66" i="6" s="1"/>
  <c r="FN17" i="6"/>
  <c r="FS17" i="6"/>
  <c r="FN9" i="6"/>
  <c r="FS9" i="6"/>
  <c r="J113" i="16"/>
  <c r="N113" i="16"/>
  <c r="AG113" i="16" s="1"/>
  <c r="AI113" i="16" s="1"/>
  <c r="J114" i="16"/>
  <c r="H116" i="16"/>
  <c r="FO139" i="6"/>
  <c r="FT139" i="6"/>
  <c r="EL131" i="6"/>
  <c r="FC131" i="6"/>
  <c r="FJ131" i="6" s="1"/>
  <c r="FC121" i="6"/>
  <c r="FJ121" i="6" s="1"/>
  <c r="EL121" i="6"/>
  <c r="FC118" i="6"/>
  <c r="FJ118" i="6" s="1"/>
  <c r="FT115" i="6"/>
  <c r="FC105" i="6"/>
  <c r="FJ105" i="6" s="1"/>
  <c r="EL105" i="6"/>
  <c r="FT100" i="6"/>
  <c r="FC79" i="6"/>
  <c r="FJ79" i="6" s="1"/>
  <c r="FC67" i="6"/>
  <c r="FJ67" i="6" s="1"/>
  <c r="FC62" i="6"/>
  <c r="FJ62" i="6" s="1"/>
  <c r="FC57" i="6"/>
  <c r="FJ57" i="6" s="1"/>
  <c r="EL37" i="6"/>
  <c r="FO26" i="6"/>
  <c r="FT26" i="6"/>
  <c r="EL16" i="6"/>
  <c r="FO13" i="6"/>
  <c r="FT13" i="6"/>
  <c r="FP101" i="6"/>
  <c r="FU101" i="6"/>
  <c r="FD99" i="6"/>
  <c r="FK99" i="6" s="1"/>
  <c r="EM99" i="6"/>
  <c r="FP89" i="6"/>
  <c r="FU89" i="6"/>
  <c r="EH86" i="6"/>
  <c r="EM85" i="6"/>
  <c r="FU84" i="6"/>
  <c r="FU81" i="6"/>
  <c r="FP81" i="6"/>
  <c r="FP79" i="6"/>
  <c r="FU79" i="6"/>
  <c r="FD54" i="6"/>
  <c r="FK54" i="6" s="1"/>
  <c r="GJ83" i="6"/>
  <c r="CL83" i="6"/>
  <c r="CP83" i="6" s="1"/>
  <c r="FB83" i="6" s="1"/>
  <c r="FI83" i="6" s="1"/>
  <c r="AA16" i="12"/>
  <c r="R1168" i="12"/>
  <c r="S1168" i="12"/>
  <c r="R1490" i="12"/>
  <c r="U1490" i="12"/>
  <c r="R1651" i="12"/>
  <c r="T1651" i="12"/>
  <c r="R1812" i="12"/>
  <c r="S1812" i="12"/>
  <c r="R1160" i="12"/>
  <c r="S1160" i="12"/>
  <c r="C92" i="13"/>
  <c r="EJ61" i="6"/>
  <c r="FR61" i="6" s="1"/>
  <c r="EE62" i="6"/>
  <c r="EJ62" i="6" s="1"/>
  <c r="FR62" i="6" s="1"/>
  <c r="EJ38" i="6"/>
  <c r="FR38" i="6" s="1"/>
  <c r="EE39" i="6"/>
  <c r="EJ30" i="6"/>
  <c r="EE31" i="6"/>
  <c r="FR15" i="6"/>
  <c r="FR10" i="6"/>
  <c r="ET149" i="6"/>
  <c r="FR3" i="6"/>
  <c r="EF67" i="6"/>
  <c r="EK67" i="6" s="1"/>
  <c r="EK68" i="6"/>
  <c r="FB65" i="6"/>
  <c r="FI65" i="6" s="1"/>
  <c r="FB52" i="6"/>
  <c r="FI52" i="6" s="1"/>
  <c r="FM4" i="6"/>
  <c r="FN14" i="6"/>
  <c r="FS14" i="6"/>
  <c r="FB70" i="6"/>
  <c r="FI70" i="6" s="1"/>
  <c r="FB78" i="6"/>
  <c r="FI78" i="6" s="1"/>
  <c r="FB82" i="6"/>
  <c r="FI82" i="6" s="1"/>
  <c r="AG115" i="16"/>
  <c r="AI115" i="16" s="1"/>
  <c r="FT137" i="6"/>
  <c r="FO137" i="6"/>
  <c r="FT116" i="6"/>
  <c r="FO116" i="6"/>
  <c r="FT92" i="6"/>
  <c r="FC73" i="6"/>
  <c r="FJ73" i="6" s="1"/>
  <c r="FC63" i="6"/>
  <c r="FJ63" i="6" s="1"/>
  <c r="FT59" i="6"/>
  <c r="FC48" i="6"/>
  <c r="FJ48" i="6" s="1"/>
  <c r="FT39" i="6"/>
  <c r="FO39" i="6"/>
  <c r="FT32" i="6"/>
  <c r="FO32" i="6"/>
  <c r="FU131" i="6"/>
  <c r="FP131" i="6"/>
  <c r="FD129" i="6"/>
  <c r="FK129" i="6" s="1"/>
  <c r="EM129" i="6"/>
  <c r="FU125" i="6"/>
  <c r="FP125" i="6"/>
  <c r="FP123" i="6"/>
  <c r="FU123" i="6"/>
  <c r="FU122" i="6"/>
  <c r="FD121" i="6"/>
  <c r="FK121" i="6" s="1"/>
  <c r="EM121" i="6"/>
  <c r="FU117" i="6"/>
  <c r="FP117" i="6"/>
  <c r="FP115" i="6"/>
  <c r="FU115" i="6"/>
  <c r="FU114" i="6"/>
  <c r="FD113" i="6"/>
  <c r="FK113" i="6" s="1"/>
  <c r="EM113" i="6"/>
  <c r="FU109" i="6"/>
  <c r="FP109" i="6"/>
  <c r="FP107" i="6"/>
  <c r="FU107" i="6"/>
  <c r="FU106" i="6"/>
  <c r="FD105" i="6"/>
  <c r="FK105" i="6" s="1"/>
  <c r="EM105" i="6"/>
  <c r="FP93" i="6"/>
  <c r="FU93" i="6"/>
  <c r="FD26" i="6"/>
  <c r="FK26" i="6" s="1"/>
  <c r="CA94" i="6"/>
  <c r="AK59" i="16"/>
  <c r="Z59" i="16"/>
  <c r="AM59" i="16" s="1"/>
  <c r="Z57" i="16"/>
  <c r="AM57" i="16" s="1"/>
  <c r="AK57" i="16"/>
  <c r="AN57" i="16" s="1"/>
  <c r="AS159" i="16"/>
  <c r="AV159" i="16" s="1"/>
  <c r="AI159" i="16"/>
  <c r="AK103" i="16"/>
  <c r="Z103" i="16"/>
  <c r="AM103" i="16" s="1"/>
  <c r="Z100" i="16"/>
  <c r="AM100" i="16" s="1"/>
  <c r="AK100" i="16"/>
  <c r="AN100" i="16" s="1"/>
  <c r="Z14" i="16"/>
  <c r="AM14" i="16" s="1"/>
  <c r="AK14" i="16"/>
  <c r="AN14" i="16" s="1"/>
  <c r="Z13" i="16"/>
  <c r="AM13" i="16" s="1"/>
  <c r="AK13" i="16"/>
  <c r="AN13" i="16" s="1"/>
  <c r="AQ133" i="16"/>
  <c r="AR133" i="16"/>
  <c r="L100" i="16"/>
  <c r="H100" i="16"/>
  <c r="AC99" i="16"/>
  <c r="AQ99" i="16" s="1"/>
  <c r="AO99" i="16"/>
  <c r="AR99" i="16" s="1"/>
  <c r="AO50" i="16"/>
  <c r="AC50" i="16"/>
  <c r="AQ50" i="16" s="1"/>
  <c r="AF86" i="16"/>
  <c r="AU86" i="16" s="1"/>
  <c r="AS86" i="16"/>
  <c r="AV86" i="16" s="1"/>
  <c r="AF22" i="16"/>
  <c r="AU22" i="16" s="1"/>
  <c r="AS22" i="16"/>
  <c r="AV22" i="16" s="1"/>
  <c r="AW142" i="16"/>
  <c r="AM142" i="16"/>
  <c r="AN142" i="16" s="1"/>
  <c r="Z139" i="16"/>
  <c r="AK139" i="16"/>
  <c r="AY136" i="16"/>
  <c r="AZ136" i="16"/>
  <c r="FR64" i="6"/>
  <c r="FR44" i="6"/>
  <c r="FR32" i="6"/>
  <c r="EF86" i="6"/>
  <c r="EK86" i="6" s="1"/>
  <c r="EK84" i="6"/>
  <c r="AG111" i="16"/>
  <c r="AI111" i="16" s="1"/>
  <c r="AG118" i="16"/>
  <c r="AI118" i="16" s="1"/>
  <c r="AG127" i="16"/>
  <c r="AI127" i="16" s="1"/>
  <c r="AG134" i="16"/>
  <c r="AI134" i="16" s="1"/>
  <c r="FT124" i="6"/>
  <c r="FC101" i="6"/>
  <c r="FJ101" i="6" s="1"/>
  <c r="EG102" i="6"/>
  <c r="FC102" i="6" s="1"/>
  <c r="FJ102" i="6" s="1"/>
  <c r="CM83" i="6"/>
  <c r="CQ83" i="6" s="1"/>
  <c r="FC83" i="6" s="1"/>
  <c r="FJ83" i="6" s="1"/>
  <c r="FO60" i="6"/>
  <c r="FT60" i="6"/>
  <c r="FC49" i="6"/>
  <c r="FJ49" i="6" s="1"/>
  <c r="EG50" i="6"/>
  <c r="FT40" i="6"/>
  <c r="FO40" i="6"/>
  <c r="FC5" i="6"/>
  <c r="FJ5" i="6" s="1"/>
  <c r="FP128" i="6"/>
  <c r="FU128" i="6"/>
  <c r="FD127" i="6"/>
  <c r="FK127" i="6" s="1"/>
  <c r="EM127" i="6"/>
  <c r="FP120" i="6"/>
  <c r="FU120" i="6"/>
  <c r="FD119" i="6"/>
  <c r="FK119" i="6" s="1"/>
  <c r="EM119" i="6"/>
  <c r="FP112" i="6"/>
  <c r="FU112" i="6"/>
  <c r="FD111" i="6"/>
  <c r="FK111" i="6" s="1"/>
  <c r="EM111" i="6"/>
  <c r="FP104" i="6"/>
  <c r="FU104" i="6"/>
  <c r="FD85" i="6"/>
  <c r="FK85" i="6" s="1"/>
  <c r="FU74" i="6"/>
  <c r="FP74" i="6"/>
  <c r="FD45" i="6"/>
  <c r="FK45" i="6" s="1"/>
  <c r="EW149" i="6"/>
  <c r="GJ40" i="6"/>
  <c r="CL40" i="6"/>
  <c r="CP40" i="6" s="1"/>
  <c r="CL11" i="6"/>
  <c r="CP11" i="6" s="1"/>
  <c r="GI149" i="6"/>
  <c r="AS150" i="16"/>
  <c r="AV150" i="16" s="1"/>
  <c r="AI150" i="16"/>
  <c r="AI146" i="16"/>
  <c r="AS146" i="16"/>
  <c r="AV146" i="16" s="1"/>
  <c r="AK107" i="16"/>
  <c r="Z107" i="16"/>
  <c r="AM107" i="16" s="1"/>
  <c r="Z101" i="16"/>
  <c r="AM101" i="16" s="1"/>
  <c r="AK101" i="16"/>
  <c r="AN101" i="16" s="1"/>
  <c r="AK83" i="16"/>
  <c r="Z83" i="16"/>
  <c r="AM83" i="16" s="1"/>
  <c r="AK43" i="16"/>
  <c r="Z43" i="16"/>
  <c r="AM43" i="16" s="1"/>
  <c r="AK22" i="16"/>
  <c r="Z22" i="16"/>
  <c r="AM22" i="16" s="1"/>
  <c r="AC155" i="16"/>
  <c r="AO155" i="16"/>
  <c r="AQ149" i="16"/>
  <c r="AR149" i="16"/>
  <c r="AC139" i="16"/>
  <c r="AO139" i="16"/>
  <c r="L130" i="16"/>
  <c r="H130" i="16"/>
  <c r="AQ129" i="16"/>
  <c r="AR129" i="16"/>
  <c r="AO123" i="16"/>
  <c r="AC123" i="16"/>
  <c r="AQ123" i="16" s="1"/>
  <c r="AO87" i="16"/>
  <c r="AC87" i="16"/>
  <c r="AQ87" i="16" s="1"/>
  <c r="L62" i="16"/>
  <c r="H62" i="16"/>
  <c r="AO54" i="16"/>
  <c r="AC54" i="16"/>
  <c r="AQ54" i="16" s="1"/>
  <c r="L52" i="16"/>
  <c r="H52" i="16"/>
  <c r="AC43" i="16"/>
  <c r="AQ43" i="16" s="1"/>
  <c r="AO43" i="16"/>
  <c r="AR43" i="16" s="1"/>
  <c r="AF118" i="16"/>
  <c r="AU118" i="16" s="1"/>
  <c r="AS118" i="16"/>
  <c r="AV118" i="16" s="1"/>
  <c r="AF54" i="16"/>
  <c r="AU54" i="16" s="1"/>
  <c r="AS54" i="16"/>
  <c r="AV54" i="16" s="1"/>
  <c r="Z160" i="16"/>
  <c r="AK160" i="16"/>
  <c r="EC71" i="6"/>
  <c r="EH71" i="6" s="1"/>
  <c r="DJ71" i="6"/>
  <c r="DN71" i="6" s="1"/>
  <c r="DR71" i="6" s="1"/>
  <c r="DG68" i="6"/>
  <c r="DK68" i="6" s="1"/>
  <c r="DO68" i="6" s="1"/>
  <c r="DZ68" i="6"/>
  <c r="EE68" i="6" s="1"/>
  <c r="EJ68" i="6" s="1"/>
  <c r="FR68" i="6" s="1"/>
  <c r="DG67" i="6"/>
  <c r="DK67" i="6" s="1"/>
  <c r="DO67" i="6" s="1"/>
  <c r="DZ67" i="6"/>
  <c r="EE67" i="6" s="1"/>
  <c r="EC64" i="6"/>
  <c r="EH64" i="6" s="1"/>
  <c r="EM64" i="6" s="1"/>
  <c r="DJ64" i="6"/>
  <c r="DN64" i="6" s="1"/>
  <c r="DR64" i="6" s="1"/>
  <c r="EC54" i="6"/>
  <c r="EH54" i="6" s="1"/>
  <c r="EM54" i="6" s="1"/>
  <c r="DJ54" i="6"/>
  <c r="DN54" i="6" s="1"/>
  <c r="DR54" i="6" s="1"/>
  <c r="EC52" i="6"/>
  <c r="EH52" i="6" s="1"/>
  <c r="EM52" i="6" s="1"/>
  <c r="DJ52" i="6"/>
  <c r="DN52" i="6" s="1"/>
  <c r="DR52" i="6" s="1"/>
  <c r="EC46" i="6"/>
  <c r="EH46" i="6" s="1"/>
  <c r="EM46" i="6" s="1"/>
  <c r="DJ46" i="6"/>
  <c r="DN46" i="6" s="1"/>
  <c r="DR46" i="6" s="1"/>
  <c r="EC44" i="6"/>
  <c r="EH44" i="6" s="1"/>
  <c r="EM44" i="6" s="1"/>
  <c r="DJ44" i="6"/>
  <c r="DN44" i="6" s="1"/>
  <c r="DR44" i="6" s="1"/>
  <c r="EC42" i="6"/>
  <c r="EH42" i="6" s="1"/>
  <c r="EM42" i="6" s="1"/>
  <c r="DJ42" i="6"/>
  <c r="DN42" i="6" s="1"/>
  <c r="DR42" i="6" s="1"/>
  <c r="EC40" i="6"/>
  <c r="EH40" i="6" s="1"/>
  <c r="DJ40" i="6"/>
  <c r="DN40" i="6" s="1"/>
  <c r="DR40" i="6" s="1"/>
  <c r="EC38" i="6"/>
  <c r="EH38" i="6" s="1"/>
  <c r="EM38" i="6" s="1"/>
  <c r="DJ38" i="6"/>
  <c r="DN38" i="6" s="1"/>
  <c r="DR38" i="6" s="1"/>
  <c r="EC26" i="6"/>
  <c r="EH26" i="6" s="1"/>
  <c r="DJ26" i="6"/>
  <c r="DN26" i="6" s="1"/>
  <c r="DR26" i="6" s="1"/>
  <c r="CK88" i="6"/>
  <c r="CO88" i="6" s="1"/>
  <c r="FA88" i="6" s="1"/>
  <c r="CK84" i="6"/>
  <c r="CO84" i="6" s="1"/>
  <c r="FA84" i="6" s="1"/>
  <c r="CK80" i="6"/>
  <c r="CO80" i="6" s="1"/>
  <c r="CK76" i="6"/>
  <c r="CO76" i="6" s="1"/>
  <c r="FA76" i="6" s="1"/>
  <c r="CK72" i="6"/>
  <c r="CO72" i="6" s="1"/>
  <c r="FA72" i="6" s="1"/>
  <c r="CK68" i="6"/>
  <c r="CO68" i="6" s="1"/>
  <c r="FA68" i="6" s="1"/>
  <c r="CK64" i="6"/>
  <c r="CO64" i="6" s="1"/>
  <c r="FA64" i="6" s="1"/>
  <c r="CK60" i="6"/>
  <c r="CO60" i="6" s="1"/>
  <c r="FA60" i="6" s="1"/>
  <c r="CK56" i="6"/>
  <c r="CO56" i="6" s="1"/>
  <c r="CK52" i="6"/>
  <c r="CO52" i="6" s="1"/>
  <c r="FA52" i="6" s="1"/>
  <c r="CK48" i="6"/>
  <c r="CO48" i="6" s="1"/>
  <c r="CK44" i="6"/>
  <c r="CO44" i="6" s="1"/>
  <c r="FA44" i="6" s="1"/>
  <c r="CK40" i="6"/>
  <c r="CO40" i="6" s="1"/>
  <c r="CK36" i="6"/>
  <c r="CO36" i="6" s="1"/>
  <c r="FA36" i="6" s="1"/>
  <c r="CK32" i="6"/>
  <c r="CO32" i="6" s="1"/>
  <c r="FA32" i="6" s="1"/>
  <c r="CK28" i="6"/>
  <c r="CO28" i="6" s="1"/>
  <c r="CK24" i="6"/>
  <c r="CO24" i="6" s="1"/>
  <c r="CK20" i="6"/>
  <c r="CO20" i="6" s="1"/>
  <c r="CK16" i="6"/>
  <c r="CO16" i="6" s="1"/>
  <c r="FA16" i="6" s="1"/>
  <c r="CK12" i="6"/>
  <c r="CO12" i="6" s="1"/>
  <c r="CK8" i="6"/>
  <c r="CO8" i="6" s="1"/>
  <c r="CK4" i="6"/>
  <c r="CO4" i="6" s="1"/>
  <c r="FR72" i="6"/>
  <c r="FR66" i="6"/>
  <c r="FR54" i="6"/>
  <c r="FR46" i="6"/>
  <c r="CL68" i="6"/>
  <c r="CP68" i="6" s="1"/>
  <c r="FB68" i="6" s="1"/>
  <c r="FI68" i="6" s="1"/>
  <c r="AQ2" i="14"/>
  <c r="AD16" i="14"/>
  <c r="AG114" i="16"/>
  <c r="AI114" i="16" s="1"/>
  <c r="AG123" i="16"/>
  <c r="AI123" i="16" s="1"/>
  <c r="AG130" i="16"/>
  <c r="AI130" i="16" s="1"/>
  <c r="AG139" i="16"/>
  <c r="AI139" i="16" s="1"/>
  <c r="EL101" i="6"/>
  <c r="EL102" i="6" s="1"/>
  <c r="FC97" i="6"/>
  <c r="FJ97" i="6" s="1"/>
  <c r="CM91" i="6"/>
  <c r="CQ91" i="6" s="1"/>
  <c r="FC91" i="6" s="1"/>
  <c r="FJ91" i="6" s="1"/>
  <c r="CM84" i="6"/>
  <c r="CQ84" i="6" s="1"/>
  <c r="FC84" i="6" s="1"/>
  <c r="FJ84" i="6" s="1"/>
  <c r="CM78" i="6"/>
  <c r="CQ78" i="6" s="1"/>
  <c r="FC78" i="6" s="1"/>
  <c r="FJ78" i="6" s="1"/>
  <c r="CM74" i="6"/>
  <c r="CQ74" i="6" s="1"/>
  <c r="FC74" i="6" s="1"/>
  <c r="FJ74" i="6" s="1"/>
  <c r="CM70" i="6"/>
  <c r="CQ70" i="6" s="1"/>
  <c r="FC70" i="6" s="1"/>
  <c r="FJ70" i="6" s="1"/>
  <c r="CM66" i="6"/>
  <c r="CQ66" i="6" s="1"/>
  <c r="FC61" i="6"/>
  <c r="FJ61" i="6" s="1"/>
  <c r="EG57" i="6"/>
  <c r="FC52" i="6"/>
  <c r="FJ52" i="6" s="1"/>
  <c r="EG33" i="6"/>
  <c r="EL33" i="6" s="1"/>
  <c r="FC17" i="6"/>
  <c r="FJ17" i="6" s="1"/>
  <c r="EG18" i="6"/>
  <c r="EL17" i="6"/>
  <c r="FC15" i="6"/>
  <c r="FJ15" i="6" s="1"/>
  <c r="FT11" i="6"/>
  <c r="FO9" i="6"/>
  <c r="FT9" i="6"/>
  <c r="FT7" i="6"/>
  <c r="FD126" i="6"/>
  <c r="FK126" i="6" s="1"/>
  <c r="EM126" i="6"/>
  <c r="FD118" i="6"/>
  <c r="FK118" i="6" s="1"/>
  <c r="EM118" i="6"/>
  <c r="FD110" i="6"/>
  <c r="FK110" i="6" s="1"/>
  <c r="EM110" i="6"/>
  <c r="EM103" i="6"/>
  <c r="EM102" i="6" s="1"/>
  <c r="FD103" i="6"/>
  <c r="FK103" i="6" s="1"/>
  <c r="FU98" i="6"/>
  <c r="FP96" i="6"/>
  <c r="FU96" i="6"/>
  <c r="FD94" i="6"/>
  <c r="FK94" i="6" s="1"/>
  <c r="EM94" i="6"/>
  <c r="FU91" i="6"/>
  <c r="FP91" i="6"/>
  <c r="FD78" i="6"/>
  <c r="FK78" i="6" s="1"/>
  <c r="FD52" i="6"/>
  <c r="FK52" i="6" s="1"/>
  <c r="FD44" i="6"/>
  <c r="FK44" i="6" s="1"/>
  <c r="FD42" i="6"/>
  <c r="FK42" i="6" s="1"/>
  <c r="FU7" i="6"/>
  <c r="CL75" i="6"/>
  <c r="CP75" i="6" s="1"/>
  <c r="FB75" i="6" s="1"/>
  <c r="FI75" i="6" s="1"/>
  <c r="AV156" i="16"/>
  <c r="AS154" i="16"/>
  <c r="AV154" i="16" s="1"/>
  <c r="AI154" i="16"/>
  <c r="Z97" i="16"/>
  <c r="AM97" i="16" s="1"/>
  <c r="AK97" i="16"/>
  <c r="AK84" i="16"/>
  <c r="Z84" i="16"/>
  <c r="AM84" i="16" s="1"/>
  <c r="Z49" i="16"/>
  <c r="AM49" i="16" s="1"/>
  <c r="AK49" i="16"/>
  <c r="Z46" i="16"/>
  <c r="AM46" i="16" s="1"/>
  <c r="AK46" i="16"/>
  <c r="AN46" i="16" s="1"/>
  <c r="Z31" i="16"/>
  <c r="AM31" i="16" s="1"/>
  <c r="AK31" i="16"/>
  <c r="Z29" i="16"/>
  <c r="AM29" i="16" s="1"/>
  <c r="AK29" i="16"/>
  <c r="AN29" i="16" s="1"/>
  <c r="Z24" i="16"/>
  <c r="AM24" i="16" s="1"/>
  <c r="AK24" i="16"/>
  <c r="AO114" i="16"/>
  <c r="AC114" i="16"/>
  <c r="AQ114" i="16" s="1"/>
  <c r="AO91" i="16"/>
  <c r="AR91" i="16" s="1"/>
  <c r="AC91" i="16"/>
  <c r="AQ91" i="16" s="1"/>
  <c r="AR85" i="16"/>
  <c r="AO75" i="16"/>
  <c r="AC75" i="16"/>
  <c r="AQ75" i="16" s="1"/>
  <c r="L66" i="16"/>
  <c r="H66" i="16"/>
  <c r="AC59" i="16"/>
  <c r="AQ59" i="16" s="1"/>
  <c r="AO59" i="16"/>
  <c r="AR59" i="16" s="1"/>
  <c r="AF102" i="16"/>
  <c r="AU102" i="16" s="1"/>
  <c r="AS102" i="16"/>
  <c r="AV102" i="16" s="1"/>
  <c r="AV45" i="16"/>
  <c r="AF38" i="16"/>
  <c r="AU38" i="16" s="1"/>
  <c r="AS38" i="16"/>
  <c r="AF18" i="16"/>
  <c r="AU18" i="16" s="1"/>
  <c r="AS18" i="16"/>
  <c r="AV18" i="16" s="1"/>
  <c r="AF16" i="16"/>
  <c r="AU16" i="16" s="1"/>
  <c r="AS16" i="16"/>
  <c r="AV16" i="16" s="1"/>
  <c r="AT162" i="16"/>
  <c r="Z135" i="16"/>
  <c r="AK135" i="16"/>
  <c r="AK113" i="16"/>
  <c r="Z113" i="16"/>
  <c r="AK111" i="16"/>
  <c r="Z111" i="16"/>
  <c r="CM55" i="6"/>
  <c r="CQ55" i="6" s="1"/>
  <c r="FC55" i="6" s="1"/>
  <c r="FJ55" i="6" s="1"/>
  <c r="CM47" i="6"/>
  <c r="CQ47" i="6" s="1"/>
  <c r="FC47" i="6" s="1"/>
  <c r="FJ47" i="6" s="1"/>
  <c r="CM43" i="6"/>
  <c r="CQ43" i="6" s="1"/>
  <c r="FC43" i="6" s="1"/>
  <c r="FJ43" i="6" s="1"/>
  <c r="EG30" i="6"/>
  <c r="EL30" i="6" s="1"/>
  <c r="CM12" i="6"/>
  <c r="CQ12" i="6" s="1"/>
  <c r="FC12" i="6" s="1"/>
  <c r="FJ12" i="6" s="1"/>
  <c r="FD90" i="6"/>
  <c r="FK90" i="6" s="1"/>
  <c r="CN82" i="6"/>
  <c r="CR82" i="6" s="1"/>
  <c r="FD82" i="6" s="1"/>
  <c r="FK82" i="6" s="1"/>
  <c r="CN75" i="6"/>
  <c r="CR75" i="6" s="1"/>
  <c r="FD75" i="6" s="1"/>
  <c r="FK75" i="6" s="1"/>
  <c r="CN70" i="6"/>
  <c r="CR70" i="6" s="1"/>
  <c r="CN57" i="6"/>
  <c r="CR57" i="6" s="1"/>
  <c r="CN49" i="6"/>
  <c r="CR49" i="6" s="1"/>
  <c r="CN36" i="6"/>
  <c r="CR36" i="6" s="1"/>
  <c r="CN31" i="6"/>
  <c r="CR31" i="6" s="1"/>
  <c r="CN27" i="6"/>
  <c r="CR27" i="6" s="1"/>
  <c r="FD9" i="6"/>
  <c r="FK9" i="6" s="1"/>
  <c r="CN2" i="6"/>
  <c r="CR2" i="6" s="1"/>
  <c r="FD2" i="6" s="1"/>
  <c r="FK2" i="6" s="1"/>
  <c r="CL67" i="6"/>
  <c r="CP67" i="6" s="1"/>
  <c r="FB67" i="6" s="1"/>
  <c r="FI67" i="6" s="1"/>
  <c r="GJ24" i="6"/>
  <c r="CL24" i="6"/>
  <c r="CP24" i="6" s="1"/>
  <c r="GJ16" i="6"/>
  <c r="CL16" i="6"/>
  <c r="CP16" i="6" s="1"/>
  <c r="CL91" i="6"/>
  <c r="CP91" i="6" s="1"/>
  <c r="FB91" i="6" s="1"/>
  <c r="FI91" i="6" s="1"/>
  <c r="AN32" i="16"/>
  <c r="AR73" i="16"/>
  <c r="AS158" i="16"/>
  <c r="AV158" i="16" s="1"/>
  <c r="AI158" i="16"/>
  <c r="AV155" i="16"/>
  <c r="AG144" i="16"/>
  <c r="AV133" i="16"/>
  <c r="AV109" i="16"/>
  <c r="AV100" i="16"/>
  <c r="AV68" i="16"/>
  <c r="AV36" i="16"/>
  <c r="AV7" i="16"/>
  <c r="AK91" i="16"/>
  <c r="AN91" i="16" s="1"/>
  <c r="Z91" i="16"/>
  <c r="AM91" i="16" s="1"/>
  <c r="Z81" i="16"/>
  <c r="AM81" i="16" s="1"/>
  <c r="AK81" i="16"/>
  <c r="AN81" i="16" s="1"/>
  <c r="AK51" i="16"/>
  <c r="AN51" i="16" s="1"/>
  <c r="Z51" i="16"/>
  <c r="AM51" i="16" s="1"/>
  <c r="AN44" i="16"/>
  <c r="X42" i="16"/>
  <c r="Z27" i="16"/>
  <c r="AM27" i="16" s="1"/>
  <c r="AK27" i="16"/>
  <c r="Z21" i="16"/>
  <c r="AM21" i="16" s="1"/>
  <c r="AK21" i="16"/>
  <c r="AN21" i="16" s="1"/>
  <c r="Z19" i="16"/>
  <c r="AM19" i="16" s="1"/>
  <c r="AK19" i="16"/>
  <c r="Z17" i="16"/>
  <c r="AM17" i="16" s="1"/>
  <c r="AK17" i="16"/>
  <c r="AN17" i="16" s="1"/>
  <c r="AO159" i="16"/>
  <c r="AC159" i="16"/>
  <c r="AR150" i="16"/>
  <c r="L128" i="16"/>
  <c r="H128" i="16"/>
  <c r="AC95" i="16"/>
  <c r="AQ95" i="16" s="1"/>
  <c r="AO95" i="16"/>
  <c r="AR95" i="16" s="1"/>
  <c r="AO86" i="16"/>
  <c r="AR86" i="16" s="1"/>
  <c r="AC86" i="16"/>
  <c r="AQ86" i="16" s="1"/>
  <c r="AO74" i="16"/>
  <c r="AC74" i="16"/>
  <c r="AQ74" i="16" s="1"/>
  <c r="AO18" i="16"/>
  <c r="AC18" i="16"/>
  <c r="AQ18" i="16" s="1"/>
  <c r="AO16" i="16"/>
  <c r="AC16" i="16"/>
  <c r="AQ16" i="16" s="1"/>
  <c r="AR10" i="16"/>
  <c r="AF138" i="16"/>
  <c r="AU138" i="16" s="1"/>
  <c r="AS138" i="16"/>
  <c r="AV138" i="16" s="1"/>
  <c r="AF128" i="16"/>
  <c r="AU128" i="16" s="1"/>
  <c r="AS128" i="16"/>
  <c r="AF122" i="16"/>
  <c r="AU122" i="16" s="1"/>
  <c r="AS122" i="16"/>
  <c r="AV122" i="16" s="1"/>
  <c r="AF110" i="16"/>
  <c r="AU110" i="16" s="1"/>
  <c r="AS110" i="16"/>
  <c r="AV110" i="16" s="1"/>
  <c r="AF106" i="16"/>
  <c r="AU106" i="16" s="1"/>
  <c r="AS106" i="16"/>
  <c r="AV106" i="16" s="1"/>
  <c r="AF94" i="16"/>
  <c r="AU94" i="16" s="1"/>
  <c r="AS94" i="16"/>
  <c r="AV94" i="16" s="1"/>
  <c r="AV93" i="16"/>
  <c r="AF90" i="16"/>
  <c r="AU90" i="16" s="1"/>
  <c r="AS90" i="16"/>
  <c r="AF80" i="16"/>
  <c r="AU80" i="16" s="1"/>
  <c r="AS80" i="16"/>
  <c r="AV80" i="16" s="1"/>
  <c r="AF78" i="16"/>
  <c r="AU78" i="16" s="1"/>
  <c r="AS78" i="16"/>
  <c r="AF62" i="16"/>
  <c r="AU62" i="16" s="1"/>
  <c r="AS62" i="16"/>
  <c r="AV62" i="16" s="1"/>
  <c r="AF58" i="16"/>
  <c r="AU58" i="16" s="1"/>
  <c r="AS58" i="16"/>
  <c r="AV58" i="16" s="1"/>
  <c r="AF46" i="16"/>
  <c r="AU46" i="16" s="1"/>
  <c r="AS46" i="16"/>
  <c r="AV46" i="16" s="1"/>
  <c r="AF42" i="16"/>
  <c r="AU42" i="16" s="1"/>
  <c r="AS42" i="16"/>
  <c r="AV42" i="16" s="1"/>
  <c r="AF32" i="16"/>
  <c r="AU32" i="16" s="1"/>
  <c r="AS32" i="16"/>
  <c r="AV32" i="16" s="1"/>
  <c r="AF30" i="16"/>
  <c r="AU30" i="16" s="1"/>
  <c r="AS30" i="16"/>
  <c r="AV30" i="16" s="1"/>
  <c r="AF26" i="16"/>
  <c r="AU26" i="16" s="1"/>
  <c r="AS26" i="16"/>
  <c r="AF10" i="16"/>
  <c r="AU10" i="16" s="1"/>
  <c r="AS10" i="16"/>
  <c r="AV10" i="16" s="1"/>
  <c r="AW158" i="16"/>
  <c r="AM158" i="16"/>
  <c r="AN158" i="16" s="1"/>
  <c r="AY156" i="16"/>
  <c r="AZ156" i="16"/>
  <c r="AY154" i="16"/>
  <c r="AZ154" i="16" s="1"/>
  <c r="AM152" i="16"/>
  <c r="AW152" i="16"/>
  <c r="AM148" i="16"/>
  <c r="AN148" i="16" s="1"/>
  <c r="AW148" i="16"/>
  <c r="AY114" i="16"/>
  <c r="AZ114" i="16"/>
  <c r="AI43" i="16"/>
  <c r="AY43" i="16" s="1"/>
  <c r="AW43" i="16"/>
  <c r="AI37" i="16"/>
  <c r="AY37" i="16" s="1"/>
  <c r="AW37" i="16"/>
  <c r="AZ37" i="16" s="1"/>
  <c r="DJ90" i="6"/>
  <c r="DN90" i="6" s="1"/>
  <c r="DR90" i="6" s="1"/>
  <c r="EC90" i="6"/>
  <c r="EH90" i="6" s="1"/>
  <c r="EM90" i="6" s="1"/>
  <c r="DG78" i="6"/>
  <c r="DK78" i="6" s="1"/>
  <c r="DO78" i="6" s="1"/>
  <c r="DZ78" i="6"/>
  <c r="EE78" i="6" s="1"/>
  <c r="EJ78" i="6" s="1"/>
  <c r="FR78" i="6" s="1"/>
  <c r="DI75" i="6"/>
  <c r="DM75" i="6" s="1"/>
  <c r="DQ75" i="6" s="1"/>
  <c r="EB75" i="6"/>
  <c r="EG75" i="6" s="1"/>
  <c r="EL75" i="6" s="1"/>
  <c r="EA65" i="6"/>
  <c r="EF65" i="6" s="1"/>
  <c r="EK65" i="6" s="1"/>
  <c r="DH65" i="6"/>
  <c r="DL65" i="6" s="1"/>
  <c r="DP65" i="6" s="1"/>
  <c r="EA63" i="6"/>
  <c r="EF63" i="6" s="1"/>
  <c r="EK63" i="6" s="1"/>
  <c r="DH63" i="6"/>
  <c r="EA59" i="6"/>
  <c r="EF59" i="6" s="1"/>
  <c r="DH59" i="6"/>
  <c r="DL59" i="6" s="1"/>
  <c r="DP59" i="6" s="1"/>
  <c r="EA55" i="6"/>
  <c r="EF55" i="6" s="1"/>
  <c r="DH55" i="6"/>
  <c r="DL55" i="6" s="1"/>
  <c r="DP55" i="6" s="1"/>
  <c r="EA53" i="6"/>
  <c r="EF53" i="6" s="1"/>
  <c r="DH53" i="6"/>
  <c r="DL53" i="6" s="1"/>
  <c r="DP53" i="6" s="1"/>
  <c r="EA27" i="6"/>
  <c r="EF27" i="6" s="1"/>
  <c r="EK27" i="6" s="1"/>
  <c r="DH27" i="6"/>
  <c r="DL27" i="6" s="1"/>
  <c r="DP27" i="6" s="1"/>
  <c r="DH79" i="6"/>
  <c r="DL79" i="6" s="1"/>
  <c r="DP79" i="6" s="1"/>
  <c r="EA79" i="6"/>
  <c r="EF79" i="6" s="1"/>
  <c r="CM65" i="6"/>
  <c r="CQ65" i="6" s="1"/>
  <c r="FC65" i="6" s="1"/>
  <c r="FJ65" i="6" s="1"/>
  <c r="EG56" i="6"/>
  <c r="EL56" i="6" s="1"/>
  <c r="CM54" i="6"/>
  <c r="CQ54" i="6" s="1"/>
  <c r="FC54" i="6" s="1"/>
  <c r="FJ54" i="6" s="1"/>
  <c r="CM46" i="6"/>
  <c r="CQ46" i="6" s="1"/>
  <c r="FC46" i="6" s="1"/>
  <c r="FJ46" i="6" s="1"/>
  <c r="CM42" i="6"/>
  <c r="CQ42" i="6" s="1"/>
  <c r="FC42" i="6" s="1"/>
  <c r="FJ42" i="6" s="1"/>
  <c r="CM8" i="6"/>
  <c r="CQ8" i="6" s="1"/>
  <c r="EH80" i="6"/>
  <c r="EM80" i="6" s="1"/>
  <c r="CN80" i="6"/>
  <c r="CR80" i="6" s="1"/>
  <c r="EH73" i="6"/>
  <c r="EM73" i="6" s="1"/>
  <c r="CN73" i="6"/>
  <c r="CR73" i="6" s="1"/>
  <c r="FD73" i="6" s="1"/>
  <c r="FK73" i="6" s="1"/>
  <c r="FD63" i="6"/>
  <c r="FK63" i="6" s="1"/>
  <c r="CN23" i="6"/>
  <c r="CR23" i="6" s="1"/>
  <c r="CL79" i="6"/>
  <c r="CP79" i="6" s="1"/>
  <c r="CL58" i="6"/>
  <c r="CP58" i="6" s="1"/>
  <c r="CL51" i="6"/>
  <c r="CP51" i="6" s="1"/>
  <c r="CL43" i="6"/>
  <c r="CP43" i="6" s="1"/>
  <c r="FB43" i="6" s="1"/>
  <c r="FI43" i="6" s="1"/>
  <c r="GJ36" i="6"/>
  <c r="CL36" i="6"/>
  <c r="CP36" i="6" s="1"/>
  <c r="FB36" i="6" s="1"/>
  <c r="FI36" i="6" s="1"/>
  <c r="GJ8" i="6"/>
  <c r="CL8" i="6"/>
  <c r="CP8" i="6" s="1"/>
  <c r="AK94" i="16"/>
  <c r="AN94" i="16" s="1"/>
  <c r="AK85" i="16"/>
  <c r="AN85" i="16" s="1"/>
  <c r="AK74" i="16"/>
  <c r="AN74" i="16" s="1"/>
  <c r="AK48" i="16"/>
  <c r="AN48" i="16" s="1"/>
  <c r="AN40" i="16"/>
  <c r="AN20" i="16"/>
  <c r="AK10" i="16"/>
  <c r="AN10" i="16" s="1"/>
  <c r="AO115" i="16"/>
  <c r="AR115" i="16" s="1"/>
  <c r="AV132" i="16"/>
  <c r="AS108" i="16"/>
  <c r="AV108" i="16" s="1"/>
  <c r="AS92" i="16"/>
  <c r="AV92" i="16" s="1"/>
  <c r="AV85" i="16"/>
  <c r="AS60" i="16"/>
  <c r="AV60" i="16" s="1"/>
  <c r="AV53" i="16"/>
  <c r="AS48" i="16"/>
  <c r="AV48" i="16" s="1"/>
  <c r="AV21" i="16"/>
  <c r="AK95" i="16"/>
  <c r="AN95" i="16" s="1"/>
  <c r="Z95" i="16"/>
  <c r="AM95" i="16" s="1"/>
  <c r="AN92" i="16"/>
  <c r="Z77" i="16"/>
  <c r="AM77" i="16" s="1"/>
  <c r="AK77" i="16"/>
  <c r="AN77" i="16" s="1"/>
  <c r="AK75" i="16"/>
  <c r="Z75" i="16"/>
  <c r="AM75" i="16" s="1"/>
  <c r="Z69" i="16"/>
  <c r="AM69" i="16" s="1"/>
  <c r="AK69" i="16"/>
  <c r="AN69" i="16" s="1"/>
  <c r="Z65" i="16"/>
  <c r="AM65" i="16" s="1"/>
  <c r="AK65" i="16"/>
  <c r="AN65" i="16" s="1"/>
  <c r="AN38" i="16"/>
  <c r="Z35" i="16"/>
  <c r="AM35" i="16" s="1"/>
  <c r="AK35" i="16"/>
  <c r="X25" i="16"/>
  <c r="X15" i="16"/>
  <c r="Z12" i="16"/>
  <c r="AM12" i="16" s="1"/>
  <c r="AK12" i="16"/>
  <c r="AO153" i="16"/>
  <c r="L146" i="16"/>
  <c r="H146" i="16"/>
  <c r="AO143" i="16"/>
  <c r="AC143" i="16"/>
  <c r="AO137" i="16"/>
  <c r="AO135" i="16"/>
  <c r="L134" i="16"/>
  <c r="H134" i="16"/>
  <c r="AA131" i="16"/>
  <c r="AA121" i="16"/>
  <c r="AO119" i="16"/>
  <c r="AC119" i="16"/>
  <c r="AQ119" i="16" s="1"/>
  <c r="AA98" i="16"/>
  <c r="AC89" i="16"/>
  <c r="AQ89" i="16" s="1"/>
  <c r="AR89" i="16" s="1"/>
  <c r="AC85" i="16"/>
  <c r="AQ85" i="16" s="1"/>
  <c r="AC79" i="16"/>
  <c r="AQ79" i="16" s="1"/>
  <c r="AO79" i="16"/>
  <c r="AR79" i="16" s="1"/>
  <c r="AC71" i="16"/>
  <c r="AQ71" i="16" s="1"/>
  <c r="AR71" i="16" s="1"/>
  <c r="AA67" i="16"/>
  <c r="AA57" i="16"/>
  <c r="AO55" i="16"/>
  <c r="AC55" i="16"/>
  <c r="AQ55" i="16" s="1"/>
  <c r="AA39" i="16"/>
  <c r="AC28" i="16"/>
  <c r="AQ28" i="16" s="1"/>
  <c r="AO28" i="16"/>
  <c r="AR28" i="16" s="1"/>
  <c r="AF124" i="16"/>
  <c r="AU124" i="16" s="1"/>
  <c r="AV124" i="16" s="1"/>
  <c r="AF93" i="16"/>
  <c r="AU93" i="16" s="1"/>
  <c r="AF77" i="16"/>
  <c r="AU77" i="16" s="1"/>
  <c r="AV77" i="16" s="1"/>
  <c r="AF76" i="16"/>
  <c r="AU76" i="16" s="1"/>
  <c r="AV76" i="16" s="1"/>
  <c r="AF61" i="16"/>
  <c r="AU61" i="16" s="1"/>
  <c r="AV61" i="16" s="1"/>
  <c r="AF45" i="16"/>
  <c r="AU45" i="16" s="1"/>
  <c r="AF44" i="16"/>
  <c r="AU44" i="16" s="1"/>
  <c r="AV44" i="16" s="1"/>
  <c r="AF29" i="16"/>
  <c r="AU29" i="16" s="1"/>
  <c r="AV29" i="16" s="1"/>
  <c r="AF28" i="16"/>
  <c r="AU28" i="16" s="1"/>
  <c r="AV28" i="16" s="1"/>
  <c r="AF11" i="16"/>
  <c r="AU11" i="16" s="1"/>
  <c r="AS11" i="16"/>
  <c r="AV11" i="16" s="1"/>
  <c r="Z150" i="16"/>
  <c r="AK150" i="16"/>
  <c r="Z132" i="16"/>
  <c r="AK132" i="16"/>
  <c r="AW130" i="16"/>
  <c r="AM130" i="16"/>
  <c r="AN130" i="16" s="1"/>
  <c r="AY126" i="16"/>
  <c r="AZ126" i="16"/>
  <c r="AW122" i="16"/>
  <c r="AM122" i="16"/>
  <c r="AN122" i="16" s="1"/>
  <c r="AW117" i="16"/>
  <c r="AM117" i="16"/>
  <c r="AN117" i="16" s="1"/>
  <c r="AI83" i="16"/>
  <c r="AY83" i="16" s="1"/>
  <c r="AW83" i="16"/>
  <c r="AZ83" i="16" s="1"/>
  <c r="AI38" i="16"/>
  <c r="AY38" i="16" s="1"/>
  <c r="AW38" i="16"/>
  <c r="AZ38" i="16" s="1"/>
  <c r="EA29" i="6"/>
  <c r="EF29" i="6" s="1"/>
  <c r="EK29" i="6" s="1"/>
  <c r="EC65" i="6"/>
  <c r="EH65" i="6" s="1"/>
  <c r="EM65" i="6" s="1"/>
  <c r="DJ65" i="6"/>
  <c r="DN65" i="6" s="1"/>
  <c r="DR65" i="6" s="1"/>
  <c r="EC63" i="6"/>
  <c r="EH63" i="6" s="1"/>
  <c r="EM63" i="6" s="1"/>
  <c r="DJ63" i="6"/>
  <c r="EC55" i="6"/>
  <c r="EH55" i="6" s="1"/>
  <c r="FD55" i="6" s="1"/>
  <c r="FK55" i="6" s="1"/>
  <c r="DJ55" i="6"/>
  <c r="DN55" i="6" s="1"/>
  <c r="DR55" i="6" s="1"/>
  <c r="EC53" i="6"/>
  <c r="EH53" i="6" s="1"/>
  <c r="EM53" i="6" s="1"/>
  <c r="DJ53" i="6"/>
  <c r="DN53" i="6" s="1"/>
  <c r="DR53" i="6" s="1"/>
  <c r="EC47" i="6"/>
  <c r="EH47" i="6" s="1"/>
  <c r="DJ47" i="6"/>
  <c r="DN47" i="6" s="1"/>
  <c r="DR47" i="6" s="1"/>
  <c r="EC45" i="6"/>
  <c r="EH45" i="6" s="1"/>
  <c r="EM45" i="6" s="1"/>
  <c r="DJ45" i="6"/>
  <c r="DN45" i="6" s="1"/>
  <c r="DR45" i="6" s="1"/>
  <c r="EC43" i="6"/>
  <c r="EH43" i="6" s="1"/>
  <c r="EM43" i="6" s="1"/>
  <c r="DJ43" i="6"/>
  <c r="DN43" i="6" s="1"/>
  <c r="DR43" i="6" s="1"/>
  <c r="EC41" i="6"/>
  <c r="EH41" i="6" s="1"/>
  <c r="DJ41" i="6"/>
  <c r="DN41" i="6" s="1"/>
  <c r="DR41" i="6" s="1"/>
  <c r="EC39" i="6"/>
  <c r="EH39" i="6" s="1"/>
  <c r="EM39" i="6" s="1"/>
  <c r="DJ39" i="6"/>
  <c r="DN39" i="6" s="1"/>
  <c r="DR39" i="6" s="1"/>
  <c r="EC37" i="6"/>
  <c r="EH37" i="6" s="1"/>
  <c r="EM37" i="6" s="1"/>
  <c r="DJ37" i="6"/>
  <c r="EC29" i="6"/>
  <c r="EH29" i="6" s="1"/>
  <c r="DJ29" i="6"/>
  <c r="DN29" i="6" s="1"/>
  <c r="DR29" i="6" s="1"/>
  <c r="EC25" i="6"/>
  <c r="EH25" i="6" s="1"/>
  <c r="DJ25" i="6"/>
  <c r="DN25" i="6" s="1"/>
  <c r="DR25" i="6" s="1"/>
  <c r="CL88" i="6"/>
  <c r="CP88" i="6" s="1"/>
  <c r="CL80" i="6"/>
  <c r="CP80" i="6" s="1"/>
  <c r="AG109" i="16"/>
  <c r="AI109" i="16" s="1"/>
  <c r="AG117" i="16"/>
  <c r="AI117" i="16" s="1"/>
  <c r="AG121" i="16"/>
  <c r="AI121" i="16" s="1"/>
  <c r="AG125" i="16"/>
  <c r="AI125" i="16" s="1"/>
  <c r="AG129" i="16"/>
  <c r="AI129" i="16" s="1"/>
  <c r="AG133" i="16"/>
  <c r="AI133" i="16" s="1"/>
  <c r="AG137" i="16"/>
  <c r="AI137" i="16" s="1"/>
  <c r="H64" i="16"/>
  <c r="H70" i="16"/>
  <c r="H82" i="16"/>
  <c r="H98" i="16"/>
  <c r="H102" i="16"/>
  <c r="CM86" i="6"/>
  <c r="CQ86" i="6" s="1"/>
  <c r="CM82" i="6"/>
  <c r="CQ82" i="6" s="1"/>
  <c r="FC82" i="6" s="1"/>
  <c r="FJ82" i="6" s="1"/>
  <c r="CM80" i="6"/>
  <c r="CQ80" i="6" s="1"/>
  <c r="CM76" i="6"/>
  <c r="CQ76" i="6" s="1"/>
  <c r="FC76" i="6" s="1"/>
  <c r="FJ76" i="6" s="1"/>
  <c r="CM72" i="6"/>
  <c r="CQ72" i="6" s="1"/>
  <c r="FC72" i="6" s="1"/>
  <c r="FJ72" i="6" s="1"/>
  <c r="CM68" i="6"/>
  <c r="CQ68" i="6" s="1"/>
  <c r="FC68" i="6" s="1"/>
  <c r="FJ68" i="6" s="1"/>
  <c r="CM64" i="6"/>
  <c r="CQ64" i="6" s="1"/>
  <c r="FC64" i="6" s="1"/>
  <c r="FJ64" i="6" s="1"/>
  <c r="CM53" i="6"/>
  <c r="CQ53" i="6" s="1"/>
  <c r="FC53" i="6" s="1"/>
  <c r="FJ53" i="6" s="1"/>
  <c r="CM45" i="6"/>
  <c r="CQ45" i="6" s="1"/>
  <c r="FC45" i="6" s="1"/>
  <c r="FJ45" i="6" s="1"/>
  <c r="CM41" i="6"/>
  <c r="CQ41" i="6" s="1"/>
  <c r="FC41" i="6" s="1"/>
  <c r="FJ41" i="6" s="1"/>
  <c r="CM33" i="6"/>
  <c r="CQ33" i="6" s="1"/>
  <c r="CM29" i="6"/>
  <c r="CQ29" i="6" s="1"/>
  <c r="FC29" i="6" s="1"/>
  <c r="FJ29" i="6" s="1"/>
  <c r="EG31" i="6"/>
  <c r="EL31" i="6" s="1"/>
  <c r="CM18" i="6"/>
  <c r="CQ18" i="6" s="1"/>
  <c r="CM16" i="6"/>
  <c r="CQ16" i="6" s="1"/>
  <c r="FC16" i="6" s="1"/>
  <c r="FJ16" i="6" s="1"/>
  <c r="CM4" i="6"/>
  <c r="CQ4" i="6" s="1"/>
  <c r="EH102" i="6"/>
  <c r="FD102" i="6" s="1"/>
  <c r="FK102" i="6" s="1"/>
  <c r="FU95" i="6"/>
  <c r="CN83" i="6"/>
  <c r="CR83" i="6" s="1"/>
  <c r="FD83" i="6" s="1"/>
  <c r="FK83" i="6" s="1"/>
  <c r="CN76" i="6"/>
  <c r="CR76" i="6" s="1"/>
  <c r="FD76" i="6" s="1"/>
  <c r="FK76" i="6" s="1"/>
  <c r="CN61" i="6"/>
  <c r="CR61" i="6" s="1"/>
  <c r="CN32" i="6"/>
  <c r="CR32" i="6" s="1"/>
  <c r="CN28" i="6"/>
  <c r="CR28" i="6" s="1"/>
  <c r="CN19" i="6"/>
  <c r="CR19" i="6" s="1"/>
  <c r="GK149" i="6"/>
  <c r="GJ84" i="6"/>
  <c r="CL84" i="6"/>
  <c r="CP84" i="6" s="1"/>
  <c r="FB84" i="6" s="1"/>
  <c r="FI84" i="6" s="1"/>
  <c r="CL42" i="6"/>
  <c r="CP42" i="6" s="1"/>
  <c r="FB42" i="6" s="1"/>
  <c r="FI42" i="6" s="1"/>
  <c r="GJ20" i="6"/>
  <c r="CL20" i="6"/>
  <c r="CP20" i="6" s="1"/>
  <c r="GJ75" i="6"/>
  <c r="GJ59" i="6"/>
  <c r="GJ43" i="6"/>
  <c r="GJ27" i="6"/>
  <c r="GJ11" i="6"/>
  <c r="AK152" i="16"/>
  <c r="AK73" i="16"/>
  <c r="AN73" i="16" s="1"/>
  <c r="AK64" i="16"/>
  <c r="AN64" i="16" s="1"/>
  <c r="AK56" i="16"/>
  <c r="AN56" i="16" s="1"/>
  <c r="AK37" i="16"/>
  <c r="AN37" i="16" s="1"/>
  <c r="AR138" i="16"/>
  <c r="AR33" i="16"/>
  <c r="AO29" i="16"/>
  <c r="AR29" i="16" s="1"/>
  <c r="AG143" i="16"/>
  <c r="AS126" i="16"/>
  <c r="AV126" i="16" s="1"/>
  <c r="AV116" i="16"/>
  <c r="AS112" i="16"/>
  <c r="AV112" i="16" s="1"/>
  <c r="AS96" i="16"/>
  <c r="AV96" i="16" s="1"/>
  <c r="AV84" i="16"/>
  <c r="AS64" i="16"/>
  <c r="AV64" i="16" s="1"/>
  <c r="AW104" i="16"/>
  <c r="AZ104" i="16" s="1"/>
  <c r="AW69" i="16"/>
  <c r="AZ69" i="16" s="1"/>
  <c r="AW14" i="16"/>
  <c r="AZ14" i="16" s="1"/>
  <c r="AM114" i="16"/>
  <c r="AN114" i="16" s="1"/>
  <c r="X105" i="16"/>
  <c r="Z79" i="16"/>
  <c r="AM79" i="16" s="1"/>
  <c r="AN79" i="16" s="1"/>
  <c r="Z76" i="16"/>
  <c r="AM76" i="16" s="1"/>
  <c r="AK76" i="16"/>
  <c r="AN76" i="16" s="1"/>
  <c r="Z11" i="16"/>
  <c r="AM11" i="16" s="1"/>
  <c r="AK11" i="16"/>
  <c r="X9" i="16"/>
  <c r="L158" i="16"/>
  <c r="AA158" i="16" s="1"/>
  <c r="H158" i="16"/>
  <c r="AQ150" i="16"/>
  <c r="L148" i="16"/>
  <c r="AA148" i="16" s="1"/>
  <c r="H148" i="16"/>
  <c r="AA146" i="16"/>
  <c r="AA134" i="16"/>
  <c r="AC127" i="16"/>
  <c r="AQ127" i="16" s="1"/>
  <c r="AO127" i="16"/>
  <c r="AR127" i="16" s="1"/>
  <c r="AC111" i="16"/>
  <c r="AQ111" i="16" s="1"/>
  <c r="AO111" i="16"/>
  <c r="AC90" i="16"/>
  <c r="AQ90" i="16" s="1"/>
  <c r="AA82" i="16"/>
  <c r="AA70" i="16"/>
  <c r="AC63" i="16"/>
  <c r="AQ63" i="16" s="1"/>
  <c r="AO63" i="16"/>
  <c r="AR63" i="16" s="1"/>
  <c r="AC47" i="16"/>
  <c r="AQ47" i="16" s="1"/>
  <c r="AO47" i="16"/>
  <c r="AR47" i="16" s="1"/>
  <c r="AA40" i="16"/>
  <c r="AA36" i="16"/>
  <c r="AF130" i="16"/>
  <c r="AU130" i="16" s="1"/>
  <c r="AS130" i="16"/>
  <c r="AV117" i="16"/>
  <c r="AF114" i="16"/>
  <c r="AU114" i="16" s="1"/>
  <c r="AS114" i="16"/>
  <c r="AV114" i="16" s="1"/>
  <c r="AS72" i="16"/>
  <c r="AF72" i="16"/>
  <c r="AU72" i="16" s="1"/>
  <c r="AF66" i="16"/>
  <c r="AU66" i="16" s="1"/>
  <c r="AS66" i="16"/>
  <c r="AV66" i="16" s="1"/>
  <c r="AF56" i="16"/>
  <c r="AU56" i="16" s="1"/>
  <c r="AS56" i="16"/>
  <c r="AV56" i="16" s="1"/>
  <c r="AS40" i="16"/>
  <c r="AF40" i="16"/>
  <c r="AU40" i="16" s="1"/>
  <c r="AV37" i="16"/>
  <c r="AF15" i="16"/>
  <c r="AU15" i="16" s="1"/>
  <c r="AS15" i="16"/>
  <c r="AV15" i="16" s="1"/>
  <c r="AZ141" i="16"/>
  <c r="AY141" i="16"/>
  <c r="Z140" i="16"/>
  <c r="AK140" i="16"/>
  <c r="AW138" i="16"/>
  <c r="AM138" i="16"/>
  <c r="AN138" i="16" s="1"/>
  <c r="X137" i="16"/>
  <c r="Z134" i="16"/>
  <c r="AK134" i="16"/>
  <c r="Z131" i="16"/>
  <c r="AK131" i="16"/>
  <c r="Z127" i="16"/>
  <c r="AK127" i="16"/>
  <c r="CN88" i="6"/>
  <c r="CR88" i="6" s="1"/>
  <c r="FD88" i="6" s="1"/>
  <c r="FK88" i="6" s="1"/>
  <c r="CN20" i="6"/>
  <c r="CR20" i="6" s="1"/>
  <c r="CN8" i="6"/>
  <c r="CR8" i="6" s="1"/>
  <c r="AG160" i="16"/>
  <c r="AZ45" i="16"/>
  <c r="X106" i="16"/>
  <c r="X90" i="16"/>
  <c r="AK71" i="16"/>
  <c r="AN71" i="16" s="1"/>
  <c r="Z71" i="16"/>
  <c r="AM71" i="16" s="1"/>
  <c r="X61" i="16"/>
  <c r="Z28" i="16"/>
  <c r="AM28" i="16" s="1"/>
  <c r="AK28" i="16"/>
  <c r="AN28" i="16" s="1"/>
  <c r="AA147" i="16"/>
  <c r="AA130" i="16"/>
  <c r="AA113" i="16"/>
  <c r="AA105" i="16"/>
  <c r="AA102" i="16"/>
  <c r="AA83" i="16"/>
  <c r="AA66" i="16"/>
  <c r="AA49" i="16"/>
  <c r="AA38" i="16"/>
  <c r="AO26" i="16"/>
  <c r="AC26" i="16"/>
  <c r="AQ26" i="16" s="1"/>
  <c r="AD135" i="16"/>
  <c r="AD131" i="16"/>
  <c r="AD127" i="16"/>
  <c r="AD123" i="16"/>
  <c r="AD119" i="16"/>
  <c r="AD115" i="16"/>
  <c r="AD111" i="16"/>
  <c r="AD107" i="16"/>
  <c r="AD103" i="16"/>
  <c r="AD99" i="16"/>
  <c r="AD95" i="16"/>
  <c r="AD91" i="16"/>
  <c r="AD87" i="16"/>
  <c r="AD83" i="16"/>
  <c r="AD79" i="16"/>
  <c r="AD75" i="16"/>
  <c r="AD71" i="16"/>
  <c r="AD67" i="16"/>
  <c r="AD63" i="16"/>
  <c r="AD59" i="16"/>
  <c r="AD55" i="16"/>
  <c r="AD51" i="16"/>
  <c r="AD47" i="16"/>
  <c r="AD43" i="16"/>
  <c r="AD39" i="16"/>
  <c r="AD35" i="16"/>
  <c r="AD31" i="16"/>
  <c r="AD27" i="16"/>
  <c r="AD23" i="16"/>
  <c r="AD19" i="16"/>
  <c r="Z159" i="16"/>
  <c r="AK159" i="16"/>
  <c r="AZ153" i="16"/>
  <c r="AY146" i="16"/>
  <c r="AZ146" i="16"/>
  <c r="Z143" i="16"/>
  <c r="AK143" i="16"/>
  <c r="AK119" i="16"/>
  <c r="Z119" i="16"/>
  <c r="Z118" i="16"/>
  <c r="AK118" i="16"/>
  <c r="AI95" i="16"/>
  <c r="AY95" i="16" s="1"/>
  <c r="AW95" i="16"/>
  <c r="AZ95" i="16" s="1"/>
  <c r="AI92" i="16"/>
  <c r="AY92" i="16" s="1"/>
  <c r="AW92" i="16"/>
  <c r="AZ92" i="16" s="1"/>
  <c r="AI89" i="16"/>
  <c r="AY89" i="16" s="1"/>
  <c r="AW89" i="16"/>
  <c r="AZ89" i="16" s="1"/>
  <c r="AI87" i="16"/>
  <c r="AY87" i="16" s="1"/>
  <c r="AW87" i="16"/>
  <c r="AZ87" i="16" s="1"/>
  <c r="AI84" i="16"/>
  <c r="AY84" i="16" s="1"/>
  <c r="AW84" i="16"/>
  <c r="AZ84" i="16" s="1"/>
  <c r="AI68" i="16"/>
  <c r="AY68" i="16" s="1"/>
  <c r="AW68" i="16"/>
  <c r="AZ68" i="16" s="1"/>
  <c r="AI63" i="16"/>
  <c r="AY63" i="16" s="1"/>
  <c r="AW63" i="16"/>
  <c r="AZ63" i="16" s="1"/>
  <c r="AI60" i="16"/>
  <c r="AY60" i="16" s="1"/>
  <c r="AW60" i="16"/>
  <c r="AZ60" i="16" s="1"/>
  <c r="AI55" i="16"/>
  <c r="AY55" i="16" s="1"/>
  <c r="AW55" i="16"/>
  <c r="AZ55" i="16" s="1"/>
  <c r="AI52" i="16"/>
  <c r="AY52" i="16" s="1"/>
  <c r="AW52" i="16"/>
  <c r="AZ52" i="16" s="1"/>
  <c r="AI19" i="16"/>
  <c r="AY19" i="16" s="1"/>
  <c r="AW19" i="16"/>
  <c r="AZ19" i="16" s="1"/>
  <c r="EB66" i="6"/>
  <c r="DI66" i="6"/>
  <c r="DM66" i="6" s="1"/>
  <c r="DQ66" i="6" s="1"/>
  <c r="DQ146" i="6" s="1"/>
  <c r="FJ151" i="6" s="1"/>
  <c r="EA64" i="6"/>
  <c r="EF64" i="6" s="1"/>
  <c r="EK64" i="6" s="1"/>
  <c r="DH64" i="6"/>
  <c r="DL64" i="6" s="1"/>
  <c r="DP64" i="6" s="1"/>
  <c r="EA54" i="6"/>
  <c r="EF54" i="6" s="1"/>
  <c r="DH54" i="6"/>
  <c r="DL54" i="6" s="1"/>
  <c r="DP54" i="6" s="1"/>
  <c r="EA52" i="6"/>
  <c r="EF52" i="6" s="1"/>
  <c r="EK52" i="6" s="1"/>
  <c r="DH52" i="6"/>
  <c r="DL52" i="6" s="1"/>
  <c r="DP52" i="6" s="1"/>
  <c r="EA46" i="6"/>
  <c r="EF46" i="6" s="1"/>
  <c r="DH46" i="6"/>
  <c r="DL46" i="6" s="1"/>
  <c r="DP46" i="6" s="1"/>
  <c r="EA44" i="6"/>
  <c r="EF44" i="6" s="1"/>
  <c r="EK44" i="6" s="1"/>
  <c r="DH44" i="6"/>
  <c r="DL44" i="6" s="1"/>
  <c r="DP44" i="6" s="1"/>
  <c r="EA40" i="6"/>
  <c r="EF40" i="6" s="1"/>
  <c r="EK40" i="6" s="1"/>
  <c r="DH40" i="6"/>
  <c r="DL40" i="6" s="1"/>
  <c r="DP40" i="6" s="1"/>
  <c r="EA36" i="6"/>
  <c r="EF36" i="6" s="1"/>
  <c r="DH36" i="6"/>
  <c r="DL36" i="6" s="1"/>
  <c r="DP36" i="6" s="1"/>
  <c r="EA30" i="6"/>
  <c r="EF30" i="6" s="1"/>
  <c r="DH30" i="6"/>
  <c r="DL30" i="6" s="1"/>
  <c r="DP30" i="6" s="1"/>
  <c r="EA28" i="6"/>
  <c r="EF28" i="6" s="1"/>
  <c r="EK28" i="6" s="1"/>
  <c r="DH28" i="6"/>
  <c r="DL28" i="6" s="1"/>
  <c r="DP28" i="6" s="1"/>
  <c r="EA26" i="6"/>
  <c r="EF26" i="6" s="1"/>
  <c r="DH26" i="6"/>
  <c r="DL26" i="6" s="1"/>
  <c r="DP26" i="6" s="1"/>
  <c r="EA16" i="6"/>
  <c r="EF16" i="6" s="1"/>
  <c r="EK16" i="6" s="1"/>
  <c r="DH16" i="6"/>
  <c r="DL16" i="6" s="1"/>
  <c r="DP16" i="6" s="1"/>
  <c r="DH10" i="6"/>
  <c r="DL10" i="6" s="1"/>
  <c r="DP10" i="6" s="1"/>
  <c r="DP146" i="6" s="1"/>
  <c r="FI151" i="6" s="1"/>
  <c r="EA10" i="6"/>
  <c r="AG152" i="16"/>
  <c r="AZ106" i="16"/>
  <c r="AZ96" i="16"/>
  <c r="AZ66" i="16"/>
  <c r="AZ62" i="16"/>
  <c r="AZ10" i="16"/>
  <c r="X93" i="16"/>
  <c r="X78" i="16"/>
  <c r="X58" i="16"/>
  <c r="X39" i="16"/>
  <c r="X23" i="16"/>
  <c r="X7" i="16"/>
  <c r="AA157" i="16"/>
  <c r="AA142" i="16"/>
  <c r="AA141" i="16"/>
  <c r="AA125" i="16"/>
  <c r="AA110" i="16"/>
  <c r="AA109" i="16"/>
  <c r="AA94" i="16"/>
  <c r="AA93" i="16"/>
  <c r="AA78" i="16"/>
  <c r="AA77" i="16"/>
  <c r="AA62" i="16"/>
  <c r="AA61" i="16"/>
  <c r="AA46" i="16"/>
  <c r="AA45" i="16"/>
  <c r="AA41" i="16"/>
  <c r="AA19" i="16"/>
  <c r="AA14" i="16"/>
  <c r="AD144" i="16"/>
  <c r="AF144" i="16" s="1"/>
  <c r="AU144" i="16" s="1"/>
  <c r="AD12" i="16"/>
  <c r="AZ157" i="16"/>
  <c r="Z155" i="16"/>
  <c r="AK155" i="16"/>
  <c r="Z115" i="16"/>
  <c r="AK115" i="16"/>
  <c r="AI36" i="16"/>
  <c r="AY36" i="16" s="1"/>
  <c r="AW36" i="16"/>
  <c r="AI31" i="16"/>
  <c r="AY31" i="16" s="1"/>
  <c r="AW31" i="16"/>
  <c r="AZ31" i="16" s="1"/>
  <c r="AI28" i="16"/>
  <c r="AY28" i="16" s="1"/>
  <c r="AW28" i="16"/>
  <c r="AI23" i="16"/>
  <c r="AY23" i="16" s="1"/>
  <c r="AW23" i="16"/>
  <c r="AZ23" i="16" s="1"/>
  <c r="AI20" i="16"/>
  <c r="AY20" i="16" s="1"/>
  <c r="AW20" i="16"/>
  <c r="DG70" i="6"/>
  <c r="DK70" i="6" s="1"/>
  <c r="DO70" i="6" s="1"/>
  <c r="DZ70" i="6"/>
  <c r="EE70" i="6" s="1"/>
  <c r="EJ70" i="6" s="1"/>
  <c r="FR70" i="6" s="1"/>
  <c r="DI67" i="6"/>
  <c r="DM67" i="6" s="1"/>
  <c r="DQ67" i="6" s="1"/>
  <c r="EB67" i="6"/>
  <c r="EG67" i="6" s="1"/>
  <c r="EL67" i="6" s="1"/>
  <c r="EC15" i="6"/>
  <c r="DJ15" i="6"/>
  <c r="DN15" i="6" s="1"/>
  <c r="DR15" i="6" s="1"/>
  <c r="DR146" i="6" s="1"/>
  <c r="FK151" i="6" s="1"/>
  <c r="EB143" i="6"/>
  <c r="AW79" i="16"/>
  <c r="AZ79" i="16" s="1"/>
  <c r="AZ76" i="16"/>
  <c r="AZ44" i="16"/>
  <c r="AZ12" i="16"/>
  <c r="X102" i="16"/>
  <c r="X86" i="16"/>
  <c r="X70" i="16"/>
  <c r="X54" i="16"/>
  <c r="AA160" i="16"/>
  <c r="AA156" i="16"/>
  <c r="AA152" i="16"/>
  <c r="AA144" i="16"/>
  <c r="AA140" i="16"/>
  <c r="AA136" i="16"/>
  <c r="AA132" i="16"/>
  <c r="AA128" i="16"/>
  <c r="AA124" i="16"/>
  <c r="AA120" i="16"/>
  <c r="AA116" i="16"/>
  <c r="AA112" i="16"/>
  <c r="AA108" i="16"/>
  <c r="AA104" i="16"/>
  <c r="AA100" i="16"/>
  <c r="AA96" i="16"/>
  <c r="AA92" i="16"/>
  <c r="AA88" i="16"/>
  <c r="AA84" i="16"/>
  <c r="AA80" i="16"/>
  <c r="AA76" i="16"/>
  <c r="AA72" i="16"/>
  <c r="AA68" i="16"/>
  <c r="AA64" i="16"/>
  <c r="AA60" i="16"/>
  <c r="AA56" i="16"/>
  <c r="AA52" i="16"/>
  <c r="AA48" i="16"/>
  <c r="AA44" i="16"/>
  <c r="AA32" i="16"/>
  <c r="AA21" i="16"/>
  <c r="AA12" i="16"/>
  <c r="AD143" i="16"/>
  <c r="AF143" i="16" s="1"/>
  <c r="AU143" i="16" s="1"/>
  <c r="Z151" i="16"/>
  <c r="AK151" i="16"/>
  <c r="X149" i="16"/>
  <c r="AZ125" i="16"/>
  <c r="AZ121" i="16"/>
  <c r="X120" i="16"/>
  <c r="AZ109" i="16"/>
  <c r="AW108" i="16"/>
  <c r="AM108" i="16"/>
  <c r="AN108" i="16" s="1"/>
  <c r="AA25" i="16"/>
  <c r="AA22" i="16"/>
  <c r="AP162" i="16"/>
  <c r="AD160" i="16"/>
  <c r="AF160" i="16" s="1"/>
  <c r="AU160" i="16" s="1"/>
  <c r="AD140" i="16"/>
  <c r="AD137" i="16"/>
  <c r="AD129" i="16"/>
  <c r="AD121" i="16"/>
  <c r="AD113" i="16"/>
  <c r="AD105" i="16"/>
  <c r="AD97" i="16"/>
  <c r="AD89" i="16"/>
  <c r="AD81" i="16"/>
  <c r="AD73" i="16"/>
  <c r="AD65" i="16"/>
  <c r="AD57" i="16"/>
  <c r="AD49" i="16"/>
  <c r="AD41" i="16"/>
  <c r="AD33" i="16"/>
  <c r="AD25" i="16"/>
  <c r="AD9" i="16"/>
  <c r="X161" i="16"/>
  <c r="X145" i="16"/>
  <c r="X129" i="16"/>
  <c r="X116" i="16"/>
  <c r="AG88" i="16"/>
  <c r="AG72" i="16"/>
  <c r="AG56" i="16"/>
  <c r="AG40" i="16"/>
  <c r="AG24" i="16"/>
  <c r="AG8" i="16"/>
  <c r="AX162" i="16"/>
  <c r="DZ144" i="6"/>
  <c r="DO138" i="12"/>
  <c r="DI95" i="6"/>
  <c r="DM95" i="6" s="1"/>
  <c r="DQ95" i="6" s="1"/>
  <c r="EB95" i="6"/>
  <c r="EG95" i="6" s="1"/>
  <c r="DI83" i="6"/>
  <c r="DM83" i="6" s="1"/>
  <c r="DQ83" i="6" s="1"/>
  <c r="EB83" i="6"/>
  <c r="EG83" i="6" s="1"/>
  <c r="EL83" i="6" s="1"/>
  <c r="AD152" i="16"/>
  <c r="AF152" i="16" s="1"/>
  <c r="AU152" i="16" s="1"/>
  <c r="X112" i="16"/>
  <c r="CR58" i="11"/>
  <c r="CQ58" i="11"/>
  <c r="CP58" i="11"/>
  <c r="CO58" i="11"/>
  <c r="CN58" i="11" s="1"/>
  <c r="EB93" i="6"/>
  <c r="EG93" i="6" s="1"/>
  <c r="EB96" i="6"/>
  <c r="EG96" i="6" s="1"/>
  <c r="DI96" i="6"/>
  <c r="DM96" i="6" s="1"/>
  <c r="DQ96" i="6" s="1"/>
  <c r="CS58" i="11"/>
  <c r="DO146" i="6"/>
  <c r="FH151" i="6" s="1"/>
  <c r="EB142" i="6"/>
  <c r="AC9" i="12" l="1"/>
  <c r="AY9" i="12" s="1"/>
  <c r="AC158" i="16"/>
  <c r="AO158" i="16"/>
  <c r="AF117" i="12"/>
  <c r="BB117" i="12" s="1"/>
  <c r="BC117" i="12" s="1"/>
  <c r="AF116" i="12"/>
  <c r="BB116" i="12" s="1"/>
  <c r="BC116" i="12" s="1"/>
  <c r="AC85" i="12"/>
  <c r="AY85" i="12" s="1"/>
  <c r="AF143" i="12"/>
  <c r="AF142" i="12"/>
  <c r="AF124" i="12"/>
  <c r="BB124" i="12" s="1"/>
  <c r="BC124" i="12" s="1"/>
  <c r="AE85" i="12"/>
  <c r="BA85" i="12" s="1"/>
  <c r="FP55" i="6"/>
  <c r="AF121" i="12"/>
  <c r="BB121" i="12" s="1"/>
  <c r="BC121" i="12" s="1"/>
  <c r="AF120" i="12"/>
  <c r="BB120" i="12" s="1"/>
  <c r="BC120" i="12" s="1"/>
  <c r="AF136" i="12"/>
  <c r="BB136" i="12" s="1"/>
  <c r="BC136" i="12" s="1"/>
  <c r="AF135" i="12"/>
  <c r="BB135" i="12" s="1"/>
  <c r="BC135" i="12" s="1"/>
  <c r="AE73" i="12"/>
  <c r="BA73" i="12" s="1"/>
  <c r="AC148" i="16"/>
  <c r="AO148" i="16"/>
  <c r="AO126" i="16"/>
  <c r="AC126" i="16"/>
  <c r="AQ126" i="16" s="1"/>
  <c r="AE126" i="12"/>
  <c r="BA126" i="12" s="1"/>
  <c r="N11" i="11"/>
  <c r="N31" i="11"/>
  <c r="N37" i="11" s="1"/>
  <c r="AE134" i="12"/>
  <c r="BA134" i="12" s="1"/>
  <c r="Z112" i="16"/>
  <c r="AK112" i="16"/>
  <c r="AO32" i="16"/>
  <c r="AC32" i="16"/>
  <c r="AQ32" i="16" s="1"/>
  <c r="EB145" i="6"/>
  <c r="AM155" i="16"/>
  <c r="AW155" i="16"/>
  <c r="AO46" i="16"/>
  <c r="AC46" i="16"/>
  <c r="AQ46" i="16" s="1"/>
  <c r="AO110" i="16"/>
  <c r="AC110" i="16"/>
  <c r="AQ110" i="16" s="1"/>
  <c r="Z23" i="16"/>
  <c r="AM23" i="16" s="1"/>
  <c r="AK23" i="16"/>
  <c r="AN23" i="16" s="1"/>
  <c r="AF39" i="16"/>
  <c r="AU39" i="16" s="1"/>
  <c r="AS39" i="16"/>
  <c r="AV39" i="16" s="1"/>
  <c r="AF71" i="16"/>
  <c r="AU71" i="16" s="1"/>
  <c r="AS71" i="16"/>
  <c r="AF103" i="16"/>
  <c r="AU103" i="16" s="1"/>
  <c r="AS103" i="16"/>
  <c r="AV103" i="16" s="1"/>
  <c r="AF135" i="16"/>
  <c r="AU135" i="16" s="1"/>
  <c r="AS135" i="16"/>
  <c r="AC105" i="16"/>
  <c r="AQ105" i="16" s="1"/>
  <c r="AO105" i="16"/>
  <c r="AR105" i="16" s="1"/>
  <c r="AN127" i="16"/>
  <c r="AY138" i="16"/>
  <c r="AZ138" i="16"/>
  <c r="Z105" i="16"/>
  <c r="AM105" i="16" s="1"/>
  <c r="AK105" i="16"/>
  <c r="AN105" i="16" s="1"/>
  <c r="FT16" i="6"/>
  <c r="FO16" i="6"/>
  <c r="FC33" i="6"/>
  <c r="FJ33" i="6" s="1"/>
  <c r="R33" i="6"/>
  <c r="FC80" i="6"/>
  <c r="FJ80" i="6" s="1"/>
  <c r="R80" i="6"/>
  <c r="EM47" i="6"/>
  <c r="EH48" i="6"/>
  <c r="EH49" i="6"/>
  <c r="EM49" i="6" s="1"/>
  <c r="EH50" i="6"/>
  <c r="AQ135" i="16"/>
  <c r="AR135" i="16"/>
  <c r="Q51" i="6"/>
  <c r="FD80" i="6"/>
  <c r="FK80" i="6" s="1"/>
  <c r="S80" i="6"/>
  <c r="FT65" i="6"/>
  <c r="FO65" i="6"/>
  <c r="EK55" i="6"/>
  <c r="EF56" i="6"/>
  <c r="EF57" i="6" s="1"/>
  <c r="AQ159" i="16"/>
  <c r="AR159" i="16"/>
  <c r="FU52" i="6"/>
  <c r="FP52" i="6"/>
  <c r="FP103" i="6"/>
  <c r="FU103" i="6"/>
  <c r="FA4" i="6"/>
  <c r="P4" i="6"/>
  <c r="EJ67" i="6"/>
  <c r="FR67" i="6" s="1"/>
  <c r="FA67" i="6"/>
  <c r="EL50" i="6"/>
  <c r="FC50" i="6"/>
  <c r="FJ50" i="6" s="1"/>
  <c r="FP26" i="6"/>
  <c r="FN78" i="6"/>
  <c r="FS78" i="6"/>
  <c r="FN52" i="6"/>
  <c r="FS52" i="6"/>
  <c r="FU54" i="6"/>
  <c r="FP54" i="6"/>
  <c r="FO57" i="6"/>
  <c r="FA5" i="6"/>
  <c r="P5" i="6"/>
  <c r="AE19" i="12"/>
  <c r="BA19" i="12" s="1"/>
  <c r="AE64" i="12"/>
  <c r="BA64" i="12" s="1"/>
  <c r="AE96" i="12"/>
  <c r="BA96" i="12" s="1"/>
  <c r="FT56" i="6"/>
  <c r="FO56" i="6"/>
  <c r="FO122" i="6"/>
  <c r="FT122" i="6"/>
  <c r="AC41" i="12"/>
  <c r="AC40" i="12"/>
  <c r="AQ151" i="16"/>
  <c r="AR151" i="16"/>
  <c r="FB4" i="6"/>
  <c r="FI4" i="6" s="1"/>
  <c r="Q4" i="6"/>
  <c r="AW147" i="16"/>
  <c r="AM147" i="16"/>
  <c r="FP92" i="6"/>
  <c r="FU92" i="6"/>
  <c r="EL86" i="6"/>
  <c r="EG87" i="6"/>
  <c r="FN29" i="6"/>
  <c r="FS29" i="6"/>
  <c r="AE63" i="12"/>
  <c r="BA63" i="12" s="1"/>
  <c r="C93" i="11"/>
  <c r="C99" i="11" s="1"/>
  <c r="D93" i="11"/>
  <c r="F93" i="11"/>
  <c r="E93" i="11"/>
  <c r="AF130" i="12"/>
  <c r="BB130" i="12" s="1"/>
  <c r="BC130" i="12" s="1"/>
  <c r="AE148" i="12"/>
  <c r="AF28" i="12"/>
  <c r="AF29" i="12"/>
  <c r="AF37" i="12"/>
  <c r="BB37" i="12" s="1"/>
  <c r="BC37" i="12" s="1"/>
  <c r="AF36" i="12"/>
  <c r="AF45" i="12"/>
  <c r="BB45" i="12" s="1"/>
  <c r="BC45" i="12" s="1"/>
  <c r="AF44" i="12"/>
  <c r="BB44" i="12" s="1"/>
  <c r="BC44" i="12" s="1"/>
  <c r="AF52" i="12"/>
  <c r="BB52" i="12" s="1"/>
  <c r="BC52" i="12" s="1"/>
  <c r="AF53" i="12"/>
  <c r="BB53" i="12" s="1"/>
  <c r="BC53" i="12" s="1"/>
  <c r="AF61" i="12"/>
  <c r="BB61" i="12" s="1"/>
  <c r="BC61" i="12" s="1"/>
  <c r="X126" i="12"/>
  <c r="AD23" i="11"/>
  <c r="AE22" i="11"/>
  <c r="AC23" i="11"/>
  <c r="AB23" i="11"/>
  <c r="AH22" i="11" s="1"/>
  <c r="X59" i="11"/>
  <c r="FB27" i="6"/>
  <c r="FI27" i="6" s="1"/>
  <c r="AE51" i="12"/>
  <c r="BA51" i="12" s="1"/>
  <c r="AD72" i="12"/>
  <c r="AZ72" i="12" s="1"/>
  <c r="AD73" i="12"/>
  <c r="AZ73" i="12" s="1"/>
  <c r="AA78" i="12"/>
  <c r="AF78" i="12" s="1"/>
  <c r="BB78" i="12" s="1"/>
  <c r="BC78" i="12" s="1"/>
  <c r="Z82" i="12"/>
  <c r="AE82" i="12" s="1"/>
  <c r="BA82" i="12" s="1"/>
  <c r="AD89" i="12"/>
  <c r="AZ89" i="12" s="1"/>
  <c r="AD88" i="12"/>
  <c r="AZ88" i="12" s="1"/>
  <c r="AA110" i="12"/>
  <c r="AF110" i="12" s="1"/>
  <c r="BB110" i="12" s="1"/>
  <c r="BC110" i="12" s="1"/>
  <c r="AA40" i="11"/>
  <c r="AA42" i="11" s="1"/>
  <c r="AA20" i="11"/>
  <c r="AA21" i="11" s="1"/>
  <c r="BF59" i="1"/>
  <c r="BG58" i="1"/>
  <c r="J124" i="2"/>
  <c r="D103" i="3"/>
  <c r="J140" i="2"/>
  <c r="D119" i="3"/>
  <c r="D2" i="3"/>
  <c r="J23" i="2"/>
  <c r="AF100" i="12"/>
  <c r="BB100" i="12" s="1"/>
  <c r="BC100" i="12" s="1"/>
  <c r="AC33" i="11"/>
  <c r="AC17" i="11"/>
  <c r="AC20" i="11"/>
  <c r="N23" i="2"/>
  <c r="B23" i="4" s="1"/>
  <c r="R2" i="3"/>
  <c r="E131" i="3"/>
  <c r="D102" i="3"/>
  <c r="J123" i="2"/>
  <c r="D122" i="3"/>
  <c r="J143" i="2"/>
  <c r="AC34" i="12"/>
  <c r="AY34" i="12" s="1"/>
  <c r="AC70" i="12"/>
  <c r="AY70" i="12" s="1"/>
  <c r="FH152" i="6"/>
  <c r="FC95" i="6"/>
  <c r="FJ95" i="6" s="1"/>
  <c r="EL95" i="6"/>
  <c r="DZ143" i="6"/>
  <c r="DZ145" i="6" s="1"/>
  <c r="AI24" i="16"/>
  <c r="AY24" i="16" s="1"/>
  <c r="AW24" i="16"/>
  <c r="AZ24" i="16" s="1"/>
  <c r="AI88" i="16"/>
  <c r="AY88" i="16" s="1"/>
  <c r="AW88" i="16"/>
  <c r="Z161" i="16"/>
  <c r="AK161" i="16"/>
  <c r="AF41" i="16"/>
  <c r="AU41" i="16" s="1"/>
  <c r="AS41" i="16"/>
  <c r="AF73" i="16"/>
  <c r="AU73" i="16" s="1"/>
  <c r="AS73" i="16"/>
  <c r="AV73" i="16" s="1"/>
  <c r="AF105" i="16"/>
  <c r="AU105" i="16" s="1"/>
  <c r="AS105" i="16"/>
  <c r="AF137" i="16"/>
  <c r="AU137" i="16" s="1"/>
  <c r="AS137" i="16"/>
  <c r="AV137" i="16" s="1"/>
  <c r="AO22" i="16"/>
  <c r="AR22" i="16" s="1"/>
  <c r="AC22" i="16"/>
  <c r="AQ22" i="16" s="1"/>
  <c r="AY108" i="16"/>
  <c r="AZ108" i="16" s="1"/>
  <c r="AO44" i="16"/>
  <c r="AR44" i="16" s="1"/>
  <c r="AC44" i="16"/>
  <c r="AQ44" i="16" s="1"/>
  <c r="AO60" i="16"/>
  <c r="AC60" i="16"/>
  <c r="AQ60" i="16" s="1"/>
  <c r="AO76" i="16"/>
  <c r="AR76" i="16" s="1"/>
  <c r="AC76" i="16"/>
  <c r="AQ76" i="16" s="1"/>
  <c r="AO92" i="16"/>
  <c r="AC92" i="16"/>
  <c r="AQ92" i="16" s="1"/>
  <c r="AO108" i="16"/>
  <c r="AR108" i="16" s="1"/>
  <c r="AC108" i="16"/>
  <c r="AQ108" i="16" s="1"/>
  <c r="AO124" i="16"/>
  <c r="AC124" i="16"/>
  <c r="AQ124" i="16" s="1"/>
  <c r="AO140" i="16"/>
  <c r="AC140" i="16"/>
  <c r="AO156" i="16"/>
  <c r="AC156" i="16"/>
  <c r="AK86" i="16"/>
  <c r="AN86" i="16" s="1"/>
  <c r="Z86" i="16"/>
  <c r="AM86" i="16" s="1"/>
  <c r="AC19" i="16"/>
  <c r="AQ19" i="16" s="1"/>
  <c r="AO19" i="16"/>
  <c r="AR19" i="16" s="1"/>
  <c r="AO61" i="16"/>
  <c r="AC61" i="16"/>
  <c r="AQ61" i="16" s="1"/>
  <c r="AO93" i="16"/>
  <c r="AC93" i="16"/>
  <c r="AQ93" i="16" s="1"/>
  <c r="AO125" i="16"/>
  <c r="AC125" i="16"/>
  <c r="AQ125" i="16" s="1"/>
  <c r="AO157" i="16"/>
  <c r="AC157" i="16"/>
  <c r="Z39" i="16"/>
  <c r="AM39" i="16" s="1"/>
  <c r="AK39" i="16"/>
  <c r="AN39" i="16" s="1"/>
  <c r="EK26" i="6"/>
  <c r="FB26" i="6"/>
  <c r="FI26" i="6" s="1"/>
  <c r="EF32" i="6"/>
  <c r="EK32" i="6" s="1"/>
  <c r="EK30" i="6"/>
  <c r="EF31" i="6"/>
  <c r="EF33" i="6"/>
  <c r="EF34" i="6" s="1"/>
  <c r="FB30" i="6"/>
  <c r="FI30" i="6" s="1"/>
  <c r="EK46" i="6"/>
  <c r="EF47" i="6"/>
  <c r="EK54" i="6"/>
  <c r="FB54" i="6"/>
  <c r="FI54" i="6" s="1"/>
  <c r="EB134" i="6"/>
  <c r="EB135" i="6"/>
  <c r="EB140" i="6" s="1"/>
  <c r="EG66" i="6"/>
  <c r="EL66" i="6" s="1"/>
  <c r="EB133" i="6"/>
  <c r="EB138" i="6" s="1"/>
  <c r="AW118" i="16"/>
  <c r="AM118" i="16"/>
  <c r="AN118" i="16" s="1"/>
  <c r="AM143" i="16"/>
  <c r="AN143" i="16" s="1"/>
  <c r="AW143" i="16"/>
  <c r="AF27" i="16"/>
  <c r="AU27" i="16" s="1"/>
  <c r="AS27" i="16"/>
  <c r="AV27" i="16" s="1"/>
  <c r="AF43" i="16"/>
  <c r="AU43" i="16" s="1"/>
  <c r="AS43" i="16"/>
  <c r="AV43" i="16" s="1"/>
  <c r="AF59" i="16"/>
  <c r="AU59" i="16" s="1"/>
  <c r="AS59" i="16"/>
  <c r="AV59" i="16" s="1"/>
  <c r="AF75" i="16"/>
  <c r="AU75" i="16" s="1"/>
  <c r="AS75" i="16"/>
  <c r="AV75" i="16" s="1"/>
  <c r="AF91" i="16"/>
  <c r="AU91" i="16" s="1"/>
  <c r="AS91" i="16"/>
  <c r="AV91" i="16" s="1"/>
  <c r="AF107" i="16"/>
  <c r="AU107" i="16" s="1"/>
  <c r="AS107" i="16"/>
  <c r="AV107" i="16" s="1"/>
  <c r="AF123" i="16"/>
  <c r="AU123" i="16" s="1"/>
  <c r="AS123" i="16"/>
  <c r="AV123" i="16" s="1"/>
  <c r="AO66" i="16"/>
  <c r="AC66" i="16"/>
  <c r="AQ66" i="16" s="1"/>
  <c r="AC113" i="16"/>
  <c r="AQ113" i="16" s="1"/>
  <c r="AO113" i="16"/>
  <c r="AR113" i="16" s="1"/>
  <c r="Z90" i="16"/>
  <c r="AM90" i="16" s="1"/>
  <c r="AK90" i="16"/>
  <c r="AN90" i="16" s="1"/>
  <c r="FD8" i="6"/>
  <c r="FK8" i="6" s="1"/>
  <c r="S8" i="6"/>
  <c r="AM127" i="16"/>
  <c r="AW127" i="16"/>
  <c r="AW134" i="16"/>
  <c r="AM134" i="16"/>
  <c r="AV40" i="16"/>
  <c r="AO82" i="16"/>
  <c r="AR82" i="16" s="1"/>
  <c r="AC82" i="16"/>
  <c r="AQ82" i="16" s="1"/>
  <c r="Q20" i="6"/>
  <c r="FC18" i="6"/>
  <c r="FJ18" i="6" s="1"/>
  <c r="R18" i="6"/>
  <c r="FT41" i="6"/>
  <c r="FO41" i="6"/>
  <c r="FT68" i="6"/>
  <c r="FO68" i="6"/>
  <c r="FT82" i="6"/>
  <c r="FO82" i="6"/>
  <c r="AY122" i="16"/>
  <c r="AZ122" i="16"/>
  <c r="AY130" i="16"/>
  <c r="AZ130" i="16" s="1"/>
  <c r="AM150" i="16"/>
  <c r="AW150" i="16"/>
  <c r="AR55" i="16"/>
  <c r="AO98" i="16"/>
  <c r="AC98" i="16"/>
  <c r="AQ98" i="16" s="1"/>
  <c r="AC131" i="16"/>
  <c r="AO131" i="16"/>
  <c r="AQ137" i="16"/>
  <c r="AR137" i="16"/>
  <c r="Z15" i="16"/>
  <c r="AM15" i="16" s="1"/>
  <c r="AK15" i="16"/>
  <c r="AN15" i="16" s="1"/>
  <c r="FN36" i="6"/>
  <c r="Q58" i="6"/>
  <c r="FD65" i="6"/>
  <c r="FK65" i="6" s="1"/>
  <c r="FT46" i="6"/>
  <c r="FO46" i="6"/>
  <c r="EK79" i="6"/>
  <c r="EF80" i="6"/>
  <c r="EK80" i="6" s="1"/>
  <c r="AY152" i="16"/>
  <c r="AZ152" i="16"/>
  <c r="AR16" i="16"/>
  <c r="AK42" i="16"/>
  <c r="Z42" i="16"/>
  <c r="AM42" i="16" s="1"/>
  <c r="Q24" i="6"/>
  <c r="FU9" i="6"/>
  <c r="FP9" i="6"/>
  <c r="FD31" i="6"/>
  <c r="FK31" i="6" s="1"/>
  <c r="S31" i="6"/>
  <c r="FT12" i="6"/>
  <c r="FO12" i="6"/>
  <c r="FO7" i="6" s="1"/>
  <c r="FT55" i="6"/>
  <c r="FO55" i="6"/>
  <c r="AN113" i="16"/>
  <c r="AR75" i="16"/>
  <c r="FU42" i="6"/>
  <c r="FP42" i="6"/>
  <c r="FU118" i="6"/>
  <c r="FP118" i="6"/>
  <c r="FT52" i="6"/>
  <c r="FO52" i="6"/>
  <c r="FT70" i="6"/>
  <c r="FO70" i="6"/>
  <c r="FT91" i="6"/>
  <c r="FO91" i="6"/>
  <c r="FA8" i="6"/>
  <c r="P8" i="6"/>
  <c r="FA24" i="6"/>
  <c r="P24" i="6"/>
  <c r="FA56" i="6"/>
  <c r="P56" i="6"/>
  <c r="EH69" i="6"/>
  <c r="EM71" i="6"/>
  <c r="EH70" i="6"/>
  <c r="EM70" i="6" s="1"/>
  <c r="EH68" i="6"/>
  <c r="AR54" i="16"/>
  <c r="AR87" i="16"/>
  <c r="AN43" i="16"/>
  <c r="FT5" i="6"/>
  <c r="FO5" i="6"/>
  <c r="FO49" i="6"/>
  <c r="FT49" i="6"/>
  <c r="FO102" i="6"/>
  <c r="FT102" i="6"/>
  <c r="AY142" i="16"/>
  <c r="AZ142" i="16" s="1"/>
  <c r="AN103" i="16"/>
  <c r="FU105" i="6"/>
  <c r="FP105" i="6"/>
  <c r="FT48" i="6"/>
  <c r="FO48" i="6"/>
  <c r="FN70" i="6"/>
  <c r="FS70" i="6"/>
  <c r="FN65" i="6"/>
  <c r="FS65" i="6"/>
  <c r="Y8" i="12"/>
  <c r="AD8" i="12" s="1"/>
  <c r="EH87" i="6"/>
  <c r="EM86" i="6"/>
  <c r="FD86" i="6"/>
  <c r="FK86" i="6" s="1"/>
  <c r="FP99" i="6"/>
  <c r="FU99" i="6"/>
  <c r="FT62" i="6"/>
  <c r="FO62" i="6"/>
  <c r="FN66" i="6"/>
  <c r="FS66" i="6"/>
  <c r="FZ2" i="6"/>
  <c r="FA21" i="6"/>
  <c r="P21" i="6"/>
  <c r="Z9" i="12"/>
  <c r="AE9" i="12" s="1"/>
  <c r="BA9" i="12" s="1"/>
  <c r="Y12" i="12"/>
  <c r="AD12" i="12" s="1"/>
  <c r="AZ12" i="12" s="1"/>
  <c r="AA17" i="12"/>
  <c r="AF17" i="12" s="1"/>
  <c r="AE24" i="12"/>
  <c r="BA24" i="12" s="1"/>
  <c r="AE55" i="12"/>
  <c r="AE56" i="12"/>
  <c r="AE68" i="12"/>
  <c r="BA68" i="12" s="1"/>
  <c r="AE84" i="12"/>
  <c r="BA84" i="12" s="1"/>
  <c r="AE100" i="12"/>
  <c r="BA100" i="12" s="1"/>
  <c r="AE125" i="12"/>
  <c r="BA125" i="12" s="1"/>
  <c r="AE147" i="12"/>
  <c r="FU64" i="6"/>
  <c r="FP64" i="6"/>
  <c r="FA49" i="6"/>
  <c r="P49" i="6"/>
  <c r="AC45" i="12"/>
  <c r="AY45" i="12" s="1"/>
  <c r="AC44" i="12"/>
  <c r="AY44" i="12" s="1"/>
  <c r="AC61" i="12"/>
  <c r="AY61" i="12" s="1"/>
  <c r="AC60" i="12"/>
  <c r="AY60" i="12" s="1"/>
  <c r="AC77" i="12"/>
  <c r="AY77" i="12" s="1"/>
  <c r="AC93" i="12"/>
  <c r="AY93" i="12" s="1"/>
  <c r="FO130" i="6"/>
  <c r="FT130" i="6"/>
  <c r="FY2" i="6"/>
  <c r="AN124" i="16"/>
  <c r="FT69" i="6"/>
  <c r="FO69" i="6"/>
  <c r="FN64" i="6"/>
  <c r="FS64" i="6"/>
  <c r="Z21" i="12"/>
  <c r="AE21" i="12" s="1"/>
  <c r="BA21" i="12" s="1"/>
  <c r="AE37" i="12"/>
  <c r="BA37" i="12" s="1"/>
  <c r="AE53" i="12"/>
  <c r="BA53" i="12" s="1"/>
  <c r="Y123" i="12"/>
  <c r="F103" i="11"/>
  <c r="F106" i="11" s="1"/>
  <c r="E103" i="11"/>
  <c r="E106" i="11" s="1"/>
  <c r="D103" i="11"/>
  <c r="FA78" i="6"/>
  <c r="AA15" i="12"/>
  <c r="AF15" i="12" s="1"/>
  <c r="BB15" i="12" s="1"/>
  <c r="BC15" i="12" s="1"/>
  <c r="AC75" i="12"/>
  <c r="AY75" i="12" s="1"/>
  <c r="AC91" i="12"/>
  <c r="AY91" i="12" s="1"/>
  <c r="X115" i="12"/>
  <c r="P31" i="11"/>
  <c r="P11" i="11"/>
  <c r="Y78" i="12"/>
  <c r="AD78" i="12" s="1"/>
  <c r="AZ78" i="12" s="1"/>
  <c r="Y94" i="12"/>
  <c r="AD94" i="12" s="1"/>
  <c r="AZ94" i="12" s="1"/>
  <c r="Y110" i="12"/>
  <c r="Z122" i="12"/>
  <c r="AE122" i="12" s="1"/>
  <c r="BA122" i="12" s="1"/>
  <c r="E78" i="11"/>
  <c r="EJ34" i="6"/>
  <c r="FR34" i="6" s="1"/>
  <c r="EE35" i="6"/>
  <c r="FA86" i="6"/>
  <c r="AE23" i="12"/>
  <c r="BA23" i="12" s="1"/>
  <c r="AE39" i="12"/>
  <c r="AA66" i="12"/>
  <c r="AF66" i="12" s="1"/>
  <c r="Y77" i="12"/>
  <c r="AC80" i="12"/>
  <c r="AY80" i="12" s="1"/>
  <c r="AA82" i="12"/>
  <c r="AF82" i="12" s="1"/>
  <c r="BB82" i="12" s="1"/>
  <c r="BC82" i="12" s="1"/>
  <c r="Z86" i="12"/>
  <c r="AE86" i="12" s="1"/>
  <c r="BA86" i="12" s="1"/>
  <c r="Y93" i="12"/>
  <c r="AC96" i="12"/>
  <c r="AY96" i="12" s="1"/>
  <c r="AA98" i="12"/>
  <c r="AF98" i="12" s="1"/>
  <c r="BB98" i="12" s="1"/>
  <c r="BC98" i="12" s="1"/>
  <c r="Z102" i="12"/>
  <c r="AE102" i="12" s="1"/>
  <c r="BA102" i="12" s="1"/>
  <c r="Y109" i="12"/>
  <c r="AA114" i="12"/>
  <c r="AF114" i="12" s="1"/>
  <c r="BB114" i="12" s="1"/>
  <c r="BC114" i="12" s="1"/>
  <c r="Z137" i="12"/>
  <c r="Y138" i="12"/>
  <c r="AE146" i="12"/>
  <c r="E98" i="11"/>
  <c r="D98" i="11"/>
  <c r="W29" i="11"/>
  <c r="U22" i="11"/>
  <c r="AF88" i="12"/>
  <c r="BB88" i="12" s="1"/>
  <c r="BC88" i="12" s="1"/>
  <c r="AF104" i="12"/>
  <c r="BB104" i="12" s="1"/>
  <c r="BC104" i="12" s="1"/>
  <c r="N71" i="2"/>
  <c r="B71" i="4" s="1"/>
  <c r="R50" i="3"/>
  <c r="A47" i="4"/>
  <c r="M48" i="2"/>
  <c r="D106" i="3"/>
  <c r="J127" i="2"/>
  <c r="D118" i="3"/>
  <c r="J139" i="2"/>
  <c r="AB21" i="11"/>
  <c r="M38" i="2"/>
  <c r="A39" i="4"/>
  <c r="AC26" i="12"/>
  <c r="AY26" i="12" s="1"/>
  <c r="AC58" i="12"/>
  <c r="AY58" i="12" s="1"/>
  <c r="BF60" i="9"/>
  <c r="BG59" i="9"/>
  <c r="D60" i="3"/>
  <c r="J81" i="2"/>
  <c r="D108" i="3"/>
  <c r="J129" i="2"/>
  <c r="D116" i="3"/>
  <c r="J137" i="2"/>
  <c r="D124" i="3"/>
  <c r="J145" i="2"/>
  <c r="FC96" i="6"/>
  <c r="FJ96" i="6" s="1"/>
  <c r="EL96" i="6"/>
  <c r="DZ142" i="6"/>
  <c r="AI40" i="16"/>
  <c r="AY40" i="16" s="1"/>
  <c r="AW40" i="16"/>
  <c r="AZ40" i="16" s="1"/>
  <c r="Z116" i="16"/>
  <c r="AK116" i="16"/>
  <c r="AF9" i="16"/>
  <c r="AU9" i="16" s="1"/>
  <c r="AS9" i="16"/>
  <c r="AF49" i="16"/>
  <c r="AU49" i="16" s="1"/>
  <c r="AS49" i="16"/>
  <c r="AV49" i="16" s="1"/>
  <c r="AF81" i="16"/>
  <c r="AU81" i="16" s="1"/>
  <c r="AS81" i="16"/>
  <c r="AV81" i="16" s="1"/>
  <c r="AF113" i="16"/>
  <c r="AU113" i="16" s="1"/>
  <c r="AS113" i="16"/>
  <c r="AV113" i="16" s="1"/>
  <c r="AF140" i="16"/>
  <c r="AU140" i="16" s="1"/>
  <c r="AS140" i="16"/>
  <c r="AV140" i="16" s="1"/>
  <c r="AC25" i="16"/>
  <c r="AQ25" i="16" s="1"/>
  <c r="AO25" i="16"/>
  <c r="Z149" i="16"/>
  <c r="AK149" i="16"/>
  <c r="AC12" i="16"/>
  <c r="AQ12" i="16" s="1"/>
  <c r="AO12" i="16"/>
  <c r="AO48" i="16"/>
  <c r="AC48" i="16"/>
  <c r="AQ48" i="16" s="1"/>
  <c r="AO64" i="16"/>
  <c r="AR64" i="16" s="1"/>
  <c r="AC64" i="16"/>
  <c r="AQ64" i="16" s="1"/>
  <c r="AO80" i="16"/>
  <c r="AC80" i="16"/>
  <c r="AQ80" i="16" s="1"/>
  <c r="AO96" i="16"/>
  <c r="AR96" i="16" s="1"/>
  <c r="AC96" i="16"/>
  <c r="AQ96" i="16" s="1"/>
  <c r="AO112" i="16"/>
  <c r="AC112" i="16"/>
  <c r="AQ112" i="16" s="1"/>
  <c r="AO128" i="16"/>
  <c r="AC128" i="16"/>
  <c r="AO144" i="16"/>
  <c r="AC144" i="16"/>
  <c r="AO160" i="16"/>
  <c r="AC160" i="16"/>
  <c r="AK102" i="16"/>
  <c r="Z102" i="16"/>
  <c r="AM102" i="16" s="1"/>
  <c r="EC143" i="6"/>
  <c r="EH15" i="6"/>
  <c r="EC144" i="6"/>
  <c r="EC134" i="6"/>
  <c r="EC135" i="6"/>
  <c r="EC140" i="6" s="1"/>
  <c r="EC133" i="6"/>
  <c r="EC138" i="6" s="1"/>
  <c r="AW115" i="16"/>
  <c r="AM115" i="16"/>
  <c r="AN115" i="16" s="1"/>
  <c r="AF12" i="16"/>
  <c r="AU12" i="16" s="1"/>
  <c r="AS12" i="16"/>
  <c r="AC41" i="16"/>
  <c r="AQ41" i="16" s="1"/>
  <c r="AO41" i="16"/>
  <c r="AR41" i="16" s="1"/>
  <c r="AO62" i="16"/>
  <c r="AR62" i="16" s="1"/>
  <c r="AC62" i="16"/>
  <c r="AQ62" i="16" s="1"/>
  <c r="AO94" i="16"/>
  <c r="AC94" i="16"/>
  <c r="AQ94" i="16" s="1"/>
  <c r="Z58" i="16"/>
  <c r="AM58" i="16" s="1"/>
  <c r="AK58" i="16"/>
  <c r="AS152" i="16"/>
  <c r="AV152" i="16" s="1"/>
  <c r="AI152" i="16"/>
  <c r="FT72" i="6"/>
  <c r="FO72" i="6"/>
  <c r="EF18" i="6"/>
  <c r="EF19" i="6" s="1"/>
  <c r="EM41" i="6"/>
  <c r="FD41" i="6"/>
  <c r="FK41" i="6" s="1"/>
  <c r="AC57" i="16"/>
  <c r="AQ57" i="16" s="1"/>
  <c r="AO57" i="16"/>
  <c r="AR57" i="16" s="1"/>
  <c r="Z25" i="16"/>
  <c r="AM25" i="16" s="1"/>
  <c r="AK25" i="16"/>
  <c r="FB79" i="6"/>
  <c r="FI79" i="6" s="1"/>
  <c r="EF60" i="6"/>
  <c r="EK59" i="6"/>
  <c r="AR74" i="16"/>
  <c r="FN91" i="6"/>
  <c r="FS91" i="6"/>
  <c r="FP75" i="6"/>
  <c r="FU75" i="6"/>
  <c r="AW111" i="16"/>
  <c r="AM111" i="16"/>
  <c r="AR114" i="16"/>
  <c r="AN84" i="16"/>
  <c r="FU44" i="6"/>
  <c r="FP44" i="6"/>
  <c r="FD71" i="6"/>
  <c r="FK71" i="6" s="1"/>
  <c r="FO3" i="6"/>
  <c r="FO2" i="6"/>
  <c r="EL18" i="6"/>
  <c r="EG19" i="6"/>
  <c r="EL57" i="6"/>
  <c r="FT57" i="6" s="1"/>
  <c r="EG58" i="6"/>
  <c r="FT74" i="6"/>
  <c r="FO74" i="6"/>
  <c r="FT97" i="6"/>
  <c r="FO97" i="6"/>
  <c r="FB40" i="6"/>
  <c r="FI40" i="6" s="1"/>
  <c r="FD53" i="6"/>
  <c r="FK53" i="6" s="1"/>
  <c r="FU85" i="6"/>
  <c r="FP85" i="6"/>
  <c r="FP111" i="6"/>
  <c r="FU111" i="6"/>
  <c r="FP119" i="6"/>
  <c r="FU119" i="6"/>
  <c r="FP127" i="6"/>
  <c r="FU127" i="6"/>
  <c r="FT101" i="6"/>
  <c r="FO101" i="6"/>
  <c r="FB81" i="6"/>
  <c r="FI81" i="6" s="1"/>
  <c r="EF87" i="6"/>
  <c r="FU129" i="6"/>
  <c r="FP129" i="6"/>
  <c r="EJ31" i="6"/>
  <c r="FR31" i="6" s="1"/>
  <c r="FA31" i="6"/>
  <c r="X8" i="12"/>
  <c r="AC8" i="12" s="1"/>
  <c r="Y16" i="12"/>
  <c r="AD16" i="12" s="1"/>
  <c r="AZ16" i="12" s="1"/>
  <c r="FT105" i="6"/>
  <c r="FO105" i="6"/>
  <c r="X11" i="12"/>
  <c r="AC11" i="12" s="1"/>
  <c r="AY11" i="12" s="1"/>
  <c r="AE44" i="12"/>
  <c r="BA44" i="12" s="1"/>
  <c r="AE72" i="12"/>
  <c r="BA72" i="12" s="1"/>
  <c r="AE104" i="12"/>
  <c r="BA104" i="12" s="1"/>
  <c r="FT85" i="6"/>
  <c r="FO85" i="6"/>
  <c r="FT129" i="6"/>
  <c r="FO129" i="6"/>
  <c r="FM149" i="6"/>
  <c r="X13" i="12"/>
  <c r="AC13" i="12" s="1"/>
  <c r="AC48" i="12"/>
  <c r="AY48" i="12" s="1"/>
  <c r="AC49" i="12"/>
  <c r="AY49" i="12" s="1"/>
  <c r="Y121" i="12"/>
  <c r="X125" i="12"/>
  <c r="AR103" i="16"/>
  <c r="FC30" i="6"/>
  <c r="FJ30" i="6" s="1"/>
  <c r="EJ24" i="6"/>
  <c r="FR24" i="6" s="1"/>
  <c r="EE25" i="6"/>
  <c r="Z25" i="12"/>
  <c r="AE25" i="12" s="1"/>
  <c r="AF147" i="12"/>
  <c r="AD22" i="11"/>
  <c r="U21" i="11"/>
  <c r="AC22" i="11"/>
  <c r="AB22" i="11"/>
  <c r="AH21" i="11" s="1"/>
  <c r="AA22" i="11"/>
  <c r="Z13" i="12"/>
  <c r="AE13" i="12" s="1"/>
  <c r="Z16" i="12"/>
  <c r="AE16" i="12" s="1"/>
  <c r="BA16" i="12" s="1"/>
  <c r="Y21" i="12"/>
  <c r="Y25" i="12"/>
  <c r="AC28" i="12"/>
  <c r="Y106" i="12"/>
  <c r="AA126" i="12"/>
  <c r="AF126" i="12" s="1"/>
  <c r="BB126" i="12" s="1"/>
  <c r="BC126" i="12" s="1"/>
  <c r="Z138" i="12"/>
  <c r="AE138" i="12" s="1"/>
  <c r="X19" i="11"/>
  <c r="X40" i="11"/>
  <c r="X42" i="11" s="1"/>
  <c r="O31" i="11"/>
  <c r="O37" i="11" s="1"/>
  <c r="O11" i="11"/>
  <c r="AD135" i="6"/>
  <c r="AD134" i="6"/>
  <c r="Y65" i="12"/>
  <c r="AC68" i="12"/>
  <c r="AY68" i="12" s="1"/>
  <c r="AA70" i="12"/>
  <c r="AF70" i="12" s="1"/>
  <c r="BB70" i="12" s="1"/>
  <c r="BC70" i="12" s="1"/>
  <c r="Z74" i="12"/>
  <c r="AE74" i="12" s="1"/>
  <c r="BA74" i="12" s="1"/>
  <c r="AF77" i="12"/>
  <c r="BB77" i="12" s="1"/>
  <c r="BC77" i="12" s="1"/>
  <c r="Y81" i="12"/>
  <c r="AC84" i="12"/>
  <c r="AY84" i="12" s="1"/>
  <c r="AA86" i="12"/>
  <c r="AF86" i="12" s="1"/>
  <c r="BB86" i="12" s="1"/>
  <c r="BC86" i="12" s="1"/>
  <c r="Z90" i="12"/>
  <c r="AE90" i="12" s="1"/>
  <c r="BA90" i="12" s="1"/>
  <c r="AF93" i="12"/>
  <c r="BB93" i="12" s="1"/>
  <c r="BC93" i="12" s="1"/>
  <c r="Y97" i="12"/>
  <c r="AC100" i="12"/>
  <c r="AY100" i="12" s="1"/>
  <c r="AA102" i="12"/>
  <c r="AF102" i="12" s="1"/>
  <c r="BB102" i="12" s="1"/>
  <c r="BC102" i="12" s="1"/>
  <c r="Z106" i="12"/>
  <c r="AE106" i="12" s="1"/>
  <c r="BA106" i="12" s="1"/>
  <c r="AF109" i="12"/>
  <c r="BB109" i="12" s="1"/>
  <c r="BC109" i="12" s="1"/>
  <c r="Y113" i="12"/>
  <c r="X122" i="12"/>
  <c r="X138" i="12"/>
  <c r="AF146" i="12"/>
  <c r="J132" i="2"/>
  <c r="D111" i="3"/>
  <c r="J148" i="2"/>
  <c r="D127" i="3"/>
  <c r="N61" i="2"/>
  <c r="B61" i="4" s="1"/>
  <c r="R40" i="3"/>
  <c r="AF108" i="12"/>
  <c r="BB108" i="12" s="1"/>
  <c r="BC108" i="12" s="1"/>
  <c r="Y25" i="1"/>
  <c r="O3" i="3"/>
  <c r="AC50" i="12"/>
  <c r="AY50" i="12" s="1"/>
  <c r="AC82" i="12"/>
  <c r="AY82" i="12" s="1"/>
  <c r="N57" i="2"/>
  <c r="B57" i="4" s="1"/>
  <c r="R36" i="3"/>
  <c r="D114" i="3"/>
  <c r="J135" i="2"/>
  <c r="Q114" i="1"/>
  <c r="A92" i="3"/>
  <c r="AF56" i="12"/>
  <c r="AI8" i="16"/>
  <c r="AY8" i="16" s="1"/>
  <c r="AW8" i="16"/>
  <c r="AI72" i="16"/>
  <c r="AY72" i="16" s="1"/>
  <c r="AW72" i="16"/>
  <c r="AZ72" i="16" s="1"/>
  <c r="Z145" i="16"/>
  <c r="AK145" i="16"/>
  <c r="AS33" i="16"/>
  <c r="AF33" i="16"/>
  <c r="AU33" i="16" s="1"/>
  <c r="AS65" i="16"/>
  <c r="AV65" i="16" s="1"/>
  <c r="AF65" i="16"/>
  <c r="AU65" i="16" s="1"/>
  <c r="AS97" i="16"/>
  <c r="AF97" i="16"/>
  <c r="AU97" i="16" s="1"/>
  <c r="AF129" i="16"/>
  <c r="AU129" i="16" s="1"/>
  <c r="AS129" i="16"/>
  <c r="AW151" i="16"/>
  <c r="AM151" i="16"/>
  <c r="AN151" i="16" s="1"/>
  <c r="AO56" i="16"/>
  <c r="AR56" i="16" s="1"/>
  <c r="AC56" i="16"/>
  <c r="AQ56" i="16" s="1"/>
  <c r="AO72" i="16"/>
  <c r="AC72" i="16"/>
  <c r="AQ72" i="16" s="1"/>
  <c r="AO88" i="16"/>
  <c r="AR88" i="16" s="1"/>
  <c r="AC88" i="16"/>
  <c r="AQ88" i="16" s="1"/>
  <c r="AO104" i="16"/>
  <c r="AC104" i="16"/>
  <c r="AQ104" i="16" s="1"/>
  <c r="AO120" i="16"/>
  <c r="AR120" i="16" s="1"/>
  <c r="AC120" i="16"/>
  <c r="AQ120" i="16" s="1"/>
  <c r="AO136" i="16"/>
  <c r="AC136" i="16"/>
  <c r="AO152" i="16"/>
  <c r="AC152" i="16"/>
  <c r="AK70" i="16"/>
  <c r="Z70" i="16"/>
  <c r="AM70" i="16" s="1"/>
  <c r="AO14" i="16"/>
  <c r="AR14" i="16" s="1"/>
  <c r="AC14" i="16"/>
  <c r="AQ14" i="16" s="1"/>
  <c r="AO78" i="16"/>
  <c r="AC78" i="16"/>
  <c r="AQ78" i="16" s="1"/>
  <c r="AO142" i="16"/>
  <c r="AC142" i="16"/>
  <c r="Z93" i="16"/>
  <c r="AM93" i="16" s="1"/>
  <c r="AK93" i="16"/>
  <c r="AN93" i="16" s="1"/>
  <c r="EA144" i="6"/>
  <c r="EA143" i="6"/>
  <c r="EF10" i="6"/>
  <c r="EA142" i="6"/>
  <c r="EA134" i="6"/>
  <c r="EA133" i="6"/>
  <c r="EA138" i="6" s="1"/>
  <c r="EA135" i="6"/>
  <c r="EA140" i="6" s="1"/>
  <c r="AF23" i="16"/>
  <c r="AU23" i="16" s="1"/>
  <c r="AS23" i="16"/>
  <c r="AF55" i="16"/>
  <c r="AU55" i="16" s="1"/>
  <c r="AS55" i="16"/>
  <c r="AV55" i="16" s="1"/>
  <c r="AF87" i="16"/>
  <c r="AU87" i="16" s="1"/>
  <c r="AS87" i="16"/>
  <c r="AF119" i="16"/>
  <c r="AU119" i="16" s="1"/>
  <c r="AS119" i="16"/>
  <c r="AV119" i="16" s="1"/>
  <c r="AC49" i="16"/>
  <c r="AQ49" i="16" s="1"/>
  <c r="AO49" i="16"/>
  <c r="AS160" i="16"/>
  <c r="AV160" i="16" s="1"/>
  <c r="AI160" i="16"/>
  <c r="AN134" i="16"/>
  <c r="AO70" i="16"/>
  <c r="AR70" i="16" s="1"/>
  <c r="AC70" i="16"/>
  <c r="AQ70" i="16" s="1"/>
  <c r="AO146" i="16"/>
  <c r="AC146" i="16"/>
  <c r="FS84" i="6"/>
  <c r="FN84" i="6"/>
  <c r="FP83" i="6"/>
  <c r="FU83" i="6"/>
  <c r="FT64" i="6"/>
  <c r="FO64" i="6"/>
  <c r="EM29" i="6"/>
  <c r="EH30" i="6"/>
  <c r="EH31" i="6"/>
  <c r="EM31" i="6" s="1"/>
  <c r="EH32" i="6"/>
  <c r="EM32" i="6" s="1"/>
  <c r="EH56" i="6"/>
  <c r="EM55" i="6"/>
  <c r="FU55" i="6" s="1"/>
  <c r="AN150" i="16"/>
  <c r="AC121" i="16"/>
  <c r="AQ121" i="16" s="1"/>
  <c r="AO121" i="16"/>
  <c r="FU63" i="6"/>
  <c r="FP63" i="6"/>
  <c r="FT42" i="6"/>
  <c r="FO42" i="6"/>
  <c r="AY158" i="16"/>
  <c r="AZ158" i="16"/>
  <c r="FU2" i="6"/>
  <c r="FD29" i="6"/>
  <c r="FK29" i="6" s="1"/>
  <c r="S57" i="6"/>
  <c r="FU90" i="6"/>
  <c r="FP90" i="6"/>
  <c r="FT47" i="6"/>
  <c r="FO47" i="6"/>
  <c r="AW113" i="16"/>
  <c r="AM113" i="16"/>
  <c r="FS75" i="6"/>
  <c r="FN75" i="6"/>
  <c r="FD39" i="6"/>
  <c r="FK39" i="6" s="1"/>
  <c r="FU94" i="6"/>
  <c r="FP94" i="6"/>
  <c r="FT15" i="6"/>
  <c r="FO15" i="6"/>
  <c r="FT84" i="6"/>
  <c r="FO84" i="6"/>
  <c r="FA20" i="6"/>
  <c r="P20" i="6"/>
  <c r="AQ139" i="16"/>
  <c r="AR139" i="16"/>
  <c r="AQ155" i="16"/>
  <c r="AR155" i="16" s="1"/>
  <c r="FP45" i="6"/>
  <c r="FU45" i="6"/>
  <c r="FT83" i="6"/>
  <c r="FO83" i="6"/>
  <c r="FU113" i="6"/>
  <c r="FP113" i="6"/>
  <c r="FT73" i="6"/>
  <c r="FO73" i="6"/>
  <c r="EJ39" i="6"/>
  <c r="FR39" i="6" s="1"/>
  <c r="EE40" i="6"/>
  <c r="EJ40" i="6" s="1"/>
  <c r="FR40" i="6" s="1"/>
  <c r="FA39" i="6"/>
  <c r="FO118" i="6"/>
  <c r="FT118" i="6"/>
  <c r="AE17" i="12"/>
  <c r="AE80" i="12"/>
  <c r="BA80" i="12" s="1"/>
  <c r="AE112" i="12"/>
  <c r="BA112" i="12" s="1"/>
  <c r="GJ149" i="6"/>
  <c r="FU100" i="6"/>
  <c r="FP100" i="6"/>
  <c r="FT109" i="6"/>
  <c r="FO109" i="6"/>
  <c r="FA33" i="6"/>
  <c r="P33" i="6"/>
  <c r="X10" i="12"/>
  <c r="AC25" i="12"/>
  <c r="AC24" i="12"/>
  <c r="AY24" i="12" s="1"/>
  <c r="AC57" i="12"/>
  <c r="AC56" i="12"/>
  <c r="FT120" i="6"/>
  <c r="FO120" i="6"/>
  <c r="FS28" i="6"/>
  <c r="FN28" i="6"/>
  <c r="FB55" i="6"/>
  <c r="FI55" i="6" s="1"/>
  <c r="AM133" i="16"/>
  <c r="AW133" i="16"/>
  <c r="FU46" i="6"/>
  <c r="FP46" i="6"/>
  <c r="FT108" i="6"/>
  <c r="FO108" i="6"/>
  <c r="C88" i="11"/>
  <c r="C82" i="11"/>
  <c r="C87" i="11" s="1"/>
  <c r="AF132" i="12"/>
  <c r="BB132" i="12" s="1"/>
  <c r="BC132" i="12" s="1"/>
  <c r="AE11" i="12"/>
  <c r="BA11" i="12" s="1"/>
  <c r="AF32" i="12"/>
  <c r="BB32" i="12" s="1"/>
  <c r="BC32" i="12" s="1"/>
  <c r="AF33" i="12"/>
  <c r="BB33" i="12" s="1"/>
  <c r="BC33" i="12" s="1"/>
  <c r="AF41" i="12"/>
  <c r="AF40" i="12"/>
  <c r="AF49" i="12"/>
  <c r="BB49" i="12" s="1"/>
  <c r="BC49" i="12" s="1"/>
  <c r="AF148" i="12"/>
  <c r="M39" i="11"/>
  <c r="N20" i="11"/>
  <c r="AE35" i="12"/>
  <c r="BA35" i="12" s="1"/>
  <c r="AF69" i="12"/>
  <c r="BB69" i="12" s="1"/>
  <c r="BC69" i="12" s="1"/>
  <c r="AF85" i="12"/>
  <c r="BB85" i="12" s="1"/>
  <c r="BC85" i="12" s="1"/>
  <c r="AE114" i="12"/>
  <c r="BA114" i="12" s="1"/>
  <c r="AA122" i="12"/>
  <c r="Y133" i="12"/>
  <c r="AF140" i="12"/>
  <c r="W51" i="11"/>
  <c r="W61" i="11" s="1"/>
  <c r="W64" i="11" s="1"/>
  <c r="U24" i="11"/>
  <c r="AF60" i="12"/>
  <c r="BB60" i="12" s="1"/>
  <c r="BC60" i="12" s="1"/>
  <c r="AW119" i="16"/>
  <c r="AM119" i="16"/>
  <c r="AN119" i="16" s="1"/>
  <c r="AW159" i="16"/>
  <c r="AM159" i="16"/>
  <c r="AN159" i="16" s="1"/>
  <c r="AF31" i="16"/>
  <c r="AU31" i="16" s="1"/>
  <c r="AS31" i="16"/>
  <c r="AV31" i="16" s="1"/>
  <c r="AF47" i="16"/>
  <c r="AU47" i="16" s="1"/>
  <c r="AS47" i="16"/>
  <c r="AF63" i="16"/>
  <c r="AU63" i="16" s="1"/>
  <c r="AS63" i="16"/>
  <c r="AV63" i="16" s="1"/>
  <c r="AF79" i="16"/>
  <c r="AU79" i="16" s="1"/>
  <c r="AS79" i="16"/>
  <c r="AF95" i="16"/>
  <c r="AU95" i="16" s="1"/>
  <c r="AS95" i="16"/>
  <c r="AV95" i="16" s="1"/>
  <c r="AF111" i="16"/>
  <c r="AU111" i="16" s="1"/>
  <c r="AS111" i="16"/>
  <c r="AF127" i="16"/>
  <c r="AU127" i="16" s="1"/>
  <c r="AS127" i="16"/>
  <c r="AV127" i="16" s="1"/>
  <c r="AR26" i="16"/>
  <c r="AC83" i="16"/>
  <c r="AQ83" i="16" s="1"/>
  <c r="AO83" i="16"/>
  <c r="AR83" i="16" s="1"/>
  <c r="AO130" i="16"/>
  <c r="AC130" i="16"/>
  <c r="Z61" i="16"/>
  <c r="AM61" i="16" s="1"/>
  <c r="AK61" i="16"/>
  <c r="AN61" i="16" s="1"/>
  <c r="Z106" i="16"/>
  <c r="AM106" i="16" s="1"/>
  <c r="AK106" i="16"/>
  <c r="S20" i="6"/>
  <c r="AN131" i="16"/>
  <c r="Z137" i="16"/>
  <c r="AK137" i="16"/>
  <c r="AM140" i="16"/>
  <c r="AN140" i="16" s="1"/>
  <c r="AW140" i="16"/>
  <c r="AO36" i="16"/>
  <c r="AR36" i="16" s="1"/>
  <c r="AC36" i="16"/>
  <c r="AQ36" i="16" s="1"/>
  <c r="Z9" i="16"/>
  <c r="AM9" i="16" s="1"/>
  <c r="AK9" i="16"/>
  <c r="AN9" i="16" s="1"/>
  <c r="FU102" i="6"/>
  <c r="FP102" i="6"/>
  <c r="FT45" i="6"/>
  <c r="FO45" i="6"/>
  <c r="FC86" i="6"/>
  <c r="FJ86" i="6" s="1"/>
  <c r="EH18" i="6"/>
  <c r="EM25" i="6"/>
  <c r="FD25" i="6"/>
  <c r="FK25" i="6" s="1"/>
  <c r="AQ153" i="16"/>
  <c r="AR153" i="16"/>
  <c r="FU73" i="6"/>
  <c r="FP73" i="6"/>
  <c r="FT54" i="6"/>
  <c r="FO54" i="6"/>
  <c r="EK53" i="6"/>
  <c r="FB53" i="6"/>
  <c r="FI53" i="6" s="1"/>
  <c r="FT67" i="6"/>
  <c r="FO67" i="6"/>
  <c r="FT121" i="6"/>
  <c r="FO121" i="6"/>
  <c r="EE87" i="6"/>
  <c r="AF9" i="12"/>
  <c r="BB9" i="12" s="1"/>
  <c r="BC9" i="12" s="1"/>
  <c r="X12" i="12"/>
  <c r="AE28" i="12"/>
  <c r="AE60" i="12"/>
  <c r="BA60" i="12" s="1"/>
  <c r="AE88" i="12"/>
  <c r="BA88" i="12" s="1"/>
  <c r="FB59" i="6"/>
  <c r="FI59" i="6" s="1"/>
  <c r="FT117" i="6"/>
  <c r="FO117" i="6"/>
  <c r="Y14" i="12"/>
  <c r="AD14" i="12" s="1"/>
  <c r="Y18" i="12"/>
  <c r="AD18" i="12" s="1"/>
  <c r="AZ18" i="12" s="1"/>
  <c r="AC32" i="12"/>
  <c r="AY32" i="12" s="1"/>
  <c r="AC33" i="12"/>
  <c r="AY33" i="12" s="1"/>
  <c r="FO110" i="6"/>
  <c r="FT110" i="6"/>
  <c r="AW124" i="16"/>
  <c r="AM124" i="16"/>
  <c r="AR118" i="16"/>
  <c r="FT75" i="6"/>
  <c r="FO75" i="6"/>
  <c r="FB86" i="6"/>
  <c r="FI86" i="6" s="1"/>
  <c r="AE41" i="12"/>
  <c r="AE57" i="12"/>
  <c r="AF118" i="12"/>
  <c r="BB118" i="12" s="1"/>
  <c r="BC118" i="12" s="1"/>
  <c r="X123" i="12"/>
  <c r="Z133" i="12"/>
  <c r="AE133" i="12" s="1"/>
  <c r="BA133" i="12" s="1"/>
  <c r="AE144" i="12"/>
  <c r="Z15" i="12"/>
  <c r="AE15" i="12" s="1"/>
  <c r="BA15" i="12" s="1"/>
  <c r="AA115" i="12"/>
  <c r="AF115" i="12" s="1"/>
  <c r="BB115" i="12" s="1"/>
  <c r="BC115" i="12" s="1"/>
  <c r="X130" i="12"/>
  <c r="AC40" i="11"/>
  <c r="AC42" i="11" s="1"/>
  <c r="AD40" i="11"/>
  <c r="AD42" i="11" s="1"/>
  <c r="W42" i="11"/>
  <c r="AB40" i="11"/>
  <c r="AB42" i="11" s="1"/>
  <c r="EC142" i="6"/>
  <c r="FC93" i="6"/>
  <c r="FJ93" i="6" s="1"/>
  <c r="EL93" i="6"/>
  <c r="AI56" i="16"/>
  <c r="AY56" i="16" s="1"/>
  <c r="AW56" i="16"/>
  <c r="Z129" i="16"/>
  <c r="AK129" i="16"/>
  <c r="AF25" i="16"/>
  <c r="AU25" i="16" s="1"/>
  <c r="AS25" i="16"/>
  <c r="AF57" i="16"/>
  <c r="AU57" i="16" s="1"/>
  <c r="AS57" i="16"/>
  <c r="AV57" i="16" s="1"/>
  <c r="AF89" i="16"/>
  <c r="AU89" i="16" s="1"/>
  <c r="AS89" i="16"/>
  <c r="AF121" i="16"/>
  <c r="AU121" i="16" s="1"/>
  <c r="AS121" i="16"/>
  <c r="AV121" i="16" s="1"/>
  <c r="Z120" i="16"/>
  <c r="AK120" i="16"/>
  <c r="AC21" i="16"/>
  <c r="AQ21" i="16" s="1"/>
  <c r="AO21" i="16"/>
  <c r="AR21" i="16" s="1"/>
  <c r="AO52" i="16"/>
  <c r="AC52" i="16"/>
  <c r="AQ52" i="16" s="1"/>
  <c r="AO68" i="16"/>
  <c r="AC68" i="16"/>
  <c r="AQ68" i="16" s="1"/>
  <c r="AO84" i="16"/>
  <c r="AC84" i="16"/>
  <c r="AQ84" i="16" s="1"/>
  <c r="AO100" i="16"/>
  <c r="AC100" i="16"/>
  <c r="AQ100" i="16" s="1"/>
  <c r="AO116" i="16"/>
  <c r="AC116" i="16"/>
  <c r="AQ116" i="16" s="1"/>
  <c r="AC132" i="16"/>
  <c r="AO132" i="16"/>
  <c r="Z54" i="16"/>
  <c r="AM54" i="16" s="1"/>
  <c r="AK54" i="16"/>
  <c r="AN54" i="16" s="1"/>
  <c r="EB144" i="6"/>
  <c r="AZ20" i="16"/>
  <c r="AZ28" i="16"/>
  <c r="AZ36" i="16"/>
  <c r="AN155" i="16"/>
  <c r="AC45" i="16"/>
  <c r="AQ45" i="16" s="1"/>
  <c r="AO45" i="16"/>
  <c r="AC77" i="16"/>
  <c r="AQ77" i="16" s="1"/>
  <c r="AO77" i="16"/>
  <c r="AR77" i="16" s="1"/>
  <c r="AC109" i="16"/>
  <c r="AQ109" i="16" s="1"/>
  <c r="AO109" i="16"/>
  <c r="AO141" i="16"/>
  <c r="AC141" i="16"/>
  <c r="Z7" i="16"/>
  <c r="AM7" i="16" s="1"/>
  <c r="AK7" i="16"/>
  <c r="Z78" i="16"/>
  <c r="AM78" i="16" s="1"/>
  <c r="AK78" i="16"/>
  <c r="AN78" i="16" s="1"/>
  <c r="EF38" i="6"/>
  <c r="EF37" i="6"/>
  <c r="EK36" i="6"/>
  <c r="FS36" i="6" s="1"/>
  <c r="EK45" i="6"/>
  <c r="FS45" i="6" s="1"/>
  <c r="AF19" i="16"/>
  <c r="AU19" i="16" s="1"/>
  <c r="AS19" i="16"/>
  <c r="AV19" i="16" s="1"/>
  <c r="AF35" i="16"/>
  <c r="AU35" i="16" s="1"/>
  <c r="AS35" i="16"/>
  <c r="AF51" i="16"/>
  <c r="AU51" i="16" s="1"/>
  <c r="AS51" i="16"/>
  <c r="AV51" i="16" s="1"/>
  <c r="AF67" i="16"/>
  <c r="AU67" i="16" s="1"/>
  <c r="AS67" i="16"/>
  <c r="AF83" i="16"/>
  <c r="AU83" i="16" s="1"/>
  <c r="AS83" i="16"/>
  <c r="AV83" i="16" s="1"/>
  <c r="AF99" i="16"/>
  <c r="AU99" i="16" s="1"/>
  <c r="AS99" i="16"/>
  <c r="AF115" i="16"/>
  <c r="AU115" i="16" s="1"/>
  <c r="AS115" i="16"/>
  <c r="AV115" i="16" s="1"/>
  <c r="AF131" i="16"/>
  <c r="AU131" i="16" s="1"/>
  <c r="AS131" i="16"/>
  <c r="AO38" i="16"/>
  <c r="AC38" i="16"/>
  <c r="AQ38" i="16" s="1"/>
  <c r="AO102" i="16"/>
  <c r="AR102" i="16" s="1"/>
  <c r="AC102" i="16"/>
  <c r="AQ102" i="16" s="1"/>
  <c r="AC147" i="16"/>
  <c r="AO147" i="16"/>
  <c r="FU88" i="6"/>
  <c r="FP88" i="6"/>
  <c r="AW131" i="16"/>
  <c r="AM131" i="16"/>
  <c r="AV72" i="16"/>
  <c r="AV130" i="16"/>
  <c r="AO40" i="16"/>
  <c r="AC40" i="16"/>
  <c r="AQ40" i="16" s="1"/>
  <c r="AR111" i="16"/>
  <c r="AO134" i="16"/>
  <c r="AC134" i="16"/>
  <c r="AN11" i="16"/>
  <c r="AS143" i="16"/>
  <c r="AV143" i="16" s="1"/>
  <c r="AI143" i="16"/>
  <c r="AN152" i="16"/>
  <c r="FN42" i="6"/>
  <c r="FS42" i="6"/>
  <c r="S19" i="6"/>
  <c r="FU76" i="6"/>
  <c r="FP76" i="6"/>
  <c r="FC4" i="6"/>
  <c r="FJ4" i="6" s="1"/>
  <c r="R4" i="6"/>
  <c r="FO29" i="6"/>
  <c r="FT29" i="6"/>
  <c r="FT53" i="6"/>
  <c r="FO53" i="6"/>
  <c r="FT76" i="6"/>
  <c r="FO76" i="6"/>
  <c r="FB80" i="6"/>
  <c r="FI80" i="6" s="1"/>
  <c r="Q80" i="6"/>
  <c r="AY117" i="16"/>
  <c r="AZ117" i="16"/>
  <c r="AM132" i="16"/>
  <c r="AN132" i="16" s="1"/>
  <c r="AW132" i="16"/>
  <c r="AC39" i="16"/>
  <c r="AQ39" i="16" s="1"/>
  <c r="AO39" i="16"/>
  <c r="AR39" i="16" s="1"/>
  <c r="AC67" i="16"/>
  <c r="AQ67" i="16" s="1"/>
  <c r="AO67" i="16"/>
  <c r="AR67" i="16" s="1"/>
  <c r="AR119" i="16"/>
  <c r="AQ143" i="16"/>
  <c r="AR143" i="16" s="1"/>
  <c r="AN12" i="16"/>
  <c r="AN35" i="16"/>
  <c r="AN75" i="16"/>
  <c r="FB8" i="6"/>
  <c r="FI8" i="6" s="1"/>
  <c r="Q8" i="6"/>
  <c r="FN43" i="6"/>
  <c r="FS43" i="6"/>
  <c r="S23" i="6"/>
  <c r="FC8" i="6"/>
  <c r="FJ8" i="6" s="1"/>
  <c r="R8" i="6"/>
  <c r="AZ43" i="16"/>
  <c r="AY148" i="16"/>
  <c r="AZ148" i="16"/>
  <c r="AV26" i="16"/>
  <c r="AV78" i="16"/>
  <c r="AV90" i="16"/>
  <c r="AV128" i="16"/>
  <c r="AR18" i="16"/>
  <c r="AN19" i="16"/>
  <c r="AN27" i="16"/>
  <c r="AS144" i="16"/>
  <c r="AV144" i="16" s="1"/>
  <c r="AI144" i="16"/>
  <c r="FB16" i="6"/>
  <c r="FI16" i="6" s="1"/>
  <c r="FN67" i="6"/>
  <c r="FS67" i="6"/>
  <c r="FD27" i="6"/>
  <c r="FK27" i="6" s="1"/>
  <c r="S49" i="6"/>
  <c r="FP82" i="6"/>
  <c r="FU82" i="6"/>
  <c r="FT43" i="6"/>
  <c r="FO43" i="6"/>
  <c r="AN111" i="16"/>
  <c r="AM135" i="16"/>
  <c r="AN135" i="16" s="1"/>
  <c r="AW135" i="16"/>
  <c r="AV38" i="16"/>
  <c r="AN24" i="16"/>
  <c r="AN31" i="16"/>
  <c r="AN49" i="16"/>
  <c r="AN97" i="16"/>
  <c r="FD47" i="6"/>
  <c r="FK47" i="6" s="1"/>
  <c r="FU78" i="6"/>
  <c r="FP78" i="6"/>
  <c r="FU110" i="6"/>
  <c r="FP110" i="6"/>
  <c r="FU126" i="6"/>
  <c r="FP126" i="6"/>
  <c r="FT17" i="6"/>
  <c r="FO17" i="6"/>
  <c r="FO61" i="6"/>
  <c r="FT61" i="6"/>
  <c r="FT78" i="6"/>
  <c r="FO78" i="6"/>
  <c r="FN68" i="6"/>
  <c r="FS68" i="6"/>
  <c r="FA48" i="6"/>
  <c r="P48" i="6"/>
  <c r="FA80" i="6"/>
  <c r="P80" i="6"/>
  <c r="EH27" i="6"/>
  <c r="EM27" i="6" s="1"/>
  <c r="EM26" i="6"/>
  <c r="FU26" i="6" s="1"/>
  <c r="EM40" i="6"/>
  <c r="FD40" i="6"/>
  <c r="FK40" i="6" s="1"/>
  <c r="AM160" i="16"/>
  <c r="AN160" i="16" s="1"/>
  <c r="AW160" i="16"/>
  <c r="AR123" i="16"/>
  <c r="AN22" i="16"/>
  <c r="AN83" i="16"/>
  <c r="AN107" i="16"/>
  <c r="FD37" i="6"/>
  <c r="FK37" i="6" s="1"/>
  <c r="AW139" i="16"/>
  <c r="AM139" i="16"/>
  <c r="AN139" i="16" s="1"/>
  <c r="AR50" i="16"/>
  <c r="AN59" i="16"/>
  <c r="FU121" i="6"/>
  <c r="FP121" i="6"/>
  <c r="FT63" i="6"/>
  <c r="FO63" i="6"/>
  <c r="FS82" i="6"/>
  <c r="FN82" i="6"/>
  <c r="X16" i="12"/>
  <c r="AC16" i="12" s="1"/>
  <c r="AY16" i="12" s="1"/>
  <c r="FN83" i="6"/>
  <c r="FS83" i="6"/>
  <c r="FD43" i="6"/>
  <c r="FK43" i="6" s="1"/>
  <c r="EG34" i="6"/>
  <c r="EG51" i="6"/>
  <c r="FT79" i="6"/>
  <c r="FO79" i="6"/>
  <c r="FO131" i="6"/>
  <c r="FT131" i="6"/>
  <c r="EJ11" i="6"/>
  <c r="EE12" i="6"/>
  <c r="AE32" i="12"/>
  <c r="BA32" i="12" s="1"/>
  <c r="AE48" i="12"/>
  <c r="BA48" i="12" s="1"/>
  <c r="AE47" i="12"/>
  <c r="AC64" i="12"/>
  <c r="AY64" i="12" s="1"/>
  <c r="AE76" i="12"/>
  <c r="BA76" i="12" s="1"/>
  <c r="AE92" i="12"/>
  <c r="BA92" i="12" s="1"/>
  <c r="AE108" i="12"/>
  <c r="BA108" i="12" s="1"/>
  <c r="Z117" i="12"/>
  <c r="AE143" i="12"/>
  <c r="FT71" i="6"/>
  <c r="FO71" i="6"/>
  <c r="FB44" i="6"/>
  <c r="FI44" i="6" s="1"/>
  <c r="FN85" i="6"/>
  <c r="FS85" i="6"/>
  <c r="Y10" i="12"/>
  <c r="AD10" i="12" s="1"/>
  <c r="AZ10" i="12" s="1"/>
  <c r="AA13" i="12"/>
  <c r="AF13" i="12" s="1"/>
  <c r="X14" i="12"/>
  <c r="X18" i="12"/>
  <c r="AC18" i="12" s="1"/>
  <c r="AY18" i="12" s="1"/>
  <c r="AC21" i="12"/>
  <c r="AY21" i="12" s="1"/>
  <c r="AC20" i="12"/>
  <c r="AY20" i="12" s="1"/>
  <c r="AC37" i="12"/>
  <c r="AY37" i="12" s="1"/>
  <c r="AC36" i="12"/>
  <c r="AC52" i="12"/>
  <c r="AY52" i="12" s="1"/>
  <c r="AC53" i="12"/>
  <c r="AY53" i="12" s="1"/>
  <c r="Y117" i="12"/>
  <c r="X121" i="12"/>
  <c r="FB47" i="6"/>
  <c r="FI47" i="6" s="1"/>
  <c r="FB46" i="6"/>
  <c r="FI46" i="6" s="1"/>
  <c r="AZ102" i="16"/>
  <c r="AN133" i="16"/>
  <c r="AN147" i="16"/>
  <c r="AR107" i="16"/>
  <c r="FD38" i="6"/>
  <c r="FK38" i="6" s="1"/>
  <c r="FC31" i="6"/>
  <c r="FJ31" i="6" s="1"/>
  <c r="FT38" i="6"/>
  <c r="FO38" i="6"/>
  <c r="FT128" i="6"/>
  <c r="FO128" i="6"/>
  <c r="FB63" i="6"/>
  <c r="FI63" i="6" s="1"/>
  <c r="Z29" i="12"/>
  <c r="AE29" i="12" s="1"/>
  <c r="Z45" i="12"/>
  <c r="AE45" i="12" s="1"/>
  <c r="BA45" i="12" s="1"/>
  <c r="Z61" i="12"/>
  <c r="AE61" i="12" s="1"/>
  <c r="BA61" i="12" s="1"/>
  <c r="AC63" i="12"/>
  <c r="AY63" i="12" s="1"/>
  <c r="Y118" i="12"/>
  <c r="AA123" i="12"/>
  <c r="AF123" i="12" s="1"/>
  <c r="BB123" i="12" s="1"/>
  <c r="BC123" i="12" s="1"/>
  <c r="Z130" i="12"/>
  <c r="AE130" i="12" s="1"/>
  <c r="BA130" i="12" s="1"/>
  <c r="X134" i="12"/>
  <c r="F78" i="11"/>
  <c r="X15" i="12"/>
  <c r="AC67" i="12"/>
  <c r="AY67" i="12" s="1"/>
  <c r="AC79" i="12"/>
  <c r="AY79" i="12" s="1"/>
  <c r="AC99" i="12"/>
  <c r="AY99" i="12" s="1"/>
  <c r="Y119" i="12"/>
  <c r="AF127" i="12"/>
  <c r="BB127" i="12" s="1"/>
  <c r="BC127" i="12" s="1"/>
  <c r="AA41" i="11"/>
  <c r="AN133" i="6"/>
  <c r="AM134" i="6"/>
  <c r="AN134" i="6" s="1"/>
  <c r="AF21" i="12"/>
  <c r="BB21" i="12" s="1"/>
  <c r="BC21" i="12" s="1"/>
  <c r="AF20" i="12"/>
  <c r="BB20" i="12" s="1"/>
  <c r="BC20" i="12" s="1"/>
  <c r="AF25" i="12"/>
  <c r="Y29" i="12"/>
  <c r="Y33" i="12"/>
  <c r="Y37" i="12"/>
  <c r="Y41" i="12"/>
  <c r="Y45" i="12"/>
  <c r="Y49" i="12"/>
  <c r="Y53" i="12"/>
  <c r="Y57" i="12"/>
  <c r="Y61" i="12"/>
  <c r="Y70" i="12"/>
  <c r="AD70" i="12" s="1"/>
  <c r="AZ70" i="12" s="1"/>
  <c r="Y86" i="12"/>
  <c r="AD86" i="12" s="1"/>
  <c r="AZ86" i="12" s="1"/>
  <c r="Y102" i="12"/>
  <c r="Y126" i="12"/>
  <c r="AF139" i="12"/>
  <c r="AE141" i="12"/>
  <c r="AA145" i="12"/>
  <c r="AF145" i="12" s="1"/>
  <c r="E97" i="11"/>
  <c r="E99" i="11" s="1"/>
  <c r="E101" i="11" s="1"/>
  <c r="F97" i="11"/>
  <c r="D97" i="11"/>
  <c r="Y65" i="11"/>
  <c r="Y58" i="11"/>
  <c r="Y57" i="11"/>
  <c r="P26" i="11"/>
  <c r="AJ135" i="6"/>
  <c r="AK135" i="6" s="1"/>
  <c r="AJ134" i="6"/>
  <c r="AK134" i="6" s="1"/>
  <c r="AK132" i="6"/>
  <c r="FA34" i="6"/>
  <c r="AE31" i="12"/>
  <c r="BA31" i="12" s="1"/>
  <c r="AE43" i="12"/>
  <c r="BA43" i="12" s="1"/>
  <c r="AF65" i="12"/>
  <c r="BB65" i="12" s="1"/>
  <c r="BC65" i="12" s="1"/>
  <c r="Y69" i="12"/>
  <c r="AC72" i="12"/>
  <c r="AY72" i="12" s="1"/>
  <c r="AA74" i="12"/>
  <c r="AF74" i="12" s="1"/>
  <c r="BB74" i="12" s="1"/>
  <c r="BC74" i="12" s="1"/>
  <c r="Z78" i="12"/>
  <c r="AE78" i="12" s="1"/>
  <c r="BA78" i="12" s="1"/>
  <c r="AF81" i="12"/>
  <c r="BB81" i="12" s="1"/>
  <c r="BC81" i="12" s="1"/>
  <c r="Y85" i="12"/>
  <c r="AC88" i="12"/>
  <c r="AY88" i="12" s="1"/>
  <c r="AA90" i="12"/>
  <c r="AF90" i="12" s="1"/>
  <c r="BB90" i="12" s="1"/>
  <c r="BC90" i="12" s="1"/>
  <c r="Z94" i="12"/>
  <c r="AE94" i="12" s="1"/>
  <c r="BA94" i="12" s="1"/>
  <c r="Y101" i="12"/>
  <c r="AA106" i="12"/>
  <c r="AF106" i="12" s="1"/>
  <c r="BB106" i="12" s="1"/>
  <c r="BC106" i="12" s="1"/>
  <c r="Z110" i="12"/>
  <c r="AE110" i="12" s="1"/>
  <c r="BA110" i="12" s="1"/>
  <c r="AF72" i="12"/>
  <c r="BB72" i="12" s="1"/>
  <c r="BC72" i="12" s="1"/>
  <c r="AE120" i="12"/>
  <c r="BA120" i="12" s="1"/>
  <c r="W43" i="11"/>
  <c r="W44" i="11" s="1"/>
  <c r="N27" i="2"/>
  <c r="B27" i="4" s="1"/>
  <c r="R6" i="3"/>
  <c r="N43" i="2"/>
  <c r="B43" i="4" s="1"/>
  <c r="R22" i="3"/>
  <c r="D110" i="3"/>
  <c r="J131" i="2"/>
  <c r="D126" i="3"/>
  <c r="J147" i="2"/>
  <c r="AF92" i="12"/>
  <c r="BB92" i="12" s="1"/>
  <c r="BC92" i="12" s="1"/>
  <c r="AC38" i="12"/>
  <c r="AY38" i="12" s="1"/>
  <c r="AC54" i="12"/>
  <c r="AY54" i="12" s="1"/>
  <c r="AE67" i="12"/>
  <c r="BA67" i="12" s="1"/>
  <c r="AE83" i="12"/>
  <c r="BA83" i="12" s="1"/>
  <c r="AE99" i="12"/>
  <c r="BA99" i="12" s="1"/>
  <c r="AC62" i="12"/>
  <c r="AY62" i="12" s="1"/>
  <c r="AE95" i="12"/>
  <c r="BA95" i="12" s="1"/>
  <c r="AE124" i="12"/>
  <c r="BA124" i="12" s="1"/>
  <c r="N59" i="2"/>
  <c r="B59" i="4" s="1"/>
  <c r="R38" i="3"/>
  <c r="D104" i="3"/>
  <c r="J125" i="2"/>
  <c r="D112" i="3"/>
  <c r="J133" i="2"/>
  <c r="D120" i="3"/>
  <c r="J141" i="2"/>
  <c r="D128" i="3"/>
  <c r="J149" i="2"/>
  <c r="EK57" i="6" l="1"/>
  <c r="FB57" i="6"/>
  <c r="FI57" i="6" s="1"/>
  <c r="EF58" i="6"/>
  <c r="EF90" i="6"/>
  <c r="EK19" i="6"/>
  <c r="FB19" i="6"/>
  <c r="FI19" i="6" s="1"/>
  <c r="EF20" i="6"/>
  <c r="EK34" i="6"/>
  <c r="FB34" i="6"/>
  <c r="FI34" i="6" s="1"/>
  <c r="EF35" i="6"/>
  <c r="AD33" i="12"/>
  <c r="AZ33" i="12" s="1"/>
  <c r="AD32" i="12"/>
  <c r="AZ32" i="12" s="1"/>
  <c r="FN63" i="6"/>
  <c r="FS63" i="6"/>
  <c r="FN47" i="6"/>
  <c r="EL34" i="6"/>
  <c r="EG35" i="6"/>
  <c r="FC34" i="6"/>
  <c r="FJ34" i="6" s="1"/>
  <c r="AY160" i="16"/>
  <c r="AZ160" i="16"/>
  <c r="FP27" i="6"/>
  <c r="FU27" i="6"/>
  <c r="EK38" i="6"/>
  <c r="FB38" i="6"/>
  <c r="FI38" i="6" s="1"/>
  <c r="AW120" i="16"/>
  <c r="AM120" i="16"/>
  <c r="EJ87" i="6"/>
  <c r="FR87" i="6" s="1"/>
  <c r="FA87" i="6"/>
  <c r="FU25" i="6"/>
  <c r="FP25" i="6"/>
  <c r="AY140" i="16"/>
  <c r="AZ140" i="16"/>
  <c r="AQ130" i="16"/>
  <c r="AR130" i="16" s="1"/>
  <c r="FN55" i="6"/>
  <c r="FS55" i="6"/>
  <c r="AW145" i="16"/>
  <c r="AM145" i="16"/>
  <c r="X63" i="11"/>
  <c r="N51" i="11"/>
  <c r="N55" i="11" s="1"/>
  <c r="F99" i="11"/>
  <c r="F101" i="11" s="1"/>
  <c r="EM50" i="6"/>
  <c r="FD50" i="6"/>
  <c r="FK50" i="6" s="1"/>
  <c r="AN112" i="16"/>
  <c r="AE105" i="12"/>
  <c r="BA105" i="12" s="1"/>
  <c r="AE77" i="12"/>
  <c r="BA77" i="12" s="1"/>
  <c r="AD45" i="12"/>
  <c r="AZ45" i="12" s="1"/>
  <c r="AD44" i="12"/>
  <c r="AZ44" i="12" s="1"/>
  <c r="FT31" i="6"/>
  <c r="FO31" i="6"/>
  <c r="EJ12" i="6"/>
  <c r="FR12" i="6" s="1"/>
  <c r="EE13" i="6"/>
  <c r="FT8" i="6"/>
  <c r="FO8" i="6"/>
  <c r="AQ147" i="16"/>
  <c r="AR147" i="16"/>
  <c r="AR68" i="16"/>
  <c r="O20" i="11"/>
  <c r="N39" i="11"/>
  <c r="AD13" i="12"/>
  <c r="EM56" i="6"/>
  <c r="FD56" i="6"/>
  <c r="FK56" i="6" s="1"/>
  <c r="AQ146" i="16"/>
  <c r="AR146" i="16"/>
  <c r="AD65" i="12"/>
  <c r="AZ65" i="12" s="1"/>
  <c r="AD64" i="12"/>
  <c r="AZ64" i="12" s="1"/>
  <c r="FO30" i="6"/>
  <c r="FT30" i="6"/>
  <c r="FO4" i="6"/>
  <c r="FS79" i="6"/>
  <c r="FN79" i="6"/>
  <c r="AY115" i="16"/>
  <c r="AZ115" i="16" s="1"/>
  <c r="AN102" i="16"/>
  <c r="AR112" i="16"/>
  <c r="AR80" i="16"/>
  <c r="AM149" i="16"/>
  <c r="AW149" i="16"/>
  <c r="AU162" i="16"/>
  <c r="D104" i="11"/>
  <c r="D107" i="11" s="1"/>
  <c r="D106" i="11"/>
  <c r="FY3" i="6"/>
  <c r="AD17" i="12"/>
  <c r="FA40" i="6"/>
  <c r="AO162" i="16"/>
  <c r="FP8" i="6"/>
  <c r="FU8" i="6"/>
  <c r="EK47" i="6"/>
  <c r="FS47" i="6" s="1"/>
  <c r="EF48" i="6"/>
  <c r="AR93" i="16"/>
  <c r="FT50" i="6"/>
  <c r="FO50" i="6"/>
  <c r="AF113" i="12"/>
  <c r="BB113" i="12" s="1"/>
  <c r="BC113" i="12" s="1"/>
  <c r="AF97" i="12"/>
  <c r="BB97" i="12" s="1"/>
  <c r="BC97" i="12" s="1"/>
  <c r="AD85" i="12"/>
  <c r="AZ85" i="12" s="1"/>
  <c r="AD84" i="12"/>
  <c r="AZ84" i="12" s="1"/>
  <c r="AD57" i="12"/>
  <c r="AD56" i="12"/>
  <c r="AD41" i="12"/>
  <c r="AD40" i="12"/>
  <c r="AC15" i="12"/>
  <c r="AY15" i="12" s="1"/>
  <c r="FU38" i="6"/>
  <c r="FP38" i="6"/>
  <c r="AC14" i="12"/>
  <c r="FR11" i="6"/>
  <c r="AY139" i="16"/>
  <c r="AZ139" i="16" s="1"/>
  <c r="FU40" i="6"/>
  <c r="FP40" i="6"/>
  <c r="EH28" i="6"/>
  <c r="AY132" i="16"/>
  <c r="AZ132" i="16"/>
  <c r="R132" i="6"/>
  <c r="R133" i="6"/>
  <c r="AR40" i="16"/>
  <c r="AY131" i="16"/>
  <c r="AZ131" i="16"/>
  <c r="AR38" i="16"/>
  <c r="AQ141" i="16"/>
  <c r="AR141" i="16"/>
  <c r="AW129" i="16"/>
  <c r="AM129" i="16"/>
  <c r="AN129" i="16" s="1"/>
  <c r="FN86" i="6"/>
  <c r="FS86" i="6"/>
  <c r="AD9" i="12"/>
  <c r="AZ9" i="12" s="1"/>
  <c r="AE121" i="12"/>
  <c r="BA121" i="12" s="1"/>
  <c r="AC12" i="12"/>
  <c r="AY12" i="12" s="1"/>
  <c r="EM18" i="6"/>
  <c r="EH19" i="6"/>
  <c r="FD18" i="6"/>
  <c r="FK18" i="6" s="1"/>
  <c r="AV111" i="16"/>
  <c r="AV79" i="16"/>
  <c r="AV47" i="16"/>
  <c r="AY133" i="16"/>
  <c r="AZ133" i="16" s="1"/>
  <c r="AC10" i="12"/>
  <c r="AY10" i="12" s="1"/>
  <c r="FP29" i="6"/>
  <c r="FU29" i="6"/>
  <c r="EF11" i="6"/>
  <c r="EF12" i="6"/>
  <c r="EF13" i="6" s="1"/>
  <c r="EK10" i="6"/>
  <c r="FB10" i="6"/>
  <c r="FI10" i="6" s="1"/>
  <c r="AR78" i="16"/>
  <c r="AN70" i="16"/>
  <c r="AQ136" i="16"/>
  <c r="AR136" i="16" s="1"/>
  <c r="AR104" i="16"/>
  <c r="AR72" i="16"/>
  <c r="AY151" i="16"/>
  <c r="AZ151" i="16"/>
  <c r="AV97" i="16"/>
  <c r="AV33" i="16"/>
  <c r="AI21" i="11"/>
  <c r="EL19" i="6"/>
  <c r="EG20" i="6"/>
  <c r="FC19" i="6"/>
  <c r="FJ19" i="6" s="1"/>
  <c r="FO6" i="6"/>
  <c r="AN25" i="16"/>
  <c r="FP41" i="6"/>
  <c r="FU41" i="6"/>
  <c r="AN58" i="16"/>
  <c r="AV12" i="16"/>
  <c r="EM15" i="6"/>
  <c r="EH16" i="6"/>
  <c r="EH11" i="6"/>
  <c r="FD15" i="6"/>
  <c r="FK15" i="6" s="1"/>
  <c r="AR12" i="16"/>
  <c r="AR25" i="16"/>
  <c r="BF61" i="9"/>
  <c r="BG60" i="9"/>
  <c r="M37" i="2"/>
  <c r="A38" i="4"/>
  <c r="EJ35" i="6"/>
  <c r="FR35" i="6" s="1"/>
  <c r="FA35" i="6"/>
  <c r="P37" i="11"/>
  <c r="Q31" i="11"/>
  <c r="AE132" i="12"/>
  <c r="BA132" i="12" s="1"/>
  <c r="AE14" i="12"/>
  <c r="FU86" i="6"/>
  <c r="FP86" i="6"/>
  <c r="EM69" i="6"/>
  <c r="FD69" i="6"/>
  <c r="FK69" i="6" s="1"/>
  <c r="FD70" i="6"/>
  <c r="FK70" i="6" s="1"/>
  <c r="AY127" i="16"/>
  <c r="AZ127" i="16"/>
  <c r="AY118" i="16"/>
  <c r="AZ118" i="16" s="1"/>
  <c r="EB139" i="6"/>
  <c r="EB136" i="6"/>
  <c r="EB141" i="6" s="1"/>
  <c r="AQ156" i="16"/>
  <c r="AR156" i="16" s="1"/>
  <c r="AR124" i="16"/>
  <c r="AR92" i="16"/>
  <c r="AR60" i="16"/>
  <c r="AM161" i="16"/>
  <c r="AN161" i="16" s="1"/>
  <c r="AW161" i="16"/>
  <c r="AI22" i="11"/>
  <c r="AD15" i="12"/>
  <c r="AZ15" i="12" s="1"/>
  <c r="C101" i="11"/>
  <c r="G99" i="11"/>
  <c r="EL87" i="6"/>
  <c r="FC87" i="6"/>
  <c r="FJ87" i="6" s="1"/>
  <c r="AE12" i="12"/>
  <c r="BA12" i="12" s="1"/>
  <c r="AE20" i="12"/>
  <c r="BA20" i="12" s="1"/>
  <c r="FP80" i="6"/>
  <c r="FU80" i="6"/>
  <c r="EM48" i="6"/>
  <c r="FD48" i="6"/>
  <c r="FK48" i="6" s="1"/>
  <c r="FT80" i="6"/>
  <c r="FO80" i="6"/>
  <c r="AY155" i="16"/>
  <c r="AZ155" i="16"/>
  <c r="AR32" i="16"/>
  <c r="AF144" i="12"/>
  <c r="AC17" i="12"/>
  <c r="AF14" i="12"/>
  <c r="AE93" i="12"/>
  <c r="BA93" i="12" s="1"/>
  <c r="AD11" i="12"/>
  <c r="AZ11" i="12" s="1"/>
  <c r="AA43" i="11"/>
  <c r="AD49" i="12"/>
  <c r="AZ49" i="12" s="1"/>
  <c r="AD48" i="12"/>
  <c r="AZ48" i="12" s="1"/>
  <c r="AA44" i="11"/>
  <c r="AQ132" i="16"/>
  <c r="AR132" i="16" s="1"/>
  <c r="AZ124" i="16"/>
  <c r="AY124" i="16"/>
  <c r="GB2" i="6"/>
  <c r="EA139" i="6"/>
  <c r="EA136" i="6"/>
  <c r="EA141" i="6" s="1"/>
  <c r="AQ142" i="16"/>
  <c r="AR142" i="16" s="1"/>
  <c r="AR152" i="16"/>
  <c r="AQ152" i="16"/>
  <c r="AD80" i="12"/>
  <c r="AZ80" i="12" s="1"/>
  <c r="AD81" i="12"/>
  <c r="AZ81" i="12" s="1"/>
  <c r="AD25" i="12"/>
  <c r="AD24" i="12"/>
  <c r="AZ24" i="12" s="1"/>
  <c r="FS81" i="6"/>
  <c r="FN81" i="6"/>
  <c r="FN40" i="6"/>
  <c r="FS40" i="6"/>
  <c r="EL58" i="6"/>
  <c r="FC58" i="6"/>
  <c r="FJ58" i="6" s="1"/>
  <c r="AY111" i="16"/>
  <c r="AZ111" i="16"/>
  <c r="EK18" i="6"/>
  <c r="FB18" i="6"/>
  <c r="FI18" i="6" s="1"/>
  <c r="EC136" i="6"/>
  <c r="EC141" i="6" s="1"/>
  <c r="EC139" i="6"/>
  <c r="AN149" i="16"/>
  <c r="AV9" i="16"/>
  <c r="AS162" i="16"/>
  <c r="FT96" i="6"/>
  <c r="FO96" i="6"/>
  <c r="A48" i="4"/>
  <c r="M49" i="2"/>
  <c r="AE137" i="12"/>
  <c r="AF89" i="12"/>
  <c r="BB89" i="12" s="1"/>
  <c r="BC89" i="12" s="1"/>
  <c r="AD77" i="12"/>
  <c r="AZ77" i="12" s="1"/>
  <c r="AD76" i="12"/>
  <c r="AZ76" i="12" s="1"/>
  <c r="EM87" i="6"/>
  <c r="FD87" i="6"/>
  <c r="FK87" i="6" s="1"/>
  <c r="FU31" i="6"/>
  <c r="FP31" i="6"/>
  <c r="AQ131" i="16"/>
  <c r="AR131" i="16" s="1"/>
  <c r="FD32" i="6"/>
  <c r="FK32" i="6" s="1"/>
  <c r="S132" i="6"/>
  <c r="S133" i="6"/>
  <c r="EK33" i="6"/>
  <c r="FB33" i="6"/>
  <c r="FI33" i="6" s="1"/>
  <c r="FN26" i="6"/>
  <c r="FS26" i="6"/>
  <c r="AQ140" i="16"/>
  <c r="AR140" i="16" s="1"/>
  <c r="Q133" i="6"/>
  <c r="Q132" i="6"/>
  <c r="EK56" i="6"/>
  <c r="FB56" i="6"/>
  <c r="FI56" i="6" s="1"/>
  <c r="FO33" i="6"/>
  <c r="FT33" i="6"/>
  <c r="AD61" i="12"/>
  <c r="AZ61" i="12" s="1"/>
  <c r="AD60" i="12"/>
  <c r="AZ60" i="12" s="1"/>
  <c r="AD29" i="12"/>
  <c r="AD28" i="12"/>
  <c r="FP43" i="6"/>
  <c r="FU43" i="6"/>
  <c r="FU47" i="6"/>
  <c r="FP47" i="6"/>
  <c r="EF39" i="6"/>
  <c r="AR100" i="16"/>
  <c r="FN59" i="6"/>
  <c r="FS59" i="6"/>
  <c r="AY119" i="16"/>
  <c r="AZ119" i="16"/>
  <c r="AD21" i="12"/>
  <c r="AZ21" i="12" s="1"/>
  <c r="AD20" i="12"/>
  <c r="AZ20" i="12" s="1"/>
  <c r="FU71" i="6"/>
  <c r="FP71" i="6"/>
  <c r="AR94" i="16"/>
  <c r="AQ144" i="16"/>
  <c r="AR144" i="16" s="1"/>
  <c r="AR48" i="16"/>
  <c r="AF73" i="12"/>
  <c r="BB73" i="12" s="1"/>
  <c r="BC73" i="12" s="1"/>
  <c r="AY150" i="16"/>
  <c r="AZ150" i="16"/>
  <c r="AY134" i="16"/>
  <c r="AZ134" i="16"/>
  <c r="EK31" i="6"/>
  <c r="FB31" i="6"/>
  <c r="FI31" i="6" s="1"/>
  <c r="AQ157" i="16"/>
  <c r="AR157" i="16"/>
  <c r="FT95" i="6"/>
  <c r="FO95" i="6"/>
  <c r="AC19" i="11"/>
  <c r="AC21" i="11" s="1"/>
  <c r="AD15" i="11"/>
  <c r="D99" i="11"/>
  <c r="D101" i="11" s="1"/>
  <c r="FS4" i="6"/>
  <c r="P132" i="6"/>
  <c r="P133" i="6"/>
  <c r="AR46" i="16"/>
  <c r="AW112" i="16"/>
  <c r="AM112" i="16"/>
  <c r="AM162" i="16" s="1"/>
  <c r="AR126" i="16"/>
  <c r="AE101" i="12"/>
  <c r="BA101" i="12" s="1"/>
  <c r="AR158" i="16"/>
  <c r="AQ158" i="16"/>
  <c r="AD69" i="12"/>
  <c r="AZ69" i="12" s="1"/>
  <c r="AD68" i="12"/>
  <c r="AZ68" i="12" s="1"/>
  <c r="AD53" i="12"/>
  <c r="AZ53" i="12" s="1"/>
  <c r="AD52" i="12"/>
  <c r="AZ52" i="12" s="1"/>
  <c r="AD37" i="12"/>
  <c r="AZ37" i="12" s="1"/>
  <c r="AD36" i="12"/>
  <c r="AZ36" i="12" s="1"/>
  <c r="FS46" i="6"/>
  <c r="FN46" i="6"/>
  <c r="FN44" i="6"/>
  <c r="FS44" i="6"/>
  <c r="AE117" i="12"/>
  <c r="BA117" i="12" s="1"/>
  <c r="AE116" i="12"/>
  <c r="BA116" i="12" s="1"/>
  <c r="EL51" i="6"/>
  <c r="FC51" i="6"/>
  <c r="FJ51" i="6" s="1"/>
  <c r="FU37" i="6"/>
  <c r="FP37" i="6"/>
  <c r="AY135" i="16"/>
  <c r="AZ135" i="16"/>
  <c r="FD49" i="6"/>
  <c r="FK49" i="6" s="1"/>
  <c r="FN16" i="6"/>
  <c r="FS16" i="6"/>
  <c r="FN8" i="6"/>
  <c r="FS8" i="6"/>
  <c r="FS80" i="6"/>
  <c r="FN80" i="6"/>
  <c r="FT4" i="6"/>
  <c r="AQ134" i="16"/>
  <c r="AR134" i="16"/>
  <c r="AV131" i="16"/>
  <c r="AV99" i="16"/>
  <c r="AV67" i="16"/>
  <c r="AV35" i="16"/>
  <c r="EK37" i="6"/>
  <c r="FB37" i="6"/>
  <c r="FI37" i="6" s="1"/>
  <c r="AN7" i="16"/>
  <c r="AK162" i="16"/>
  <c r="AR109" i="16"/>
  <c r="AR45" i="16"/>
  <c r="AR116" i="16"/>
  <c r="AR84" i="16"/>
  <c r="AR52" i="16"/>
  <c r="AN120" i="16"/>
  <c r="AV89" i="16"/>
  <c r="AV25" i="16"/>
  <c r="AZ56" i="16"/>
  <c r="FT93" i="6"/>
  <c r="FO93" i="6"/>
  <c r="FN53" i="6"/>
  <c r="FS53" i="6"/>
  <c r="FO86" i="6"/>
  <c r="FT86" i="6"/>
  <c r="AW137" i="16"/>
  <c r="AM137" i="16"/>
  <c r="AN137" i="16" s="1"/>
  <c r="AN106" i="16"/>
  <c r="AY159" i="16"/>
  <c r="AZ159" i="16"/>
  <c r="AF122" i="12"/>
  <c r="BB122" i="12" s="1"/>
  <c r="BC122" i="12" s="1"/>
  <c r="AF16" i="12"/>
  <c r="BB16" i="12" s="1"/>
  <c r="BC16" i="12" s="1"/>
  <c r="FU39" i="6"/>
  <c r="FP39" i="6"/>
  <c r="AZ113" i="16"/>
  <c r="AY113" i="16"/>
  <c r="AR121" i="16"/>
  <c r="EH57" i="6"/>
  <c r="EH33" i="6"/>
  <c r="EM30" i="6"/>
  <c r="FD30" i="6"/>
  <c r="FK30" i="6" s="1"/>
  <c r="AR49" i="16"/>
  <c r="AV87" i="16"/>
  <c r="AV23" i="16"/>
  <c r="EA145" i="6"/>
  <c r="AV129" i="16"/>
  <c r="AN145" i="16"/>
  <c r="AZ8" i="16"/>
  <c r="Q115" i="1"/>
  <c r="A93" i="3"/>
  <c r="Y26" i="1"/>
  <c r="O4" i="3"/>
  <c r="AD97" i="12"/>
  <c r="AZ97" i="12" s="1"/>
  <c r="AD96" i="12"/>
  <c r="AZ96" i="12" s="1"/>
  <c r="X21" i="11"/>
  <c r="X51" i="11" s="1"/>
  <c r="X61" i="11" s="1"/>
  <c r="X64" i="11" s="1"/>
  <c r="X34" i="11"/>
  <c r="X41" i="11"/>
  <c r="EJ25" i="6"/>
  <c r="FR25" i="6" s="1"/>
  <c r="EE26" i="6"/>
  <c r="FA25" i="6"/>
  <c r="AE136" i="12"/>
  <c r="BA136" i="12" s="1"/>
  <c r="EK87" i="6"/>
  <c r="FB87" i="6"/>
  <c r="FI87" i="6" s="1"/>
  <c r="EF88" i="6"/>
  <c r="FP53" i="6"/>
  <c r="FU53" i="6"/>
  <c r="FA12" i="6"/>
  <c r="EF61" i="6"/>
  <c r="EK60" i="6"/>
  <c r="FB60" i="6"/>
  <c r="FI60" i="6" s="1"/>
  <c r="EC145" i="6"/>
  <c r="AQ160" i="16"/>
  <c r="AQ162" i="16" s="1"/>
  <c r="AQ128" i="16"/>
  <c r="AR128" i="16" s="1"/>
  <c r="AW116" i="16"/>
  <c r="AM116" i="16"/>
  <c r="AN116" i="16" s="1"/>
  <c r="AC29" i="11"/>
  <c r="AC30" i="11" s="1"/>
  <c r="AD29" i="11"/>
  <c r="AD30" i="11" s="1"/>
  <c r="AA29" i="11"/>
  <c r="AA30" i="11" s="1"/>
  <c r="AB29" i="11"/>
  <c r="AB30" i="11" s="1"/>
  <c r="W30" i="11"/>
  <c r="W34" i="11"/>
  <c r="AF105" i="12"/>
  <c r="BB105" i="12" s="1"/>
  <c r="BC105" i="12" s="1"/>
  <c r="AD92" i="12"/>
  <c r="AD93" i="12"/>
  <c r="AZ93" i="12" s="1"/>
  <c r="AE129" i="12"/>
  <c r="BA129" i="12" s="1"/>
  <c r="AF12" i="12"/>
  <c r="BB12" i="12" s="1"/>
  <c r="BC12" i="12" s="1"/>
  <c r="FZ3" i="6"/>
  <c r="EM68" i="6"/>
  <c r="FD68" i="6"/>
  <c r="FK68" i="6" s="1"/>
  <c r="AN42" i="16"/>
  <c r="FU65" i="6"/>
  <c r="FP65" i="6"/>
  <c r="AR98" i="16"/>
  <c r="FO18" i="6"/>
  <c r="FT18" i="6"/>
  <c r="AR66" i="16"/>
  <c r="AY143" i="16"/>
  <c r="AZ143" i="16" s="1"/>
  <c r="FN54" i="6"/>
  <c r="FS54" i="6"/>
  <c r="FN30" i="6"/>
  <c r="FS30" i="6"/>
  <c r="AR125" i="16"/>
  <c r="AR61" i="16"/>
  <c r="AV105" i="16"/>
  <c r="AV41" i="16"/>
  <c r="AZ88" i="16"/>
  <c r="BG59" i="1"/>
  <c r="BF60" i="1"/>
  <c r="AF101" i="12"/>
  <c r="BB101" i="12" s="1"/>
  <c r="BC101" i="12" s="1"/>
  <c r="FN27" i="6"/>
  <c r="FS27" i="6"/>
  <c r="AE8" i="12"/>
  <c r="AY147" i="16"/>
  <c r="AZ147" i="16"/>
  <c r="FB32" i="6"/>
  <c r="FI32" i="6" s="1"/>
  <c r="FC66" i="6"/>
  <c r="FJ66" i="6" s="1"/>
  <c r="EH51" i="6"/>
  <c r="AV135" i="16"/>
  <c r="AV71" i="16"/>
  <c r="AR110" i="16"/>
  <c r="AE81" i="12"/>
  <c r="BA81" i="12" s="1"/>
  <c r="AQ148" i="16"/>
  <c r="AR148" i="16" s="1"/>
  <c r="AE109" i="12"/>
  <c r="BA109" i="12" s="1"/>
  <c r="AE89" i="12"/>
  <c r="BA89" i="12" s="1"/>
  <c r="AF125" i="12"/>
  <c r="BB125" i="12" s="1"/>
  <c r="BC125" i="12" s="1"/>
  <c r="EK13" i="6" l="1"/>
  <c r="FB13" i="6"/>
  <c r="FI13" i="6" s="1"/>
  <c r="AM163" i="16"/>
  <c r="AL163" i="16" s="1"/>
  <c r="AP163" i="16"/>
  <c r="AQ163" i="16"/>
  <c r="BF61" i="1"/>
  <c r="BG60" i="1"/>
  <c r="FU68" i="6"/>
  <c r="FP68" i="6"/>
  <c r="EM57" i="6"/>
  <c r="FD57" i="6"/>
  <c r="FK57" i="6" s="1"/>
  <c r="EH58" i="6"/>
  <c r="GA4" i="6"/>
  <c r="AY112" i="16"/>
  <c r="AZ112" i="16" s="1"/>
  <c r="BG61" i="9"/>
  <c r="BF62" i="9"/>
  <c r="EM16" i="6"/>
  <c r="FD16" i="6"/>
  <c r="FK16" i="6" s="1"/>
  <c r="FN10" i="6"/>
  <c r="FS10" i="6"/>
  <c r="FU18" i="6"/>
  <c r="FP18" i="6"/>
  <c r="EM28" i="6"/>
  <c r="FD28" i="6"/>
  <c r="FK28" i="6" s="1"/>
  <c r="EK48" i="6"/>
  <c r="EF49" i="6"/>
  <c r="FB48" i="6"/>
  <c r="FI48" i="6" s="1"/>
  <c r="AZ120" i="16"/>
  <c r="AY120" i="16"/>
  <c r="EK35" i="6"/>
  <c r="FB35" i="6"/>
  <c r="FI35" i="6" s="1"/>
  <c r="EK90" i="6"/>
  <c r="FB90" i="6"/>
  <c r="FI90" i="6" s="1"/>
  <c r="EF62" i="6"/>
  <c r="EK61" i="6"/>
  <c r="FB61" i="6"/>
  <c r="FI61" i="6" s="1"/>
  <c r="FN56" i="6"/>
  <c r="FS56" i="6"/>
  <c r="FU48" i="6"/>
  <c r="FP48" i="6"/>
  <c r="EM11" i="6"/>
  <c r="FD11" i="6"/>
  <c r="FK11" i="6" s="1"/>
  <c r="R135" i="6"/>
  <c r="R134" i="6"/>
  <c r="EJ13" i="6"/>
  <c r="FA13" i="6"/>
  <c r="FN38" i="6"/>
  <c r="FS38" i="6"/>
  <c r="FS87" i="6"/>
  <c r="FN87" i="6"/>
  <c r="EJ26" i="6"/>
  <c r="FR26" i="6" s="1"/>
  <c r="EE27" i="6"/>
  <c r="FA26" i="6"/>
  <c r="Y27" i="1"/>
  <c r="O5" i="3"/>
  <c r="EK39" i="6"/>
  <c r="FB39" i="6"/>
  <c r="FI39" i="6" s="1"/>
  <c r="FP32" i="6"/>
  <c r="FU32" i="6"/>
  <c r="A37" i="4"/>
  <c r="M36" i="2"/>
  <c r="EH12" i="6"/>
  <c r="FT19" i="6"/>
  <c r="FO19" i="6"/>
  <c r="EK11" i="6"/>
  <c r="FB11" i="6"/>
  <c r="FI11" i="6" s="1"/>
  <c r="FY4" i="6"/>
  <c r="AZ149" i="16"/>
  <c r="AY149" i="16"/>
  <c r="FU56" i="6"/>
  <c r="FP56" i="6"/>
  <c r="P20" i="11"/>
  <c r="P39" i="11" s="1"/>
  <c r="Q39" i="11" s="1"/>
  <c r="R39" i="11" s="1"/>
  <c r="O39" i="11"/>
  <c r="FU50" i="6"/>
  <c r="FP50" i="6"/>
  <c r="FS57" i="6"/>
  <c r="FN57" i="6"/>
  <c r="FT66" i="6"/>
  <c r="FO66" i="6"/>
  <c r="FZ4" i="6"/>
  <c r="X43" i="11"/>
  <c r="X44" i="11"/>
  <c r="AB41" i="11"/>
  <c r="AC41" i="11"/>
  <c r="AD41" i="11"/>
  <c r="Q116" i="1"/>
  <c r="A94" i="3"/>
  <c r="FT51" i="6"/>
  <c r="FO51" i="6"/>
  <c r="FP15" i="6"/>
  <c r="FU15" i="6"/>
  <c r="AY145" i="16"/>
  <c r="AZ145" i="16" s="1"/>
  <c r="EL35" i="6"/>
  <c r="EG36" i="6"/>
  <c r="FC35" i="6"/>
  <c r="FJ35" i="6" s="1"/>
  <c r="FS19" i="6"/>
  <c r="FN19" i="6"/>
  <c r="FS32" i="6"/>
  <c r="FN32" i="6"/>
  <c r="AY116" i="16"/>
  <c r="AZ116" i="16"/>
  <c r="AR160" i="16"/>
  <c r="EK88" i="6"/>
  <c r="FB88" i="6"/>
  <c r="FI88" i="6" s="1"/>
  <c r="AW162" i="16"/>
  <c r="FU30" i="6"/>
  <c r="FP30" i="6"/>
  <c r="AY137" i="16"/>
  <c r="AZ137" i="16" s="1"/>
  <c r="S134" i="6"/>
  <c r="S135" i="6"/>
  <c r="A49" i="4"/>
  <c r="M50" i="2"/>
  <c r="GB3" i="6"/>
  <c r="AZ161" i="16"/>
  <c r="AY161" i="16"/>
  <c r="R31" i="11"/>
  <c r="R37" i="11" s="1"/>
  <c r="Q37" i="11"/>
  <c r="EK12" i="6"/>
  <c r="FB12" i="6"/>
  <c r="FI12" i="6" s="1"/>
  <c r="EH20" i="6"/>
  <c r="EM19" i="6"/>
  <c r="FD19" i="6"/>
  <c r="FK19" i="6" s="1"/>
  <c r="AY129" i="16"/>
  <c r="AZ129" i="16" s="1"/>
  <c r="AT163" i="16"/>
  <c r="AU163" i="16"/>
  <c r="FN34" i="6"/>
  <c r="FS34" i="6"/>
  <c r="EK58" i="6"/>
  <c r="FB58" i="6"/>
  <c r="FI58" i="6" s="1"/>
  <c r="AB34" i="11"/>
  <c r="AA34" i="11"/>
  <c r="AD34" i="11"/>
  <c r="AC34" i="11"/>
  <c r="AN162" i="16"/>
  <c r="FN31" i="6"/>
  <c r="FS31" i="6"/>
  <c r="FS33" i="6"/>
  <c r="FN33" i="6"/>
  <c r="AV162" i="16"/>
  <c r="FN18" i="6"/>
  <c r="FS18" i="6"/>
  <c r="FP70" i="6"/>
  <c r="FU70" i="6"/>
  <c r="EM51" i="6"/>
  <c r="FD51" i="6"/>
  <c r="FK51" i="6" s="1"/>
  <c r="FN60" i="6"/>
  <c r="FS60" i="6"/>
  <c r="EM33" i="6"/>
  <c r="FD33" i="6"/>
  <c r="FK33" i="6" s="1"/>
  <c r="EH34" i="6"/>
  <c r="FN37" i="6"/>
  <c r="FS37" i="6"/>
  <c r="FU49" i="6"/>
  <c r="FP49" i="6"/>
  <c r="P135" i="6"/>
  <c r="P134" i="6"/>
  <c r="AD33" i="11"/>
  <c r="AD20" i="11"/>
  <c r="AD17" i="11"/>
  <c r="AD19" i="11" s="1"/>
  <c r="AD21" i="11" s="1"/>
  <c r="Q134" i="6"/>
  <c r="Q135" i="6"/>
  <c r="FU87" i="6"/>
  <c r="FP87" i="6"/>
  <c r="FT58" i="6"/>
  <c r="FO58" i="6"/>
  <c r="FO87" i="6"/>
  <c r="FT87" i="6"/>
  <c r="FP69" i="6"/>
  <c r="FU69" i="6"/>
  <c r="AR162" i="16"/>
  <c r="EG21" i="6"/>
  <c r="EL20" i="6"/>
  <c r="FC20" i="6"/>
  <c r="FJ20" i="6" s="1"/>
  <c r="FT34" i="6"/>
  <c r="FO34" i="6"/>
  <c r="EK20" i="6"/>
  <c r="EF21" i="6"/>
  <c r="FB20" i="6"/>
  <c r="FI20" i="6" s="1"/>
  <c r="AZ162" i="16" l="1"/>
  <c r="EK21" i="6"/>
  <c r="FB21" i="6"/>
  <c r="FI21" i="6" s="1"/>
  <c r="EF22" i="6"/>
  <c r="FP33" i="6"/>
  <c r="FU33" i="6"/>
  <c r="M35" i="2"/>
  <c r="A36" i="4"/>
  <c r="FP11" i="6"/>
  <c r="FU11" i="6"/>
  <c r="FU28" i="6"/>
  <c r="FP28" i="6"/>
  <c r="FN7" i="6"/>
  <c r="FN3" i="6"/>
  <c r="FN2" i="6"/>
  <c r="AY162" i="16"/>
  <c r="FU51" i="6"/>
  <c r="FP51" i="6"/>
  <c r="EM20" i="6"/>
  <c r="EH21" i="6"/>
  <c r="FD20" i="6"/>
  <c r="FK20" i="6" s="1"/>
  <c r="AD43" i="11"/>
  <c r="AD44" i="11" s="1"/>
  <c r="AC43" i="11"/>
  <c r="AB43" i="11"/>
  <c r="FY5" i="6"/>
  <c r="FN48" i="6"/>
  <c r="FS48" i="6"/>
  <c r="BG62" i="9"/>
  <c r="BF63" i="9"/>
  <c r="BG61" i="1"/>
  <c r="BF62" i="1"/>
  <c r="AJ21" i="11"/>
  <c r="AJ22" i="11"/>
  <c r="FN12" i="6"/>
  <c r="FS12" i="6"/>
  <c r="GB4" i="6"/>
  <c r="FT35" i="6"/>
  <c r="FO35" i="6"/>
  <c r="AC44" i="11"/>
  <c r="FZ5" i="6"/>
  <c r="EK62" i="6"/>
  <c r="FB62" i="6"/>
  <c r="FI62" i="6" s="1"/>
  <c r="EK49" i="6"/>
  <c r="EF50" i="6"/>
  <c r="FB49" i="6"/>
  <c r="FI49" i="6" s="1"/>
  <c r="FN13" i="6"/>
  <c r="FS13" i="6"/>
  <c r="Q117" i="1"/>
  <c r="A95" i="3"/>
  <c r="FS39" i="6"/>
  <c r="FN39" i="6"/>
  <c r="FN61" i="6"/>
  <c r="FS61" i="6"/>
  <c r="FU57" i="6"/>
  <c r="FP57" i="6"/>
  <c r="EL21" i="6"/>
  <c r="EG22" i="6"/>
  <c r="FC21" i="6"/>
  <c r="FJ21" i="6" s="1"/>
  <c r="FN88" i="6"/>
  <c r="FS88" i="6"/>
  <c r="EJ27" i="6"/>
  <c r="EE28" i="6"/>
  <c r="FA27" i="6"/>
  <c r="FR13" i="6"/>
  <c r="FN35" i="6"/>
  <c r="FS35" i="6"/>
  <c r="GA5" i="6"/>
  <c r="FS20" i="6"/>
  <c r="FN20" i="6"/>
  <c r="FT20" i="6"/>
  <c r="FO20" i="6"/>
  <c r="EM34" i="6"/>
  <c r="FD34" i="6"/>
  <c r="FK34" i="6" s="1"/>
  <c r="EH35" i="6"/>
  <c r="FS58" i="6"/>
  <c r="FN58" i="6"/>
  <c r="FU19" i="6"/>
  <c r="FP19" i="6"/>
  <c r="A50" i="4"/>
  <c r="M51" i="2"/>
  <c r="EL36" i="6"/>
  <c r="FC36" i="6"/>
  <c r="FJ36" i="6" s="1"/>
  <c r="AB44" i="11"/>
  <c r="FN11" i="6"/>
  <c r="FN4" i="6" s="1"/>
  <c r="FS11" i="6"/>
  <c r="EM12" i="6"/>
  <c r="FD12" i="6"/>
  <c r="FK12" i="6" s="1"/>
  <c r="EH13" i="6"/>
  <c r="Y28" i="1"/>
  <c r="O6" i="3"/>
  <c r="FS90" i="6"/>
  <c r="FN90" i="6"/>
  <c r="FU16" i="6"/>
  <c r="FP16" i="6"/>
  <c r="EM58" i="6"/>
  <c r="FD58" i="6"/>
  <c r="FK58" i="6" s="1"/>
  <c r="EH59" i="6"/>
  <c r="EM59" i="6" l="1"/>
  <c r="FD59" i="6"/>
  <c r="FK59" i="6" s="1"/>
  <c r="EH60" i="6"/>
  <c r="FT36" i="6"/>
  <c r="FO36" i="6"/>
  <c r="EM35" i="6"/>
  <c r="FD35" i="6"/>
  <c r="FK35" i="6" s="1"/>
  <c r="EH36" i="6"/>
  <c r="GA6" i="6"/>
  <c r="EJ28" i="6"/>
  <c r="FA28" i="6"/>
  <c r="EE134" i="6"/>
  <c r="FN62" i="6"/>
  <c r="FS62" i="6"/>
  <c r="GB5" i="6"/>
  <c r="FY6" i="6"/>
  <c r="FU34" i="6"/>
  <c r="FP34" i="6"/>
  <c r="FR27" i="6"/>
  <c r="FN49" i="6"/>
  <c r="FS49" i="6"/>
  <c r="EH22" i="6"/>
  <c r="EM21" i="6"/>
  <c r="FD21" i="6"/>
  <c r="FK21" i="6" s="1"/>
  <c r="FN6" i="6"/>
  <c r="EK22" i="6"/>
  <c r="FB22" i="6"/>
  <c r="FI22" i="6" s="1"/>
  <c r="EF23" i="6"/>
  <c r="EL22" i="6"/>
  <c r="EG23" i="6"/>
  <c r="FC22" i="6"/>
  <c r="FJ22" i="6" s="1"/>
  <c r="Y29" i="1"/>
  <c r="O7" i="3"/>
  <c r="A96" i="3"/>
  <c r="Q118" i="1"/>
  <c r="BF64" i="9"/>
  <c r="BG64" i="9" s="1"/>
  <c r="BG63" i="9"/>
  <c r="FP20" i="6"/>
  <c r="FU20" i="6"/>
  <c r="FP58" i="6"/>
  <c r="FU58" i="6"/>
  <c r="EM13" i="6"/>
  <c r="FD13" i="6"/>
  <c r="FK13" i="6" s="1"/>
  <c r="EH14" i="6"/>
  <c r="EE133" i="6"/>
  <c r="EE135" i="6" s="1"/>
  <c r="FP12" i="6"/>
  <c r="FU12" i="6"/>
  <c r="A51" i="4"/>
  <c r="M52" i="2"/>
  <c r="FT21" i="6"/>
  <c r="FO21" i="6"/>
  <c r="EF51" i="6"/>
  <c r="EK50" i="6"/>
  <c r="FB50" i="6"/>
  <c r="FI50" i="6" s="1"/>
  <c r="FZ6" i="6"/>
  <c r="BF63" i="1"/>
  <c r="BG62" i="1"/>
  <c r="AX163" i="16"/>
  <c r="AY163" i="16"/>
  <c r="M34" i="2"/>
  <c r="A35" i="4"/>
  <c r="FN21" i="6"/>
  <c r="FS21" i="6"/>
  <c r="FR28" i="6" l="1"/>
  <c r="FR149" i="6" s="1"/>
  <c r="EJ149" i="6"/>
  <c r="EJ134" i="6"/>
  <c r="FU35" i="6"/>
  <c r="FP35" i="6"/>
  <c r="M33" i="2"/>
  <c r="A34" i="4"/>
  <c r="FZ7" i="6"/>
  <c r="EK51" i="6"/>
  <c r="FB51" i="6"/>
  <c r="FI51" i="6" s="1"/>
  <c r="FU13" i="6"/>
  <c r="FP13" i="6"/>
  <c r="Y30" i="1"/>
  <c r="O8" i="3"/>
  <c r="EK23" i="6"/>
  <c r="FB23" i="6"/>
  <c r="FI23" i="6" s="1"/>
  <c r="EF24" i="6"/>
  <c r="A52" i="4"/>
  <c r="M53" i="2"/>
  <c r="FT22" i="6"/>
  <c r="FO22" i="6"/>
  <c r="GA7" i="6"/>
  <c r="FU59" i="6"/>
  <c r="FP59" i="6"/>
  <c r="EM14" i="6"/>
  <c r="FD14" i="6"/>
  <c r="FK14" i="6" s="1"/>
  <c r="FU21" i="6"/>
  <c r="FP21" i="6"/>
  <c r="EM60" i="6"/>
  <c r="FD60" i="6"/>
  <c r="FK60" i="6" s="1"/>
  <c r="EH61" i="6"/>
  <c r="Q119" i="1"/>
  <c r="A97" i="3"/>
  <c r="FN22" i="6"/>
  <c r="FS22" i="6"/>
  <c r="EJ133" i="6"/>
  <c r="BG63" i="1"/>
  <c r="BF64" i="1"/>
  <c r="BG64" i="1" s="1"/>
  <c r="FS50" i="6"/>
  <c r="FN50" i="6"/>
  <c r="EG24" i="6"/>
  <c r="EL23" i="6"/>
  <c r="FC23" i="6"/>
  <c r="FJ23" i="6" s="1"/>
  <c r="EH23" i="6"/>
  <c r="EM22" i="6"/>
  <c r="FD22" i="6"/>
  <c r="FK22" i="6" s="1"/>
  <c r="FY7" i="6"/>
  <c r="GB6" i="6"/>
  <c r="EM36" i="6"/>
  <c r="FD36" i="6"/>
  <c r="FK36" i="6" s="1"/>
  <c r="EH24" i="6" l="1"/>
  <c r="EH133" i="6" s="1"/>
  <c r="EM23" i="6"/>
  <c r="FD23" i="6"/>
  <c r="FK23" i="6" s="1"/>
  <c r="GA8" i="6"/>
  <c r="FY8" i="6"/>
  <c r="FT23" i="6"/>
  <c r="FO23" i="6"/>
  <c r="FU14" i="6"/>
  <c r="FP14" i="6"/>
  <c r="FP2" i="6" s="1"/>
  <c r="FN23" i="6"/>
  <c r="FS23" i="6"/>
  <c r="FU36" i="6"/>
  <c r="FP36" i="6"/>
  <c r="EL24" i="6"/>
  <c r="FC24" i="6"/>
  <c r="FJ24" i="6" s="1"/>
  <c r="EG133" i="6"/>
  <c r="EG134" i="6"/>
  <c r="FC134" i="6" s="1"/>
  <c r="FJ134" i="6" s="1"/>
  <c r="FN51" i="6"/>
  <c r="FS51" i="6"/>
  <c r="EM61" i="6"/>
  <c r="FD61" i="6"/>
  <c r="FK61" i="6" s="1"/>
  <c r="EH62" i="6"/>
  <c r="A53" i="4"/>
  <c r="M54" i="2"/>
  <c r="EK24" i="6"/>
  <c r="EF25" i="6"/>
  <c r="FB24" i="6"/>
  <c r="FI24" i="6" s="1"/>
  <c r="Y31" i="1"/>
  <c r="O9" i="3"/>
  <c r="A33" i="4"/>
  <c r="M32" i="2"/>
  <c r="FU22" i="6"/>
  <c r="FP22" i="6"/>
  <c r="EJ135" i="6"/>
  <c r="FP60" i="6"/>
  <c r="FU60" i="6"/>
  <c r="GB7" i="6"/>
  <c r="A98" i="3"/>
  <c r="Q120" i="1"/>
  <c r="EF133" i="6"/>
  <c r="FZ8" i="6"/>
  <c r="FD133" i="6" l="1"/>
  <c r="FK133" i="6" s="1"/>
  <c r="EH135" i="6"/>
  <c r="FD135" i="6" s="1"/>
  <c r="FK135" i="6" s="1"/>
  <c r="FP61" i="6"/>
  <c r="FU61" i="6"/>
  <c r="M31" i="2"/>
  <c r="A32" i="4"/>
  <c r="Y32" i="1"/>
  <c r="O10" i="3"/>
  <c r="A54" i="4"/>
  <c r="M55" i="2"/>
  <c r="Q121" i="1"/>
  <c r="A99" i="3"/>
  <c r="FS24" i="6"/>
  <c r="FN24" i="6"/>
  <c r="FC133" i="6"/>
  <c r="FJ133" i="6" s="1"/>
  <c r="EG135" i="6"/>
  <c r="FC135" i="6" s="1"/>
  <c r="FJ135" i="6" s="1"/>
  <c r="GA9" i="6"/>
  <c r="FZ9" i="6"/>
  <c r="EL149" i="6"/>
  <c r="EL133" i="6"/>
  <c r="EL134" i="6"/>
  <c r="FT134" i="6" s="1"/>
  <c r="FO134" i="6"/>
  <c r="EM24" i="6"/>
  <c r="FD24" i="6"/>
  <c r="FK24" i="6" s="1"/>
  <c r="GB8" i="6"/>
  <c r="EK25" i="6"/>
  <c r="EK134" i="6" s="1"/>
  <c r="FB25" i="6"/>
  <c r="FI25" i="6" s="1"/>
  <c r="EF134" i="6"/>
  <c r="EF135" i="6" s="1"/>
  <c r="EM62" i="6"/>
  <c r="FD62" i="6"/>
  <c r="FK62" i="6" s="1"/>
  <c r="EH134" i="6"/>
  <c r="FD134" i="6" s="1"/>
  <c r="FK134" i="6" s="1"/>
  <c r="FT24" i="6"/>
  <c r="FT149" i="6" s="1"/>
  <c r="FO24" i="6"/>
  <c r="FO149" i="6" s="1"/>
  <c r="FJ149" i="6"/>
  <c r="FJ152" i="6" s="1"/>
  <c r="FY9" i="6"/>
  <c r="FP23" i="6"/>
  <c r="FU23" i="6"/>
  <c r="FP62" i="6" l="1"/>
  <c r="FU62" i="6"/>
  <c r="FU149" i="6" s="1"/>
  <c r="FK149" i="6"/>
  <c r="FK152" i="6" s="1"/>
  <c r="EK133" i="6"/>
  <c r="EK135" i="6" s="1"/>
  <c r="Y33" i="1"/>
  <c r="O11" i="3"/>
  <c r="FZ10" i="6"/>
  <c r="A55" i="4"/>
  <c r="M56" i="2"/>
  <c r="M30" i="2"/>
  <c r="A31" i="4"/>
  <c r="FU24" i="6"/>
  <c r="FP24" i="6"/>
  <c r="FP149" i="6" s="1"/>
  <c r="EM149" i="6"/>
  <c r="EM134" i="6"/>
  <c r="FU134" i="6" s="1"/>
  <c r="EK149" i="6"/>
  <c r="FT135" i="6"/>
  <c r="FO135" i="6"/>
  <c r="EM133" i="6"/>
  <c r="EM135" i="6" s="1"/>
  <c r="FU135" i="6" s="1"/>
  <c r="EL135" i="6"/>
  <c r="FO133" i="6"/>
  <c r="FT133" i="6"/>
  <c r="Q122" i="1"/>
  <c r="A100" i="3"/>
  <c r="FP135" i="6"/>
  <c r="FY10" i="6"/>
  <c r="FP134" i="6"/>
  <c r="FN25" i="6"/>
  <c r="FN149" i="6" s="1"/>
  <c r="FS25" i="6"/>
  <c r="FS149" i="6" s="1"/>
  <c r="FI149" i="6"/>
  <c r="FI152" i="6" s="1"/>
  <c r="GB9" i="6"/>
  <c r="GA10" i="6"/>
  <c r="FP133" i="6"/>
  <c r="GB10" i="6" l="1"/>
  <c r="Q123" i="1"/>
  <c r="A101" i="3"/>
  <c r="FZ11" i="6"/>
  <c r="FU133" i="6"/>
  <c r="GA11" i="6"/>
  <c r="M29" i="2"/>
  <c r="A30" i="4"/>
  <c r="A56" i="4"/>
  <c r="M57" i="2"/>
  <c r="FY11" i="6"/>
  <c r="Y34" i="1"/>
  <c r="O12" i="3"/>
  <c r="FY12" i="6" l="1"/>
  <c r="Q124" i="1"/>
  <c r="A102" i="3"/>
  <c r="A57" i="4"/>
  <c r="M58" i="2"/>
  <c r="A29" i="4"/>
  <c r="M28" i="2"/>
  <c r="FZ12" i="6"/>
  <c r="Y35" i="1"/>
  <c r="O13" i="3"/>
  <c r="GA12" i="6"/>
  <c r="GB11" i="6"/>
  <c r="M27" i="2" l="1"/>
  <c r="A28" i="4"/>
  <c r="FY13" i="6"/>
  <c r="GB12" i="6"/>
  <c r="Y36" i="1"/>
  <c r="O14" i="3"/>
  <c r="Q125" i="1"/>
  <c r="A103" i="3"/>
  <c r="A58" i="4"/>
  <c r="M59" i="2"/>
  <c r="GA13" i="6"/>
  <c r="FZ13" i="6"/>
  <c r="A59" i="4" l="1"/>
  <c r="M60" i="2"/>
  <c r="FZ14" i="6"/>
  <c r="Y37" i="1"/>
  <c r="O15" i="3"/>
  <c r="FY14" i="6"/>
  <c r="GA14" i="6"/>
  <c r="A104" i="3"/>
  <c r="Q126" i="1"/>
  <c r="GB13" i="6"/>
  <c r="M26" i="2"/>
  <c r="A27" i="4"/>
  <c r="Q127" i="1" l="1"/>
  <c r="A105" i="3"/>
  <c r="FY15" i="6"/>
  <c r="FZ15" i="6"/>
  <c r="M25" i="2"/>
  <c r="A26" i="4"/>
  <c r="A60" i="4"/>
  <c r="M61" i="2"/>
  <c r="GB14" i="6"/>
  <c r="GA15" i="6"/>
  <c r="Y38" i="1"/>
  <c r="O16" i="3"/>
  <c r="Y39" i="1" l="1"/>
  <c r="O17" i="3"/>
  <c r="GB15" i="6"/>
  <c r="A25" i="4"/>
  <c r="M24" i="2"/>
  <c r="FY16" i="6"/>
  <c r="GA16" i="6"/>
  <c r="A61" i="4"/>
  <c r="M62" i="2"/>
  <c r="FZ16" i="6"/>
  <c r="A106" i="3"/>
  <c r="Q128" i="1"/>
  <c r="Q129" i="1" l="1"/>
  <c r="A107" i="3"/>
  <c r="A62" i="4"/>
  <c r="M63" i="2"/>
  <c r="GB16" i="6"/>
  <c r="FY17" i="6"/>
  <c r="M23" i="2"/>
  <c r="A24" i="4"/>
  <c r="FZ17" i="6"/>
  <c r="GA17" i="6"/>
  <c r="Y40" i="1"/>
  <c r="O18" i="3"/>
  <c r="FY18" i="6" l="1"/>
  <c r="A63" i="4"/>
  <c r="M64" i="2"/>
  <c r="Y41" i="1"/>
  <c r="O19" i="3"/>
  <c r="FZ18" i="6"/>
  <c r="GA18" i="6"/>
  <c r="M22" i="2"/>
  <c r="A23" i="4"/>
  <c r="GB17" i="6"/>
  <c r="Q130" i="1"/>
  <c r="A108" i="3"/>
  <c r="FZ19" i="6" l="1"/>
  <c r="A64" i="4"/>
  <c r="M65" i="2"/>
  <c r="A109" i="3"/>
  <c r="Q131" i="1"/>
  <c r="M21" i="2"/>
  <c r="A22" i="4"/>
  <c r="GB18" i="6"/>
  <c r="GA19" i="6"/>
  <c r="FY19" i="6"/>
  <c r="Y42" i="1"/>
  <c r="O20" i="3"/>
  <c r="GA20" i="6" l="1"/>
  <c r="A65" i="4"/>
  <c r="M66" i="2"/>
  <c r="Y43" i="1"/>
  <c r="O21" i="3"/>
  <c r="A21" i="4"/>
  <c r="M20" i="2"/>
  <c r="A110" i="3"/>
  <c r="Q132" i="1"/>
  <c r="FY20" i="6"/>
  <c r="GB19" i="6"/>
  <c r="FZ20" i="6"/>
  <c r="M19" i="2" l="1"/>
  <c r="A20" i="4"/>
  <c r="A66" i="4"/>
  <c r="M67" i="2"/>
  <c r="FZ21" i="6"/>
  <c r="FY21" i="6"/>
  <c r="A111" i="3"/>
  <c r="Q133" i="1"/>
  <c r="GB20" i="6"/>
  <c r="Y44" i="1"/>
  <c r="O22" i="3"/>
  <c r="GA21" i="6"/>
  <c r="FY22" i="6" l="1"/>
  <c r="FZ22" i="6"/>
  <c r="GA22" i="6"/>
  <c r="A67" i="4"/>
  <c r="M68" i="2"/>
  <c r="GB21" i="6"/>
  <c r="A112" i="3"/>
  <c r="Q134" i="1"/>
  <c r="Y45" i="1"/>
  <c r="O23" i="3"/>
  <c r="M18" i="2"/>
  <c r="A19" i="4"/>
  <c r="A113" i="3" l="1"/>
  <c r="Q135" i="1"/>
  <c r="A68" i="4"/>
  <c r="M69" i="2"/>
  <c r="FZ23" i="6"/>
  <c r="M17" i="2"/>
  <c r="A18" i="4"/>
  <c r="FY23" i="6"/>
  <c r="Y46" i="1"/>
  <c r="O24" i="3"/>
  <c r="GB22" i="6"/>
  <c r="GA23" i="6"/>
  <c r="GA24" i="6" l="1"/>
  <c r="A69" i="4"/>
  <c r="M70" i="2"/>
  <c r="Y47" i="1"/>
  <c r="O25" i="3"/>
  <c r="A17" i="4"/>
  <c r="M16" i="2"/>
  <c r="A114" i="3"/>
  <c r="Q136" i="1"/>
  <c r="GB23" i="6"/>
  <c r="FY24" i="6"/>
  <c r="FZ24" i="6"/>
  <c r="M15" i="2" l="1"/>
  <c r="A16" i="4"/>
  <c r="A70" i="4"/>
  <c r="M71" i="2"/>
  <c r="FZ25" i="6"/>
  <c r="GB24" i="6"/>
  <c r="FY25" i="6"/>
  <c r="A115" i="3"/>
  <c r="Q137" i="1"/>
  <c r="Y48" i="1"/>
  <c r="O26" i="3"/>
  <c r="GA25" i="6"/>
  <c r="A116" i="3" l="1"/>
  <c r="Q138" i="1"/>
  <c r="A71" i="4"/>
  <c r="M72" i="2"/>
  <c r="GA26" i="6"/>
  <c r="GB25" i="6"/>
  <c r="Y49" i="1"/>
  <c r="O27" i="3"/>
  <c r="FY26" i="6"/>
  <c r="FZ26" i="6"/>
  <c r="M14" i="2"/>
  <c r="A15" i="4"/>
  <c r="FY27" i="6" l="1"/>
  <c r="A72" i="4"/>
  <c r="M73" i="2"/>
  <c r="M13" i="2"/>
  <c r="A14" i="4"/>
  <c r="GB26" i="6"/>
  <c r="FZ27" i="6"/>
  <c r="GA27" i="6"/>
  <c r="A117" i="3"/>
  <c r="Q139" i="1"/>
  <c r="Y50" i="1"/>
  <c r="O28" i="3"/>
  <c r="GA28" i="6" l="1"/>
  <c r="A73" i="4"/>
  <c r="M74" i="2"/>
  <c r="Y51" i="1"/>
  <c r="O29" i="3"/>
  <c r="GB27" i="6"/>
  <c r="A118" i="3"/>
  <c r="Q140" i="1"/>
  <c r="FZ28" i="6"/>
  <c r="A13" i="4"/>
  <c r="M12" i="2"/>
  <c r="FY28" i="6"/>
  <c r="GB28" i="6" l="1"/>
  <c r="A74" i="4"/>
  <c r="M75" i="2"/>
  <c r="FY29" i="6"/>
  <c r="FZ29" i="6"/>
  <c r="M11" i="2"/>
  <c r="A12" i="4"/>
  <c r="A119" i="3"/>
  <c r="Q141" i="1"/>
  <c r="GA29" i="6"/>
  <c r="Y52" i="1"/>
  <c r="O30" i="3"/>
  <c r="A120" i="3" l="1"/>
  <c r="Q142" i="1"/>
  <c r="A75" i="4"/>
  <c r="M76" i="2"/>
  <c r="Y53" i="1"/>
  <c r="O31" i="3"/>
  <c r="FZ30" i="6"/>
  <c r="GB29" i="6"/>
  <c r="GA30" i="6"/>
  <c r="M10" i="2"/>
  <c r="A11" i="4"/>
  <c r="FY30" i="6"/>
  <c r="FZ31" i="6" l="1"/>
  <c r="FY31" i="6"/>
  <c r="A76" i="4"/>
  <c r="M77" i="2"/>
  <c r="GA31" i="6"/>
  <c r="A121" i="3"/>
  <c r="Q143" i="1"/>
  <c r="M9" i="2"/>
  <c r="A10" i="4"/>
  <c r="GB30" i="6"/>
  <c r="Y54" i="1"/>
  <c r="O32" i="3"/>
  <c r="A77" i="4" l="1"/>
  <c r="M78" i="2"/>
  <c r="GA32" i="6"/>
  <c r="Y55" i="1"/>
  <c r="O33" i="3"/>
  <c r="A9" i="4"/>
  <c r="M8" i="2"/>
  <c r="FY32" i="6"/>
  <c r="A122" i="3"/>
  <c r="Q144" i="1"/>
  <c r="FZ32" i="6"/>
  <c r="GB31" i="6"/>
  <c r="GB32" i="6" l="1"/>
  <c r="A123" i="3"/>
  <c r="Q145" i="1"/>
  <c r="M7" i="2"/>
  <c r="A8" i="4"/>
  <c r="GA33" i="6"/>
  <c r="FZ33" i="6"/>
  <c r="A78" i="4"/>
  <c r="M79" i="2"/>
  <c r="FY33" i="6"/>
  <c r="Y56" i="1"/>
  <c r="O34" i="3"/>
  <c r="A124" i="3" l="1"/>
  <c r="Q146" i="1"/>
  <c r="A79" i="4"/>
  <c r="M80" i="2"/>
  <c r="GA34" i="6"/>
  <c r="Y57" i="1"/>
  <c r="O35" i="3"/>
  <c r="FY34" i="6"/>
  <c r="FZ34" i="6"/>
  <c r="M6" i="2"/>
  <c r="A7" i="4"/>
  <c r="GB33" i="6"/>
  <c r="FZ35" i="6" l="1"/>
  <c r="A80" i="4"/>
  <c r="M81" i="2"/>
  <c r="GB34" i="6"/>
  <c r="Y58" i="1"/>
  <c r="O36" i="3"/>
  <c r="FY35" i="6"/>
  <c r="GA35" i="6"/>
  <c r="A125" i="3"/>
  <c r="Q147" i="1"/>
  <c r="M5" i="2"/>
  <c r="A6" i="4"/>
  <c r="GA36" i="6" l="1"/>
  <c r="A81" i="4"/>
  <c r="M82" i="2"/>
  <c r="A5" i="4"/>
  <c r="M4" i="2"/>
  <c r="Y59" i="1"/>
  <c r="O37" i="3"/>
  <c r="A126" i="3"/>
  <c r="Q148" i="1"/>
  <c r="FY36" i="6"/>
  <c r="GB35" i="6"/>
  <c r="FZ36" i="6"/>
  <c r="FY37" i="6" l="1"/>
  <c r="A82" i="4"/>
  <c r="M83" i="2"/>
  <c r="FZ37" i="6"/>
  <c r="Y60" i="1"/>
  <c r="O38" i="3"/>
  <c r="A127" i="3"/>
  <c r="Q149" i="1"/>
  <c r="M3" i="2"/>
  <c r="A4" i="4"/>
  <c r="GB36" i="6"/>
  <c r="GA37" i="6"/>
  <c r="GA38" i="6" l="1"/>
  <c r="A83" i="4"/>
  <c r="M84" i="2"/>
  <c r="M2" i="2"/>
  <c r="A2" i="4" s="1"/>
  <c r="A3" i="4"/>
  <c r="Y61" i="1"/>
  <c r="O39" i="3"/>
  <c r="A128" i="3"/>
  <c r="Q150" i="1"/>
  <c r="A129" i="3" s="1"/>
  <c r="GB37" i="6"/>
  <c r="FZ38" i="6"/>
  <c r="FY38" i="6"/>
  <c r="Y62" i="1" l="1"/>
  <c r="O40" i="3"/>
  <c r="FY39" i="6"/>
  <c r="A84" i="4"/>
  <c r="M85" i="2"/>
  <c r="GB38" i="6"/>
  <c r="FZ39" i="6"/>
  <c r="GA39" i="6"/>
  <c r="GA40" i="6" l="1"/>
  <c r="GB39" i="6"/>
  <c r="FY40" i="6"/>
  <c r="FZ40" i="6"/>
  <c r="A85" i="4"/>
  <c r="M86" i="2"/>
  <c r="Y63" i="1"/>
  <c r="O41" i="3"/>
  <c r="GB40" i="6" l="1"/>
  <c r="Y64" i="1"/>
  <c r="O42" i="3"/>
  <c r="FZ41" i="6"/>
  <c r="A86" i="4"/>
  <c r="M87" i="2"/>
  <c r="FY41" i="6"/>
  <c r="GA41" i="6"/>
  <c r="A87" i="4" l="1"/>
  <c r="M88" i="2"/>
  <c r="GA42" i="6"/>
  <c r="Y65" i="1"/>
  <c r="O43" i="3"/>
  <c r="FY42" i="6"/>
  <c r="FZ42" i="6"/>
  <c r="GB41" i="6"/>
  <c r="FY43" i="6" l="1"/>
  <c r="GA43" i="6"/>
  <c r="GB42" i="6"/>
  <c r="FZ43" i="6"/>
  <c r="A88" i="4"/>
  <c r="M89" i="2"/>
  <c r="Y66" i="1"/>
  <c r="O44" i="3"/>
  <c r="GA44" i="6" l="1"/>
  <c r="Y67" i="1"/>
  <c r="O45" i="3"/>
  <c r="FZ44" i="6"/>
  <c r="A89" i="4"/>
  <c r="M90" i="2"/>
  <c r="GB43" i="6"/>
  <c r="FY44" i="6"/>
  <c r="A90" i="4" l="1"/>
  <c r="M91" i="2"/>
  <c r="FY45" i="6"/>
  <c r="Y68" i="1"/>
  <c r="O46" i="3"/>
  <c r="GB44" i="6"/>
  <c r="FZ45" i="6"/>
  <c r="GA45" i="6"/>
  <c r="GA46" i="6" l="1"/>
  <c r="FY46" i="6"/>
  <c r="GB45" i="6"/>
  <c r="FZ46" i="6"/>
  <c r="A91" i="4"/>
  <c r="M92" i="2"/>
  <c r="Y69" i="1"/>
  <c r="O47" i="3"/>
  <c r="Y70" i="1" l="1"/>
  <c r="O48" i="3"/>
  <c r="FZ47" i="6"/>
  <c r="FY47" i="6"/>
  <c r="A92" i="4"/>
  <c r="M93" i="2"/>
  <c r="GB46" i="6"/>
  <c r="GA47" i="6"/>
  <c r="GA48" i="6" l="1"/>
  <c r="A93" i="4"/>
  <c r="M94" i="2"/>
  <c r="FZ48" i="6"/>
  <c r="GB47" i="6"/>
  <c r="FY48" i="6"/>
  <c r="Y71" i="1"/>
  <c r="O49" i="3"/>
  <c r="GB48" i="6" l="1"/>
  <c r="A94" i="4"/>
  <c r="M95" i="2"/>
  <c r="Y72" i="1"/>
  <c r="O50" i="3"/>
  <c r="FZ49" i="6"/>
  <c r="FY49" i="6"/>
  <c r="GA49" i="6"/>
  <c r="GA50" i="6" l="1"/>
  <c r="FZ50" i="6"/>
  <c r="A95" i="4"/>
  <c r="M96" i="2"/>
  <c r="FY50" i="6"/>
  <c r="Y73" i="1"/>
  <c r="O51" i="3"/>
  <c r="GB49" i="6"/>
  <c r="GA51" i="6" l="1"/>
  <c r="FY51" i="6"/>
  <c r="FZ51" i="6"/>
  <c r="GB50" i="6"/>
  <c r="A96" i="4"/>
  <c r="M97" i="2"/>
  <c r="Y74" i="1"/>
  <c r="O52" i="3"/>
  <c r="Y75" i="1" l="1"/>
  <c r="O53" i="3"/>
  <c r="GB51" i="6"/>
  <c r="FY52" i="6"/>
  <c r="A97" i="4"/>
  <c r="M98" i="2"/>
  <c r="GA52" i="6"/>
  <c r="FZ52" i="6"/>
  <c r="FZ53" i="6" l="1"/>
  <c r="A98" i="4"/>
  <c r="M99" i="2"/>
  <c r="GB52" i="6"/>
  <c r="GA53" i="6"/>
  <c r="FY53" i="6"/>
  <c r="Y76" i="1"/>
  <c r="O54" i="3"/>
  <c r="GA54" i="6" l="1"/>
  <c r="A99" i="4"/>
  <c r="M100" i="2"/>
  <c r="Y77" i="1"/>
  <c r="O55" i="3"/>
  <c r="FZ54" i="6"/>
  <c r="FY54" i="6"/>
  <c r="GB53" i="6"/>
  <c r="FZ55" i="6" l="1"/>
  <c r="A100" i="4"/>
  <c r="M101" i="2"/>
  <c r="GB54" i="6"/>
  <c r="FY55" i="6"/>
  <c r="Y78" i="1"/>
  <c r="O56" i="3"/>
  <c r="GA55" i="6"/>
  <c r="Y79" i="1" l="1"/>
  <c r="O57" i="3"/>
  <c r="GA56" i="6"/>
  <c r="A101" i="4"/>
  <c r="M102" i="2"/>
  <c r="FY56" i="6"/>
  <c r="GB55" i="6"/>
  <c r="FZ56" i="6"/>
  <c r="FY57" i="6" l="1"/>
  <c r="GA57" i="6"/>
  <c r="FZ57" i="6"/>
  <c r="GB56" i="6"/>
  <c r="A102" i="4"/>
  <c r="M103" i="2"/>
  <c r="Y80" i="1"/>
  <c r="O58" i="3"/>
  <c r="GA58" i="6" l="1"/>
  <c r="Y81" i="1"/>
  <c r="O59" i="3"/>
  <c r="GB57" i="6"/>
  <c r="A103" i="4"/>
  <c r="M104" i="2"/>
  <c r="FZ58" i="6"/>
  <c r="FY58" i="6"/>
  <c r="A104" i="4" l="1"/>
  <c r="M105" i="2"/>
  <c r="FY59" i="6"/>
  <c r="Y82" i="1"/>
  <c r="O60" i="3"/>
  <c r="FZ59" i="6"/>
  <c r="GA59" i="6"/>
  <c r="GB58" i="6"/>
  <c r="GB59" i="6" l="1"/>
  <c r="FZ60" i="6"/>
  <c r="FY60" i="6"/>
  <c r="GA60" i="6"/>
  <c r="A105" i="4"/>
  <c r="M106" i="2"/>
  <c r="Y83" i="1"/>
  <c r="O61" i="3"/>
  <c r="FZ61" i="6" l="1"/>
  <c r="Y84" i="1"/>
  <c r="O62" i="3"/>
  <c r="GA61" i="6"/>
  <c r="A106" i="4"/>
  <c r="M107" i="2"/>
  <c r="FY61" i="6"/>
  <c r="GB60" i="6"/>
  <c r="A107" i="4" l="1"/>
  <c r="M108" i="2"/>
  <c r="GB61" i="6"/>
  <c r="Y85" i="1"/>
  <c r="O63" i="3"/>
  <c r="GA62" i="6"/>
  <c r="FZ62" i="6"/>
  <c r="FY62" i="6"/>
  <c r="FY63" i="6" l="1"/>
  <c r="GA63" i="6"/>
  <c r="GB62" i="6"/>
  <c r="FZ63" i="6"/>
  <c r="A108" i="4"/>
  <c r="M109" i="2"/>
  <c r="Y86" i="1"/>
  <c r="O64" i="3"/>
  <c r="GA64" i="6" l="1"/>
  <c r="Y87" i="1"/>
  <c r="O65" i="3"/>
  <c r="FZ64" i="6"/>
  <c r="A109" i="4"/>
  <c r="M110" i="2"/>
  <c r="FY64" i="6"/>
  <c r="GB63" i="6"/>
  <c r="A110" i="4" l="1"/>
  <c r="M111" i="2"/>
  <c r="GB64" i="6"/>
  <c r="Y88" i="1"/>
  <c r="O66" i="3"/>
  <c r="FZ65" i="6"/>
  <c r="FY65" i="6"/>
  <c r="GA65" i="6"/>
  <c r="GA66" i="6" l="1"/>
  <c r="FZ66" i="6"/>
  <c r="GB65" i="6"/>
  <c r="FY66" i="6"/>
  <c r="A111" i="4"/>
  <c r="M112" i="2"/>
  <c r="Y89" i="1"/>
  <c r="O67" i="3"/>
  <c r="FY67" i="6" l="1"/>
  <c r="FZ67" i="6"/>
  <c r="Y90" i="1"/>
  <c r="O68" i="3"/>
  <c r="A112" i="4"/>
  <c r="M113" i="2"/>
  <c r="GA67" i="6"/>
  <c r="GB66" i="6"/>
  <c r="A113" i="4" l="1"/>
  <c r="M114" i="2"/>
  <c r="GB67" i="6"/>
  <c r="FZ68" i="6"/>
  <c r="GA68" i="6"/>
  <c r="Y91" i="1"/>
  <c r="O69" i="3"/>
  <c r="FY68" i="6"/>
  <c r="FY69" i="6" l="1"/>
  <c r="GA69" i="6"/>
  <c r="GB68" i="6"/>
  <c r="A114" i="4"/>
  <c r="M115" i="2"/>
  <c r="Y92" i="1"/>
  <c r="O70" i="3"/>
  <c r="FZ69" i="6"/>
  <c r="A115" i="4" l="1"/>
  <c r="M116" i="2"/>
  <c r="GA70" i="6"/>
  <c r="FZ70" i="6"/>
  <c r="Y93" i="1"/>
  <c r="O71" i="3"/>
  <c r="GB69" i="6"/>
  <c r="FY70" i="6"/>
  <c r="FY71" i="6" l="1"/>
  <c r="GA71" i="6"/>
  <c r="Y94" i="1"/>
  <c r="O72" i="3"/>
  <c r="FZ71" i="6"/>
  <c r="A116" i="4"/>
  <c r="M117" i="2"/>
  <c r="GB70" i="6"/>
  <c r="GA72" i="6" l="1"/>
  <c r="GB71" i="6"/>
  <c r="FZ72" i="6"/>
  <c r="A117" i="4"/>
  <c r="M118" i="2"/>
  <c r="FY72" i="6"/>
  <c r="Y95" i="1"/>
  <c r="O73" i="3"/>
  <c r="A118" i="4" l="1"/>
  <c r="M119" i="2"/>
  <c r="GB72" i="6"/>
  <c r="Y96" i="1"/>
  <c r="O74" i="3"/>
  <c r="FY73" i="6"/>
  <c r="FZ73" i="6"/>
  <c r="GA73" i="6"/>
  <c r="GA74" i="6" l="1"/>
  <c r="FY74" i="6"/>
  <c r="GB73" i="6"/>
  <c r="FZ74" i="6"/>
  <c r="A119" i="4"/>
  <c r="M120" i="2"/>
  <c r="Y97" i="1"/>
  <c r="O75" i="3"/>
  <c r="FZ75" i="6" l="1"/>
  <c r="FY75" i="6"/>
  <c r="Y98" i="1"/>
  <c r="O76" i="3"/>
  <c r="A120" i="4"/>
  <c r="M121" i="2"/>
  <c r="GA75" i="6"/>
  <c r="GB74" i="6"/>
  <c r="A121" i="4" l="1"/>
  <c r="M122" i="2"/>
  <c r="GB75" i="6"/>
  <c r="FY76" i="6"/>
  <c r="GA76" i="6"/>
  <c r="Y99" i="1"/>
  <c r="O77" i="3"/>
  <c r="FZ76" i="6"/>
  <c r="FZ77" i="6" l="1"/>
  <c r="GA77" i="6"/>
  <c r="GB76" i="6"/>
  <c r="A122" i="4"/>
  <c r="M123" i="2"/>
  <c r="Y100" i="1"/>
  <c r="O78" i="3"/>
  <c r="FY77" i="6"/>
  <c r="FY78" i="6" l="1"/>
  <c r="A123" i="4"/>
  <c r="M124" i="2"/>
  <c r="GA78" i="6"/>
  <c r="GB77" i="6"/>
  <c r="Y101" i="1"/>
  <c r="O79" i="3"/>
  <c r="FZ78" i="6"/>
  <c r="FZ79" i="6" l="1"/>
  <c r="A124" i="4"/>
  <c r="M125" i="2"/>
  <c r="GB78" i="6"/>
  <c r="GA79" i="6"/>
  <c r="FY79" i="6"/>
  <c r="Y102" i="1"/>
  <c r="O80" i="3"/>
  <c r="GA80" i="6" l="1"/>
  <c r="A125" i="4"/>
  <c r="M126" i="2"/>
  <c r="Y103" i="1"/>
  <c r="O81" i="3"/>
  <c r="FY80" i="6"/>
  <c r="FZ80" i="6"/>
  <c r="GB79" i="6"/>
  <c r="A126" i="4" l="1"/>
  <c r="M127" i="2"/>
  <c r="GB80" i="6"/>
  <c r="FY81" i="6"/>
  <c r="FZ81" i="6"/>
  <c r="Y104" i="1"/>
  <c r="O82" i="3"/>
  <c r="GA81" i="6"/>
  <c r="GA82" i="6" l="1"/>
  <c r="FZ82" i="6"/>
  <c r="GB81" i="6"/>
  <c r="A127" i="4"/>
  <c r="M128" i="2"/>
  <c r="Y105" i="1"/>
  <c r="O83" i="3"/>
  <c r="FY82" i="6"/>
  <c r="FY83" i="6" l="1"/>
  <c r="A128" i="4"/>
  <c r="M129" i="2"/>
  <c r="FZ83" i="6"/>
  <c r="Y106" i="1"/>
  <c r="O84" i="3"/>
  <c r="GB82" i="6"/>
  <c r="GA83" i="6"/>
  <c r="GA84" i="6" l="1"/>
  <c r="A129" i="4"/>
  <c r="M130" i="2"/>
  <c r="Y107" i="1"/>
  <c r="O85" i="3"/>
  <c r="GB83" i="6"/>
  <c r="FZ84" i="6"/>
  <c r="FY84" i="6"/>
  <c r="FY85" i="6" l="1"/>
  <c r="A130" i="4"/>
  <c r="M131" i="2"/>
  <c r="GB84" i="6"/>
  <c r="GA85" i="6"/>
  <c r="FZ85" i="6"/>
  <c r="Y108" i="1"/>
  <c r="O86" i="3"/>
  <c r="GA86" i="6" l="1"/>
  <c r="A131" i="4"/>
  <c r="M132" i="2"/>
  <c r="Y109" i="1"/>
  <c r="O87" i="3"/>
  <c r="FZ86" i="6"/>
  <c r="GB85" i="6"/>
  <c r="FY86" i="6"/>
  <c r="FY87" i="6" l="1"/>
  <c r="FZ87" i="6"/>
  <c r="A132" i="4"/>
  <c r="M133" i="2"/>
  <c r="GB86" i="6"/>
  <c r="Y110" i="1"/>
  <c r="O88" i="3"/>
  <c r="GA87" i="6"/>
  <c r="GA88" i="6" l="1"/>
  <c r="FZ88" i="6"/>
  <c r="GB87" i="6"/>
  <c r="A133" i="4"/>
  <c r="M134" i="2"/>
  <c r="Y111" i="1"/>
  <c r="O89" i="3"/>
  <c r="FY88" i="6"/>
  <c r="A134" i="4" l="1"/>
  <c r="M135" i="2"/>
  <c r="FZ89" i="6"/>
  <c r="FY89" i="6"/>
  <c r="GB88" i="6"/>
  <c r="GA89" i="6"/>
  <c r="Y112" i="1"/>
  <c r="O90" i="3"/>
  <c r="GB89" i="6" l="1"/>
  <c r="FZ90" i="6"/>
  <c r="Y113" i="1"/>
  <c r="O91" i="3"/>
  <c r="GA90" i="6"/>
  <c r="A135" i="4"/>
  <c r="M136" i="2"/>
  <c r="FY90" i="6"/>
  <c r="FY91" i="6" l="1"/>
  <c r="GA91" i="6"/>
  <c r="FZ91" i="6"/>
  <c r="A136" i="4"/>
  <c r="M137" i="2"/>
  <c r="Y114" i="1"/>
  <c r="O92" i="3"/>
  <c r="GB90" i="6"/>
  <c r="A137" i="4" l="1"/>
  <c r="M138" i="2"/>
  <c r="GA92" i="6"/>
  <c r="GA149" i="6"/>
  <c r="GB91" i="6"/>
  <c r="FZ92" i="6"/>
  <c r="FZ149" i="6"/>
  <c r="Y115" i="1"/>
  <c r="O93" i="3"/>
  <c r="FY92" i="6"/>
  <c r="GD91" i="6"/>
  <c r="FY149" i="6"/>
  <c r="GE92" i="6" l="1"/>
  <c r="GE2" i="6"/>
  <c r="GE3" i="6"/>
  <c r="GE4" i="6"/>
  <c r="GE5" i="6"/>
  <c r="GE6" i="6"/>
  <c r="GE7" i="6"/>
  <c r="GE8" i="6"/>
  <c r="GE9" i="6"/>
  <c r="GE10" i="6"/>
  <c r="GE11" i="6"/>
  <c r="GE12" i="6"/>
  <c r="GE13" i="6"/>
  <c r="GE14" i="6"/>
  <c r="GE15" i="6"/>
  <c r="GE16" i="6"/>
  <c r="GE17" i="6"/>
  <c r="GE18" i="6"/>
  <c r="GE19" i="6"/>
  <c r="GE20" i="6"/>
  <c r="GE21" i="6"/>
  <c r="GE22" i="6"/>
  <c r="GE23" i="6"/>
  <c r="GE24" i="6"/>
  <c r="GE25" i="6"/>
  <c r="GE26" i="6"/>
  <c r="GE27" i="6"/>
  <c r="GE28" i="6"/>
  <c r="GE29" i="6"/>
  <c r="GE30" i="6"/>
  <c r="GE31" i="6"/>
  <c r="GE32" i="6"/>
  <c r="GE33" i="6"/>
  <c r="GE34" i="6"/>
  <c r="GE35" i="6"/>
  <c r="GE36" i="6"/>
  <c r="GE37" i="6"/>
  <c r="GE38" i="6"/>
  <c r="GE39" i="6"/>
  <c r="GE40" i="6"/>
  <c r="GE41" i="6"/>
  <c r="GE42" i="6"/>
  <c r="GE43" i="6"/>
  <c r="GE44" i="6"/>
  <c r="GE45" i="6"/>
  <c r="GE46" i="6"/>
  <c r="GE47" i="6"/>
  <c r="GE48" i="6"/>
  <c r="GE49" i="6"/>
  <c r="GE50" i="6"/>
  <c r="GE51" i="6"/>
  <c r="GE52" i="6"/>
  <c r="GE53" i="6"/>
  <c r="GE54" i="6"/>
  <c r="GE55" i="6"/>
  <c r="GE56" i="6"/>
  <c r="GE57" i="6"/>
  <c r="GE58" i="6"/>
  <c r="GE59" i="6"/>
  <c r="GE60" i="6"/>
  <c r="GE61" i="6"/>
  <c r="GE62" i="6"/>
  <c r="GE63" i="6"/>
  <c r="GE64" i="6"/>
  <c r="GE65" i="6"/>
  <c r="GE66" i="6"/>
  <c r="GE67" i="6"/>
  <c r="GE68" i="6"/>
  <c r="GE69" i="6"/>
  <c r="GE70" i="6"/>
  <c r="GE71" i="6"/>
  <c r="GE72" i="6"/>
  <c r="GE73" i="6"/>
  <c r="GE74" i="6"/>
  <c r="GE75" i="6"/>
  <c r="GE76" i="6"/>
  <c r="GE77" i="6"/>
  <c r="GE78" i="6"/>
  <c r="GE79" i="6"/>
  <c r="GE80" i="6"/>
  <c r="GE81" i="6"/>
  <c r="GE82" i="6"/>
  <c r="GE83" i="6"/>
  <c r="GE84" i="6"/>
  <c r="GE85" i="6"/>
  <c r="GE86" i="6"/>
  <c r="GE87" i="6"/>
  <c r="GE88" i="6"/>
  <c r="GE89" i="6"/>
  <c r="GE90" i="6"/>
  <c r="Y116" i="1"/>
  <c r="O94" i="3"/>
  <c r="GA93" i="6"/>
  <c r="GB92" i="6"/>
  <c r="GB149" i="6"/>
  <c r="A138" i="4"/>
  <c r="M139" i="2"/>
  <c r="GD92" i="6"/>
  <c r="GD2" i="6"/>
  <c r="GD3" i="6"/>
  <c r="GD4" i="6"/>
  <c r="GD5" i="6"/>
  <c r="GD6" i="6"/>
  <c r="GD7" i="6"/>
  <c r="GD8" i="6"/>
  <c r="GD9" i="6"/>
  <c r="GD10" i="6"/>
  <c r="GD11" i="6"/>
  <c r="GD12" i="6"/>
  <c r="GD13" i="6"/>
  <c r="GD14" i="6"/>
  <c r="GD15" i="6"/>
  <c r="GD16" i="6"/>
  <c r="GD17" i="6"/>
  <c r="GD18" i="6"/>
  <c r="GD19" i="6"/>
  <c r="GD20" i="6"/>
  <c r="GD21" i="6"/>
  <c r="GD22" i="6"/>
  <c r="GD23" i="6"/>
  <c r="GD24" i="6"/>
  <c r="GD25" i="6"/>
  <c r="GD26" i="6"/>
  <c r="GD27" i="6"/>
  <c r="GD28" i="6"/>
  <c r="GD29" i="6"/>
  <c r="GD30" i="6"/>
  <c r="GD31" i="6"/>
  <c r="GD32" i="6"/>
  <c r="GD33" i="6"/>
  <c r="GD34" i="6"/>
  <c r="GD35" i="6"/>
  <c r="GD36" i="6"/>
  <c r="GD37" i="6"/>
  <c r="GD38" i="6"/>
  <c r="GD39" i="6"/>
  <c r="GD40" i="6"/>
  <c r="GD41" i="6"/>
  <c r="GD42" i="6"/>
  <c r="GD43" i="6"/>
  <c r="GD44" i="6"/>
  <c r="GD45" i="6"/>
  <c r="GD46" i="6"/>
  <c r="GD47" i="6"/>
  <c r="GD48" i="6"/>
  <c r="GD49" i="6"/>
  <c r="GD50" i="6"/>
  <c r="GD51" i="6"/>
  <c r="GD52" i="6"/>
  <c r="GD53" i="6"/>
  <c r="GD54" i="6"/>
  <c r="GD55" i="6"/>
  <c r="GD56" i="6"/>
  <c r="GD57" i="6"/>
  <c r="GD58" i="6"/>
  <c r="GD59" i="6"/>
  <c r="GD60" i="6"/>
  <c r="GD61" i="6"/>
  <c r="GD62" i="6"/>
  <c r="GD63" i="6"/>
  <c r="GD64" i="6"/>
  <c r="GD65" i="6"/>
  <c r="GD66" i="6"/>
  <c r="GD67" i="6"/>
  <c r="GD68" i="6"/>
  <c r="GD69" i="6"/>
  <c r="GD70" i="6"/>
  <c r="GD71" i="6"/>
  <c r="GD72" i="6"/>
  <c r="GD73" i="6"/>
  <c r="GD74" i="6"/>
  <c r="GD75" i="6"/>
  <c r="GD76" i="6"/>
  <c r="GD77" i="6"/>
  <c r="GD78" i="6"/>
  <c r="GD79" i="6"/>
  <c r="GD80" i="6"/>
  <c r="GD81" i="6"/>
  <c r="GD82" i="6"/>
  <c r="GD83" i="6"/>
  <c r="GD84" i="6"/>
  <c r="GD85" i="6"/>
  <c r="GD86" i="6"/>
  <c r="GD87" i="6"/>
  <c r="GD88" i="6"/>
  <c r="GD89" i="6"/>
  <c r="GD90" i="6"/>
  <c r="GE91" i="6"/>
  <c r="A139" i="4" l="1"/>
  <c r="M140" i="2"/>
  <c r="GB93" i="6"/>
  <c r="Y117" i="1"/>
  <c r="O95" i="3"/>
  <c r="GA94" i="6"/>
  <c r="GE149" i="6"/>
  <c r="GD149" i="6"/>
  <c r="GA95" i="6" l="1"/>
  <c r="GB94" i="6"/>
  <c r="A140" i="4"/>
  <c r="M141" i="2"/>
  <c r="Y118" i="1"/>
  <c r="O96" i="3"/>
  <c r="GB95" i="6" l="1"/>
  <c r="Y119" i="1"/>
  <c r="O97" i="3"/>
  <c r="A141" i="4"/>
  <c r="M142" i="2"/>
  <c r="GA96" i="6"/>
  <c r="GA97" i="6" l="1"/>
  <c r="Y120" i="1"/>
  <c r="O98" i="3"/>
  <c r="A142" i="4"/>
  <c r="M143" i="2"/>
  <c r="GB96" i="6"/>
  <c r="GB97" i="6" l="1"/>
  <c r="Y121" i="1"/>
  <c r="O99" i="3"/>
  <c r="A143" i="4"/>
  <c r="M144" i="2"/>
  <c r="GA98" i="6"/>
  <c r="GA99" i="6" l="1"/>
  <c r="Y122" i="1"/>
  <c r="O100" i="3"/>
  <c r="A144" i="4"/>
  <c r="M145" i="2"/>
  <c r="GB98" i="6"/>
  <c r="GB99" i="6" l="1"/>
  <c r="Y123" i="1"/>
  <c r="O101" i="3"/>
  <c r="A145" i="4"/>
  <c r="M146" i="2"/>
  <c r="GA100" i="6"/>
  <c r="GA101" i="6" l="1"/>
  <c r="Y124" i="1"/>
  <c r="O102" i="3"/>
  <c r="A146" i="4"/>
  <c r="M147" i="2"/>
  <c r="GB100" i="6"/>
  <c r="GB101" i="6" l="1"/>
  <c r="Y125" i="1"/>
  <c r="O103" i="3"/>
  <c r="A147" i="4"/>
  <c r="M148" i="2"/>
  <c r="GA102" i="6"/>
  <c r="GA103" i="6" l="1"/>
  <c r="Y126" i="1"/>
  <c r="O104" i="3"/>
  <c r="A148" i="4"/>
  <c r="M149" i="2"/>
  <c r="GB102" i="6"/>
  <c r="GB103" i="6" l="1"/>
  <c r="Y127" i="1"/>
  <c r="O105" i="3"/>
  <c r="A149" i="4"/>
  <c r="M150" i="2"/>
  <c r="A150" i="4" s="1"/>
  <c r="GA104" i="6"/>
  <c r="GA105" i="6" l="1"/>
  <c r="Y128" i="1"/>
  <c r="O106" i="3"/>
  <c r="GB104" i="6"/>
  <c r="Y129" i="1" l="1"/>
  <c r="O107" i="3"/>
  <c r="GB105" i="6"/>
  <c r="GA106" i="6"/>
  <c r="GB106" i="6" l="1"/>
  <c r="GA107" i="6"/>
  <c r="Y130" i="1"/>
  <c r="O108" i="3"/>
  <c r="GA108" i="6" l="1"/>
  <c r="Y131" i="1"/>
  <c r="O109" i="3"/>
  <c r="GB107" i="6"/>
  <c r="Y132" i="1" l="1"/>
  <c r="O110" i="3"/>
  <c r="GA109" i="6"/>
  <c r="GB108" i="6"/>
  <c r="GA110" i="6" l="1"/>
  <c r="GB109" i="6"/>
  <c r="Y133" i="1"/>
  <c r="O111" i="3"/>
  <c r="GB110" i="6" l="1"/>
  <c r="GA111" i="6"/>
  <c r="Y134" i="1"/>
  <c r="O112" i="3"/>
  <c r="GA112" i="6" l="1"/>
  <c r="Y135" i="1"/>
  <c r="O113" i="3"/>
  <c r="GB111" i="6"/>
  <c r="Y136" i="1" l="1"/>
  <c r="O114" i="3"/>
  <c r="GA113" i="6"/>
  <c r="GB112" i="6"/>
  <c r="GA114" i="6" l="1"/>
  <c r="GB113" i="6"/>
  <c r="Y137" i="1"/>
  <c r="O115" i="3"/>
  <c r="GB114" i="6" l="1"/>
  <c r="Y138" i="1"/>
  <c r="O116" i="3"/>
  <c r="GA115" i="6"/>
  <c r="Y139" i="1" l="1"/>
  <c r="O117" i="3"/>
  <c r="GA116" i="6"/>
  <c r="GB115" i="6"/>
  <c r="GA117" i="6" l="1"/>
  <c r="GB116" i="6"/>
  <c r="Y140" i="1"/>
  <c r="O118" i="3"/>
  <c r="GB117" i="6" l="1"/>
  <c r="Y141" i="1"/>
  <c r="O119" i="3"/>
  <c r="GA118" i="6"/>
  <c r="Y142" i="1" l="1"/>
  <c r="O120" i="3"/>
  <c r="GA119" i="6"/>
  <c r="GB118" i="6"/>
  <c r="GA120" i="6" l="1"/>
  <c r="GB119" i="6"/>
  <c r="Y143" i="1"/>
  <c r="O121" i="3"/>
  <c r="GB120" i="6" l="1"/>
  <c r="GA121" i="6"/>
  <c r="Y144" i="1"/>
  <c r="O122" i="3"/>
  <c r="GA122" i="6" l="1"/>
  <c r="Y145" i="1"/>
  <c r="O123" i="3"/>
  <c r="GB121" i="6"/>
  <c r="Y146" i="1" l="1"/>
  <c r="O124" i="3"/>
  <c r="GB122" i="6"/>
  <c r="GA123" i="6"/>
  <c r="GB123" i="6" l="1"/>
  <c r="GA124" i="6"/>
  <c r="Y147" i="1"/>
  <c r="O125" i="3"/>
  <c r="GA125" i="6" l="1"/>
  <c r="Y148" i="1"/>
  <c r="O126" i="3"/>
  <c r="GB124" i="6"/>
  <c r="Y149" i="1" l="1"/>
  <c r="O127" i="3"/>
  <c r="GB125" i="6"/>
  <c r="GA126" i="6"/>
  <c r="GB126" i="6" l="1"/>
  <c r="GA127" i="6"/>
  <c r="Y150" i="1"/>
  <c r="O129" i="3" s="1"/>
  <c r="O128" i="3"/>
  <c r="GA128" i="6" l="1"/>
  <c r="GB127" i="6"/>
  <c r="GB128" i="6" l="1"/>
  <c r="GA129" i="6"/>
  <c r="GA130" i="6" l="1"/>
  <c r="GB129" i="6"/>
  <c r="GB130" i="6" l="1"/>
  <c r="GA131" i="6"/>
  <c r="GA132" i="6" l="1"/>
  <c r="GB131" i="6"/>
  <c r="GB132" i="6" l="1"/>
  <c r="GA133" i="6"/>
  <c r="GA134" i="6" l="1"/>
  <c r="GB133" i="6"/>
  <c r="GB134" i="6" l="1"/>
  <c r="GA135" i="6"/>
  <c r="GA136" i="6" l="1"/>
  <c r="GB135" i="6"/>
  <c r="GB136" i="6" l="1"/>
  <c r="GA137" i="6"/>
  <c r="GA138" i="6" l="1"/>
  <c r="GB137" i="6"/>
  <c r="GB138" i="6" l="1"/>
  <c r="GA139" i="6"/>
  <c r="GA140" i="6" l="1"/>
  <c r="GB139" i="6"/>
  <c r="GB140" i="6" l="1"/>
  <c r="GA141" i="6"/>
  <c r="GA142" i="6" l="1"/>
  <c r="GB141" i="6"/>
  <c r="GB142" i="6" l="1"/>
  <c r="GA143" i="6"/>
  <c r="GA144" i="6" l="1"/>
  <c r="GB143" i="6"/>
  <c r="GB144" i="6" l="1"/>
  <c r="GA145" i="6"/>
  <c r="GA146" i="6" l="1"/>
  <c r="GF145" i="6"/>
  <c r="GB145" i="6"/>
  <c r="GB146" i="6" l="1"/>
  <c r="GF146" i="6"/>
  <c r="GK146" i="6" s="1"/>
  <c r="GF2" i="6"/>
  <c r="GF3" i="6"/>
  <c r="GF4" i="6"/>
  <c r="GF5" i="6"/>
  <c r="GF6" i="6"/>
  <c r="GF7" i="6"/>
  <c r="GF8" i="6"/>
  <c r="GF9" i="6"/>
  <c r="GF10" i="6"/>
  <c r="GF11" i="6"/>
  <c r="GF12" i="6"/>
  <c r="GF13" i="6"/>
  <c r="GF14" i="6"/>
  <c r="GF15" i="6"/>
  <c r="GF16" i="6"/>
  <c r="GF17" i="6"/>
  <c r="GF18" i="6"/>
  <c r="GF19" i="6"/>
  <c r="GF20" i="6"/>
  <c r="GF21" i="6"/>
  <c r="GF22" i="6"/>
  <c r="GF23" i="6"/>
  <c r="GF24" i="6"/>
  <c r="GF25" i="6"/>
  <c r="GF26" i="6"/>
  <c r="GF27" i="6"/>
  <c r="GF28" i="6"/>
  <c r="GF29" i="6"/>
  <c r="GF30" i="6"/>
  <c r="GF31" i="6"/>
  <c r="GF32" i="6"/>
  <c r="GF33" i="6"/>
  <c r="GF34" i="6"/>
  <c r="GF35" i="6"/>
  <c r="GF36" i="6"/>
  <c r="GF37" i="6"/>
  <c r="GF38" i="6"/>
  <c r="GF39" i="6"/>
  <c r="GF40" i="6"/>
  <c r="GF41" i="6"/>
  <c r="GF42" i="6"/>
  <c r="GF43" i="6"/>
  <c r="GF44" i="6"/>
  <c r="GF45" i="6"/>
  <c r="GF46" i="6"/>
  <c r="GF47" i="6"/>
  <c r="GF48" i="6"/>
  <c r="GF49" i="6"/>
  <c r="GF50" i="6"/>
  <c r="GF51" i="6"/>
  <c r="GF52" i="6"/>
  <c r="GF53" i="6"/>
  <c r="GF54" i="6"/>
  <c r="GF55" i="6"/>
  <c r="GF56" i="6"/>
  <c r="GF57" i="6"/>
  <c r="GF58" i="6"/>
  <c r="GF59" i="6"/>
  <c r="GF60" i="6"/>
  <c r="GF61" i="6"/>
  <c r="GF62" i="6"/>
  <c r="GF63" i="6"/>
  <c r="GF64" i="6"/>
  <c r="GF65" i="6"/>
  <c r="GF66" i="6"/>
  <c r="GF67" i="6"/>
  <c r="GF68" i="6"/>
  <c r="GF69" i="6"/>
  <c r="GF70" i="6"/>
  <c r="GF71" i="6"/>
  <c r="GF72" i="6"/>
  <c r="GF73" i="6"/>
  <c r="GF74" i="6"/>
  <c r="GF75" i="6"/>
  <c r="GF76" i="6"/>
  <c r="GF77" i="6"/>
  <c r="GF78" i="6"/>
  <c r="GF79" i="6"/>
  <c r="GF80" i="6"/>
  <c r="GF81" i="6"/>
  <c r="GF82" i="6"/>
  <c r="GF83" i="6"/>
  <c r="GF84" i="6"/>
  <c r="GF85" i="6"/>
  <c r="GF86" i="6"/>
  <c r="GF87" i="6"/>
  <c r="GF88" i="6"/>
  <c r="GF89" i="6"/>
  <c r="GF90" i="6"/>
  <c r="GF91" i="6"/>
  <c r="GF92" i="6"/>
  <c r="GF93" i="6"/>
  <c r="GK93" i="6" s="1"/>
  <c r="GF94" i="6"/>
  <c r="GF95" i="6"/>
  <c r="GF96" i="6"/>
  <c r="GF97" i="6"/>
  <c r="GK97" i="6" s="1"/>
  <c r="GF98" i="6"/>
  <c r="GF99" i="6"/>
  <c r="GF100" i="6"/>
  <c r="GF101" i="6"/>
  <c r="GK101" i="6" s="1"/>
  <c r="GF102" i="6"/>
  <c r="GF103" i="6"/>
  <c r="GF104" i="6"/>
  <c r="GF105" i="6"/>
  <c r="GK105" i="6" s="1"/>
  <c r="GF106" i="6"/>
  <c r="GF107" i="6"/>
  <c r="GF108" i="6"/>
  <c r="GF109" i="6"/>
  <c r="GK109" i="6" s="1"/>
  <c r="GF110" i="6"/>
  <c r="GF111" i="6"/>
  <c r="GF112" i="6"/>
  <c r="GF113" i="6"/>
  <c r="GK113" i="6" s="1"/>
  <c r="GF114" i="6"/>
  <c r="GF115" i="6"/>
  <c r="GF116" i="6"/>
  <c r="GF117" i="6"/>
  <c r="GK117" i="6" s="1"/>
  <c r="GF118" i="6"/>
  <c r="GF119" i="6"/>
  <c r="GF120" i="6"/>
  <c r="GF121" i="6"/>
  <c r="GK121" i="6" s="1"/>
  <c r="GF122" i="6"/>
  <c r="GF123" i="6"/>
  <c r="GF124" i="6"/>
  <c r="GF125" i="6"/>
  <c r="GK125" i="6" s="1"/>
  <c r="GF126" i="6"/>
  <c r="GF127" i="6"/>
  <c r="GF128" i="6"/>
  <c r="GF129" i="6"/>
  <c r="GK129" i="6" s="1"/>
  <c r="GF130" i="6"/>
  <c r="GF131" i="6"/>
  <c r="GF132" i="6"/>
  <c r="GF133" i="6"/>
  <c r="GK133" i="6" s="1"/>
  <c r="GF134" i="6"/>
  <c r="GF135" i="6"/>
  <c r="GF136" i="6"/>
  <c r="GF137" i="6"/>
  <c r="GK137" i="6" s="1"/>
  <c r="GF138" i="6"/>
  <c r="GF139" i="6"/>
  <c r="GF140" i="6"/>
  <c r="GF141" i="6"/>
  <c r="GK141" i="6" s="1"/>
  <c r="GF142" i="6"/>
  <c r="GF143" i="6"/>
  <c r="GF144" i="6"/>
  <c r="GK144" i="6" l="1"/>
  <c r="GK136" i="6"/>
  <c r="GK128" i="6"/>
  <c r="GK120" i="6"/>
  <c r="GK112" i="6"/>
  <c r="GK104" i="6"/>
  <c r="GK100" i="6"/>
  <c r="GK143" i="6"/>
  <c r="GK131" i="6"/>
  <c r="GK119" i="6"/>
  <c r="GK111" i="6"/>
  <c r="GK103" i="6"/>
  <c r="GK99" i="6"/>
  <c r="GK95" i="6"/>
  <c r="GG146" i="6"/>
  <c r="GL146" i="6" s="1"/>
  <c r="GG2" i="6"/>
  <c r="GG3" i="6"/>
  <c r="GG4" i="6"/>
  <c r="GG5" i="6"/>
  <c r="GG6" i="6"/>
  <c r="GG7" i="6"/>
  <c r="GG8" i="6"/>
  <c r="GG9" i="6"/>
  <c r="GG10" i="6"/>
  <c r="GG11" i="6"/>
  <c r="GG12" i="6"/>
  <c r="GG13" i="6"/>
  <c r="GG14" i="6"/>
  <c r="GG15" i="6"/>
  <c r="GG16" i="6"/>
  <c r="GG17" i="6"/>
  <c r="GG18" i="6"/>
  <c r="GG19" i="6"/>
  <c r="GG20" i="6"/>
  <c r="GG21" i="6"/>
  <c r="GG22" i="6"/>
  <c r="GG23" i="6"/>
  <c r="GG24" i="6"/>
  <c r="GG25" i="6"/>
  <c r="GG26" i="6"/>
  <c r="GG27" i="6"/>
  <c r="GG28" i="6"/>
  <c r="GG29" i="6"/>
  <c r="GG30" i="6"/>
  <c r="GG31" i="6"/>
  <c r="GG32" i="6"/>
  <c r="GG33" i="6"/>
  <c r="GG34" i="6"/>
  <c r="GG35" i="6"/>
  <c r="GG36" i="6"/>
  <c r="GG37" i="6"/>
  <c r="GG38" i="6"/>
  <c r="GG39" i="6"/>
  <c r="GG40" i="6"/>
  <c r="GG41" i="6"/>
  <c r="GG42" i="6"/>
  <c r="GG43" i="6"/>
  <c r="GG44" i="6"/>
  <c r="GG45" i="6"/>
  <c r="GG46" i="6"/>
  <c r="GG47" i="6"/>
  <c r="GG48" i="6"/>
  <c r="GG49" i="6"/>
  <c r="GG50" i="6"/>
  <c r="GG51" i="6"/>
  <c r="GG52" i="6"/>
  <c r="GG53" i="6"/>
  <c r="GG54" i="6"/>
  <c r="GG55" i="6"/>
  <c r="GG56" i="6"/>
  <c r="GG57" i="6"/>
  <c r="GG58" i="6"/>
  <c r="GG59" i="6"/>
  <c r="GG60" i="6"/>
  <c r="GG61" i="6"/>
  <c r="GG62" i="6"/>
  <c r="GG63" i="6"/>
  <c r="GG64" i="6"/>
  <c r="GG65" i="6"/>
  <c r="GG66" i="6"/>
  <c r="GG67" i="6"/>
  <c r="GG68" i="6"/>
  <c r="GG69" i="6"/>
  <c r="GG70" i="6"/>
  <c r="GG71" i="6"/>
  <c r="GG72" i="6"/>
  <c r="GG73" i="6"/>
  <c r="GG74" i="6"/>
  <c r="GG75" i="6"/>
  <c r="GG76" i="6"/>
  <c r="GG77" i="6"/>
  <c r="GG78" i="6"/>
  <c r="GG79" i="6"/>
  <c r="GG80" i="6"/>
  <c r="GG81" i="6"/>
  <c r="GG82" i="6"/>
  <c r="GG83" i="6"/>
  <c r="GG84" i="6"/>
  <c r="GG85" i="6"/>
  <c r="GG86" i="6"/>
  <c r="GG87" i="6"/>
  <c r="GG88" i="6"/>
  <c r="GG89" i="6"/>
  <c r="GG90" i="6"/>
  <c r="GG91" i="6"/>
  <c r="GG92" i="6"/>
  <c r="GG93" i="6"/>
  <c r="GL93" i="6" s="1"/>
  <c r="GG94" i="6"/>
  <c r="GL94" i="6" s="1"/>
  <c r="GG95" i="6"/>
  <c r="GG96" i="6"/>
  <c r="GG97" i="6"/>
  <c r="GL97" i="6" s="1"/>
  <c r="GG98" i="6"/>
  <c r="GL98" i="6" s="1"/>
  <c r="GG99" i="6"/>
  <c r="GG100" i="6"/>
  <c r="GG101" i="6"/>
  <c r="GL101" i="6" s="1"/>
  <c r="GG102" i="6"/>
  <c r="GL102" i="6" s="1"/>
  <c r="GG103" i="6"/>
  <c r="GG104" i="6"/>
  <c r="GG105" i="6"/>
  <c r="GL105" i="6" s="1"/>
  <c r="GG106" i="6"/>
  <c r="GL106" i="6" s="1"/>
  <c r="GG107" i="6"/>
  <c r="GG108" i="6"/>
  <c r="GG109" i="6"/>
  <c r="GL109" i="6" s="1"/>
  <c r="GG110" i="6"/>
  <c r="GL110" i="6" s="1"/>
  <c r="GG111" i="6"/>
  <c r="GG112" i="6"/>
  <c r="GG113" i="6"/>
  <c r="GL113" i="6" s="1"/>
  <c r="GG114" i="6"/>
  <c r="GL114" i="6" s="1"/>
  <c r="GG115" i="6"/>
  <c r="GG116" i="6"/>
  <c r="GG117" i="6"/>
  <c r="GL117" i="6" s="1"/>
  <c r="GG118" i="6"/>
  <c r="GL118" i="6" s="1"/>
  <c r="GG119" i="6"/>
  <c r="GG120" i="6"/>
  <c r="GG121" i="6"/>
  <c r="GL121" i="6" s="1"/>
  <c r="GG122" i="6"/>
  <c r="GL122" i="6" s="1"/>
  <c r="GG123" i="6"/>
  <c r="GG124" i="6"/>
  <c r="GG125" i="6"/>
  <c r="GL125" i="6" s="1"/>
  <c r="GG126" i="6"/>
  <c r="GL126" i="6" s="1"/>
  <c r="GG127" i="6"/>
  <c r="GG128" i="6"/>
  <c r="GG129" i="6"/>
  <c r="GL129" i="6" s="1"/>
  <c r="GG130" i="6"/>
  <c r="GL130" i="6" s="1"/>
  <c r="GG131" i="6"/>
  <c r="GG132" i="6"/>
  <c r="GG133" i="6"/>
  <c r="GL133" i="6" s="1"/>
  <c r="GG134" i="6"/>
  <c r="GL134" i="6" s="1"/>
  <c r="GG135" i="6"/>
  <c r="GG136" i="6"/>
  <c r="GG137" i="6"/>
  <c r="GL137" i="6" s="1"/>
  <c r="GG138" i="6"/>
  <c r="GL138" i="6" s="1"/>
  <c r="GG139" i="6"/>
  <c r="GG140" i="6"/>
  <c r="GG141" i="6"/>
  <c r="GL141" i="6" s="1"/>
  <c r="GG142" i="6"/>
  <c r="GL142" i="6" s="1"/>
  <c r="GG143" i="6"/>
  <c r="GG144" i="6"/>
  <c r="GK140" i="6"/>
  <c r="GK132" i="6"/>
  <c r="GK124" i="6"/>
  <c r="GK116" i="6"/>
  <c r="GK108" i="6"/>
  <c r="GK96" i="6"/>
  <c r="GK145" i="6"/>
  <c r="GK139" i="6"/>
  <c r="GK135" i="6"/>
  <c r="GK127" i="6"/>
  <c r="GK123" i="6"/>
  <c r="GK115" i="6"/>
  <c r="GK107" i="6"/>
  <c r="GK142" i="6"/>
  <c r="GK138" i="6"/>
  <c r="GK134" i="6"/>
  <c r="GK130" i="6"/>
  <c r="GK126" i="6"/>
  <c r="GK122" i="6"/>
  <c r="GK118" i="6"/>
  <c r="GK114" i="6"/>
  <c r="GK110" i="6"/>
  <c r="GK106" i="6"/>
  <c r="GK102" i="6"/>
  <c r="GK98" i="6"/>
  <c r="GK94" i="6"/>
  <c r="GF149" i="6"/>
  <c r="GG145" i="6"/>
  <c r="GG149" i="6" l="1"/>
  <c r="GL145" i="6"/>
  <c r="GL144" i="6"/>
  <c r="GL140" i="6"/>
  <c r="GL136" i="6"/>
  <c r="GL132" i="6"/>
  <c r="GL128" i="6"/>
  <c r="GL124" i="6"/>
  <c r="GL120" i="6"/>
  <c r="GL116" i="6"/>
  <c r="GL112" i="6"/>
  <c r="GL108" i="6"/>
  <c r="GL104" i="6"/>
  <c r="GL100" i="6"/>
  <c r="GL96" i="6"/>
  <c r="GL143" i="6"/>
  <c r="GL139" i="6"/>
  <c r="GL135" i="6"/>
  <c r="GL131" i="6"/>
  <c r="GL127" i="6"/>
  <c r="GL123" i="6"/>
  <c r="GL119" i="6"/>
  <c r="GL115" i="6"/>
  <c r="GL111" i="6"/>
  <c r="GL107" i="6"/>
  <c r="GL103" i="6"/>
  <c r="GL99" i="6"/>
  <c r="GL95" i="6"/>
</calcChain>
</file>

<file path=xl/sharedStrings.xml><?xml version="1.0" encoding="utf-8"?>
<sst xmlns="http://schemas.openxmlformats.org/spreadsheetml/2006/main" count="1846" uniqueCount="647">
  <si>
    <t>Date</t>
  </si>
  <si>
    <t>Tiri_rainfall</t>
  </si>
  <si>
    <t>overflow</t>
  </si>
  <si>
    <t>Precipitation Data:</t>
  </si>
  <si>
    <t>http://www.accuweather.com/en/in/tirumangalam/196000/january-weather/196000?monyr=1/1/2014&amp;view=table</t>
  </si>
  <si>
    <t>T4_sluice</t>
  </si>
  <si>
    <t>T2_stage</t>
  </si>
  <si>
    <t>T3_stage</t>
  </si>
  <si>
    <t>T4_stage</t>
  </si>
  <si>
    <t>T1_R&amp;S_R2</t>
  </si>
  <si>
    <t>T1_sluice</t>
  </si>
  <si>
    <t>T1_R(m/d)</t>
  </si>
  <si>
    <t>T1_R(cm/d)</t>
  </si>
  <si>
    <t>T1_R&amp;S (m/min)</t>
  </si>
  <si>
    <t>T1_R&amp;S(m/day)</t>
  </si>
  <si>
    <t>T1_stage(m)</t>
  </si>
  <si>
    <t>T1_R</t>
  </si>
  <si>
    <t>T1_WL</t>
  </si>
  <si>
    <t>DAY_RF</t>
  </si>
  <si>
    <t>T2_R</t>
  </si>
  <si>
    <t>T4_R</t>
  </si>
  <si>
    <t>T4_WL</t>
  </si>
  <si>
    <t>T3_WL</t>
  </si>
  <si>
    <t>Days removed:</t>
  </si>
  <si>
    <t>rain</t>
  </si>
  <si>
    <t>R2</t>
  </si>
  <si>
    <t xml:space="preserve">
Pumping? Evaporation at low water level?</t>
  </si>
  <si>
    <t>T2_sluice</t>
  </si>
  <si>
    <t>T2_R&amp;S(m/min)</t>
  </si>
  <si>
    <t>T2_R&amp;S_R2</t>
  </si>
  <si>
    <t>T2_R&amp;S(m/day)</t>
  </si>
  <si>
    <t>T2_R(m/d)</t>
  </si>
  <si>
    <t>T2_R(cm/d)</t>
  </si>
  <si>
    <t>T2_WL</t>
  </si>
  <si>
    <t>Tank 1</t>
  </si>
  <si>
    <t>Tank 2</t>
  </si>
  <si>
    <t xml:space="preserve"> -95.1 cm/day, rain</t>
  </si>
  <si>
    <t xml:space="preserve"> -2.46 cm/day, rain</t>
  </si>
  <si>
    <t xml:space="preserve"> -28.5 cm/day</t>
  </si>
  <si>
    <t>T3_R&amp;S(m/min)</t>
  </si>
  <si>
    <t>T3_R&amp;S_R2</t>
  </si>
  <si>
    <t>T3_R&amp;S(m/day)</t>
  </si>
  <si>
    <t>T3_R</t>
  </si>
  <si>
    <t>Tank 3</t>
  </si>
  <si>
    <t xml:space="preserve"> -97.6 cm/day, rain</t>
  </si>
  <si>
    <t xml:space="preserve"> -99.9 cm/day</t>
  </si>
  <si>
    <t>pre-10/31</t>
  </si>
  <si>
    <t>Recharge</t>
  </si>
  <si>
    <t>Water Level</t>
  </si>
  <si>
    <t>Days Since Rainfall</t>
  </si>
  <si>
    <t>pre-10/30</t>
  </si>
  <si>
    <t>regime change 3 days post-rain</t>
  </si>
  <si>
    <t>no regime change</t>
  </si>
  <si>
    <t>T3_sluice</t>
  </si>
  <si>
    <t>T3_R(m/d)</t>
  </si>
  <si>
    <t>T3_R(cm/d)</t>
  </si>
  <si>
    <t>regime change 9 days post-rain</t>
  </si>
  <si>
    <t>T4_R&amp;S(m/min)</t>
  </si>
  <si>
    <t>T4_R&amp;S_R2</t>
  </si>
  <si>
    <t>T4_R&amp;S(m/day)</t>
  </si>
  <si>
    <t>T4_R(m/d)</t>
  </si>
  <si>
    <t>T4_R(cm/d)</t>
  </si>
  <si>
    <t>Day_RF</t>
  </si>
  <si>
    <t>Tank 4</t>
  </si>
  <si>
    <t>pre-10/23</t>
  </si>
  <si>
    <t xml:space="preserve"> -88 cm/day, 1-day after</t>
  </si>
  <si>
    <t>7.9 cm/day, pumping?</t>
  </si>
  <si>
    <t>8.1 cm/day, pumping?</t>
  </si>
  <si>
    <t>7.5 cm/day, pumping?</t>
  </si>
  <si>
    <t>4.96 cm/day, pumping?</t>
  </si>
  <si>
    <t>Recharge vs Water Level</t>
  </si>
  <si>
    <t>All</t>
  </si>
  <si>
    <t>T3_R+S</t>
  </si>
  <si>
    <t>%sluice</t>
  </si>
  <si>
    <t>Mean:</t>
  </si>
  <si>
    <t>T4_R+S(cm/d)</t>
  </si>
  <si>
    <t>T3_R(cm/day)</t>
  </si>
  <si>
    <t>mean recharge=</t>
  </si>
  <si>
    <t>0-9 days</t>
  </si>
  <si>
    <t>1-9 days</t>
  </si>
  <si>
    <t>day 1</t>
  </si>
  <si>
    <t>day 2</t>
  </si>
  <si>
    <t>day 3</t>
  </si>
  <si>
    <t>day 4</t>
  </si>
  <si>
    <t>day 5</t>
  </si>
  <si>
    <t>day 6</t>
  </si>
  <si>
    <t>day 7</t>
  </si>
  <si>
    <t>equation:</t>
  </si>
  <si>
    <t>recharge=0.12 cm/day*(days since last rainfall)-0.56 cm/day</t>
  </si>
  <si>
    <t>T4_R_CORR</t>
  </si>
  <si>
    <t>overflow days</t>
  </si>
  <si>
    <t>corrected via equation</t>
  </si>
  <si>
    <t>corrected via daily means</t>
  </si>
  <si>
    <t>corrected via 1-9 day mean</t>
  </si>
  <si>
    <t>rainfall days</t>
  </si>
  <si>
    <t>pumping? - correct via interpolation</t>
  </si>
  <si>
    <t>Tank Area</t>
  </si>
  <si>
    <t>RF</t>
  </si>
  <si>
    <t>Mike</t>
  </si>
  <si>
    <t>KVM</t>
  </si>
  <si>
    <t>T1WL</t>
  </si>
  <si>
    <t>Rain Days</t>
  </si>
  <si>
    <t>Mean</t>
  </si>
  <si>
    <t>LINEST</t>
  </si>
  <si>
    <t>upper</t>
  </si>
  <si>
    <t>lower</t>
  </si>
  <si>
    <t>NaN</t>
  </si>
  <si>
    <t>Frequency</t>
  </si>
  <si>
    <t>GE</t>
  </si>
  <si>
    <t>Groundwater Exchange</t>
  </si>
  <si>
    <t>Cumulative Discharge/Recharge Ratio</t>
  </si>
  <si>
    <t>Cumulative Ratio</t>
  </si>
  <si>
    <t>Stage Change</t>
  </si>
  <si>
    <t>T2WL</t>
  </si>
  <si>
    <t>Surface Area</t>
  </si>
  <si>
    <t>WL</t>
  </si>
  <si>
    <t>ET (mm/day)</t>
  </si>
  <si>
    <t>Runoff (mm)</t>
  </si>
  <si>
    <t>T1</t>
  </si>
  <si>
    <t>T2</t>
  </si>
  <si>
    <t>T3</t>
  </si>
  <si>
    <t>T4</t>
  </si>
  <si>
    <t>Rainfall</t>
  </si>
  <si>
    <t>DSLR</t>
  </si>
  <si>
    <t>Recharge (cm/d)</t>
  </si>
  <si>
    <t>Recharge, NRD (cm/d)</t>
  </si>
  <si>
    <t>Tank Catchment Area (m2)</t>
  </si>
  <si>
    <t>Tank Area (m2)</t>
  </si>
  <si>
    <t>Rainfall in Tank (m3)</t>
  </si>
  <si>
    <t>Runoff + Rainfall (m3)</t>
  </si>
  <si>
    <t>T1
Runoff + Rainfall (cm/d)</t>
  </si>
  <si>
    <t>T4
Runoff + Rainfall (cm/d)</t>
  </si>
  <si>
    <t>T3
Runoff + Rainfall (cm/d)</t>
  </si>
  <si>
    <t>T2
Runoff + Rainfall (cm/d)</t>
  </si>
  <si>
    <t>Recharge, RD estimates) (cm/d)</t>
  </si>
  <si>
    <t>T1
R-squared Values</t>
  </si>
  <si>
    <t>T4
R-squared Values</t>
  </si>
  <si>
    <t>T3
R-squared Values</t>
  </si>
  <si>
    <t>T2
R-squared Values</t>
  </si>
  <si>
    <t>average</t>
  </si>
  <si>
    <t>std</t>
  </si>
  <si>
    <t>upper=</t>
  </si>
  <si>
    <t>lower=</t>
  </si>
  <si>
    <t>Recharge, (RD estimates, outliers removed) (cm/d)</t>
  </si>
  <si>
    <t>RD Mean</t>
  </si>
  <si>
    <t>T1 WL</t>
  </si>
  <si>
    <t>T2 WL</t>
  </si>
  <si>
    <t>T3 WL</t>
  </si>
  <si>
    <t>T4 WL</t>
  </si>
  <si>
    <t>STD</t>
  </si>
  <si>
    <t>Threshold=4 days</t>
  </si>
  <si>
    <t>stdev</t>
  </si>
  <si>
    <t>T1 GE</t>
  </si>
  <si>
    <t>T2 GE</t>
  </si>
  <si>
    <t>T3 GE</t>
  </si>
  <si>
    <t>T4 GE</t>
  </si>
  <si>
    <t>2-day threshold</t>
  </si>
  <si>
    <t>day 13</t>
  </si>
  <si>
    <t>Recharge, (RD estimates, outliers removed, new values using WL Equation) (cm/d)</t>
  </si>
  <si>
    <t>Recharge Volume (m3)</t>
  </si>
  <si>
    <t>Stage Change (m/day)</t>
  </si>
  <si>
    <t>Stage Change (cm/day)</t>
  </si>
  <si>
    <t>Net Recharge (m3)</t>
  </si>
  <si>
    <t>ET (m3)</t>
  </si>
  <si>
    <t>Sluice</t>
  </si>
  <si>
    <t>Overflow</t>
  </si>
  <si>
    <t>Total Outflows</t>
  </si>
  <si>
    <t>Command Area (ha)</t>
  </si>
  <si>
    <t>Rainfall (mm)</t>
  </si>
  <si>
    <t>Water Balance</t>
  </si>
  <si>
    <t>P = (QR) + ET ± ΔV</t>
  </si>
  <si>
    <t>Catchment Water Balance:</t>
  </si>
  <si>
    <t>P = Q + R_catch + R_tank + ET_catch + ET_tank ± ΔV</t>
  </si>
  <si>
    <t>8/1-3/7</t>
  </si>
  <si>
    <t>Area(m2)</t>
  </si>
  <si>
    <t>Q=</t>
  </si>
  <si>
    <t>measured, Sluice + Overflow</t>
  </si>
  <si>
    <t>from Rao et al.</t>
  </si>
  <si>
    <t>9/26-3/7</t>
  </si>
  <si>
    <t>Catchment Area</t>
  </si>
  <si>
    <t>Curve Number Method</t>
  </si>
  <si>
    <t>R_catch=</t>
  </si>
  <si>
    <t>calculated by difference</t>
  </si>
  <si>
    <t>estimated annual PET for study area is 1700-1950 mm/day</t>
  </si>
  <si>
    <t>Catchment Area+Tanks</t>
  </si>
  <si>
    <t>CN=</t>
  </si>
  <si>
    <t>R_tank=</t>
  </si>
  <si>
    <t>calculated, White Method</t>
  </si>
  <si>
    <t>low</t>
  </si>
  <si>
    <t>mm/day</t>
  </si>
  <si>
    <t>Average</t>
  </si>
  <si>
    <t>Good</t>
  </si>
  <si>
    <t>Bad</t>
  </si>
  <si>
    <t>Rainfall Gauge</t>
  </si>
  <si>
    <t>S=</t>
  </si>
  <si>
    <t>mm</t>
  </si>
  <si>
    <t>ET_catch=</t>
  </si>
  <si>
    <t>calculated, Penman-Monteith</t>
  </si>
  <si>
    <t>mm/day (Mike's calculation), 89 days</t>
  </si>
  <si>
    <t>high</t>
  </si>
  <si>
    <t>Total</t>
  </si>
  <si>
    <t>Volume (m3)</t>
  </si>
  <si>
    <t>ET_tank=</t>
  </si>
  <si>
    <t>estimated PET during NE Monsoon</t>
  </si>
  <si>
    <t>Precip_total</t>
  </si>
  <si>
    <t>ΔV=</t>
  </si>
  <si>
    <t>measured</t>
  </si>
  <si>
    <t>Precip_catch</t>
  </si>
  <si>
    <t>Precip_tanks</t>
  </si>
  <si>
    <t>R=P_catch*RC</t>
  </si>
  <si>
    <t>Precip_tank+R</t>
  </si>
  <si>
    <t>(input to tanks)</t>
  </si>
  <si>
    <t>ET_catch (estimate)</t>
  </si>
  <si>
    <t>(assumes all P that isn't runoff goes to ET)</t>
  </si>
  <si>
    <t>Individual</t>
  </si>
  <si>
    <t>Nested</t>
  </si>
  <si>
    <t>Hectares</t>
  </si>
  <si>
    <t>Additive</t>
  </si>
  <si>
    <t xml:space="preserve">Separate </t>
  </si>
  <si>
    <t>Diversion 
(50%Dstrm)</t>
  </si>
  <si>
    <t>Diversion 
(30%Dstrm)</t>
  </si>
  <si>
    <t>Catchment Area (m2)</t>
  </si>
  <si>
    <t>Precipitation (total)</t>
  </si>
  <si>
    <t>Catchment Area (m2), modified</t>
  </si>
  <si>
    <t>ET=ET_catch+ET_tanks</t>
  </si>
  <si>
    <t>Catchment Area + Tank</t>
  </si>
  <si>
    <t>Q=T4_sluice+T4_overflow</t>
  </si>
  <si>
    <t>ΔS=T_storage+T_seepage</t>
  </si>
  <si>
    <t>for catchment</t>
  </si>
  <si>
    <t>Precipitation_tot (m3)</t>
  </si>
  <si>
    <t>ΔS=T_storage</t>
  </si>
  <si>
    <t>for tanks</t>
  </si>
  <si>
    <t>Precipitation_catch (m3)</t>
  </si>
  <si>
    <t>T2_I</t>
  </si>
  <si>
    <t>T3_I</t>
  </si>
  <si>
    <t>T4_I</t>
  </si>
  <si>
    <t>T2_N</t>
  </si>
  <si>
    <t>T3_N</t>
  </si>
  <si>
    <t>T4_N</t>
  </si>
  <si>
    <t>Precipitation_tank (m3)</t>
  </si>
  <si>
    <t>Catchment Water Balance</t>
  </si>
  <si>
    <t>RUN=STRANGE</t>
  </si>
  <si>
    <t>1/13 Tank Volumes</t>
  </si>
  <si>
    <t>10/14 Tank Volumes</t>
  </si>
  <si>
    <t>P = ET + Q ± ΔS</t>
  </si>
  <si>
    <t>RUN=1st &amp; 2nd Fill Volumes</t>
  </si>
  <si>
    <t>P=</t>
  </si>
  <si>
    <t>RUN=STRANGE/mod catch vals (50%)</t>
  </si>
  <si>
    <t xml:space="preserve">Tank 1 </t>
  </si>
  <si>
    <t>ET + Q ± ΔS</t>
  </si>
  <si>
    <t>Difference=</t>
  </si>
  <si>
    <t>Command Area/Catchment Area Ratio</t>
  </si>
  <si>
    <t>Q</t>
  </si>
  <si>
    <t>Tank Water Balance</t>
  </si>
  <si>
    <t>R_tank</t>
  </si>
  <si>
    <t>dS/dt=P_tank+P_catch*RC-ET-SEEP-SLUICE_1,2,3-Q</t>
  </si>
  <si>
    <t>rain gauge</t>
  </si>
  <si>
    <t>R_catch (Anuraga et al. 2006)</t>
  </si>
  <si>
    <t>poor</t>
  </si>
  <si>
    <t>mean</t>
  </si>
  <si>
    <t>R_total</t>
  </si>
  <si>
    <t>Outflow Volumes 10-16--1-13</t>
  </si>
  <si>
    <t>P_tank</t>
  </si>
  <si>
    <t>ET_tank</t>
  </si>
  <si>
    <t>t1</t>
  </si>
  <si>
    <t>t2</t>
  </si>
  <si>
    <t>t3</t>
  </si>
  <si>
    <t>t4</t>
  </si>
  <si>
    <t>P_catch*RC</t>
  </si>
  <si>
    <t>ΔV</t>
  </si>
  <si>
    <t>PET_catch</t>
  </si>
  <si>
    <t>ET</t>
  </si>
  <si>
    <t>SEEP</t>
  </si>
  <si>
    <t>ET_catch</t>
  </si>
  <si>
    <t>SLUICE_1,2,3</t>
  </si>
  <si>
    <t>Tank Number</t>
  </si>
  <si>
    <t>% of total outflows</t>
  </si>
  <si>
    <t>% of total</t>
  </si>
  <si>
    <t>Discharge</t>
  </si>
  <si>
    <t>dS/dt=</t>
  </si>
  <si>
    <t>If No Tanks…</t>
  </si>
  <si>
    <t>Recharge %</t>
  </si>
  <si>
    <t>Tank Capacities</t>
  </si>
  <si>
    <t>10/15 runoff (mm)</t>
  </si>
  <si>
    <t>Recharge=</t>
  </si>
  <si>
    <t>total runoff vol</t>
  </si>
  <si>
    <t>Q (no tanks)</t>
  </si>
  <si>
    <t>total tank fill</t>
  </si>
  <si>
    <t>total tank fill + overflow</t>
  </si>
  <si>
    <r>
      <t>Volume (m</t>
    </r>
    <r>
      <rPr>
        <vertAlign val="superscript"/>
        <sz val="11"/>
        <color theme="1"/>
        <rFont val="Arial"/>
        <scheme val="minor"/>
      </rPr>
      <t>3</t>
    </r>
    <r>
      <rPr>
        <sz val="12"/>
        <color theme="1"/>
        <rFont val="Arial"/>
        <family val="2"/>
        <scheme val="minor"/>
      </rPr>
      <t>)</t>
    </r>
  </si>
  <si>
    <t>Inputs</t>
  </si>
  <si>
    <t>Rainfall on Tank</t>
  </si>
  <si>
    <t>10-16 -- Outflow Volumes (m3)</t>
  </si>
  <si>
    <t>Catchment Runoff</t>
  </si>
  <si>
    <t>dS/dt=P_tank+RUN-R_tank-ET_tank-Q</t>
  </si>
  <si>
    <t>RUN=dS/dt-P_tank+R_tank+ET_tank+Q</t>
  </si>
  <si>
    <t>Outputs</t>
  </si>
  <si>
    <t>Evapotranspiration</t>
  </si>
  <si>
    <t>dS/dt</t>
  </si>
  <si>
    <t>Irrigation (Sluice)</t>
  </si>
  <si>
    <t>net recharge values</t>
  </si>
  <si>
    <t>Outflow Volumes 10-16--1-13, interpolated recharge values</t>
  </si>
  <si>
    <t>Change in Storage (measured)</t>
  </si>
  <si>
    <t>Tank Storage</t>
  </si>
  <si>
    <t>Change in Storage (calculated)</t>
  </si>
  <si>
    <t>Runoff (STRANGE_average)</t>
  </si>
  <si>
    <t>Runoff (STRANGE_poor)</t>
  </si>
  <si>
    <t>Runoff (STRANGE_good)</t>
  </si>
  <si>
    <t>Runoff (1st &amp; 2nd Fill Volumes)</t>
  </si>
  <si>
    <t>from Mike</t>
  </si>
  <si>
    <t>Filling Volumes (m3)</t>
  </si>
  <si>
    <t>Runoff (calculated by difference)</t>
  </si>
  <si>
    <t>1st Filling</t>
  </si>
  <si>
    <t>1&amp;2</t>
  </si>
  <si>
    <t>Low Before 2nd Filling</t>
  </si>
  <si>
    <t>Difference</t>
  </si>
  <si>
    <t>2nd Filling_total</t>
  </si>
  <si>
    <t>Strange_Average</t>
  </si>
  <si>
    <t>2nd Filling (net)</t>
  </si>
  <si>
    <t>Total Filling</t>
  </si>
  <si>
    <t>cumulative</t>
  </si>
  <si>
    <t>Runoff (Strange)</t>
  </si>
  <si>
    <t>use modified catchment areas</t>
  </si>
  <si>
    <t>Observed in Tank:</t>
  </si>
  <si>
    <t>Difference:</t>
  </si>
  <si>
    <t>T1 Rech+SO+ET</t>
  </si>
  <si>
    <t>T1 WL Change</t>
  </si>
  <si>
    <t>T2 WL Change</t>
  </si>
  <si>
    <t>T3 WL Change</t>
  </si>
  <si>
    <t>T4 WL Change</t>
  </si>
  <si>
    <t>Recharge + SO (cm/day)</t>
  </si>
  <si>
    <t>% of max SA</t>
  </si>
  <si>
    <t>ET from Water Balance (cm/day)</t>
  </si>
  <si>
    <t>ET from Water Balance, with interpolation (cm/day)</t>
  </si>
  <si>
    <t>SO (m/day)</t>
  </si>
  <si>
    <t>Sluice Outflow (cm/day)</t>
  </si>
  <si>
    <t>Recharge (cm/day)</t>
  </si>
  <si>
    <t>Recharge (cm/day</t>
  </si>
  <si>
    <t>Catchment Rainfall (m3)</t>
  </si>
  <si>
    <t>Potential Pumping Influence (1 pump)</t>
  </si>
  <si>
    <t>Goal: Get Average water levels for the timeframe 23:30-00:30 for 10/16 - 3/7 for all tanks, Results are shown in columns AJ-AM</t>
  </si>
  <si>
    <t>Same Recharge + Sluice Outflow Values also used for Recharge Plot</t>
  </si>
  <si>
    <t>Negetive of Columns AT-AW. Resultant positive values indicate recharge and negetive values discharge.</t>
  </si>
  <si>
    <t>Values highlighted in red are those where ET is estimated as negetive which is not possible.
Values highlighted in purple indicated rainfall occuring.</t>
  </si>
  <si>
    <t>ET vs Relative Humidity Regression</t>
  </si>
  <si>
    <t>ET - Potential Pumping Influence (1 pump)</t>
  </si>
  <si>
    <t>Values used to estimate 1 hour Average Water Levels for midnight to midnight ET Estimation</t>
  </si>
  <si>
    <t>Tank Surface Area (m2)</t>
  </si>
  <si>
    <t>Tank Surface Area (2 Hectares)</t>
  </si>
  <si>
    <t>Time</t>
  </si>
  <si>
    <t>Barometric 
Pressure (kPa)</t>
  </si>
  <si>
    <t>Baro Water 
level Equivalent</t>
  </si>
  <si>
    <t>11:30-00:30 Averaged Water Levels</t>
  </si>
  <si>
    <t>Recharge + Sluice Outflow + ET(m/day)</t>
  </si>
  <si>
    <t>Sluice Outflow (m/day)</t>
  </si>
  <si>
    <t>Recharge + Sluice Outflow (m/min)</t>
  </si>
  <si>
    <t>Recharge + Sluice Outflow (m/day)</t>
  </si>
  <si>
    <t>2014-12-9 -- ET Estimation (m/day)</t>
  </si>
  <si>
    <t>ET Estimation (mm/day)</t>
  </si>
  <si>
    <t>Fully Corrected Water Levels 12am</t>
  </si>
  <si>
    <t>Ground 
Correction</t>
  </si>
  <si>
    <t>Global 
Correction</t>
  </si>
  <si>
    <t>Gravity</t>
  </si>
  <si>
    <t>Water Density 
@ 25c</t>
  </si>
  <si>
    <t>Relative
Humidity</t>
  </si>
  <si>
    <t>Scaled Relative Humidity
for Third axis</t>
  </si>
  <si>
    <t>Third y-axis series and labels</t>
  </si>
  <si>
    <t>Temp</t>
  </si>
  <si>
    <t>Tirum
Rainfall (cm)</t>
  </si>
  <si>
    <t>Tirum
Rainfall (mm)</t>
  </si>
  <si>
    <t>10-16</t>
  </si>
  <si>
    <t>8-1</t>
  </si>
  <si>
    <t>9-26</t>
  </si>
  <si>
    <t>10-17</t>
  </si>
  <si>
    <t>8-2</t>
  </si>
  <si>
    <t>9-27</t>
  </si>
  <si>
    <t>10-18</t>
  </si>
  <si>
    <t>8-3</t>
  </si>
  <si>
    <t>9-28</t>
  </si>
  <si>
    <t>10-19</t>
  </si>
  <si>
    <t>8-4</t>
  </si>
  <si>
    <t>9-29</t>
  </si>
  <si>
    <t>10-20</t>
  </si>
  <si>
    <t>8-5</t>
  </si>
  <si>
    <t>9-30</t>
  </si>
  <si>
    <t>10-21</t>
  </si>
  <si>
    <t>8-6</t>
  </si>
  <si>
    <t>10-1</t>
  </si>
  <si>
    <t>10-22</t>
  </si>
  <si>
    <t>8-7</t>
  </si>
  <si>
    <t>10-2</t>
  </si>
  <si>
    <t>10-23</t>
  </si>
  <si>
    <t>8-8</t>
  </si>
  <si>
    <t>10-3</t>
  </si>
  <si>
    <t>10-24</t>
  </si>
  <si>
    <t>8-9</t>
  </si>
  <si>
    <t>10-4</t>
  </si>
  <si>
    <t>10-25</t>
  </si>
  <si>
    <t>8-10</t>
  </si>
  <si>
    <t>10-5</t>
  </si>
  <si>
    <t>10-26</t>
  </si>
  <si>
    <t>8-11</t>
  </si>
  <si>
    <t>10-6</t>
  </si>
  <si>
    <t>10-27</t>
  </si>
  <si>
    <t>8-12</t>
  </si>
  <si>
    <t>10-7</t>
  </si>
  <si>
    <t>10-28</t>
  </si>
  <si>
    <t>8-13</t>
  </si>
  <si>
    <t>10-8</t>
  </si>
  <si>
    <t>10-29</t>
  </si>
  <si>
    <t>8-14</t>
  </si>
  <si>
    <t>10-9</t>
  </si>
  <si>
    <t>10-30</t>
  </si>
  <si>
    <t>8-15</t>
  </si>
  <si>
    <t>10-10</t>
  </si>
  <si>
    <t>10-31</t>
  </si>
  <si>
    <t>8-16</t>
  </si>
  <si>
    <t>10-11</t>
  </si>
  <si>
    <t>11-1</t>
  </si>
  <si>
    <t>8-17</t>
  </si>
  <si>
    <t>10-12</t>
  </si>
  <si>
    <t>11-2</t>
  </si>
  <si>
    <t>8-18</t>
  </si>
  <si>
    <t>10-13</t>
  </si>
  <si>
    <t>11-3</t>
  </si>
  <si>
    <t>8-19</t>
  </si>
  <si>
    <t>10-14</t>
  </si>
  <si>
    <t>11-4</t>
  </si>
  <si>
    <t>8-20</t>
  </si>
  <si>
    <t>10-15</t>
  </si>
  <si>
    <t>11-5</t>
  </si>
  <si>
    <t>8-21</t>
  </si>
  <si>
    <t>11-6</t>
  </si>
  <si>
    <t>8-22</t>
  </si>
  <si>
    <t>11-7</t>
  </si>
  <si>
    <t>8-23</t>
  </si>
  <si>
    <t>11-8</t>
  </si>
  <si>
    <t>8-24</t>
  </si>
  <si>
    <t>11-9</t>
  </si>
  <si>
    <t>8-25</t>
  </si>
  <si>
    <t>11-10</t>
  </si>
  <si>
    <t>8-26</t>
  </si>
  <si>
    <t>11-11</t>
  </si>
  <si>
    <t>8-27</t>
  </si>
  <si>
    <t>11-12</t>
  </si>
  <si>
    <t>8-28</t>
  </si>
  <si>
    <t>11-13</t>
  </si>
  <si>
    <t>8-29</t>
  </si>
  <si>
    <t>11-14</t>
  </si>
  <si>
    <t>8-30</t>
  </si>
  <si>
    <t>11-15</t>
  </si>
  <si>
    <t>8-31</t>
  </si>
  <si>
    <t>11-16</t>
  </si>
  <si>
    <t>9-1</t>
  </si>
  <si>
    <t>11-17</t>
  </si>
  <si>
    <t>9-2</t>
  </si>
  <si>
    <t>11-18</t>
  </si>
  <si>
    <t>9-3</t>
  </si>
  <si>
    <t>11-19</t>
  </si>
  <si>
    <t>9-4</t>
  </si>
  <si>
    <t>11-20</t>
  </si>
  <si>
    <t>9-5</t>
  </si>
  <si>
    <t>11-21</t>
  </si>
  <si>
    <t>9-6</t>
  </si>
  <si>
    <t>11-22</t>
  </si>
  <si>
    <t>9-7</t>
  </si>
  <si>
    <t>11-23</t>
  </si>
  <si>
    <t>9-8</t>
  </si>
  <si>
    <t>11-24</t>
  </si>
  <si>
    <t>9-9</t>
  </si>
  <si>
    <t>11-25</t>
  </si>
  <si>
    <t>9-10</t>
  </si>
  <si>
    <t>11-26</t>
  </si>
  <si>
    <t>9-11</t>
  </si>
  <si>
    <t>11-27</t>
  </si>
  <si>
    <t>9-12</t>
  </si>
  <si>
    <t>11-28</t>
  </si>
  <si>
    <t>9-13</t>
  </si>
  <si>
    <t>11-29</t>
  </si>
  <si>
    <t>9-14</t>
  </si>
  <si>
    <t>11-30</t>
  </si>
  <si>
    <t>9-15</t>
  </si>
  <si>
    <t>12-1</t>
  </si>
  <si>
    <t>9-16</t>
  </si>
  <si>
    <t>12-2</t>
  </si>
  <si>
    <t>9-17</t>
  </si>
  <si>
    <t>12-3</t>
  </si>
  <si>
    <t>9-18</t>
  </si>
  <si>
    <t>12-4</t>
  </si>
  <si>
    <t>9-19</t>
  </si>
  <si>
    <t>12-5</t>
  </si>
  <si>
    <t>9-20</t>
  </si>
  <si>
    <t>12-6</t>
  </si>
  <si>
    <t>9-21</t>
  </si>
  <si>
    <t>12-7</t>
  </si>
  <si>
    <t>9-22</t>
  </si>
  <si>
    <t>12-8</t>
  </si>
  <si>
    <t>9-23</t>
  </si>
  <si>
    <t>12-9</t>
  </si>
  <si>
    <t>9-24</t>
  </si>
  <si>
    <t>12-10</t>
  </si>
  <si>
    <t>9-25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</si>
  <si>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</si>
  <si>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</si>
  <si>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</si>
  <si>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</si>
  <si>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</si>
  <si>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</si>
  <si>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</si>
  <si>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</si>
  <si>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</si>
  <si>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</si>
  <si>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</si>
  <si>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</si>
  <si>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</si>
  <si>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</si>
  <si>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</si>
  <si>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</si>
  <si>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</si>
  <si>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</si>
  <si>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</si>
  <si>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12-30</t>
  </si>
  <si>
    <t>12-31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</si>
  <si>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</si>
  <si>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</si>
  <si>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</si>
  <si>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</si>
  <si>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</si>
  <si>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</si>
  <si>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</si>
  <si>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</si>
  <si>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</si>
  <si>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</si>
  <si>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</si>
  <si>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</si>
  <si>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</si>
  <si>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</si>
  <si>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</si>
  <si>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</si>
  <si>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</si>
  <si>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</si>
  <si>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</si>
  <si>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</si>
  <si>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</si>
  <si>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</si>
  <si>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</si>
  <si>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</si>
  <si>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</si>
  <si>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</si>
  <si>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</si>
  <si>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</si>
  <si>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</si>
  <si>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</si>
  <si>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</si>
  <si>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</si>
  <si>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</si>
  <si>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</si>
  <si>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</si>
  <si>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</si>
  <si>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</si>
  <si>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</si>
  <si>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</si>
  <si>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</si>
  <si>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</si>
  <si>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</si>
  <si>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</si>
  <si>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</si>
  <si>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</si>
  <si>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</si>
  <si>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</si>
  <si>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</si>
  <si>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</si>
  <si>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</si>
  <si>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</si>
  <si>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</si>
  <si>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</si>
  <si>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</si>
  <si>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</si>
  <si>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</si>
  <si>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</si>
  <si>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</si>
  <si>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</si>
  <si>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3-1</t>
  </si>
  <si>
    <t>3-2</t>
  </si>
  <si>
    <t>3-3</t>
  </si>
  <si>
    <t>3-4</t>
  </si>
  <si>
    <t>3-5</t>
  </si>
  <si>
    <t>3-6</t>
  </si>
  <si>
    <t>3-7</t>
  </si>
  <si>
    <t>ET Plots, with interpolated values</t>
  </si>
  <si>
    <t>ET, with interpolated values</t>
  </si>
  <si>
    <t>ET plots with interpolated values</t>
  </si>
  <si>
    <t>ET plots without interpolated values</t>
  </si>
  <si>
    <t>SE</t>
  </si>
  <si>
    <t>Groundwater exchange plots with interpolated values</t>
  </si>
  <si>
    <t>Recharge, no rain days (cm/day)</t>
  </si>
  <si>
    <t>Recharge (m3/day)</t>
  </si>
  <si>
    <t>Recharge (m3/day</t>
  </si>
  <si>
    <t>New Values</t>
  </si>
  <si>
    <t>what i</t>
  </si>
  <si>
    <t>new values</t>
  </si>
  <si>
    <t>Sluice Outflow (m3/day)</t>
  </si>
  <si>
    <t>SUM:</t>
  </si>
  <si>
    <t>ET from Water Balance, with interpolation (m3/day)</t>
  </si>
  <si>
    <t>Net</t>
  </si>
  <si>
    <t>DSLMR</t>
  </si>
  <si>
    <t>Total Outflow (m3/day)</t>
  </si>
  <si>
    <t>Total Outflow (m3/day</t>
  </si>
  <si>
    <t>Total Outflow, Cumulative (m3/day)</t>
  </si>
  <si>
    <t>Total Outflow, Cumulative  (m3/day</t>
  </si>
  <si>
    <t>Recharge, corrected (m3/day)</t>
  </si>
  <si>
    <t>Recharge, corrected (m3/day</t>
  </si>
  <si>
    <t>Runoff Volume (m3), bad catchment, deduct 40%</t>
  </si>
  <si>
    <t>Runoff Volume (m3), good catchment, add 60%</t>
  </si>
  <si>
    <t>Runoff Volume (m3), good catchment, add 50%</t>
  </si>
  <si>
    <t>Surplus Sluice (m3)</t>
  </si>
  <si>
    <t>Command Areas:</t>
  </si>
  <si>
    <t>m2</t>
  </si>
  <si>
    <t>Rainfall (m3)</t>
  </si>
  <si>
    <t>CWR (mm)</t>
  </si>
  <si>
    <t>CWR (m3)</t>
  </si>
  <si>
    <t>Sluice Outflow (m3)</t>
  </si>
  <si>
    <t>CWR-Rain (m3)</t>
  </si>
  <si>
    <t>Sluice (m3)</t>
  </si>
  <si>
    <t>m3/day</t>
  </si>
  <si>
    <t>Rainfall (neg values)</t>
  </si>
  <si>
    <t>10/15-1/13</t>
  </si>
  <si>
    <t>Total Catchment Runoff, No Tanks</t>
  </si>
  <si>
    <t>Total RO:</t>
  </si>
  <si>
    <t>Unmet Demand</t>
  </si>
  <si>
    <t>ET, without interpolated values (cm/day)</t>
  </si>
  <si>
    <t>ET, without interpolated values (mm/day)</t>
  </si>
  <si>
    <t>count</t>
  </si>
  <si>
    <t>cm/day</t>
  </si>
  <si>
    <t>Revised version based on Dan's comments</t>
  </si>
  <si>
    <t>Sluice Outflow</t>
  </si>
  <si>
    <t>T1 WL Change (if negative, for equilibration calcs)</t>
  </si>
  <si>
    <t>T2 WL  (if negative, for equilibration calcs)</t>
  </si>
  <si>
    <t>T3 WL  (if negative, for equilibration calcs)</t>
  </si>
  <si>
    <t>T4 WL  (if negative, for equilibration calcs)</t>
  </si>
  <si>
    <t xml:space="preserve">T1
Change in SA
</t>
  </si>
  <si>
    <t xml:space="preserve">T2
Change in SA
</t>
  </si>
  <si>
    <t xml:space="preserve">T3
Change in SA
</t>
  </si>
  <si>
    <t xml:space="preserve">T4
Change in SA
</t>
  </si>
  <si>
    <t>T1
Equilibration Estimate (cm)</t>
  </si>
  <si>
    <t>T1
Equilibration Estimate (m3)</t>
  </si>
  <si>
    <t>equilibration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</si>
</sst>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[$-409]m/d/yy\ h:mm\ AM/PM;@"/>
    <numFmt numFmtId="165" formatCode="0.000"/>
    <numFmt numFmtId="166" formatCode="0.00000"/>
    <numFmt numFmtId="167" formatCode="0.0000000"/>
    <numFmt numFmtId="168" formatCode="0.0000"/>
    <numFmt numFmtId="169" formatCode="_(* #,##0_);_(* \(#,##0\);_(* &quot;-&quot;??_);_(@_)"/>
    <numFmt numFmtId="170" formatCode="###0.00;###0.00"/>
    <numFmt numFmtId="171" formatCode="###0;###0"/>
    <numFmt numFmtId="172" formatCode="_(* #,##0.0_);_(* \(#,##0.0\);_(* &quot;-&quot;??_);_(@_)"/>
    <numFmt numFmtId="173" formatCode="0.0"/>
    <numFmt numFmtId="174" formatCode="###0.000;###0.000"/>
    <numFmt numFmtId="175" formatCode="###0.00"/>
    <numFmt numFmtId="176" formatCode="m/d;@"/>
  </numFmts>
  <fonts count="51">
    <font>
      <sz val="12"/>
      <color theme="1"/>
      <name val="Arial"/>
      <family val="2"/>
      <scheme val="minor"/>
    </font>
    <font>
      <sz val="12"/>
      <color theme="1"/>
      <name val="Arial"/>
      <family val="2"/>
      <charset val="134"/>
      <scheme val="minor"/>
    </font>
    <font>
      <sz val="12"/>
      <color theme="1"/>
      <name val="Arial"/>
      <family val="2"/>
      <charset val="134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charset val="128"/>
      <scheme val="minor"/>
    </font>
    <font>
      <sz val="12"/>
      <color rgb="FF006100"/>
      <name val="Arial"/>
      <family val="2"/>
      <charset val="128"/>
      <scheme val="minor"/>
    </font>
    <font>
      <sz val="12"/>
      <color rgb="FF9C0006"/>
      <name val="Arial"/>
      <family val="2"/>
      <charset val="128"/>
      <scheme val="minor"/>
    </font>
    <font>
      <sz val="12"/>
      <color rgb="FF9C6500"/>
      <name val="Arial"/>
      <family val="2"/>
      <charset val="128"/>
      <scheme val="minor"/>
    </font>
    <font>
      <sz val="12"/>
      <color theme="0"/>
      <name val="Arial"/>
      <family val="2"/>
      <charset val="128"/>
      <scheme val="minor"/>
    </font>
    <font>
      <sz val="11"/>
      <color rgb="FF006100"/>
      <name val="Arial"/>
      <family val="2"/>
      <scheme val="minor"/>
    </font>
    <font>
      <b/>
      <sz val="11"/>
      <color theme="1"/>
      <name val="Arial"/>
      <family val="2"/>
      <scheme val="minor"/>
    </font>
    <font>
      <u/>
      <sz val="12"/>
      <color theme="10"/>
      <name val="Arial"/>
      <family val="2"/>
      <charset val="128"/>
      <scheme val="minor"/>
    </font>
    <font>
      <u/>
      <sz val="12"/>
      <color theme="11"/>
      <name val="Arial"/>
      <family val="2"/>
      <charset val="128"/>
      <scheme val="minor"/>
    </font>
    <font>
      <sz val="11"/>
      <color rgb="FF9C0006"/>
      <name val="Arial"/>
      <family val="2"/>
      <scheme val="minor"/>
    </font>
    <font>
      <sz val="11"/>
      <color theme="1"/>
      <name val="Arial"/>
      <scheme val="minor"/>
    </font>
    <font>
      <b/>
      <sz val="12"/>
      <color theme="0"/>
      <name val="Arial"/>
      <family val="2"/>
      <charset val="128"/>
      <scheme val="minor"/>
    </font>
    <font>
      <b/>
      <sz val="12"/>
      <color theme="1"/>
      <name val="Arial"/>
      <family val="2"/>
      <charset val="128"/>
      <scheme val="minor"/>
    </font>
    <font>
      <sz val="14"/>
      <color theme="1"/>
      <name val="Arial"/>
      <family val="2"/>
      <scheme val="minor"/>
    </font>
    <font>
      <sz val="12"/>
      <color rgb="FF000000"/>
      <name val="Arial"/>
      <family val="2"/>
      <charset val="128"/>
      <scheme val="minor"/>
    </font>
    <font>
      <b/>
      <sz val="11"/>
      <color rgb="FF000000"/>
      <name val="Arial"/>
      <family val="2"/>
      <scheme val="minor"/>
    </font>
    <font>
      <sz val="11"/>
      <color rgb="FFFFFFFF"/>
      <name val="Arial"/>
      <family val="2"/>
      <scheme val="minor"/>
    </font>
    <font>
      <sz val="11"/>
      <color rgb="FF9C6500"/>
      <name val="Arial"/>
      <family val="2"/>
      <scheme val="minor"/>
    </font>
    <font>
      <sz val="12"/>
      <name val="Times New Roman"/>
      <family val="1"/>
    </font>
    <font>
      <sz val="12"/>
      <color rgb="FF000000"/>
      <name val="Calibri"/>
      <family val="2"/>
    </font>
    <font>
      <b/>
      <sz val="18"/>
      <color theme="3"/>
      <name val="Arial Black"/>
      <family val="2"/>
      <charset val="134"/>
      <scheme val="major"/>
    </font>
    <font>
      <b/>
      <sz val="15"/>
      <color theme="3"/>
      <name val="Arial"/>
      <family val="2"/>
      <charset val="134"/>
      <scheme val="minor"/>
    </font>
    <font>
      <b/>
      <sz val="13"/>
      <color theme="3"/>
      <name val="Arial"/>
      <family val="2"/>
      <charset val="134"/>
      <scheme val="minor"/>
    </font>
    <font>
      <b/>
      <sz val="11"/>
      <color theme="3"/>
      <name val="Arial"/>
      <family val="2"/>
      <charset val="134"/>
      <scheme val="minor"/>
    </font>
    <font>
      <sz val="12"/>
      <color rgb="FFFFFFFF"/>
      <name val="Calibri"/>
      <family val="2"/>
    </font>
    <font>
      <sz val="11"/>
      <color theme="0"/>
      <name val="Arial"/>
      <family val="2"/>
      <scheme val="minor"/>
    </font>
    <font>
      <sz val="11"/>
      <name val="Calibri"/>
      <family val="2"/>
    </font>
    <font>
      <sz val="11"/>
      <color rgb="FF000000"/>
      <name val="Arial"/>
      <family val="2"/>
      <scheme val="minor"/>
    </font>
    <font>
      <sz val="11"/>
      <name val="Arial"/>
      <family val="2"/>
      <scheme val="minor"/>
    </font>
    <font>
      <sz val="11"/>
      <color theme="1"/>
      <name val="Times"/>
    </font>
    <font>
      <sz val="12"/>
      <name val="Arial"/>
      <scheme val="minor"/>
    </font>
    <font>
      <vertAlign val="superscript"/>
      <sz val="11"/>
      <color theme="1"/>
      <name val="Arial"/>
      <scheme val="minor"/>
    </font>
    <font>
      <i/>
      <sz val="11"/>
      <color theme="1"/>
      <name val="Arial"/>
      <scheme val="minor"/>
    </font>
    <font>
      <b/>
      <sz val="10"/>
      <color rgb="FF000000"/>
      <name val="Arial"/>
      <family val="2"/>
      <scheme val="minor"/>
    </font>
    <font>
      <b/>
      <sz val="11"/>
      <color indexed="52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indexed="52"/>
      <name val="Calibri"/>
      <family val="2"/>
    </font>
    <font>
      <sz val="11"/>
      <color rgb="FFFA7D00"/>
      <name val="Arial"/>
      <family val="2"/>
      <scheme val="minor"/>
    </font>
    <font>
      <sz val="12"/>
      <color indexed="60"/>
      <name val="Arial"/>
      <family val="2"/>
      <charset val="128"/>
      <scheme val="minor"/>
    </font>
    <font>
      <sz val="11"/>
      <color indexed="60"/>
      <name val="Arial"/>
      <family val="2"/>
      <scheme val="minor"/>
    </font>
    <font>
      <sz val="11"/>
      <color indexed="8"/>
      <name val="Calibri"/>
      <family val="2"/>
    </font>
    <font>
      <b/>
      <sz val="11"/>
      <color rgb="FF3F3F3F"/>
      <name val="Arial"/>
      <family val="2"/>
      <scheme val="minor"/>
    </font>
    <font>
      <sz val="12"/>
      <color theme="1"/>
      <name val="Times New Roman"/>
      <family val="1"/>
    </font>
    <font>
      <b/>
      <sz val="20"/>
      <color theme="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660066"/>
      <name val="Arial"/>
      <scheme val="minor"/>
    </font>
  </fonts>
  <fills count="9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FFCC66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</patternFill>
    </fill>
    <fill>
      <patternFill patternType="solid">
        <fgColor rgb="FFC0504D"/>
        <bgColor rgb="FF000000"/>
      </patternFill>
    </fill>
    <fill>
      <patternFill patternType="solid">
        <fgColor rgb="FF4F81BD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5"/>
      </patternFill>
    </fill>
    <fill>
      <patternFill patternType="solid">
        <fgColor rgb="FFD8E4BC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indexed="30"/>
      </patternFill>
    </fill>
    <fill>
      <patternFill patternType="solid">
        <fgColor indexed="44"/>
      </patternFill>
    </fill>
    <fill>
      <patternFill patternType="solid">
        <fgColor rgb="FF95B3D7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29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FF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34998626667073579"/>
        <bgColor indexed="64"/>
      </patternFill>
    </fill>
  </fills>
  <borders count="6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rgb="FF030C18"/>
      </left>
      <right/>
      <top style="thin">
        <color rgb="FF000308"/>
      </top>
      <bottom style="thin">
        <color rgb="FF000300"/>
      </bottom>
      <diagonal/>
    </border>
    <border>
      <left style="thin">
        <color rgb="FF030C18"/>
      </left>
      <right/>
      <top/>
      <bottom style="thin">
        <color rgb="FF030300"/>
      </bottom>
      <diagonal/>
    </border>
    <border>
      <left style="thin">
        <color rgb="FF030C18"/>
      </left>
      <right/>
      <top/>
      <bottom style="thin">
        <color rgb="FF030000"/>
      </bottom>
      <diagonal/>
    </border>
    <border>
      <left style="thin">
        <color rgb="FF030C18"/>
      </left>
      <right/>
      <top/>
      <bottom style="thin">
        <color rgb="FF000308"/>
      </bottom>
      <diagonal/>
    </border>
    <border>
      <left style="thin">
        <color rgb="FF030C18"/>
      </left>
      <right/>
      <top/>
      <bottom style="thin">
        <color rgb="FF000300"/>
      </bottom>
      <diagonal/>
    </border>
    <border>
      <left style="thin">
        <color rgb="FF030C18"/>
      </left>
      <right/>
      <top/>
      <bottom style="thin">
        <color rgb="FF000318"/>
      </bottom>
      <diagonal/>
    </border>
    <border>
      <left style="thin">
        <color rgb="FF030C18"/>
      </left>
      <right/>
      <top style="thin">
        <color rgb="FF000300"/>
      </top>
      <bottom style="thin">
        <color rgb="FF030000"/>
      </bottom>
      <diagonal/>
    </border>
    <border>
      <left style="thin">
        <color rgb="FF030C18"/>
      </left>
      <right/>
      <top/>
      <bottom style="thin">
        <color rgb="FF030303"/>
      </bottom>
      <diagonal/>
    </border>
    <border>
      <left style="thin">
        <color rgb="FF030C18"/>
      </left>
      <right/>
      <top/>
      <bottom style="thin">
        <color rgb="FF000003"/>
      </bottom>
      <diagonal/>
    </border>
  </borders>
  <cellStyleXfs count="236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8" fillId="23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4" fillId="0" borderId="0"/>
    <xf numFmtId="0" fontId="29" fillId="66" borderId="0" applyNumberFormat="0" applyBorder="0" applyAlignment="0" applyProtection="0"/>
    <xf numFmtId="43" fontId="14" fillId="0" borderId="0" applyFont="0" applyFill="0" applyBorder="0" applyAlignment="0" applyProtection="0"/>
    <xf numFmtId="0" fontId="14" fillId="67" borderId="0" applyNumberFormat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0" fontId="14" fillId="71" borderId="0" applyNumberFormat="0" applyBorder="0" applyAlignment="0" applyProtection="0"/>
    <xf numFmtId="0" fontId="14" fillId="46" borderId="0" applyNumberFormat="0" applyBorder="0" applyAlignment="0" applyProtection="0"/>
    <xf numFmtId="0" fontId="14" fillId="49" borderId="0" applyNumberFormat="0" applyBorder="0" applyAlignment="0" applyProtection="0"/>
    <xf numFmtId="0" fontId="14" fillId="51" borderId="0" applyNumberFormat="0" applyBorder="0" applyAlignment="0" applyProtection="0"/>
    <xf numFmtId="0" fontId="14" fillId="71" borderId="0" applyNumberFormat="0" applyBorder="0" applyAlignment="0" applyProtection="0"/>
    <xf numFmtId="0" fontId="14" fillId="55" borderId="0" applyNumberFormat="0" applyBorder="0" applyAlignment="0" applyProtection="0"/>
    <xf numFmtId="0" fontId="14" fillId="62" borderId="0" applyNumberFormat="0" applyBorder="0" applyAlignment="0" applyProtection="0"/>
    <xf numFmtId="0" fontId="14" fillId="71" borderId="0" applyNumberFormat="0" applyBorder="0" applyAlignment="0" applyProtection="0"/>
    <xf numFmtId="0" fontId="14" fillId="47" borderId="0" applyNumberFormat="0" applyBorder="0" applyAlignment="0" applyProtection="0"/>
    <xf numFmtId="0" fontId="14" fillId="52" borderId="0" applyNumberFormat="0" applyBorder="0" applyAlignment="0" applyProtection="0"/>
    <xf numFmtId="0" fontId="14" fillId="71" borderId="0" applyNumberFormat="0" applyBorder="0" applyAlignment="0" applyProtection="0"/>
    <xf numFmtId="0" fontId="14" fillId="56" borderId="0" applyNumberFormat="0" applyBorder="0" applyAlignment="0" applyProtection="0"/>
    <xf numFmtId="0" fontId="14" fillId="67" borderId="0" applyNumberFormat="0" applyBorder="0" applyAlignment="0" applyProtection="0"/>
    <xf numFmtId="0" fontId="14" fillId="59" borderId="0" applyNumberFormat="0" applyBorder="0" applyAlignment="0" applyProtection="0"/>
    <xf numFmtId="0" fontId="14" fillId="72" borderId="0" applyNumberFormat="0" applyBorder="0" applyAlignment="0" applyProtection="0"/>
    <xf numFmtId="0" fontId="14" fillId="63" borderId="0" applyNumberFormat="0" applyBorder="0" applyAlignment="0" applyProtection="0"/>
    <xf numFmtId="0" fontId="29" fillId="73" borderId="0" applyNumberFormat="0" applyBorder="0" applyAlignment="0" applyProtection="0"/>
    <xf numFmtId="0" fontId="29" fillId="48" borderId="0" applyNumberFormat="0" applyBorder="0" applyAlignment="0" applyProtection="0"/>
    <xf numFmtId="0" fontId="29" fillId="74" borderId="0" applyNumberFormat="0" applyBorder="0" applyAlignment="0" applyProtection="0"/>
    <xf numFmtId="0" fontId="29" fillId="50" borderId="0" applyNumberFormat="0" applyBorder="0" applyAlignment="0" applyProtection="0"/>
    <xf numFmtId="0" fontId="29" fillId="72" borderId="0" applyNumberFormat="0" applyBorder="0" applyAlignment="0" applyProtection="0"/>
    <xf numFmtId="0" fontId="29" fillId="53" borderId="0" applyNumberFormat="0" applyBorder="0" applyAlignment="0" applyProtection="0"/>
    <xf numFmtId="0" fontId="29" fillId="71" borderId="0" applyNumberFormat="0" applyBorder="0" applyAlignment="0" applyProtection="0"/>
    <xf numFmtId="0" fontId="29" fillId="57" borderId="0" applyNumberFormat="0" applyBorder="0" applyAlignment="0" applyProtection="0"/>
    <xf numFmtId="0" fontId="29" fillId="73" borderId="0" applyNumberFormat="0" applyBorder="0" applyAlignment="0" applyProtection="0"/>
    <xf numFmtId="0" fontId="29" fillId="60" borderId="0" applyNumberFormat="0" applyBorder="0" applyAlignment="0" applyProtection="0"/>
    <xf numFmtId="0" fontId="29" fillId="64" borderId="0" applyNumberFormat="0" applyBorder="0" applyAlignment="0" applyProtection="0"/>
    <xf numFmtId="0" fontId="8" fillId="73" borderId="0" applyNumberFormat="0" applyBorder="0" applyAlignment="0" applyProtection="0"/>
    <xf numFmtId="0" fontId="8" fillId="5" borderId="0" applyNumberFormat="0" applyBorder="0" applyAlignment="0" applyProtection="0"/>
    <xf numFmtId="0" fontId="29" fillId="73" borderId="0" applyNumberFormat="0" applyBorder="0" applyAlignment="0" applyProtection="0"/>
    <xf numFmtId="0" fontId="29" fillId="5" borderId="0" applyNumberFormat="0" applyBorder="0" applyAlignment="0" applyProtection="0"/>
    <xf numFmtId="0" fontId="29" fillId="75" borderId="0" applyNumberFormat="0" applyBorder="0" applyAlignment="0" applyProtection="0"/>
    <xf numFmtId="0" fontId="29" fillId="76" borderId="0" applyNumberFormat="0" applyBorder="0" applyAlignment="0" applyProtection="0"/>
    <xf numFmtId="0" fontId="29" fillId="23" borderId="0" applyNumberFormat="0" applyBorder="0" applyAlignment="0" applyProtection="0"/>
    <xf numFmtId="0" fontId="8" fillId="77" borderId="0" applyNumberFormat="0" applyBorder="0" applyAlignment="0" applyProtection="0"/>
    <xf numFmtId="0" fontId="8" fillId="6" borderId="0" applyNumberFormat="0" applyBorder="0" applyAlignment="0" applyProtection="0"/>
    <xf numFmtId="0" fontId="29" fillId="77" borderId="0" applyNumberFormat="0" applyBorder="0" applyAlignment="0" applyProtection="0"/>
    <xf numFmtId="0" fontId="29" fillId="6" borderId="0" applyNumberFormat="0" applyBorder="0" applyAlignment="0" applyProtection="0"/>
    <xf numFmtId="0" fontId="29" fillId="54" borderId="0" applyNumberFormat="0" applyBorder="0" applyAlignment="0" applyProtection="0"/>
    <xf numFmtId="0" fontId="29" fillId="78" borderId="0" applyNumberFormat="0" applyBorder="0" applyAlignment="0" applyProtection="0"/>
    <xf numFmtId="0" fontId="29" fillId="61" borderId="0" applyNumberFormat="0" applyBorder="0" applyAlignment="0" applyProtection="0"/>
    <xf numFmtId="0" fontId="6" fillId="79" borderId="0" applyNumberFormat="0" applyBorder="0" applyAlignment="0" applyProtection="0"/>
    <xf numFmtId="0" fontId="6" fillId="3" borderId="0" applyNumberFormat="0" applyBorder="0" applyAlignment="0" applyProtection="0"/>
    <xf numFmtId="0" fontId="13" fillId="79" borderId="0" applyNumberFormat="0" applyBorder="0" applyAlignment="0" applyProtection="0"/>
    <xf numFmtId="0" fontId="13" fillId="3" borderId="0" applyNumberFormat="0" applyBorder="0" applyAlignment="0" applyProtection="0"/>
    <xf numFmtId="0" fontId="13" fillId="79" borderId="0" applyNumberFormat="0" applyBorder="0" applyAlignment="0" applyProtection="0"/>
    <xf numFmtId="0" fontId="38" fillId="43" borderId="28" applyNumberFormat="0" applyAlignment="0" applyProtection="0"/>
    <xf numFmtId="0" fontId="39" fillId="43" borderId="28" applyNumberFormat="0" applyAlignment="0" applyProtection="0"/>
    <xf numFmtId="0" fontId="5" fillId="80" borderId="0" applyNumberFormat="0" applyBorder="0" applyAlignment="0" applyProtection="0"/>
    <xf numFmtId="0" fontId="5" fillId="2" borderId="0" applyNumberFormat="0" applyBorder="0" applyAlignment="0" applyProtection="0"/>
    <xf numFmtId="0" fontId="9" fillId="80" borderId="0" applyNumberFormat="0" applyBorder="0" applyAlignment="0" applyProtection="0"/>
    <xf numFmtId="0" fontId="9" fillId="2" borderId="0" applyNumberFormat="0" applyBorder="0" applyAlignment="0" applyProtection="0"/>
    <xf numFmtId="0" fontId="9" fillId="80" borderId="0" applyNumberFormat="0" applyBorder="0" applyAlignment="0" applyProtection="0"/>
    <xf numFmtId="0" fontId="25" fillId="0" borderId="37" applyNumberFormat="0" applyFill="0" applyAlignment="0" applyProtection="0"/>
    <xf numFmtId="0" fontId="25" fillId="0" borderId="25" applyNumberFormat="0" applyFill="0" applyAlignment="0" applyProtection="0"/>
    <xf numFmtId="0" fontId="26" fillId="0" borderId="38" applyNumberFormat="0" applyFill="0" applyAlignment="0" applyProtection="0"/>
    <xf numFmtId="0" fontId="26" fillId="0" borderId="26" applyNumberFormat="0" applyFill="0" applyAlignment="0" applyProtection="0"/>
    <xf numFmtId="0" fontId="27" fillId="0" borderId="39" applyNumberFormat="0" applyFill="0" applyAlignment="0" applyProtection="0"/>
    <xf numFmtId="0" fontId="27" fillId="0" borderId="27" applyNumberFormat="0" applyFill="0" applyAlignment="0" applyProtection="0"/>
    <xf numFmtId="0" fontId="27" fillId="0" borderId="0" applyNumberFormat="0" applyFill="0" applyBorder="0" applyAlignment="0" applyProtection="0"/>
    <xf numFmtId="0" fontId="40" fillId="42" borderId="28" applyNumberFormat="0" applyAlignment="0" applyProtection="0"/>
    <xf numFmtId="0" fontId="41" fillId="0" borderId="40" applyNumberFormat="0" applyFill="0" applyAlignment="0" applyProtection="0"/>
    <xf numFmtId="0" fontId="42" fillId="0" borderId="30" applyNumberFormat="0" applyFill="0" applyAlignment="0" applyProtection="0"/>
    <xf numFmtId="0" fontId="43" fillId="4" borderId="0" applyNumberFormat="0" applyBorder="0" applyAlignment="0" applyProtection="0"/>
    <xf numFmtId="0" fontId="7" fillId="4" borderId="0" applyNumberFormat="0" applyBorder="0" applyAlignment="0" applyProtection="0"/>
    <xf numFmtId="0" fontId="44" fillId="4" borderId="0" applyNumberFormat="0" applyBorder="0" applyAlignment="0" applyProtection="0"/>
    <xf numFmtId="0" fontId="21" fillId="4" borderId="0" applyNumberFormat="0" applyBorder="0" applyAlignment="0" applyProtection="0"/>
    <xf numFmtId="0" fontId="45" fillId="45" borderId="32" applyNumberFormat="0" applyFont="0" applyAlignment="0" applyProtection="0"/>
    <xf numFmtId="0" fontId="14" fillId="45" borderId="32" applyNumberFormat="0" applyFont="0" applyAlignment="0" applyProtection="0"/>
    <xf numFmtId="0" fontId="46" fillId="43" borderId="29" applyNumberFormat="0" applyAlignment="0" applyProtection="0"/>
    <xf numFmtId="9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10" fillId="0" borderId="41" applyNumberFormat="0" applyFill="0" applyAlignment="0" applyProtection="0"/>
    <xf numFmtId="0" fontId="10" fillId="0" borderId="33" applyNumberFormat="0" applyFill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49" fillId="44" borderId="31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9" fillId="58" borderId="0" applyNumberFormat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913">
    <xf numFmtId="0" fontId="0" fillId="0" borderId="0" xfId="0"/>
    <xf numFmtId="0" fontId="0" fillId="0" borderId="1" xfId="0" applyBorder="1"/>
    <xf numFmtId="14" fontId="0" fillId="0" borderId="0" xfId="0" applyNumberFormat="1"/>
    <xf numFmtId="14" fontId="16" fillId="10" borderId="0" xfId="0" applyNumberFormat="1" applyFont="1" applyFill="1"/>
    <xf numFmtId="14" fontId="10" fillId="10" borderId="3" xfId="0" applyNumberFormat="1" applyFont="1" applyFill="1" applyBorder="1"/>
    <xf numFmtId="0" fontId="16" fillId="10" borderId="0" xfId="0" applyFont="1" applyFill="1"/>
    <xf numFmtId="0" fontId="8" fillId="11" borderId="0" xfId="0" applyFont="1" applyFill="1"/>
    <xf numFmtId="14" fontId="16" fillId="10" borderId="1" xfId="0" applyNumberFormat="1" applyFont="1" applyFill="1" applyBorder="1"/>
    <xf numFmtId="0" fontId="0" fillId="12" borderId="0" xfId="0" applyFill="1"/>
    <xf numFmtId="0" fontId="0" fillId="0" borderId="0" xfId="0" applyBorder="1"/>
    <xf numFmtId="0" fontId="0" fillId="10" borderId="0" xfId="0" applyFill="1"/>
    <xf numFmtId="0" fontId="18" fillId="0" borderId="0" xfId="0" applyFont="1"/>
    <xf numFmtId="0" fontId="0" fillId="9" borderId="0" xfId="0" applyFont="1" applyFill="1"/>
    <xf numFmtId="11" fontId="0" fillId="10" borderId="0" xfId="0" applyNumberFormat="1" applyFill="1"/>
    <xf numFmtId="0" fontId="0" fillId="13" borderId="0" xfId="0" applyFill="1"/>
    <xf numFmtId="0" fontId="0" fillId="13" borderId="0" xfId="0" applyFont="1" applyFill="1"/>
    <xf numFmtId="0" fontId="0" fillId="11" borderId="0" xfId="0" applyFill="1"/>
    <xf numFmtId="0" fontId="0" fillId="0" borderId="10" xfId="0" applyBorder="1"/>
    <xf numFmtId="0" fontId="0" fillId="0" borderId="11" xfId="0" applyBorder="1"/>
    <xf numFmtId="0" fontId="0" fillId="9" borderId="12" xfId="0" applyFont="1" applyFill="1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16" fontId="0" fillId="0" borderId="0" xfId="0" applyNumberFormat="1" applyBorder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NumberFormat="1" applyFont="1" applyFill="1" applyBorder="1" applyAlignment="1">
      <alignment horizontal="center"/>
    </xf>
    <xf numFmtId="0" fontId="0" fillId="9" borderId="1" xfId="0" applyFill="1" applyBorder="1"/>
    <xf numFmtId="16" fontId="0" fillId="9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 wrapText="1"/>
    </xf>
    <xf numFmtId="0" fontId="0" fillId="9" borderId="1" xfId="0" applyNumberFormat="1" applyFont="1" applyFill="1" applyBorder="1" applyAlignment="1">
      <alignment horizontal="center"/>
    </xf>
    <xf numFmtId="14" fontId="16" fillId="9" borderId="1" xfId="0" applyNumberFormat="1" applyFon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center"/>
    </xf>
    <xf numFmtId="14" fontId="16" fillId="7" borderId="0" xfId="0" applyNumberFormat="1" applyFont="1" applyFill="1"/>
    <xf numFmtId="0" fontId="0" fillId="7" borderId="0" xfId="0" applyFill="1"/>
    <xf numFmtId="11" fontId="0" fillId="7" borderId="0" xfId="0" applyNumberFormat="1" applyFill="1"/>
    <xf numFmtId="11" fontId="0" fillId="9" borderId="0" xfId="0" applyNumberFormat="1" applyFill="1"/>
    <xf numFmtId="0" fontId="0" fillId="9" borderId="1" xfId="0" applyFont="1" applyFill="1" applyBorder="1" applyAlignment="1">
      <alignment horizontal="center"/>
    </xf>
    <xf numFmtId="14" fontId="16" fillId="10" borderId="0" xfId="0" applyNumberFormat="1" applyFont="1" applyFill="1" applyAlignment="1">
      <alignment horizontal="center"/>
    </xf>
    <xf numFmtId="0" fontId="16" fillId="13" borderId="6" xfId="0" applyFont="1" applyFill="1" applyBorder="1"/>
    <xf numFmtId="0" fontId="0" fillId="13" borderId="9" xfId="0" applyFont="1" applyFill="1" applyBorder="1"/>
    <xf numFmtId="14" fontId="10" fillId="9" borderId="0" xfId="0" applyNumberFormat="1" applyFont="1" applyFill="1" applyBorder="1"/>
    <xf numFmtId="11" fontId="9" fillId="9" borderId="0" xfId="1" applyNumberFormat="1" applyFont="1" applyFill="1" applyBorder="1"/>
    <xf numFmtId="0" fontId="16" fillId="9" borderId="0" xfId="0" applyFont="1" applyFill="1"/>
    <xf numFmtId="0" fontId="0" fillId="9" borderId="0" xfId="0" applyFill="1"/>
    <xf numFmtId="11" fontId="0" fillId="10" borderId="1" xfId="0" applyNumberFormat="1" applyFill="1" applyBorder="1"/>
    <xf numFmtId="0" fontId="0" fillId="10" borderId="1" xfId="0" applyFill="1" applyBorder="1"/>
    <xf numFmtId="11" fontId="0" fillId="10" borderId="1" xfId="0" applyNumberFormat="1" applyFont="1" applyFill="1" applyBorder="1" applyAlignment="1">
      <alignment horizontal="center"/>
    </xf>
    <xf numFmtId="0" fontId="0" fillId="10" borderId="1" xfId="0" applyFont="1" applyFill="1" applyBorder="1" applyAlignment="1">
      <alignment horizontal="center"/>
    </xf>
    <xf numFmtId="11" fontId="14" fillId="10" borderId="1" xfId="1" applyNumberFormat="1" applyFont="1" applyFill="1" applyBorder="1" applyAlignment="1">
      <alignment horizontal="center"/>
    </xf>
    <xf numFmtId="165" fontId="0" fillId="10" borderId="1" xfId="0" applyNumberFormat="1" applyFont="1" applyFill="1" applyBorder="1" applyAlignment="1">
      <alignment horizontal="center"/>
    </xf>
    <xf numFmtId="0" fontId="0" fillId="10" borderId="1" xfId="0" applyNumberFormat="1" applyFont="1" applyFill="1" applyBorder="1" applyAlignment="1">
      <alignment horizontal="center"/>
    </xf>
    <xf numFmtId="11" fontId="17" fillId="10" borderId="1" xfId="0" applyNumberFormat="1" applyFont="1" applyFill="1" applyBorder="1" applyAlignment="1">
      <alignment horizontal="center"/>
    </xf>
    <xf numFmtId="164" fontId="15" fillId="11" borderId="4" xfId="4" applyNumberFormat="1" applyFont="1" applyFill="1" applyBorder="1"/>
    <xf numFmtId="14" fontId="16" fillId="10" borderId="2" xfId="0" applyNumberFormat="1" applyFont="1" applyFill="1" applyBorder="1" applyAlignment="1">
      <alignment horizontal="center"/>
    </xf>
    <xf numFmtId="0" fontId="16" fillId="10" borderId="2" xfId="0" applyFont="1" applyFill="1" applyBorder="1" applyAlignment="1">
      <alignment horizontal="center"/>
    </xf>
    <xf numFmtId="0" fontId="16" fillId="10" borderId="1" xfId="0" applyFont="1" applyFill="1" applyBorder="1"/>
    <xf numFmtId="14" fontId="15" fillId="11" borderId="6" xfId="0" applyNumberFormat="1" applyFont="1" applyFill="1" applyBorder="1" applyAlignment="1">
      <alignment horizontal="center"/>
    </xf>
    <xf numFmtId="0" fontId="8" fillId="11" borderId="9" xfId="0" applyFont="1" applyFill="1" applyBorder="1"/>
    <xf numFmtId="166" fontId="0" fillId="13" borderId="1" xfId="0" applyNumberFormat="1" applyFont="1" applyFill="1" applyBorder="1" applyAlignment="1">
      <alignment horizontal="center"/>
    </xf>
    <xf numFmtId="11" fontId="14" fillId="13" borderId="1" xfId="1" applyNumberFormat="1" applyFont="1" applyFill="1" applyBorder="1" applyAlignment="1">
      <alignment horizontal="center"/>
    </xf>
    <xf numFmtId="2" fontId="0" fillId="13" borderId="1" xfId="0" applyNumberFormat="1" applyFont="1" applyFill="1" applyBorder="1" applyAlignment="1">
      <alignment horizontal="center"/>
    </xf>
    <xf numFmtId="11" fontId="14" fillId="13" borderId="4" xfId="1" applyNumberFormat="1" applyFont="1" applyFill="1" applyBorder="1" applyAlignment="1">
      <alignment horizontal="center"/>
    </xf>
    <xf numFmtId="11" fontId="10" fillId="13" borderId="1" xfId="5" applyNumberFormat="1" applyFont="1" applyFill="1" applyBorder="1" applyAlignment="1">
      <alignment horizontal="center"/>
    </xf>
    <xf numFmtId="11" fontId="14" fillId="13" borderId="1" xfId="3" applyNumberFormat="1" applyFont="1" applyFill="1" applyBorder="1" applyAlignment="1">
      <alignment horizontal="center"/>
    </xf>
    <xf numFmtId="14" fontId="16" fillId="13" borderId="1" xfId="0" applyNumberFormat="1" applyFont="1" applyFill="1" applyBorder="1" applyAlignment="1">
      <alignment horizontal="center"/>
    </xf>
    <xf numFmtId="0" fontId="0" fillId="13" borderId="1" xfId="0" applyFont="1" applyFill="1" applyBorder="1" applyAlignment="1">
      <alignment horizontal="center"/>
    </xf>
    <xf numFmtId="14" fontId="10" fillId="13" borderId="1" xfId="0" applyNumberFormat="1" applyFont="1" applyFill="1" applyBorder="1" applyAlignment="1">
      <alignment horizontal="center"/>
    </xf>
    <xf numFmtId="11" fontId="14" fillId="13" borderId="1" xfId="0" applyNumberFormat="1" applyFont="1" applyFill="1" applyBorder="1" applyAlignment="1">
      <alignment horizontal="center"/>
    </xf>
    <xf numFmtId="0" fontId="14" fillId="13" borderId="1" xfId="0" applyFont="1" applyFill="1" applyBorder="1" applyAlignment="1">
      <alignment horizontal="center"/>
    </xf>
    <xf numFmtId="11" fontId="0" fillId="13" borderId="1" xfId="0" applyNumberFormat="1" applyFont="1" applyFill="1" applyBorder="1" applyAlignment="1">
      <alignment horizontal="center"/>
    </xf>
    <xf numFmtId="11" fontId="14" fillId="10" borderId="3" xfId="1" applyNumberFormat="1" applyFont="1" applyFill="1" applyBorder="1" applyAlignment="1">
      <alignment horizontal="center"/>
    </xf>
    <xf numFmtId="14" fontId="10" fillId="13" borderId="4" xfId="0" applyNumberFormat="1" applyFont="1" applyFill="1" applyBorder="1" applyAlignment="1">
      <alignment horizontal="center"/>
    </xf>
    <xf numFmtId="11" fontId="14" fillId="13" borderId="4" xfId="3" applyNumberFormat="1" applyFont="1" applyFill="1" applyBorder="1" applyAlignment="1">
      <alignment horizontal="center"/>
    </xf>
    <xf numFmtId="11" fontId="14" fillId="13" borderId="4" xfId="0" applyNumberFormat="1" applyFont="1" applyFill="1" applyBorder="1" applyAlignment="1">
      <alignment horizontal="center"/>
    </xf>
    <xf numFmtId="2" fontId="0" fillId="13" borderId="4" xfId="0" applyNumberFormat="1" applyFont="1" applyFill="1" applyBorder="1" applyAlignment="1">
      <alignment horizontal="center"/>
    </xf>
    <xf numFmtId="11" fontId="13" fillId="9" borderId="0" xfId="2" applyNumberFormat="1" applyFont="1" applyFill="1" applyBorder="1"/>
    <xf numFmtId="2" fontId="0" fillId="9" borderId="0" xfId="0" applyNumberFormat="1" applyFont="1" applyFill="1" applyBorder="1"/>
    <xf numFmtId="11" fontId="14" fillId="9" borderId="0" xfId="2" applyNumberFormat="1" applyFont="1" applyFill="1" applyBorder="1"/>
    <xf numFmtId="0" fontId="16" fillId="13" borderId="1" xfId="0" applyFont="1" applyFill="1" applyBorder="1" applyAlignment="1">
      <alignment horizontal="center"/>
    </xf>
    <xf numFmtId="0" fontId="8" fillId="8" borderId="0" xfId="0" applyFont="1" applyFill="1"/>
    <xf numFmtId="0" fontId="0" fillId="8" borderId="0" xfId="0" applyFont="1" applyFill="1" applyBorder="1" applyAlignment="1">
      <alignment horizontal="center"/>
    </xf>
    <xf numFmtId="0" fontId="0" fillId="8" borderId="0" xfId="0" applyFill="1"/>
    <xf numFmtId="0" fontId="16" fillId="8" borderId="1" xfId="0" applyFont="1" applyFill="1" applyBorder="1" applyAlignment="1">
      <alignment horizontal="center"/>
    </xf>
    <xf numFmtId="11" fontId="14" fillId="8" borderId="8" xfId="1" applyNumberFormat="1" applyFont="1" applyFill="1" applyBorder="1" applyAlignment="1">
      <alignment horizontal="center"/>
    </xf>
    <xf numFmtId="0" fontId="0" fillId="8" borderId="0" xfId="0" applyFont="1" applyFill="1" applyBorder="1"/>
    <xf numFmtId="14" fontId="16" fillId="8" borderId="1" xfId="0" applyNumberFormat="1" applyFont="1" applyFill="1" applyBorder="1" applyAlignment="1">
      <alignment horizontal="center"/>
    </xf>
    <xf numFmtId="14" fontId="10" fillId="8" borderId="1" xfId="0" applyNumberFormat="1" applyFont="1" applyFill="1" applyBorder="1" applyAlignment="1">
      <alignment horizontal="center"/>
    </xf>
    <xf numFmtId="2" fontId="14" fillId="8" borderId="8" xfId="1" applyNumberFormat="1" applyFont="1" applyFill="1" applyBorder="1" applyAlignment="1">
      <alignment horizontal="center"/>
    </xf>
    <xf numFmtId="0" fontId="16" fillId="8" borderId="6" xfId="0" applyFont="1" applyFill="1" applyBorder="1" applyAlignment="1">
      <alignment horizontal="center"/>
    </xf>
    <xf numFmtId="11" fontId="14" fillId="13" borderId="3" xfId="1" applyNumberFormat="1" applyFont="1" applyFill="1" applyBorder="1" applyAlignment="1">
      <alignment horizontal="center"/>
    </xf>
    <xf numFmtId="11" fontId="14" fillId="13" borderId="7" xfId="1" applyNumberFormat="1" applyFont="1" applyFill="1" applyBorder="1" applyAlignment="1">
      <alignment horizontal="center"/>
    </xf>
    <xf numFmtId="11" fontId="14" fillId="8" borderId="1" xfId="1" applyNumberFormat="1" applyFont="1" applyFill="1" applyBorder="1" applyAlignment="1">
      <alignment horizontal="center"/>
    </xf>
    <xf numFmtId="2" fontId="14" fillId="8" borderId="1" xfId="1" applyNumberFormat="1" applyFont="1" applyFill="1" applyBorder="1" applyAlignment="1">
      <alignment horizontal="center"/>
    </xf>
    <xf numFmtId="0" fontId="8" fillId="11" borderId="0" xfId="0" applyFont="1" applyFill="1" applyAlignment="1">
      <alignment horizontal="center"/>
    </xf>
    <xf numFmtId="11" fontId="14" fillId="8" borderId="1" xfId="2" applyNumberFormat="1" applyFont="1" applyFill="1" applyBorder="1" applyAlignment="1">
      <alignment horizontal="center"/>
    </xf>
    <xf numFmtId="2" fontId="14" fillId="8" borderId="1" xfId="2" applyNumberFormat="1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11" fontId="14" fillId="9" borderId="1" xfId="1" applyNumberFormat="1" applyFont="1" applyFill="1" applyBorder="1" applyAlignment="1">
      <alignment horizontal="center"/>
    </xf>
    <xf numFmtId="14" fontId="16" fillId="8" borderId="0" xfId="0" applyNumberFormat="1" applyFont="1" applyFill="1"/>
    <xf numFmtId="0" fontId="16" fillId="7" borderId="0" xfId="0" applyFont="1" applyFill="1"/>
    <xf numFmtId="0" fontId="8" fillId="8" borderId="9" xfId="0" applyFont="1" applyFill="1" applyBorder="1"/>
    <xf numFmtId="11" fontId="14" fillId="8" borderId="3" xfId="1" applyNumberFormat="1" applyFont="1" applyFill="1" applyBorder="1" applyAlignment="1">
      <alignment horizontal="center"/>
    </xf>
    <xf numFmtId="0" fontId="0" fillId="8" borderId="0" xfId="0" applyFont="1" applyFill="1"/>
    <xf numFmtId="0" fontId="0" fillId="8" borderId="9" xfId="0" applyFont="1" applyFill="1" applyBorder="1"/>
    <xf numFmtId="165" fontId="4" fillId="8" borderId="1" xfId="0" applyNumberFormat="1" applyFont="1" applyFill="1" applyBorder="1"/>
    <xf numFmtId="165" fontId="0" fillId="8" borderId="1" xfId="0" applyNumberFormat="1" applyFont="1" applyFill="1" applyBorder="1"/>
    <xf numFmtId="11" fontId="16" fillId="8" borderId="0" xfId="0" applyNumberFormat="1" applyFont="1" applyFill="1"/>
    <xf numFmtId="0" fontId="16" fillId="8" borderId="0" xfId="0" applyFont="1" applyFill="1"/>
    <xf numFmtId="16" fontId="0" fillId="0" borderId="1" xfId="0" applyNumberFormat="1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6" fillId="0" borderId="1" xfId="0" applyNumberFormat="1" applyFont="1" applyBorder="1"/>
    <xf numFmtId="14" fontId="0" fillId="0" borderId="1" xfId="0" applyNumberForma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16" fontId="0" fillId="0" borderId="0" xfId="0" applyNumberFormat="1" applyBorder="1"/>
    <xf numFmtId="0" fontId="18" fillId="0" borderId="1" xfId="0" applyFont="1" applyBorder="1" applyAlignment="1">
      <alignment horizontal="center"/>
    </xf>
    <xf numFmtId="167" fontId="0" fillId="8" borderId="0" xfId="0" applyNumberFormat="1" applyFont="1" applyFill="1" applyAlignment="1">
      <alignment horizontal="center"/>
    </xf>
    <xf numFmtId="16" fontId="0" fillId="9" borderId="0" xfId="0" applyNumberFormat="1" applyFill="1" applyBorder="1" applyAlignment="1">
      <alignment horizontal="left"/>
    </xf>
    <xf numFmtId="16" fontId="0" fillId="0" borderId="1" xfId="0" applyNumberFormat="1" applyBorder="1" applyAlignment="1">
      <alignment horizontal="left"/>
    </xf>
    <xf numFmtId="0" fontId="0" fillId="0" borderId="0" xfId="0" applyFill="1" applyBorder="1" applyAlignment="1">
      <alignment horizontal="center"/>
    </xf>
    <xf numFmtId="14" fontId="0" fillId="0" borderId="0" xfId="0" applyNumberFormat="1" applyBorder="1"/>
    <xf numFmtId="1" fontId="0" fillId="0" borderId="0" xfId="0" applyNumberFormat="1" applyAlignment="1">
      <alignment horizontal="center"/>
    </xf>
    <xf numFmtId="1" fontId="0" fillId="7" borderId="6" xfId="0" applyNumberFormat="1" applyFont="1" applyFill="1" applyBorder="1" applyAlignment="1">
      <alignment horizontal="center"/>
    </xf>
    <xf numFmtId="1" fontId="0" fillId="10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" fontId="0" fillId="10" borderId="6" xfId="0" applyNumberFormat="1" applyFont="1" applyFill="1" applyBorder="1" applyAlignment="1">
      <alignment horizontal="center"/>
    </xf>
    <xf numFmtId="1" fontId="0" fillId="8" borderId="0" xfId="0" applyNumberFormat="1" applyFill="1" applyAlignment="1">
      <alignment horizontal="center"/>
    </xf>
    <xf numFmtId="1" fontId="0" fillId="8" borderId="6" xfId="0" applyNumberFormat="1" applyFont="1" applyFill="1" applyBorder="1" applyAlignment="1">
      <alignment horizontal="center"/>
    </xf>
    <xf numFmtId="1" fontId="18" fillId="14" borderId="1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0" fontId="0" fillId="0" borderId="0" xfId="0" applyFill="1"/>
    <xf numFmtId="1" fontId="0" fillId="0" borderId="0" xfId="0" applyNumberFormat="1" applyFill="1" applyAlignment="1">
      <alignment horizontal="center"/>
    </xf>
    <xf numFmtId="14" fontId="15" fillId="11" borderId="2" xfId="0" applyNumberFormat="1" applyFont="1" applyFill="1" applyBorder="1" applyAlignment="1">
      <alignment horizontal="center"/>
    </xf>
    <xf numFmtId="0" fontId="15" fillId="11" borderId="2" xfId="0" applyFont="1" applyFill="1" applyBorder="1" applyAlignment="1">
      <alignment horizontal="center"/>
    </xf>
    <xf numFmtId="11" fontId="14" fillId="15" borderId="1" xfId="1" applyNumberFormat="1" applyFont="1" applyFill="1" applyBorder="1" applyAlignment="1">
      <alignment horizontal="center"/>
    </xf>
    <xf numFmtId="0" fontId="0" fillId="15" borderId="0" xfId="0" applyFont="1" applyFill="1" applyBorder="1"/>
    <xf numFmtId="14" fontId="16" fillId="15" borderId="1" xfId="0" applyNumberFormat="1" applyFont="1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14" fontId="10" fillId="15" borderId="1" xfId="1" applyNumberFormat="1" applyFont="1" applyFill="1" applyBorder="1" applyAlignment="1">
      <alignment horizontal="center"/>
    </xf>
    <xf numFmtId="0" fontId="16" fillId="15" borderId="0" xfId="0" applyFont="1" applyFill="1" applyBorder="1"/>
    <xf numFmtId="165" fontId="14" fillId="15" borderId="1" xfId="1" applyNumberFormat="1" applyFont="1" applyFill="1" applyBorder="1" applyAlignment="1">
      <alignment horizontal="center"/>
    </xf>
    <xf numFmtId="0" fontId="16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/>
    <xf numFmtId="0" fontId="16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11" fontId="14" fillId="0" borderId="0" xfId="1" applyNumberFormat="1" applyFont="1" applyFill="1" applyBorder="1" applyAlignment="1">
      <alignment horizontal="center"/>
    </xf>
    <xf numFmtId="0" fontId="16" fillId="0" borderId="6" xfId="0" applyFont="1" applyFill="1" applyBorder="1"/>
    <xf numFmtId="0" fontId="0" fillId="0" borderId="0" xfId="0" applyFont="1" applyFill="1"/>
    <xf numFmtId="0" fontId="0" fillId="0" borderId="9" xfId="0" applyFont="1" applyFill="1" applyBorder="1"/>
    <xf numFmtId="0" fontId="16" fillId="0" borderId="6" xfId="0" applyFont="1" applyFill="1" applyBorder="1" applyAlignment="1">
      <alignment horizontal="center"/>
    </xf>
    <xf numFmtId="11" fontId="9" fillId="0" borderId="0" xfId="1" applyNumberFormat="1" applyFont="1" applyFill="1" applyBorder="1"/>
    <xf numFmtId="14" fontId="10" fillId="0" borderId="0" xfId="0" applyNumberFormat="1" applyFont="1" applyFill="1" applyBorder="1"/>
    <xf numFmtId="11" fontId="13" fillId="0" borderId="0" xfId="2" applyNumberFormat="1" applyFont="1" applyFill="1" applyBorder="1"/>
    <xf numFmtId="2" fontId="0" fillId="0" borderId="0" xfId="0" applyNumberFormat="1" applyFont="1" applyFill="1" applyBorder="1"/>
    <xf numFmtId="11" fontId="14" fillId="0" borderId="0" xfId="2" applyNumberFormat="1" applyFont="1" applyFill="1" applyBorder="1"/>
    <xf numFmtId="165" fontId="0" fillId="0" borderId="1" xfId="0" applyNumberFormat="1" applyFont="1" applyFill="1" applyBorder="1"/>
    <xf numFmtId="14" fontId="10" fillId="0" borderId="0" xfId="0" applyNumberFormat="1" applyFont="1" applyFill="1" applyBorder="1" applyAlignment="1">
      <alignment horizontal="center"/>
    </xf>
    <xf numFmtId="0" fontId="4" fillId="0" borderId="0" xfId="0" applyFont="1" applyFill="1" applyBorder="1"/>
    <xf numFmtId="0" fontId="15" fillId="15" borderId="1" xfId="0" applyFont="1" applyFill="1" applyBorder="1"/>
    <xf numFmtId="0" fontId="8" fillId="15" borderId="1" xfId="0" applyFont="1" applyFill="1" applyBorder="1"/>
    <xf numFmtId="0" fontId="0" fillId="15" borderId="1" xfId="0" applyFont="1" applyFill="1" applyBorder="1" applyAlignment="1">
      <alignment horizontal="center"/>
    </xf>
    <xf numFmtId="14" fontId="16" fillId="15" borderId="0" xfId="0" applyNumberFormat="1" applyFont="1" applyFill="1"/>
    <xf numFmtId="0" fontId="16" fillId="15" borderId="0" xfId="0" applyFont="1" applyFill="1"/>
    <xf numFmtId="0" fontId="0" fillId="15" borderId="0" xfId="0" applyFill="1"/>
    <xf numFmtId="11" fontId="16" fillId="15" borderId="0" xfId="0" applyNumberFormat="1" applyFont="1" applyFill="1"/>
    <xf numFmtId="1" fontId="0" fillId="15" borderId="0" xfId="0" applyNumberFormat="1" applyFill="1" applyAlignment="1">
      <alignment horizontal="center"/>
    </xf>
    <xf numFmtId="1" fontId="0" fillId="15" borderId="6" xfId="0" applyNumberFormat="1" applyFont="1" applyFill="1" applyBorder="1" applyAlignment="1">
      <alignment horizontal="center"/>
    </xf>
    <xf numFmtId="0" fontId="16" fillId="0" borderId="1" xfId="0" applyFont="1" applyBorder="1"/>
    <xf numFmtId="14" fontId="16" fillId="15" borderId="1" xfId="0" applyNumberFormat="1" applyFont="1" applyFill="1" applyBorder="1"/>
    <xf numFmtId="11" fontId="16" fillId="15" borderId="1" xfId="0" applyNumberFormat="1" applyFont="1" applyFill="1" applyBorder="1"/>
    <xf numFmtId="1" fontId="0" fillId="15" borderId="1" xfId="0" applyNumberFormat="1" applyFill="1" applyBorder="1" applyAlignment="1">
      <alignment horizontal="center"/>
    </xf>
    <xf numFmtId="16" fontId="0" fillId="0" borderId="0" xfId="0" applyNumberFormat="1" applyFill="1" applyBorder="1"/>
    <xf numFmtId="0" fontId="0" fillId="0" borderId="5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16" borderId="0" xfId="0" applyFill="1"/>
    <xf numFmtId="0" fontId="0" fillId="16" borderId="0" xfId="0" applyFill="1" applyAlignment="1">
      <alignment horizontal="center"/>
    </xf>
    <xf numFmtId="1" fontId="0" fillId="16" borderId="0" xfId="0" applyNumberFormat="1" applyFill="1" applyAlignment="1">
      <alignment horizontal="center"/>
    </xf>
    <xf numFmtId="1" fontId="0" fillId="16" borderId="6" xfId="0" applyNumberFormat="1" applyFont="1" applyFill="1" applyBorder="1" applyAlignment="1">
      <alignment horizontal="center"/>
    </xf>
    <xf numFmtId="11" fontId="9" fillId="0" borderId="1" xfId="0" applyNumberFormat="1" applyFont="1" applyFill="1" applyBorder="1"/>
    <xf numFmtId="11" fontId="9" fillId="0" borderId="2" xfId="0" applyNumberFormat="1" applyFont="1" applyFill="1" applyBorder="1"/>
    <xf numFmtId="0" fontId="18" fillId="0" borderId="0" xfId="0" applyFont="1" applyFill="1"/>
    <xf numFmtId="11" fontId="9" fillId="0" borderId="1" xfId="1" applyNumberFormat="1" applyFont="1" applyFill="1" applyBorder="1"/>
    <xf numFmtId="0" fontId="0" fillId="0" borderId="0" xfId="0" applyNumberFormat="1"/>
    <xf numFmtId="11" fontId="0" fillId="0" borderId="0" xfId="0" applyNumberFormat="1"/>
    <xf numFmtId="9" fontId="0" fillId="0" borderId="0" xfId="366" applyFont="1"/>
    <xf numFmtId="0" fontId="0" fillId="17" borderId="1" xfId="0" applyFill="1" applyBorder="1" applyAlignment="1">
      <alignment horizontal="center"/>
    </xf>
    <xf numFmtId="0" fontId="18" fillId="17" borderId="1" xfId="0" applyFont="1" applyFill="1" applyBorder="1" applyAlignment="1">
      <alignment horizontal="center"/>
    </xf>
    <xf numFmtId="1" fontId="18" fillId="18" borderId="1" xfId="0" applyNumberFormat="1" applyFont="1" applyFill="1" applyBorder="1" applyAlignment="1">
      <alignment horizontal="center"/>
    </xf>
    <xf numFmtId="1" fontId="0" fillId="12" borderId="1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11" fontId="14" fillId="12" borderId="1" xfId="1" applyNumberFormat="1" applyFont="1" applyFill="1" applyBorder="1" applyAlignment="1">
      <alignment horizontal="center"/>
    </xf>
    <xf numFmtId="1" fontId="18" fillId="19" borderId="1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0" fillId="12" borderId="1" xfId="0" applyNumberFormat="1" applyFont="1" applyFill="1" applyBorder="1" applyAlignment="1">
      <alignment horizontal="center"/>
    </xf>
    <xf numFmtId="0" fontId="0" fillId="17" borderId="0" xfId="0" applyFill="1" applyBorder="1" applyAlignment="1">
      <alignment horizontal="center"/>
    </xf>
    <xf numFmtId="11" fontId="16" fillId="12" borderId="1" xfId="0" applyNumberFormat="1" applyFont="1" applyFill="1" applyBorder="1" applyAlignment="1">
      <alignment horizontal="center"/>
    </xf>
    <xf numFmtId="0" fontId="0" fillId="20" borderId="0" xfId="0" applyNumberFormat="1" applyFill="1"/>
    <xf numFmtId="0" fontId="0" fillId="20" borderId="0" xfId="0" applyFill="1"/>
    <xf numFmtId="0" fontId="0" fillId="17" borderId="0" xfId="0" applyFill="1"/>
    <xf numFmtId="0" fontId="0" fillId="17" borderId="0" xfId="0" applyNumberFormat="1" applyFill="1"/>
    <xf numFmtId="0" fontId="0" fillId="10" borderId="0" xfId="0" applyNumberFormat="1" applyFill="1"/>
    <xf numFmtId="0" fontId="0" fillId="22" borderId="1" xfId="0" applyFill="1" applyBorder="1"/>
    <xf numFmtId="14" fontId="19" fillId="0" borderId="13" xfId="0" applyNumberFormat="1" applyFont="1" applyBorder="1"/>
    <xf numFmtId="2" fontId="20" fillId="24" borderId="8" xfId="0" applyNumberFormat="1" applyFont="1" applyFill="1" applyBorder="1"/>
    <xf numFmtId="14" fontId="19" fillId="0" borderId="14" xfId="0" applyNumberFormat="1" applyFont="1" applyBorder="1"/>
    <xf numFmtId="2" fontId="20" fillId="24" borderId="15" xfId="0" applyNumberFormat="1" applyFont="1" applyFill="1" applyBorder="1"/>
    <xf numFmtId="11" fontId="20" fillId="25" borderId="15" xfId="0" applyNumberFormat="1" applyFont="1" applyFill="1" applyBorder="1"/>
    <xf numFmtId="165" fontId="9" fillId="26" borderId="15" xfId="0" applyNumberFormat="1" applyFont="1" applyFill="1" applyBorder="1"/>
    <xf numFmtId="2" fontId="20" fillId="25" borderId="15" xfId="0" applyNumberFormat="1" applyFont="1" applyFill="1" applyBorder="1"/>
    <xf numFmtId="2" fontId="9" fillId="26" borderId="15" xfId="0" applyNumberFormat="1" applyFont="1" applyFill="1" applyBorder="1"/>
    <xf numFmtId="11" fontId="20" fillId="24" borderId="15" xfId="0" applyNumberFormat="1" applyFont="1" applyFill="1" applyBorder="1"/>
    <xf numFmtId="11" fontId="9" fillId="26" borderId="15" xfId="0" applyNumberFormat="1" applyFont="1" applyFill="1" applyBorder="1"/>
    <xf numFmtId="11" fontId="9" fillId="26" borderId="2" xfId="0" applyNumberFormat="1" applyFont="1" applyFill="1" applyBorder="1"/>
    <xf numFmtId="11" fontId="21" fillId="27" borderId="15" xfId="0" applyNumberFormat="1" applyFont="1" applyFill="1" applyBorder="1"/>
    <xf numFmtId="11" fontId="13" fillId="28" borderId="15" xfId="0" applyNumberFormat="1" applyFont="1" applyFill="1" applyBorder="1"/>
    <xf numFmtId="11" fontId="21" fillId="29" borderId="15" xfId="0" applyNumberFormat="1" applyFont="1" applyFill="1" applyBorder="1"/>
    <xf numFmtId="0" fontId="20" fillId="24" borderId="15" xfId="0" applyFont="1" applyFill="1" applyBorder="1"/>
    <xf numFmtId="14" fontId="19" fillId="0" borderId="16" xfId="0" applyNumberFormat="1" applyFont="1" applyBorder="1"/>
    <xf numFmtId="14" fontId="19" fillId="30" borderId="13" xfId="0" applyNumberFormat="1" applyFont="1" applyFill="1" applyBorder="1"/>
    <xf numFmtId="11" fontId="14" fillId="30" borderId="1" xfId="1" applyNumberFormat="1" applyFont="1" applyFill="1" applyBorder="1" applyAlignment="1">
      <alignment horizontal="center"/>
    </xf>
    <xf numFmtId="0" fontId="0" fillId="30" borderId="0" xfId="0" applyFill="1"/>
    <xf numFmtId="14" fontId="19" fillId="30" borderId="14" xfId="0" applyNumberFormat="1" applyFont="1" applyFill="1" applyBorder="1"/>
    <xf numFmtId="14" fontId="7" fillId="4" borderId="14" xfId="3" applyNumberFormat="1" applyBorder="1"/>
    <xf numFmtId="11" fontId="7" fillId="4" borderId="1" xfId="3" applyNumberFormat="1" applyBorder="1" applyAlignment="1">
      <alignment horizontal="center"/>
    </xf>
    <xf numFmtId="0" fontId="7" fillId="4" borderId="0" xfId="3"/>
    <xf numFmtId="0" fontId="0" fillId="31" borderId="0" xfId="0" applyFill="1"/>
    <xf numFmtId="0" fontId="7" fillId="31" borderId="0" xfId="3" applyFill="1"/>
    <xf numFmtId="11" fontId="0" fillId="30" borderId="0" xfId="0" applyNumberFormat="1" applyFill="1"/>
    <xf numFmtId="11" fontId="0" fillId="0" borderId="0" xfId="0" applyNumberFormat="1" applyFill="1"/>
    <xf numFmtId="2" fontId="0" fillId="0" borderId="0" xfId="0" applyNumberFormat="1" applyFill="1"/>
    <xf numFmtId="0" fontId="0" fillId="17" borderId="10" xfId="0" applyFill="1" applyBorder="1"/>
    <xf numFmtId="0" fontId="0" fillId="17" borderId="11" xfId="0" applyFill="1" applyBorder="1"/>
    <xf numFmtId="0" fontId="0" fillId="17" borderId="12" xfId="0" applyFill="1" applyBorder="1"/>
    <xf numFmtId="14" fontId="0" fillId="17" borderId="17" xfId="0" applyNumberFormat="1" applyFill="1" applyBorder="1" applyAlignment="1">
      <alignment horizontal="center"/>
    </xf>
    <xf numFmtId="11" fontId="14" fillId="17" borderId="1" xfId="1" applyNumberFormat="1" applyFont="1" applyFill="1" applyBorder="1" applyAlignment="1">
      <alignment horizontal="center"/>
    </xf>
    <xf numFmtId="1" fontId="18" fillId="18" borderId="18" xfId="0" applyNumberFormat="1" applyFont="1" applyFill="1" applyBorder="1" applyAlignment="1">
      <alignment horizontal="center"/>
    </xf>
    <xf numFmtId="14" fontId="7" fillId="32" borderId="17" xfId="3" applyNumberFormat="1" applyFill="1" applyBorder="1" applyAlignment="1">
      <alignment horizontal="center"/>
    </xf>
    <xf numFmtId="0" fontId="7" fillId="32" borderId="1" xfId="3" applyFill="1" applyBorder="1" applyAlignment="1">
      <alignment horizontal="center"/>
    </xf>
    <xf numFmtId="11" fontId="7" fillId="32" borderId="1" xfId="3" applyNumberFormat="1" applyFill="1" applyBorder="1" applyAlignment="1">
      <alignment horizontal="center"/>
    </xf>
    <xf numFmtId="1" fontId="7" fillId="32" borderId="18" xfId="3" applyNumberFormat="1" applyFill="1" applyBorder="1" applyAlignment="1">
      <alignment horizontal="center"/>
    </xf>
    <xf numFmtId="14" fontId="16" fillId="17" borderId="17" xfId="0" applyNumberFormat="1" applyFont="1" applyFill="1" applyBorder="1" applyAlignment="1">
      <alignment horizontal="center"/>
    </xf>
    <xf numFmtId="0" fontId="0" fillId="17" borderId="19" xfId="0" applyFill="1" applyBorder="1"/>
    <xf numFmtId="0" fontId="0" fillId="17" borderId="0" xfId="0" applyFill="1" applyBorder="1"/>
    <xf numFmtId="0" fontId="0" fillId="17" borderId="20" xfId="0" applyFill="1" applyBorder="1"/>
    <xf numFmtId="16" fontId="0" fillId="17" borderId="19" xfId="0" applyNumberFormat="1" applyFill="1" applyBorder="1"/>
    <xf numFmtId="16" fontId="0" fillId="17" borderId="21" xfId="0" applyNumberFormat="1" applyFill="1" applyBorder="1"/>
    <xf numFmtId="0" fontId="0" fillId="17" borderId="22" xfId="0" applyFill="1" applyBorder="1"/>
    <xf numFmtId="0" fontId="0" fillId="17" borderId="23" xfId="0" applyFill="1" applyBorder="1"/>
    <xf numFmtId="167" fontId="0" fillId="0" borderId="0" xfId="0" applyNumberFormat="1" applyFill="1"/>
    <xf numFmtId="11" fontId="7" fillId="4" borderId="3" xfId="3" applyNumberFormat="1" applyBorder="1" applyAlignment="1">
      <alignment horizontal="center"/>
    </xf>
    <xf numFmtId="11" fontId="18" fillId="33" borderId="0" xfId="0" applyNumberFormat="1" applyFont="1" applyFill="1"/>
    <xf numFmtId="11" fontId="18" fillId="0" borderId="0" xfId="0" applyNumberFormat="1" applyFont="1"/>
    <xf numFmtId="0" fontId="18" fillId="33" borderId="0" xfId="0" applyFont="1" applyFill="1"/>
    <xf numFmtId="0" fontId="19" fillId="30" borderId="13" xfId="0" applyNumberFormat="1" applyFont="1" applyFill="1" applyBorder="1"/>
    <xf numFmtId="0" fontId="19" fillId="30" borderId="14" xfId="0" applyNumberFormat="1" applyFont="1" applyFill="1" applyBorder="1"/>
    <xf numFmtId="0" fontId="19" fillId="0" borderId="14" xfId="0" applyNumberFormat="1" applyFont="1" applyBorder="1"/>
    <xf numFmtId="0" fontId="7" fillId="4" borderId="14" xfId="3" applyNumberFormat="1" applyBorder="1"/>
    <xf numFmtId="0" fontId="19" fillId="0" borderId="16" xfId="0" applyNumberFormat="1" applyFont="1" applyBorder="1"/>
    <xf numFmtId="2" fontId="0" fillId="0" borderId="1" xfId="0" applyNumberFormat="1" applyFont="1" applyFill="1" applyBorder="1"/>
    <xf numFmtId="168" fontId="0" fillId="0" borderId="1" xfId="0" applyNumberFormat="1" applyFont="1" applyFill="1" applyBorder="1"/>
    <xf numFmtId="165" fontId="6" fillId="0" borderId="1" xfId="2" applyNumberFormat="1" applyFill="1" applyBorder="1"/>
    <xf numFmtId="168" fontId="6" fillId="0" borderId="1" xfId="2" applyNumberFormat="1" applyFill="1" applyBorder="1"/>
    <xf numFmtId="165" fontId="0" fillId="0" borderId="1" xfId="0" applyNumberFormat="1" applyFill="1" applyBorder="1"/>
    <xf numFmtId="2" fontId="2" fillId="0" borderId="1" xfId="448" applyNumberFormat="1" applyFont="1" applyFill="1" applyBorder="1"/>
    <xf numFmtId="165" fontId="14" fillId="0" borderId="1" xfId="1" applyNumberFormat="1" applyFont="1" applyFill="1" applyBorder="1"/>
    <xf numFmtId="2" fontId="14" fillId="0" borderId="1" xfId="1" applyNumberFormat="1" applyFont="1" applyFill="1" applyBorder="1"/>
    <xf numFmtId="11" fontId="2" fillId="0" borderId="1" xfId="448" applyNumberFormat="1" applyFont="1" applyFill="1" applyBorder="1"/>
    <xf numFmtId="11" fontId="14" fillId="0" borderId="1" xfId="1" applyNumberFormat="1" applyFont="1" applyFill="1" applyBorder="1"/>
    <xf numFmtId="11" fontId="2" fillId="0" borderId="1" xfId="1" applyNumberFormat="1" applyFont="1" applyFill="1" applyBorder="1"/>
    <xf numFmtId="11" fontId="14" fillId="0" borderId="1" xfId="3" applyNumberFormat="1" applyFont="1" applyFill="1" applyBorder="1"/>
    <xf numFmtId="0" fontId="2" fillId="0" borderId="1" xfId="448" applyFont="1" applyFill="1" applyBorder="1"/>
    <xf numFmtId="11" fontId="2" fillId="0" borderId="1" xfId="2" applyNumberFormat="1" applyFont="1" applyFill="1" applyBorder="1"/>
    <xf numFmtId="170" fontId="22" fillId="36" borderId="1" xfId="539" applyNumberFormat="1" applyFont="1" applyFill="1" applyBorder="1" applyAlignment="1">
      <alignment horizontal="left" vertical="top" wrapText="1"/>
    </xf>
    <xf numFmtId="0" fontId="22" fillId="36" borderId="1" xfId="539" applyFont="1" applyFill="1" applyBorder="1" applyAlignment="1">
      <alignment horizontal="left" vertical="top" wrapText="1"/>
    </xf>
    <xf numFmtId="0" fontId="0" fillId="37" borderId="0" xfId="0" applyFill="1" applyAlignment="1">
      <alignment horizontal="center"/>
    </xf>
    <xf numFmtId="171" fontId="22" fillId="36" borderId="1" xfId="539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center"/>
    </xf>
    <xf numFmtId="171" fontId="2" fillId="0" borderId="1" xfId="2" applyNumberFormat="1" applyFont="1" applyFill="1" applyBorder="1" applyAlignment="1">
      <alignment horizontal="center"/>
    </xf>
    <xf numFmtId="171" fontId="14" fillId="0" borderId="1" xfId="3" applyNumberFormat="1" applyFont="1" applyFill="1" applyBorder="1" applyAlignment="1">
      <alignment horizontal="center"/>
    </xf>
    <xf numFmtId="171" fontId="2" fillId="0" borderId="1" xfId="448" applyNumberFormat="1" applyFont="1" applyFill="1" applyBorder="1" applyAlignment="1">
      <alignment horizontal="center"/>
    </xf>
    <xf numFmtId="171" fontId="2" fillId="0" borderId="0" xfId="448" applyNumberFormat="1" applyFont="1" applyFill="1" applyBorder="1" applyAlignment="1">
      <alignment horizontal="center"/>
    </xf>
    <xf numFmtId="171" fontId="0" fillId="0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1" fontId="22" fillId="36" borderId="1" xfId="0" applyNumberFormat="1" applyFont="1" applyFill="1" applyBorder="1" applyAlignment="1">
      <alignment horizontal="center" vertical="top" wrapText="1"/>
    </xf>
    <xf numFmtId="2" fontId="2" fillId="0" borderId="0" xfId="448" applyNumberFormat="1" applyFont="1" applyFill="1" applyBorder="1"/>
    <xf numFmtId="0" fontId="0" fillId="35" borderId="1" xfId="0" applyFill="1" applyBorder="1" applyAlignment="1">
      <alignment horizontal="center" wrapText="1"/>
    </xf>
    <xf numFmtId="0" fontId="0" fillId="35" borderId="1" xfId="0" applyFill="1" applyBorder="1" applyAlignment="1">
      <alignment horizontal="center"/>
    </xf>
    <xf numFmtId="0" fontId="0" fillId="16" borderId="0" xfId="0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35" borderId="0" xfId="0" applyFill="1" applyBorder="1" applyAlignment="1">
      <alignment horizontal="center" wrapText="1"/>
    </xf>
    <xf numFmtId="2" fontId="2" fillId="10" borderId="0" xfId="448" applyNumberFormat="1" applyFont="1" applyFill="1" applyBorder="1"/>
    <xf numFmtId="0" fontId="0" fillId="15" borderId="1" xfId="0" applyFont="1" applyFill="1" applyBorder="1" applyAlignment="1">
      <alignment horizontal="center" vertical="center"/>
    </xf>
    <xf numFmtId="14" fontId="14" fillId="15" borderId="1" xfId="0" applyNumberFormat="1" applyFont="1" applyFill="1" applyBorder="1" applyAlignment="1">
      <alignment horizontal="center" vertical="center"/>
    </xf>
    <xf numFmtId="0" fontId="0" fillId="15" borderId="0" xfId="0" applyFont="1" applyFill="1" applyAlignment="1">
      <alignment horizontal="center" vertical="center"/>
    </xf>
    <xf numFmtId="0" fontId="0" fillId="0" borderId="0" xfId="0" applyAlignment="1">
      <alignment horizontal="center" wrapText="1"/>
    </xf>
    <xf numFmtId="169" fontId="0" fillId="0" borderId="1" xfId="0" applyNumberFormat="1" applyFill="1" applyBorder="1" applyAlignment="1">
      <alignment horizontal="center"/>
    </xf>
    <xf numFmtId="170" fontId="0" fillId="0" borderId="1" xfId="0" applyNumberFormat="1" applyFont="1" applyFill="1" applyBorder="1"/>
    <xf numFmtId="170" fontId="6" fillId="0" borderId="1" xfId="2" applyNumberFormat="1" applyFill="1" applyBorder="1"/>
    <xf numFmtId="170" fontId="0" fillId="0" borderId="1" xfId="0" applyNumberFormat="1" applyFill="1" applyBorder="1"/>
    <xf numFmtId="170" fontId="0" fillId="0" borderId="0" xfId="0" applyNumberFormat="1"/>
    <xf numFmtId="171" fontId="0" fillId="0" borderId="1" xfId="2" applyNumberFormat="1" applyFont="1" applyFill="1" applyBorder="1" applyAlignment="1">
      <alignment horizontal="center"/>
    </xf>
    <xf numFmtId="171" fontId="0" fillId="0" borderId="1" xfId="448" applyNumberFormat="1" applyFont="1" applyFill="1" applyBorder="1" applyAlignment="1">
      <alignment horizontal="center"/>
    </xf>
    <xf numFmtId="2" fontId="0" fillId="0" borderId="0" xfId="0" applyNumberFormat="1"/>
    <xf numFmtId="0" fontId="0" fillId="21" borderId="0" xfId="0" applyFill="1"/>
    <xf numFmtId="171" fontId="22" fillId="38" borderId="1" xfId="539" applyNumberFormat="1" applyFont="1" applyFill="1" applyBorder="1" applyAlignment="1">
      <alignment horizontal="center" vertical="top" wrapText="1"/>
    </xf>
    <xf numFmtId="168" fontId="0" fillId="21" borderId="1" xfId="0" applyNumberFormat="1" applyFont="1" applyFill="1" applyBorder="1"/>
    <xf numFmtId="2" fontId="2" fillId="21" borderId="0" xfId="448" applyNumberFormat="1" applyFont="1" applyFill="1" applyBorder="1"/>
    <xf numFmtId="171" fontId="22" fillId="38" borderId="1" xfId="0" applyNumberFormat="1" applyFont="1" applyFill="1" applyBorder="1" applyAlignment="1">
      <alignment horizontal="center" vertical="top" wrapText="1"/>
    </xf>
    <xf numFmtId="0" fontId="0" fillId="39" borderId="0" xfId="0" applyFill="1"/>
    <xf numFmtId="171" fontId="22" fillId="40" borderId="1" xfId="539" applyNumberFormat="1" applyFont="1" applyFill="1" applyBorder="1" applyAlignment="1">
      <alignment horizontal="center" vertical="top" wrapText="1"/>
    </xf>
    <xf numFmtId="165" fontId="0" fillId="20" borderId="1" xfId="0" applyNumberFormat="1" applyFont="1" applyFill="1" applyBorder="1"/>
    <xf numFmtId="171" fontId="22" fillId="40" borderId="1" xfId="0" applyNumberFormat="1" applyFont="1" applyFill="1" applyBorder="1" applyAlignment="1">
      <alignment horizontal="center" vertical="top" wrapText="1"/>
    </xf>
    <xf numFmtId="0" fontId="0" fillId="41" borderId="0" xfId="0" applyFill="1"/>
    <xf numFmtId="14" fontId="10" fillId="0" borderId="13" xfId="0" applyNumberFormat="1" applyFont="1" applyFill="1" applyBorder="1"/>
    <xf numFmtId="168" fontId="0" fillId="0" borderId="8" xfId="0" applyNumberFormat="1" applyFont="1" applyFill="1" applyBorder="1"/>
    <xf numFmtId="14" fontId="10" fillId="0" borderId="24" xfId="0" applyNumberFormat="1" applyFont="1" applyFill="1" applyBorder="1"/>
    <xf numFmtId="0" fontId="0" fillId="0" borderId="8" xfId="0" applyFill="1" applyBorder="1"/>
    <xf numFmtId="0" fontId="0" fillId="0" borderId="1" xfId="0" applyFill="1" applyBorder="1"/>
    <xf numFmtId="2" fontId="0" fillId="0" borderId="1" xfId="0" applyNumberFormat="1" applyBorder="1"/>
    <xf numFmtId="16" fontId="0" fillId="0" borderId="0" xfId="0" applyNumberFormat="1"/>
    <xf numFmtId="2" fontId="0" fillId="0" borderId="8" xfId="0" applyNumberFormat="1" applyFont="1" applyFill="1" applyBorder="1"/>
    <xf numFmtId="2" fontId="0" fillId="0" borderId="3" xfId="0" applyNumberFormat="1" applyFont="1" applyFill="1" applyBorder="1"/>
    <xf numFmtId="0" fontId="28" fillId="65" borderId="1" xfId="912" applyFont="1" applyFill="1" applyBorder="1" applyAlignment="1">
      <alignment vertical="center" wrapText="1"/>
    </xf>
    <xf numFmtId="0" fontId="28" fillId="65" borderId="0" xfId="912" applyFont="1" applyFill="1" applyBorder="1" applyAlignment="1">
      <alignment vertical="center" wrapText="1"/>
    </xf>
    <xf numFmtId="0" fontId="14" fillId="0" borderId="0" xfId="912"/>
    <xf numFmtId="1" fontId="29" fillId="66" borderId="1" xfId="913" applyNumberFormat="1" applyBorder="1" applyAlignment="1">
      <alignment wrapText="1"/>
    </xf>
    <xf numFmtId="0" fontId="14" fillId="0" borderId="0" xfId="912" applyAlignment="1">
      <alignment horizontal="right"/>
    </xf>
    <xf numFmtId="1" fontId="23" fillId="0" borderId="1" xfId="912" applyNumberFormat="1" applyFont="1" applyBorder="1" applyAlignment="1">
      <alignment horizontal="right" vertical="center"/>
    </xf>
    <xf numFmtId="169" fontId="23" fillId="0" borderId="0" xfId="914" applyNumberFormat="1" applyFont="1" applyBorder="1" applyAlignment="1">
      <alignment horizontal="right" vertical="center"/>
    </xf>
    <xf numFmtId="0" fontId="14" fillId="67" borderId="1" xfId="915" applyBorder="1"/>
    <xf numFmtId="1" fontId="30" fillId="0" borderId="1" xfId="912" applyNumberFormat="1" applyFont="1" applyFill="1" applyBorder="1" applyAlignment="1"/>
    <xf numFmtId="0" fontId="14" fillId="0" borderId="0" xfId="912" applyAlignment="1">
      <alignment horizontal="center"/>
    </xf>
    <xf numFmtId="169" fontId="0" fillId="0" borderId="0" xfId="914" applyNumberFormat="1" applyFont="1"/>
    <xf numFmtId="169" fontId="14" fillId="0" borderId="0" xfId="912" applyNumberFormat="1"/>
    <xf numFmtId="1" fontId="14" fillId="0" borderId="1" xfId="912" applyNumberFormat="1" applyBorder="1"/>
    <xf numFmtId="1" fontId="23" fillId="0" borderId="0" xfId="912" applyNumberFormat="1" applyFont="1" applyBorder="1" applyAlignment="1">
      <alignment horizontal="right" vertical="center"/>
    </xf>
    <xf numFmtId="1" fontId="14" fillId="0" borderId="0" xfId="912" applyNumberFormat="1" applyBorder="1"/>
    <xf numFmtId="1" fontId="14" fillId="0" borderId="0" xfId="912" applyNumberFormat="1" applyAlignment="1"/>
    <xf numFmtId="0" fontId="14" fillId="0" borderId="6" xfId="915" applyFill="1" applyBorder="1" applyAlignment="1">
      <alignment wrapText="1"/>
    </xf>
    <xf numFmtId="0" fontId="14" fillId="0" borderId="0" xfId="915" applyFill="1" applyBorder="1" applyAlignment="1">
      <alignment wrapText="1"/>
    </xf>
    <xf numFmtId="0" fontId="31" fillId="39" borderId="0" xfId="912" applyFont="1" applyFill="1"/>
    <xf numFmtId="169" fontId="0" fillId="39" borderId="0" xfId="914" applyNumberFormat="1" applyFont="1" applyFill="1"/>
    <xf numFmtId="43" fontId="0" fillId="39" borderId="0" xfId="914" applyNumberFormat="1" applyFont="1" applyFill="1"/>
    <xf numFmtId="43" fontId="14" fillId="0" borderId="0" xfId="912" applyNumberFormat="1"/>
    <xf numFmtId="0" fontId="0" fillId="0" borderId="6" xfId="915" applyFont="1" applyFill="1" applyBorder="1" applyAlignment="1">
      <alignment wrapText="1"/>
    </xf>
    <xf numFmtId="0" fontId="14" fillId="0" borderId="0" xfId="912" applyFill="1"/>
    <xf numFmtId="0" fontId="14" fillId="0" borderId="1" xfId="912" applyBorder="1"/>
    <xf numFmtId="0" fontId="29" fillId="66" borderId="1" xfId="913" applyBorder="1" applyAlignment="1">
      <alignment horizontal="centerContinuous"/>
    </xf>
    <xf numFmtId="0" fontId="29" fillId="66" borderId="0" xfId="913" applyBorder="1" applyAlignment="1">
      <alignment horizontal="centerContinuous"/>
    </xf>
    <xf numFmtId="0" fontId="14" fillId="0" borderId="1" xfId="912" applyBorder="1" applyAlignment="1">
      <alignment horizontal="center"/>
    </xf>
    <xf numFmtId="0" fontId="14" fillId="0" borderId="3" xfId="912" applyBorder="1" applyAlignment="1">
      <alignment horizontal="center"/>
    </xf>
    <xf numFmtId="0" fontId="14" fillId="67" borderId="1" xfId="915" applyBorder="1" applyAlignment="1">
      <alignment wrapText="1"/>
    </xf>
    <xf numFmtId="0" fontId="14" fillId="67" borderId="0" xfId="915" applyBorder="1" applyAlignment="1">
      <alignment wrapText="1"/>
    </xf>
    <xf numFmtId="169" fontId="0" fillId="0" borderId="1" xfId="914" applyNumberFormat="1" applyFont="1" applyBorder="1" applyAlignment="1">
      <alignment horizontal="center"/>
    </xf>
    <xf numFmtId="169" fontId="0" fillId="0" borderId="3" xfId="914" applyNumberFormat="1" applyFont="1" applyBorder="1" applyAlignment="1">
      <alignment horizontal="center"/>
    </xf>
    <xf numFmtId="169" fontId="14" fillId="0" borderId="1" xfId="912" applyNumberFormat="1" applyBorder="1"/>
    <xf numFmtId="169" fontId="0" fillId="0" borderId="1" xfId="914" applyNumberFormat="1" applyFont="1" applyBorder="1"/>
    <xf numFmtId="0" fontId="14" fillId="0" borderId="0" xfId="912" applyBorder="1"/>
    <xf numFmtId="169" fontId="14" fillId="0" borderId="1" xfId="912" applyNumberFormat="1" applyBorder="1" applyAlignment="1">
      <alignment horizontal="center"/>
    </xf>
    <xf numFmtId="169" fontId="14" fillId="0" borderId="3" xfId="912" applyNumberFormat="1" applyBorder="1" applyAlignment="1">
      <alignment horizontal="center"/>
    </xf>
    <xf numFmtId="9" fontId="0" fillId="0" borderId="0" xfId="916" applyFont="1"/>
    <xf numFmtId="0" fontId="14" fillId="20" borderId="1" xfId="912" applyFill="1" applyBorder="1"/>
    <xf numFmtId="169" fontId="0" fillId="20" borderId="1" xfId="914" applyNumberFormat="1" applyFont="1" applyFill="1" applyBorder="1" applyAlignment="1">
      <alignment horizontal="center"/>
    </xf>
    <xf numFmtId="169" fontId="0" fillId="20" borderId="3" xfId="914" applyNumberFormat="1" applyFont="1" applyFill="1" applyBorder="1" applyAlignment="1">
      <alignment horizontal="center"/>
    </xf>
    <xf numFmtId="169" fontId="14" fillId="20" borderId="1" xfId="912" applyNumberFormat="1" applyFill="1" applyBorder="1"/>
    <xf numFmtId="0" fontId="14" fillId="15" borderId="1" xfId="912" applyFill="1" applyBorder="1"/>
    <xf numFmtId="169" fontId="0" fillId="15" borderId="1" xfId="914" applyNumberFormat="1" applyFont="1" applyFill="1" applyBorder="1" applyAlignment="1">
      <alignment horizontal="center"/>
    </xf>
    <xf numFmtId="2" fontId="0" fillId="15" borderId="1" xfId="914" applyNumberFormat="1" applyFont="1" applyFill="1" applyBorder="1" applyAlignment="1">
      <alignment horizontal="center"/>
    </xf>
    <xf numFmtId="43" fontId="0" fillId="15" borderId="1" xfId="914" applyNumberFormat="1" applyFont="1" applyFill="1" applyBorder="1" applyAlignment="1">
      <alignment horizontal="center"/>
    </xf>
    <xf numFmtId="169" fontId="14" fillId="15" borderId="1" xfId="912" applyNumberFormat="1" applyFill="1" applyBorder="1"/>
    <xf numFmtId="1" fontId="20" fillId="68" borderId="2" xfId="912" applyNumberFormat="1" applyFont="1" applyFill="1" applyBorder="1"/>
    <xf numFmtId="1" fontId="20" fillId="68" borderId="15" xfId="912" applyNumberFormat="1" applyFont="1" applyFill="1" applyBorder="1"/>
    <xf numFmtId="0" fontId="14" fillId="0" borderId="0" xfId="912" applyAlignment="1">
      <alignment horizontal="left"/>
    </xf>
    <xf numFmtId="169" fontId="0" fillId="0" borderId="3" xfId="914" applyNumberFormat="1" applyFont="1" applyBorder="1"/>
    <xf numFmtId="1" fontId="32" fillId="0" borderId="2" xfId="912" applyNumberFormat="1" applyFont="1" applyBorder="1"/>
    <xf numFmtId="1" fontId="32" fillId="0" borderId="15" xfId="912" applyNumberFormat="1" applyFont="1" applyBorder="1"/>
    <xf numFmtId="1" fontId="14" fillId="0" borderId="0" xfId="912" applyNumberFormat="1"/>
    <xf numFmtId="0" fontId="14" fillId="0" borderId="0" xfId="912" applyFill="1" applyBorder="1"/>
    <xf numFmtId="0" fontId="14" fillId="0" borderId="0" xfId="912" applyFill="1" applyBorder="1" applyAlignment="1"/>
    <xf numFmtId="0" fontId="14" fillId="0" borderId="0" xfId="912" applyFill="1" applyBorder="1" applyAlignment="1">
      <alignment horizontal="center"/>
    </xf>
    <xf numFmtId="0" fontId="6" fillId="0" borderId="1" xfId="2" applyFill="1" applyBorder="1"/>
    <xf numFmtId="169" fontId="6" fillId="0" borderId="1" xfId="2" applyNumberFormat="1" applyFill="1" applyBorder="1"/>
    <xf numFmtId="0" fontId="6" fillId="0" borderId="0" xfId="2" applyFill="1" applyBorder="1"/>
    <xf numFmtId="169" fontId="6" fillId="0" borderId="0" xfId="2" applyNumberFormat="1" applyFill="1" applyBorder="1"/>
    <xf numFmtId="0" fontId="14" fillId="0" borderId="1" xfId="912" applyBorder="1" applyAlignment="1">
      <alignment horizontal="center" wrapText="1"/>
    </xf>
    <xf numFmtId="0" fontId="14" fillId="0" borderId="1" xfId="912" applyFill="1" applyBorder="1" applyAlignment="1">
      <alignment horizontal="center"/>
    </xf>
    <xf numFmtId="0" fontId="14" fillId="0" borderId="0" xfId="912" applyBorder="1" applyAlignment="1">
      <alignment horizontal="center"/>
    </xf>
    <xf numFmtId="3" fontId="0" fillId="0" borderId="1" xfId="914" applyNumberFormat="1" applyFont="1" applyBorder="1" applyAlignment="1">
      <alignment horizontal="center"/>
    </xf>
    <xf numFmtId="9" fontId="0" fillId="0" borderId="1" xfId="916" applyFont="1" applyBorder="1" applyAlignment="1">
      <alignment horizontal="center"/>
    </xf>
    <xf numFmtId="0" fontId="10" fillId="0" borderId="0" xfId="912" applyFont="1"/>
    <xf numFmtId="0" fontId="33" fillId="0" borderId="35" xfId="912" applyFont="1" applyBorder="1" applyAlignment="1">
      <alignment vertical="center"/>
    </xf>
    <xf numFmtId="0" fontId="33" fillId="0" borderId="23" xfId="912" applyFont="1" applyBorder="1" applyAlignment="1">
      <alignment vertical="center"/>
    </xf>
    <xf numFmtId="170" fontId="22" fillId="36" borderId="1" xfId="917" applyNumberFormat="1" applyFont="1" applyFill="1" applyBorder="1" applyAlignment="1">
      <alignment horizontal="center" vertical="top" wrapText="1"/>
    </xf>
    <xf numFmtId="0" fontId="34" fillId="0" borderId="1" xfId="2" applyFont="1" applyFill="1" applyBorder="1"/>
    <xf numFmtId="0" fontId="14" fillId="16" borderId="34" xfId="912" applyFill="1" applyBorder="1"/>
    <xf numFmtId="0" fontId="14" fillId="16" borderId="34" xfId="912" applyFill="1" applyBorder="1" applyAlignment="1">
      <alignment horizontal="right"/>
    </xf>
    <xf numFmtId="0" fontId="14" fillId="0" borderId="0" xfId="912" applyFill="1" applyBorder="1" applyAlignment="1">
      <alignment horizontal="right"/>
    </xf>
    <xf numFmtId="0" fontId="14" fillId="0" borderId="0" xfId="912" applyAlignment="1">
      <alignment wrapText="1"/>
    </xf>
    <xf numFmtId="0" fontId="36" fillId="0" borderId="0" xfId="912" applyFont="1"/>
    <xf numFmtId="169" fontId="14" fillId="0" borderId="0" xfId="912" applyNumberFormat="1" applyAlignment="1">
      <alignment horizontal="right"/>
    </xf>
    <xf numFmtId="0" fontId="31" fillId="0" borderId="2" xfId="912" applyFont="1" applyBorder="1"/>
    <xf numFmtId="1" fontId="31" fillId="0" borderId="15" xfId="912" applyNumberFormat="1" applyFont="1" applyBorder="1"/>
    <xf numFmtId="172" fontId="0" fillId="0" borderId="0" xfId="914" applyNumberFormat="1" applyFont="1"/>
    <xf numFmtId="172" fontId="0" fillId="0" borderId="0" xfId="914" applyNumberFormat="1" applyFont="1" applyAlignment="1">
      <alignment horizontal="right"/>
    </xf>
    <xf numFmtId="172" fontId="14" fillId="0" borderId="0" xfId="912" applyNumberFormat="1" applyBorder="1"/>
    <xf numFmtId="0" fontId="14" fillId="0" borderId="0" xfId="912" applyFont="1"/>
    <xf numFmtId="1" fontId="20" fillId="68" borderId="9" xfId="912" applyNumberFormat="1" applyFont="1" applyFill="1" applyBorder="1"/>
    <xf numFmtId="1" fontId="20" fillId="68" borderId="0" xfId="912" applyNumberFormat="1" applyFont="1" applyFill="1" applyBorder="1"/>
    <xf numFmtId="169" fontId="32" fillId="0" borderId="15" xfId="914" applyNumberFormat="1" applyFont="1" applyBorder="1"/>
    <xf numFmtId="169" fontId="14" fillId="69" borderId="0" xfId="912" applyNumberFormat="1" applyFill="1"/>
    <xf numFmtId="1" fontId="32" fillId="0" borderId="36" xfId="912" applyNumberFormat="1" applyFont="1" applyBorder="1"/>
    <xf numFmtId="169" fontId="32" fillId="0" borderId="0" xfId="914" applyNumberFormat="1" applyFont="1" applyBorder="1"/>
    <xf numFmtId="1" fontId="32" fillId="0" borderId="0" xfId="912" applyNumberFormat="1" applyFont="1" applyBorder="1"/>
    <xf numFmtId="169" fontId="14" fillId="70" borderId="0" xfId="912" applyNumberFormat="1" applyFill="1"/>
    <xf numFmtId="172" fontId="14" fillId="70" borderId="0" xfId="912" applyNumberFormat="1" applyFill="1"/>
    <xf numFmtId="172" fontId="14" fillId="69" borderId="0" xfId="912" applyNumberFormat="1" applyFill="1"/>
    <xf numFmtId="169" fontId="0" fillId="0" borderId="0" xfId="914" applyNumberFormat="1" applyFont="1" applyAlignment="1">
      <alignment horizontal="right"/>
    </xf>
    <xf numFmtId="0" fontId="37" fillId="0" borderId="2" xfId="912" applyFont="1" applyBorder="1" applyAlignment="1">
      <alignment horizontal="left"/>
    </xf>
    <xf numFmtId="169" fontId="31" fillId="0" borderId="15" xfId="914" applyNumberFormat="1" applyFont="1" applyBorder="1"/>
    <xf numFmtId="172" fontId="14" fillId="0" borderId="0" xfId="912" applyNumberFormat="1"/>
    <xf numFmtId="1" fontId="19" fillId="0" borderId="2" xfId="912" applyNumberFormat="1" applyFont="1" applyBorder="1"/>
    <xf numFmtId="169" fontId="19" fillId="0" borderId="15" xfId="914" applyNumberFormat="1" applyFont="1" applyBorder="1"/>
    <xf numFmtId="14" fontId="14" fillId="0" borderId="0" xfId="912" applyNumberFormat="1"/>
    <xf numFmtId="173" fontId="14" fillId="0" borderId="0" xfId="912" applyNumberFormat="1"/>
    <xf numFmtId="16" fontId="14" fillId="0" borderId="0" xfId="912" applyNumberFormat="1"/>
    <xf numFmtId="0" fontId="14" fillId="15" borderId="0" xfId="912" applyFill="1"/>
    <xf numFmtId="173" fontId="14" fillId="15" borderId="0" xfId="912" applyNumberFormat="1" applyFill="1"/>
    <xf numFmtId="169" fontId="14" fillId="15" borderId="0" xfId="912" applyNumberFormat="1" applyFill="1"/>
    <xf numFmtId="0" fontId="29" fillId="60" borderId="1" xfId="943" applyBorder="1"/>
    <xf numFmtId="11" fontId="29" fillId="23" borderId="8" xfId="951" applyNumberFormat="1" applyBorder="1"/>
    <xf numFmtId="11" fontId="29" fillId="23" borderId="1" xfId="951" applyNumberFormat="1" applyBorder="1"/>
    <xf numFmtId="11" fontId="29" fillId="5" borderId="8" xfId="948" applyNumberFormat="1" applyBorder="1"/>
    <xf numFmtId="11" fontId="29" fillId="5" borderId="1" xfId="948" applyNumberFormat="1" applyBorder="1"/>
    <xf numFmtId="11" fontId="9" fillId="2" borderId="1" xfId="969" applyNumberFormat="1" applyFont="1" applyBorder="1"/>
    <xf numFmtId="11" fontId="9" fillId="2" borderId="8" xfId="969" applyNumberFormat="1" applyFont="1" applyBorder="1"/>
    <xf numFmtId="11" fontId="9" fillId="2" borderId="1" xfId="969" applyNumberFormat="1" applyBorder="1"/>
    <xf numFmtId="11" fontId="21" fillId="4" borderId="1" xfId="984" applyNumberFormat="1" applyFont="1" applyBorder="1"/>
    <xf numFmtId="11" fontId="21" fillId="4" borderId="8" xfId="984" applyNumberFormat="1" applyFont="1" applyBorder="1"/>
    <xf numFmtId="11" fontId="21" fillId="4" borderId="1" xfId="984" applyNumberFormat="1" applyBorder="1"/>
    <xf numFmtId="11" fontId="13" fillId="3" borderId="8" xfId="962" applyNumberFormat="1" applyBorder="1"/>
    <xf numFmtId="11" fontId="21" fillId="17" borderId="1" xfId="984" applyNumberFormat="1" applyFont="1" applyFill="1" applyBorder="1"/>
    <xf numFmtId="0" fontId="29" fillId="23" borderId="8" xfId="951" applyBorder="1"/>
    <xf numFmtId="0" fontId="29" fillId="23" borderId="1" xfId="951" applyBorder="1"/>
    <xf numFmtId="2" fontId="13" fillId="3" borderId="1" xfId="962" applyNumberFormat="1" applyBorder="1"/>
    <xf numFmtId="173" fontId="0" fillId="0" borderId="0" xfId="0" applyNumberFormat="1"/>
    <xf numFmtId="1" fontId="0" fillId="0" borderId="0" xfId="0" applyNumberFormat="1"/>
    <xf numFmtId="0" fontId="29" fillId="60" borderId="3" xfId="943" applyBorder="1"/>
    <xf numFmtId="0" fontId="0" fillId="10" borderId="1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165" fontId="0" fillId="13" borderId="1" xfId="0" applyNumberFormat="1" applyFill="1" applyBorder="1" applyAlignment="1">
      <alignment horizontal="center"/>
    </xf>
    <xf numFmtId="165" fontId="0" fillId="13" borderId="1" xfId="0" applyNumberFormat="1" applyFill="1" applyBorder="1"/>
    <xf numFmtId="0" fontId="0" fillId="13" borderId="1" xfId="0" applyFill="1" applyBorder="1"/>
    <xf numFmtId="0" fontId="0" fillId="8" borderId="1" xfId="0" applyFill="1" applyBorder="1"/>
    <xf numFmtId="0" fontId="0" fillId="15" borderId="1" xfId="0" applyFill="1" applyBorder="1"/>
    <xf numFmtId="165" fontId="0" fillId="0" borderId="1" xfId="0" applyNumberFormat="1" applyFill="1" applyBorder="1" applyAlignment="1">
      <alignment horizontal="center"/>
    </xf>
    <xf numFmtId="14" fontId="14" fillId="81" borderId="1" xfId="0" applyNumberFormat="1" applyFont="1" applyFill="1" applyBorder="1" applyAlignment="1">
      <alignment horizontal="center" vertical="center"/>
    </xf>
    <xf numFmtId="170" fontId="22" fillId="82" borderId="1" xfId="539" applyNumberFormat="1" applyFont="1" applyFill="1" applyBorder="1" applyAlignment="1">
      <alignment horizontal="left" vertical="top" wrapText="1"/>
    </xf>
    <xf numFmtId="171" fontId="22" fillId="82" borderId="1" xfId="539" applyNumberFormat="1" applyFont="1" applyFill="1" applyBorder="1" applyAlignment="1">
      <alignment horizontal="center" vertical="top" wrapText="1"/>
    </xf>
    <xf numFmtId="2" fontId="2" fillId="81" borderId="1" xfId="448" applyNumberFormat="1" applyFont="1" applyFill="1" applyBorder="1"/>
    <xf numFmtId="2" fontId="2" fillId="81" borderId="0" xfId="448" applyNumberFormat="1" applyFont="1" applyFill="1" applyBorder="1"/>
    <xf numFmtId="0" fontId="14" fillId="81" borderId="1" xfId="0" applyNumberFormat="1" applyFont="1" applyFill="1" applyBorder="1" applyAlignment="1">
      <alignment horizontal="center" vertical="center"/>
    </xf>
    <xf numFmtId="168" fontId="0" fillId="81" borderId="1" xfId="0" applyNumberFormat="1" applyFont="1" applyFill="1" applyBorder="1"/>
    <xf numFmtId="165" fontId="0" fillId="81" borderId="1" xfId="0" applyNumberFormat="1" applyFont="1" applyFill="1" applyBorder="1"/>
    <xf numFmtId="0" fontId="0" fillId="81" borderId="0" xfId="0" applyFill="1"/>
    <xf numFmtId="0" fontId="0" fillId="81" borderId="1" xfId="0" applyFill="1" applyBorder="1"/>
    <xf numFmtId="1" fontId="23" fillId="81" borderId="1" xfId="0" applyNumberFormat="1" applyFont="1" applyFill="1" applyBorder="1" applyAlignment="1">
      <alignment horizontal="right" vertical="center"/>
    </xf>
    <xf numFmtId="169" fontId="0" fillId="81" borderId="1" xfId="0" applyNumberFormat="1" applyFill="1" applyBorder="1"/>
    <xf numFmtId="169" fontId="0" fillId="81" borderId="1" xfId="0" applyNumberFormat="1" applyFill="1" applyBorder="1" applyAlignment="1">
      <alignment horizontal="center"/>
    </xf>
    <xf numFmtId="43" fontId="0" fillId="81" borderId="1" xfId="0" applyNumberFormat="1" applyFill="1" applyBorder="1"/>
    <xf numFmtId="0" fontId="0" fillId="81" borderId="1" xfId="0" applyFont="1" applyFill="1" applyBorder="1" applyAlignment="1">
      <alignment horizontal="center"/>
    </xf>
    <xf numFmtId="0" fontId="14" fillId="81" borderId="1" xfId="0" applyFont="1" applyFill="1" applyBorder="1" applyAlignment="1">
      <alignment horizontal="center"/>
    </xf>
    <xf numFmtId="2" fontId="14" fillId="81" borderId="8" xfId="1" applyNumberFormat="1" applyFont="1" applyFill="1" applyBorder="1" applyAlignment="1">
      <alignment horizontal="center"/>
    </xf>
    <xf numFmtId="165" fontId="14" fillId="81" borderId="1" xfId="1" applyNumberFormat="1" applyFont="1" applyFill="1" applyBorder="1" applyAlignment="1">
      <alignment horizontal="center"/>
    </xf>
    <xf numFmtId="2" fontId="0" fillId="81" borderId="1" xfId="0" applyNumberFormat="1" applyFill="1" applyBorder="1"/>
    <xf numFmtId="165" fontId="0" fillId="81" borderId="1" xfId="0" applyNumberFormat="1" applyFill="1" applyBorder="1" applyAlignment="1">
      <alignment horizontal="center"/>
    </xf>
    <xf numFmtId="2" fontId="8" fillId="51" borderId="1" xfId="448" applyNumberFormat="1" applyFill="1" applyBorder="1"/>
    <xf numFmtId="11" fontId="14" fillId="81" borderId="1" xfId="1" applyNumberFormat="1" applyFont="1" applyFill="1" applyBorder="1"/>
    <xf numFmtId="11" fontId="2" fillId="81" borderId="1" xfId="448" applyNumberFormat="1" applyFont="1" applyFill="1" applyBorder="1"/>
    <xf numFmtId="11" fontId="14" fillId="81" borderId="0" xfId="1" applyNumberFormat="1" applyFont="1" applyFill="1" applyBorder="1"/>
    <xf numFmtId="11" fontId="2" fillId="81" borderId="1" xfId="1" applyNumberFormat="1" applyFont="1" applyFill="1" applyBorder="1"/>
    <xf numFmtId="171" fontId="22" fillId="82" borderId="1" xfId="0" applyNumberFormat="1" applyFont="1" applyFill="1" applyBorder="1" applyAlignment="1">
      <alignment horizontal="center" vertical="top" wrapText="1"/>
    </xf>
    <xf numFmtId="11" fontId="14" fillId="81" borderId="1" xfId="3" applyNumberFormat="1" applyFont="1" applyFill="1" applyBorder="1"/>
    <xf numFmtId="11" fontId="14" fillId="81" borderId="0" xfId="3" applyNumberFormat="1" applyFont="1" applyFill="1" applyBorder="1"/>
    <xf numFmtId="11" fontId="14" fillId="81" borderId="1" xfId="1" applyNumberFormat="1" applyFont="1" applyFill="1" applyBorder="1" applyAlignment="1">
      <alignment horizontal="center"/>
    </xf>
    <xf numFmtId="2" fontId="0" fillId="0" borderId="9" xfId="0" applyNumberFormat="1" applyFont="1" applyFill="1" applyBorder="1"/>
    <xf numFmtId="170" fontId="0" fillId="0" borderId="1" xfId="448" applyNumberFormat="1" applyFont="1" applyFill="1" applyBorder="1" applyAlignment="1">
      <alignment horizontal="left" vertical="top" wrapText="1"/>
    </xf>
    <xf numFmtId="170" fontId="47" fillId="0" borderId="1" xfId="917" applyNumberFormat="1" applyFont="1" applyFill="1" applyBorder="1" applyAlignment="1">
      <alignment horizontal="left" vertical="top" wrapText="1"/>
    </xf>
    <xf numFmtId="0" fontId="0" fillId="0" borderId="1" xfId="448" applyFont="1" applyFill="1" applyBorder="1" applyAlignment="1">
      <alignment horizontal="left" vertical="top" wrapText="1"/>
    </xf>
    <xf numFmtId="171" fontId="22" fillId="0" borderId="1" xfId="539" applyNumberFormat="1" applyFont="1" applyFill="1" applyBorder="1" applyAlignment="1">
      <alignment horizontal="center" vertical="top" wrapText="1"/>
    </xf>
    <xf numFmtId="0" fontId="0" fillId="81" borderId="0" xfId="0" applyFill="1" applyAlignment="1">
      <alignment horizontal="center"/>
    </xf>
    <xf numFmtId="0" fontId="0" fillId="81" borderId="1" xfId="0" applyFill="1" applyBorder="1" applyAlignment="1">
      <alignment horizontal="center" wrapText="1"/>
    </xf>
    <xf numFmtId="0" fontId="0" fillId="81" borderId="0" xfId="0" applyFill="1" applyBorder="1" applyAlignment="1">
      <alignment horizontal="center"/>
    </xf>
    <xf numFmtId="0" fontId="0" fillId="81" borderId="1" xfId="0" applyFont="1" applyFill="1" applyBorder="1" applyAlignment="1">
      <alignment horizontal="center" vertical="center"/>
    </xf>
    <xf numFmtId="0" fontId="0" fillId="81" borderId="0" xfId="0" applyFill="1" applyBorder="1" applyAlignment="1">
      <alignment horizontal="center" wrapText="1"/>
    </xf>
    <xf numFmtId="0" fontId="0" fillId="81" borderId="1" xfId="0" applyFill="1" applyBorder="1" applyAlignment="1">
      <alignment horizontal="center"/>
    </xf>
    <xf numFmtId="0" fontId="0" fillId="81" borderId="0" xfId="0" applyFill="1" applyAlignment="1">
      <alignment horizontal="center" wrapText="1"/>
    </xf>
    <xf numFmtId="168" fontId="0" fillId="81" borderId="8" xfId="0" applyNumberFormat="1" applyFont="1" applyFill="1" applyBorder="1"/>
    <xf numFmtId="1" fontId="0" fillId="81" borderId="0" xfId="0" applyNumberFormat="1" applyFont="1" applyFill="1" applyAlignment="1">
      <alignment horizontal="center"/>
    </xf>
    <xf numFmtId="1" fontId="0" fillId="81" borderId="8" xfId="448" applyNumberFormat="1" applyFont="1" applyFill="1" applyBorder="1"/>
    <xf numFmtId="1" fontId="0" fillId="0" borderId="8" xfId="448" applyNumberFormat="1" applyFont="1" applyFill="1" applyBorder="1"/>
    <xf numFmtId="2" fontId="29" fillId="23" borderId="8" xfId="951" applyNumberFormat="1" applyBorder="1"/>
    <xf numFmtId="2" fontId="29" fillId="23" borderId="1" xfId="951" applyNumberFormat="1" applyBorder="1"/>
    <xf numFmtId="2" fontId="29" fillId="5" borderId="8" xfId="948" applyNumberFormat="1" applyBorder="1"/>
    <xf numFmtId="2" fontId="29" fillId="5" borderId="1" xfId="948" applyNumberFormat="1" applyBorder="1"/>
    <xf numFmtId="2" fontId="9" fillId="2" borderId="1" xfId="969" applyNumberFormat="1" applyFont="1" applyBorder="1"/>
    <xf numFmtId="168" fontId="29" fillId="23" borderId="1" xfId="951" applyNumberFormat="1" applyBorder="1"/>
    <xf numFmtId="168" fontId="9" fillId="2" borderId="1" xfId="969" applyNumberFormat="1" applyFont="1" applyBorder="1"/>
    <xf numFmtId="2" fontId="34" fillId="0" borderId="1" xfId="0" applyNumberFormat="1" applyFont="1" applyBorder="1"/>
    <xf numFmtId="2" fontId="32" fillId="81" borderId="1" xfId="943" applyNumberFormat="1" applyFont="1" applyFill="1" applyBorder="1"/>
    <xf numFmtId="168" fontId="34" fillId="81" borderId="1" xfId="0" applyNumberFormat="1" applyFont="1" applyFill="1" applyBorder="1"/>
    <xf numFmtId="168" fontId="32" fillId="51" borderId="1" xfId="951" applyNumberFormat="1" applyFont="1" applyFill="1" applyBorder="1"/>
    <xf numFmtId="168" fontId="32" fillId="23" borderId="1" xfId="951" applyNumberFormat="1" applyFont="1" applyBorder="1"/>
    <xf numFmtId="168" fontId="32" fillId="51" borderId="1" xfId="969" applyNumberFormat="1" applyFont="1" applyFill="1" applyBorder="1"/>
    <xf numFmtId="168" fontId="32" fillId="51" borderId="1" xfId="948" applyNumberFormat="1" applyFont="1" applyFill="1" applyBorder="1"/>
    <xf numFmtId="168" fontId="32" fillId="4" borderId="1" xfId="984" applyNumberFormat="1" applyFont="1" applyBorder="1"/>
    <xf numFmtId="168" fontId="34" fillId="0" borderId="1" xfId="0" applyNumberFormat="1" applyFont="1" applyBorder="1"/>
    <xf numFmtId="168" fontId="32" fillId="3" borderId="1" xfId="962" applyNumberFormat="1" applyFont="1" applyBorder="1"/>
    <xf numFmtId="0" fontId="0" fillId="0" borderId="2" xfId="0" applyFill="1" applyBorder="1"/>
    <xf numFmtId="165" fontId="0" fillId="81" borderId="1" xfId="0" applyNumberFormat="1" applyFill="1" applyBorder="1"/>
    <xf numFmtId="165" fontId="0" fillId="0" borderId="1" xfId="0" applyNumberFormat="1" applyBorder="1"/>
    <xf numFmtId="168" fontId="32" fillId="51" borderId="1" xfId="984" applyNumberFormat="1" applyFont="1" applyFill="1" applyBorder="1"/>
    <xf numFmtId="165" fontId="0" fillId="22" borderId="1" xfId="0" applyNumberFormat="1" applyFill="1" applyBorder="1" applyAlignment="1">
      <alignment horizontal="center"/>
    </xf>
    <xf numFmtId="0" fontId="0" fillId="70" borderId="1" xfId="0" applyFont="1" applyFill="1" applyBorder="1" applyAlignment="1">
      <alignment horizontal="center" vertical="center"/>
    </xf>
    <xf numFmtId="14" fontId="14" fillId="70" borderId="1" xfId="0" applyNumberFormat="1" applyFont="1" applyFill="1" applyBorder="1" applyAlignment="1">
      <alignment horizontal="center" vertical="center"/>
    </xf>
    <xf numFmtId="0" fontId="0" fillId="70" borderId="0" xfId="0" applyFill="1"/>
    <xf numFmtId="0" fontId="0" fillId="70" borderId="0" xfId="0" applyFont="1" applyFill="1" applyAlignment="1">
      <alignment horizontal="center" vertical="center"/>
    </xf>
    <xf numFmtId="11" fontId="10" fillId="81" borderId="1" xfId="5" applyNumberFormat="1" applyFont="1" applyFill="1" applyBorder="1" applyAlignment="1">
      <alignment horizontal="center"/>
    </xf>
    <xf numFmtId="165" fontId="6" fillId="3" borderId="1" xfId="2" applyNumberFormat="1" applyBorder="1"/>
    <xf numFmtId="14" fontId="0" fillId="70" borderId="0" xfId="0" applyNumberFormat="1" applyFill="1" applyAlignment="1">
      <alignment horizontal="center"/>
    </xf>
    <xf numFmtId="0" fontId="0" fillId="30" borderId="1" xfId="0" applyFont="1" applyFill="1" applyBorder="1" applyAlignment="1">
      <alignment horizontal="center" vertical="center" wrapText="1"/>
    </xf>
    <xf numFmtId="0" fontId="0" fillId="84" borderId="1" xfId="0" applyFont="1" applyFill="1" applyBorder="1" applyAlignment="1">
      <alignment horizontal="center" vertical="center" wrapText="1"/>
    </xf>
    <xf numFmtId="0" fontId="0" fillId="34" borderId="1" xfId="0" applyFont="1" applyFill="1" applyBorder="1" applyAlignment="1">
      <alignment horizontal="center" vertical="center" wrapText="1"/>
    </xf>
    <xf numFmtId="0" fontId="0" fillId="69" borderId="1" xfId="0" applyFont="1" applyFill="1" applyBorder="1" applyAlignment="1">
      <alignment horizontal="center" vertical="center" wrapText="1"/>
    </xf>
    <xf numFmtId="0" fontId="0" fillId="15" borderId="3" xfId="0" applyFill="1" applyBorder="1" applyAlignment="1">
      <alignment horizontal="center" vertical="center" wrapText="1"/>
    </xf>
    <xf numFmtId="0" fontId="0" fillId="81" borderId="3" xfId="0" applyFill="1" applyBorder="1" applyAlignment="1">
      <alignment horizontal="center"/>
    </xf>
    <xf numFmtId="165" fontId="0" fillId="81" borderId="3" xfId="0" applyNumberFormat="1" applyFill="1" applyBorder="1"/>
    <xf numFmtId="0" fontId="0" fillId="81" borderId="3" xfId="0" applyFill="1" applyBorder="1"/>
    <xf numFmtId="165" fontId="0" fillId="0" borderId="3" xfId="0" applyNumberFormat="1" applyBorder="1"/>
    <xf numFmtId="0" fontId="0" fillId="0" borderId="3" xfId="0" applyBorder="1"/>
    <xf numFmtId="0" fontId="0" fillId="0" borderId="6" xfId="0" applyBorder="1"/>
    <xf numFmtId="0" fontId="0" fillId="31" borderId="3" xfId="0" applyFill="1" applyBorder="1" applyAlignment="1">
      <alignment horizontal="center" vertical="center" wrapText="1"/>
    </xf>
    <xf numFmtId="0" fontId="0" fillId="31" borderId="3" xfId="0" applyFill="1" applyBorder="1" applyAlignment="1">
      <alignment horizontal="center"/>
    </xf>
    <xf numFmtId="165" fontId="0" fillId="31" borderId="3" xfId="0" applyNumberFormat="1" applyFill="1" applyBorder="1"/>
    <xf numFmtId="0" fontId="0" fillId="31" borderId="3" xfId="0" applyFill="1" applyBorder="1"/>
    <xf numFmtId="0" fontId="0" fillId="31" borderId="0" xfId="0" applyFill="1" applyAlignment="1">
      <alignment horizontal="center"/>
    </xf>
    <xf numFmtId="0" fontId="6" fillId="3" borderId="1" xfId="2" applyBorder="1" applyAlignment="1">
      <alignment horizontal="center"/>
    </xf>
    <xf numFmtId="43" fontId="6" fillId="81" borderId="1" xfId="2" applyNumberFormat="1" applyFill="1" applyBorder="1" applyAlignment="1">
      <alignment horizontal="center"/>
    </xf>
    <xf numFmtId="3" fontId="23" fillId="81" borderId="1" xfId="0" applyNumberFormat="1" applyFont="1" applyFill="1" applyBorder="1" applyAlignment="1">
      <alignment horizontal="right" vertical="center"/>
    </xf>
    <xf numFmtId="2" fontId="14" fillId="0" borderId="0" xfId="912" applyNumberFormat="1"/>
    <xf numFmtId="2" fontId="13" fillId="3" borderId="8" xfId="962" applyNumberFormat="1" applyBorder="1"/>
    <xf numFmtId="2" fontId="9" fillId="7" borderId="8" xfId="969" applyNumberFormat="1" applyFont="1" applyFill="1" applyBorder="1"/>
    <xf numFmtId="2" fontId="9" fillId="2" borderId="8" xfId="969" applyNumberFormat="1" applyFont="1" applyBorder="1"/>
    <xf numFmtId="2" fontId="9" fillId="30" borderId="8" xfId="969" applyNumberFormat="1" applyFont="1" applyFill="1" applyBorder="1"/>
    <xf numFmtId="2" fontId="21" fillId="4" borderId="8" xfId="984" applyNumberFormat="1" applyFont="1" applyBorder="1"/>
    <xf numFmtId="2" fontId="13" fillId="3" borderId="8" xfId="962" applyNumberFormat="1" applyFont="1" applyBorder="1"/>
    <xf numFmtId="168" fontId="13" fillId="3" borderId="8" xfId="962" applyNumberFormat="1" applyFont="1" applyBorder="1"/>
    <xf numFmtId="0" fontId="14" fillId="0" borderId="0" xfId="912" applyFill="1" applyBorder="1" applyAlignment="1">
      <alignment horizontal="center" vertical="center" wrapText="1"/>
    </xf>
    <xf numFmtId="0" fontId="14" fillId="0" borderId="0" xfId="912" applyBorder="1" applyAlignment="1">
      <alignment horizontal="center" vertical="center" wrapText="1"/>
    </xf>
    <xf numFmtId="168" fontId="14" fillId="0" borderId="1" xfId="912" applyNumberFormat="1" applyBorder="1"/>
    <xf numFmtId="168" fontId="13" fillId="3" borderId="8" xfId="962" applyNumberFormat="1" applyBorder="1"/>
    <xf numFmtId="2" fontId="9" fillId="7" borderId="1" xfId="969" applyNumberFormat="1" applyFont="1" applyFill="1" applyBorder="1"/>
    <xf numFmtId="2" fontId="9" fillId="2" borderId="1" xfId="969" applyNumberFormat="1" applyBorder="1"/>
    <xf numFmtId="2" fontId="9" fillId="30" borderId="1" xfId="969" applyNumberFormat="1" applyFont="1" applyFill="1" applyBorder="1"/>
    <xf numFmtId="2" fontId="21" fillId="4" borderId="1" xfId="984" applyNumberFormat="1" applyFont="1" applyBorder="1"/>
    <xf numFmtId="2" fontId="13" fillId="3" borderId="1" xfId="962" applyNumberFormat="1" applyFont="1" applyBorder="1"/>
    <xf numFmtId="18" fontId="29" fillId="0" borderId="0" xfId="948" applyNumberFormat="1" applyFill="1" applyBorder="1" applyAlignment="1">
      <alignment horizontal="center"/>
    </xf>
    <xf numFmtId="18" fontId="29" fillId="5" borderId="0" xfId="948" applyNumberFormat="1" applyBorder="1" applyAlignment="1">
      <alignment horizontal="center"/>
    </xf>
    <xf numFmtId="0" fontId="29" fillId="0" borderId="0" xfId="948" applyFill="1" applyBorder="1" applyAlignment="1">
      <alignment horizontal="center"/>
    </xf>
    <xf numFmtId="0" fontId="29" fillId="60" borderId="4" xfId="943" applyBorder="1"/>
    <xf numFmtId="0" fontId="29" fillId="60" borderId="4" xfId="943" applyFont="1" applyBorder="1"/>
    <xf numFmtId="0" fontId="29" fillId="0" borderId="4" xfId="943" applyFill="1" applyBorder="1"/>
    <xf numFmtId="14" fontId="14" fillId="0" borderId="1" xfId="912" applyNumberFormat="1" applyBorder="1"/>
    <xf numFmtId="21" fontId="14" fillId="0" borderId="1" xfId="912" applyNumberFormat="1" applyBorder="1"/>
    <xf numFmtId="2" fontId="14" fillId="0" borderId="1" xfId="912" applyNumberFormat="1" applyBorder="1"/>
    <xf numFmtId="0" fontId="14" fillId="0" borderId="45" xfId="912" applyBorder="1"/>
    <xf numFmtId="0" fontId="14" fillId="0" borderId="46" xfId="912" applyBorder="1" applyAlignment="1">
      <alignment wrapText="1"/>
    </xf>
    <xf numFmtId="0" fontId="14" fillId="0" borderId="11" xfId="912" applyBorder="1"/>
    <xf numFmtId="0" fontId="14" fillId="0" borderId="46" xfId="912" applyBorder="1"/>
    <xf numFmtId="0" fontId="14" fillId="0" borderId="47" xfId="912" applyBorder="1" applyAlignment="1">
      <alignment wrapText="1"/>
    </xf>
    <xf numFmtId="0" fontId="29" fillId="0" borderId="0" xfId="943" applyFill="1" applyBorder="1"/>
    <xf numFmtId="0" fontId="29" fillId="60" borderId="3" xfId="943" applyBorder="1" applyAlignment="1">
      <alignment wrapText="1"/>
    </xf>
    <xf numFmtId="0" fontId="29" fillId="0" borderId="0" xfId="943" applyFill="1" applyBorder="1" applyAlignment="1">
      <alignment wrapText="1"/>
    </xf>
    <xf numFmtId="0" fontId="32" fillId="0" borderId="0" xfId="943" applyFont="1" applyFill="1" applyBorder="1" applyAlignment="1">
      <alignment wrapText="1"/>
    </xf>
    <xf numFmtId="0" fontId="29" fillId="60" borderId="0" xfId="943" applyBorder="1"/>
    <xf numFmtId="0" fontId="49" fillId="60" borderId="1" xfId="943" applyFont="1" applyBorder="1"/>
    <xf numFmtId="0" fontId="29" fillId="0" borderId="0" xfId="943" applyFont="1" applyFill="1" applyBorder="1"/>
    <xf numFmtId="14" fontId="10" fillId="7" borderId="24" xfId="912" applyNumberFormat="1" applyFont="1" applyFill="1" applyBorder="1"/>
    <xf numFmtId="1" fontId="14" fillId="7" borderId="8" xfId="912" applyNumberFormat="1" applyFont="1" applyFill="1" applyBorder="1"/>
    <xf numFmtId="1" fontId="14" fillId="7" borderId="1" xfId="912" applyNumberFormat="1" applyFont="1" applyFill="1" applyBorder="1"/>
    <xf numFmtId="168" fontId="13" fillId="3" borderId="1" xfId="962" applyNumberFormat="1" applyBorder="1"/>
    <xf numFmtId="168" fontId="9" fillId="7" borderId="1" xfId="969" applyNumberFormat="1" applyFont="1" applyFill="1" applyBorder="1"/>
    <xf numFmtId="168" fontId="9" fillId="2" borderId="1" xfId="969" applyNumberFormat="1" applyBorder="1"/>
    <xf numFmtId="168" fontId="9" fillId="30" borderId="1" xfId="969" applyNumberFormat="1" applyFont="1" applyFill="1" applyBorder="1"/>
    <xf numFmtId="168" fontId="21" fillId="4" borderId="1" xfId="984" applyNumberFormat="1" applyFont="1" applyBorder="1"/>
    <xf numFmtId="168" fontId="21" fillId="17" borderId="1" xfId="984" applyNumberFormat="1" applyFont="1" applyFill="1" applyBorder="1"/>
    <xf numFmtId="0" fontId="14" fillId="0" borderId="17" xfId="912" applyBorder="1"/>
    <xf numFmtId="0" fontId="14" fillId="0" borderId="18" xfId="912" applyBorder="1"/>
    <xf numFmtId="168" fontId="14" fillId="0" borderId="0" xfId="912" applyNumberFormat="1" applyBorder="1"/>
    <xf numFmtId="170" fontId="29" fillId="5" borderId="1" xfId="948" applyNumberFormat="1" applyBorder="1" applyAlignment="1">
      <alignment horizontal="left" vertical="top" wrapText="1"/>
    </xf>
    <xf numFmtId="170" fontId="22" fillId="85" borderId="1" xfId="912" applyNumberFormat="1" applyFont="1" applyFill="1" applyBorder="1" applyAlignment="1">
      <alignment horizontal="left" vertical="top" wrapText="1"/>
    </xf>
    <xf numFmtId="0" fontId="14" fillId="0" borderId="3" xfId="912" applyBorder="1"/>
    <xf numFmtId="173" fontId="14" fillId="0" borderId="1" xfId="912" applyNumberFormat="1" applyBorder="1"/>
    <xf numFmtId="0" fontId="14" fillId="0" borderId="50" xfId="912" applyBorder="1"/>
    <xf numFmtId="0" fontId="14" fillId="0" borderId="46" xfId="912" applyNumberFormat="1" applyBorder="1"/>
    <xf numFmtId="14" fontId="14" fillId="0" borderId="46" xfId="912" applyNumberFormat="1" applyBorder="1"/>
    <xf numFmtId="0" fontId="14" fillId="0" borderId="47" xfId="912" applyBorder="1"/>
    <xf numFmtId="0" fontId="10" fillId="0" borderId="8" xfId="912" applyNumberFormat="1" applyFont="1" applyFill="1" applyBorder="1"/>
    <xf numFmtId="49" fontId="10" fillId="0" borderId="1" xfId="912" applyNumberFormat="1" applyFont="1" applyFill="1" applyBorder="1"/>
    <xf numFmtId="171" fontId="22" fillId="85" borderId="1" xfId="912" applyNumberFormat="1" applyFont="1" applyFill="1" applyBorder="1" applyAlignment="1">
      <alignment horizontal="left" vertical="top" wrapText="1"/>
    </xf>
    <xf numFmtId="170" fontId="22" fillId="85" borderId="8" xfId="912" applyNumberFormat="1" applyFont="1" applyFill="1" applyBorder="1" applyAlignment="1">
      <alignment horizontal="left" vertical="top" wrapText="1"/>
    </xf>
    <xf numFmtId="49" fontId="10" fillId="0" borderId="51" xfId="912" applyNumberFormat="1" applyFont="1" applyFill="1" applyBorder="1"/>
    <xf numFmtId="165" fontId="14" fillId="0" borderId="0" xfId="912" applyNumberFormat="1" applyFont="1" applyFill="1" applyBorder="1"/>
    <xf numFmtId="1" fontId="14" fillId="7" borderId="3" xfId="912" applyNumberFormat="1" applyFont="1" applyFill="1" applyBorder="1"/>
    <xf numFmtId="1" fontId="14" fillId="0" borderId="0" xfId="912" applyNumberFormat="1" applyFont="1" applyFill="1" applyBorder="1"/>
    <xf numFmtId="0" fontId="14" fillId="0" borderId="20" xfId="912" applyBorder="1"/>
    <xf numFmtId="14" fontId="10" fillId="0" borderId="13" xfId="912" applyNumberFormat="1" applyFont="1" applyFill="1" applyBorder="1"/>
    <xf numFmtId="14" fontId="10" fillId="0" borderId="44" xfId="912" applyNumberFormat="1" applyFont="1" applyFill="1" applyBorder="1"/>
    <xf numFmtId="0" fontId="31" fillId="0" borderId="15" xfId="912" applyFont="1" applyFill="1" applyBorder="1"/>
    <xf numFmtId="49" fontId="14" fillId="0" borderId="0" xfId="912" applyNumberFormat="1"/>
    <xf numFmtId="11" fontId="29" fillId="0" borderId="0" xfId="951" applyNumberFormat="1" applyFill="1" applyBorder="1"/>
    <xf numFmtId="0" fontId="14" fillId="0" borderId="8" xfId="912" applyBorder="1"/>
    <xf numFmtId="0" fontId="14" fillId="0" borderId="1" xfId="912" applyNumberFormat="1" applyBorder="1"/>
    <xf numFmtId="170" fontId="14" fillId="0" borderId="0" xfId="912" applyNumberFormat="1" applyFill="1"/>
    <xf numFmtId="49" fontId="10" fillId="0" borderId="52" xfId="912" applyNumberFormat="1" applyFont="1" applyFill="1" applyBorder="1"/>
    <xf numFmtId="14" fontId="10" fillId="0" borderId="24" xfId="912" applyNumberFormat="1" applyFont="1" applyFill="1" applyBorder="1"/>
    <xf numFmtId="14" fontId="10" fillId="0" borderId="34" xfId="912" applyNumberFormat="1" applyFont="1" applyFill="1" applyBorder="1"/>
    <xf numFmtId="0" fontId="14" fillId="0" borderId="53" xfId="912" applyBorder="1"/>
    <xf numFmtId="0" fontId="14" fillId="0" borderId="54" xfId="912" applyBorder="1"/>
    <xf numFmtId="0" fontId="14" fillId="0" borderId="22" xfId="912" applyBorder="1"/>
    <xf numFmtId="0" fontId="14" fillId="0" borderId="23" xfId="912" applyBorder="1"/>
    <xf numFmtId="0" fontId="14" fillId="0" borderId="5" xfId="912" applyBorder="1" applyAlignment="1"/>
    <xf numFmtId="0" fontId="14" fillId="0" borderId="0" xfId="912" applyBorder="1" applyAlignment="1"/>
    <xf numFmtId="1" fontId="14" fillId="0" borderId="8" xfId="912" applyNumberFormat="1" applyFont="1" applyBorder="1"/>
    <xf numFmtId="1" fontId="14" fillId="0" borderId="1" xfId="912" applyNumberFormat="1" applyFont="1" applyBorder="1"/>
    <xf numFmtId="1" fontId="14" fillId="0" borderId="3" xfId="912" applyNumberFormat="1" applyFont="1" applyBorder="1"/>
    <xf numFmtId="11" fontId="14" fillId="0" borderId="1" xfId="912" applyNumberFormat="1" applyFill="1" applyBorder="1"/>
    <xf numFmtId="11" fontId="9" fillId="0" borderId="0" xfId="969" applyNumberFormat="1" applyFont="1" applyFill="1" applyBorder="1"/>
    <xf numFmtId="0" fontId="14" fillId="0" borderId="18" xfId="912" applyNumberFormat="1" applyBorder="1"/>
    <xf numFmtId="0" fontId="14" fillId="0" borderId="8" xfId="912" applyNumberFormat="1" applyBorder="1"/>
    <xf numFmtId="0" fontId="14" fillId="0" borderId="15" xfId="912" applyBorder="1"/>
    <xf numFmtId="1" fontId="14" fillId="0" borderId="0" xfId="912" applyNumberFormat="1" applyFill="1" applyBorder="1"/>
    <xf numFmtId="1" fontId="14" fillId="0" borderId="8" xfId="912" applyNumberFormat="1" applyBorder="1"/>
    <xf numFmtId="1" fontId="14" fillId="0" borderId="55" xfId="912" applyNumberFormat="1" applyBorder="1"/>
    <xf numFmtId="0" fontId="14" fillId="0" borderId="56" xfId="912" applyBorder="1"/>
    <xf numFmtId="1" fontId="14" fillId="0" borderId="3" xfId="912" applyNumberFormat="1" applyFont="1" applyFill="1" applyBorder="1"/>
    <xf numFmtId="14" fontId="10" fillId="30" borderId="24" xfId="912" applyNumberFormat="1" applyFont="1" applyFill="1" applyBorder="1"/>
    <xf numFmtId="1" fontId="14" fillId="30" borderId="8" xfId="912" applyNumberFormat="1" applyFont="1" applyFill="1" applyBorder="1"/>
    <xf numFmtId="1" fontId="14" fillId="30" borderId="1" xfId="912" applyNumberFormat="1" applyFont="1" applyFill="1" applyBorder="1"/>
    <xf numFmtId="1" fontId="14" fillId="30" borderId="3" xfId="912" applyNumberFormat="1" applyFont="1" applyFill="1" applyBorder="1"/>
    <xf numFmtId="11" fontId="21" fillId="0" borderId="0" xfId="984" applyNumberFormat="1" applyFont="1" applyFill="1" applyBorder="1"/>
    <xf numFmtId="2" fontId="21" fillId="17" borderId="1" xfId="984" applyNumberFormat="1" applyFont="1" applyFill="1" applyBorder="1"/>
    <xf numFmtId="0" fontId="22" fillId="85" borderId="1" xfId="912" applyFont="1" applyFill="1" applyBorder="1" applyAlignment="1">
      <alignment horizontal="left" vertical="top" wrapText="1"/>
    </xf>
    <xf numFmtId="14" fontId="10" fillId="0" borderId="57" xfId="912" applyNumberFormat="1" applyFont="1" applyFill="1" applyBorder="1"/>
    <xf numFmtId="14" fontId="10" fillId="0" borderId="5" xfId="912" applyNumberFormat="1" applyFont="1" applyFill="1" applyBorder="1"/>
    <xf numFmtId="2" fontId="14" fillId="7" borderId="1" xfId="912" applyNumberFormat="1" applyFont="1" applyFill="1" applyBorder="1"/>
    <xf numFmtId="11" fontId="14" fillId="0" borderId="0" xfId="912" applyNumberFormat="1"/>
    <xf numFmtId="11" fontId="14" fillId="0" borderId="0" xfId="912" applyNumberFormat="1" applyFill="1" applyBorder="1"/>
    <xf numFmtId="2" fontId="14" fillId="0" borderId="1" xfId="912" applyNumberFormat="1" applyFill="1" applyBorder="1"/>
    <xf numFmtId="49" fontId="10" fillId="0" borderId="58" xfId="912" applyNumberFormat="1" applyFont="1" applyFill="1" applyBorder="1"/>
    <xf numFmtId="175" fontId="22" fillId="85" borderId="1" xfId="912" applyNumberFormat="1" applyFont="1" applyFill="1" applyBorder="1" applyAlignment="1">
      <alignment horizontal="left" vertical="top" wrapText="1"/>
    </xf>
    <xf numFmtId="49" fontId="10" fillId="0" borderId="5" xfId="912" applyNumberFormat="1" applyFont="1" applyFill="1" applyBorder="1" applyAlignment="1"/>
    <xf numFmtId="49" fontId="10" fillId="0" borderId="0" xfId="912" applyNumberFormat="1" applyFont="1" applyFill="1" applyBorder="1" applyAlignment="1"/>
    <xf numFmtId="14" fontId="14" fillId="0" borderId="4" xfId="912" applyNumberFormat="1" applyBorder="1"/>
    <xf numFmtId="21" fontId="14" fillId="0" borderId="4" xfId="912" applyNumberFormat="1" applyBorder="1"/>
    <xf numFmtId="2" fontId="14" fillId="0" borderId="4" xfId="912" applyNumberFormat="1" applyBorder="1"/>
    <xf numFmtId="173" fontId="0" fillId="0" borderId="1" xfId="0" applyNumberFormat="1" applyBorder="1"/>
    <xf numFmtId="173" fontId="0" fillId="81" borderId="3" xfId="0" applyNumberFormat="1" applyFont="1" applyFill="1" applyBorder="1" applyAlignment="1">
      <alignment horizontal="right"/>
    </xf>
    <xf numFmtId="173" fontId="0" fillId="0" borderId="3" xfId="0" applyNumberFormat="1" applyFont="1" applyBorder="1" applyAlignment="1">
      <alignment horizontal="right"/>
    </xf>
    <xf numFmtId="173" fontId="14" fillId="0" borderId="0" xfId="912" applyNumberFormat="1" applyFont="1" applyAlignment="1">
      <alignment horizontal="right"/>
    </xf>
    <xf numFmtId="0" fontId="14" fillId="86" borderId="0" xfId="912" applyFill="1"/>
    <xf numFmtId="0" fontId="6" fillId="81" borderId="1" xfId="2" applyNumberFormat="1" applyFill="1" applyBorder="1" applyAlignment="1">
      <alignment horizontal="center"/>
    </xf>
    <xf numFmtId="0" fontId="0" fillId="0" borderId="1" xfId="0" applyNumberFormat="1" applyBorder="1"/>
    <xf numFmtId="0" fontId="0" fillId="0" borderId="1" xfId="0" applyNumberFormat="1" applyFill="1" applyBorder="1"/>
    <xf numFmtId="170" fontId="1" fillId="81" borderId="1" xfId="448" applyNumberFormat="1" applyFont="1" applyFill="1" applyBorder="1" applyAlignment="1">
      <alignment horizontal="left" vertical="top" wrapText="1"/>
    </xf>
    <xf numFmtId="3" fontId="1" fillId="81" borderId="1" xfId="447" applyNumberFormat="1" applyFont="1" applyFill="1" applyBorder="1" applyAlignment="1">
      <alignment horizontal="right"/>
    </xf>
    <xf numFmtId="170" fontId="18" fillId="83" borderId="1" xfId="0" applyNumberFormat="1" applyFont="1" applyFill="1" applyBorder="1" applyAlignment="1">
      <alignment horizontal="left" vertical="top" wrapText="1"/>
    </xf>
    <xf numFmtId="170" fontId="18" fillId="83" borderId="2" xfId="0" applyNumberFormat="1" applyFont="1" applyFill="1" applyBorder="1" applyAlignment="1">
      <alignment horizontal="left" vertical="top" wrapText="1"/>
    </xf>
    <xf numFmtId="170" fontId="22" fillId="83" borderId="2" xfId="0" applyNumberFormat="1" applyFont="1" applyFill="1" applyBorder="1" applyAlignment="1">
      <alignment horizontal="left" vertical="top" wrapText="1"/>
    </xf>
    <xf numFmtId="170" fontId="22" fillId="36" borderId="2" xfId="0" applyNumberFormat="1" applyFont="1" applyFill="1" applyBorder="1" applyAlignment="1">
      <alignment horizontal="left" vertical="top" wrapText="1"/>
    </xf>
    <xf numFmtId="0" fontId="22" fillId="36" borderId="2" xfId="0" applyFont="1" applyFill="1" applyBorder="1" applyAlignment="1">
      <alignment horizontal="left" vertical="top" wrapText="1"/>
    </xf>
    <xf numFmtId="171" fontId="18" fillId="83" borderId="1" xfId="0" applyNumberFormat="1" applyFont="1" applyFill="1" applyBorder="1" applyAlignment="1">
      <alignment horizontal="left" vertical="top" wrapText="1"/>
    </xf>
    <xf numFmtId="0" fontId="6" fillId="81" borderId="0" xfId="2" applyNumberFormat="1" applyFill="1" applyBorder="1" applyAlignment="1">
      <alignment horizontal="center"/>
    </xf>
    <xf numFmtId="2" fontId="0" fillId="20" borderId="1" xfId="0" applyNumberFormat="1" applyFill="1" applyBorder="1"/>
    <xf numFmtId="0" fontId="6" fillId="20" borderId="1" xfId="2" applyNumberFormat="1" applyFill="1" applyBorder="1" applyAlignment="1">
      <alignment horizontal="center"/>
    </xf>
    <xf numFmtId="171" fontId="22" fillId="18" borderId="1" xfId="539" applyNumberFormat="1" applyFont="1" applyFill="1" applyBorder="1" applyAlignment="1">
      <alignment horizontal="center" vertical="top" wrapText="1"/>
    </xf>
    <xf numFmtId="165" fontId="0" fillId="17" borderId="1" xfId="0" applyNumberFormat="1" applyFont="1" applyFill="1" applyBorder="1"/>
    <xf numFmtId="2" fontId="2" fillId="17" borderId="0" xfId="448" applyNumberFormat="1" applyFont="1" applyFill="1" applyBorder="1"/>
    <xf numFmtId="171" fontId="22" fillId="18" borderId="1" xfId="0" applyNumberFormat="1" applyFont="1" applyFill="1" applyBorder="1" applyAlignment="1">
      <alignment horizontal="center" vertical="top" wrapText="1"/>
    </xf>
    <xf numFmtId="170" fontId="0" fillId="20" borderId="1" xfId="0" applyNumberFormat="1" applyFont="1" applyFill="1" applyBorder="1"/>
    <xf numFmtId="170" fontId="0" fillId="81" borderId="1" xfId="0" applyNumberFormat="1" applyFont="1" applyFill="1" applyBorder="1"/>
    <xf numFmtId="174" fontId="22" fillId="82" borderId="1" xfId="917" applyNumberFormat="1" applyFont="1" applyFill="1" applyBorder="1" applyAlignment="1">
      <alignment horizontal="center" vertical="top" wrapText="1"/>
    </xf>
    <xf numFmtId="0" fontId="6" fillId="51" borderId="1" xfId="2" applyFill="1" applyBorder="1" applyAlignment="1">
      <alignment horizontal="center"/>
    </xf>
    <xf numFmtId="168" fontId="29" fillId="51" borderId="8" xfId="951" applyNumberFormat="1" applyFill="1" applyBorder="1"/>
    <xf numFmtId="168" fontId="29" fillId="51" borderId="1" xfId="951" applyNumberFormat="1" applyFill="1" applyBorder="1"/>
    <xf numFmtId="168" fontId="29" fillId="51" borderId="8" xfId="948" applyNumberFormat="1" applyFill="1" applyBorder="1"/>
    <xf numFmtId="168" fontId="29" fillId="51" borderId="1" xfId="948" applyNumberFormat="1" applyFill="1" applyBorder="1"/>
    <xf numFmtId="14" fontId="14" fillId="0" borderId="1" xfId="0" applyNumberFormat="1" applyFont="1" applyFill="1" applyBorder="1" applyAlignment="1">
      <alignment horizontal="center" vertical="center"/>
    </xf>
    <xf numFmtId="170" fontId="22" fillId="0" borderId="1" xfId="539" applyNumberFormat="1" applyFont="1" applyFill="1" applyBorder="1" applyAlignment="1">
      <alignment horizontal="left" vertical="top" wrapText="1"/>
    </xf>
    <xf numFmtId="0" fontId="14" fillId="0" borderId="1" xfId="0" applyNumberFormat="1" applyFont="1" applyFill="1" applyBorder="1" applyAlignment="1">
      <alignment horizontal="center" vertical="center"/>
    </xf>
    <xf numFmtId="1" fontId="23" fillId="0" borderId="1" xfId="0" applyNumberFormat="1" applyFont="1" applyFill="1" applyBorder="1" applyAlignment="1">
      <alignment horizontal="right" vertical="center"/>
    </xf>
    <xf numFmtId="3" fontId="23" fillId="0" borderId="1" xfId="0" applyNumberFormat="1" applyFont="1" applyFill="1" applyBorder="1" applyAlignment="1">
      <alignment horizontal="right" vertical="center"/>
    </xf>
    <xf numFmtId="43" fontId="0" fillId="0" borderId="1" xfId="0" applyNumberFormat="1" applyFill="1" applyBorder="1"/>
    <xf numFmtId="0" fontId="0" fillId="0" borderId="1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2" fontId="14" fillId="0" borderId="8" xfId="1" applyNumberFormat="1" applyFont="1" applyFill="1" applyBorder="1" applyAlignment="1">
      <alignment horizontal="center"/>
    </xf>
    <xf numFmtId="165" fontId="14" fillId="0" borderId="1" xfId="1" applyNumberFormat="1" applyFont="1" applyFill="1" applyBorder="1" applyAlignment="1">
      <alignment horizontal="center"/>
    </xf>
    <xf numFmtId="168" fontId="32" fillId="0" borderId="1" xfId="948" applyNumberFormat="1" applyFont="1" applyFill="1" applyBorder="1"/>
    <xf numFmtId="165" fontId="0" fillId="0" borderId="3" xfId="0" applyNumberFormat="1" applyFill="1" applyBorder="1"/>
    <xf numFmtId="0" fontId="0" fillId="0" borderId="1" xfId="0" applyFill="1" applyBorder="1" applyAlignment="1">
      <alignment horizontal="center"/>
    </xf>
    <xf numFmtId="0" fontId="6" fillId="0" borderId="1" xfId="2" applyFill="1" applyBorder="1" applyAlignment="1">
      <alignment horizontal="center"/>
    </xf>
    <xf numFmtId="0" fontId="6" fillId="0" borderId="1" xfId="2" applyNumberFormat="1" applyFill="1" applyBorder="1" applyAlignment="1">
      <alignment horizontal="center"/>
    </xf>
    <xf numFmtId="168" fontId="29" fillId="0" borderId="8" xfId="948" applyNumberFormat="1" applyFill="1" applyBorder="1"/>
    <xf numFmtId="168" fontId="29" fillId="0" borderId="1" xfId="948" applyNumberFormat="1" applyFill="1" applyBorder="1"/>
    <xf numFmtId="168" fontId="29" fillId="0" borderId="8" xfId="951" applyNumberFormat="1" applyFill="1" applyBorder="1"/>
    <xf numFmtId="168" fontId="29" fillId="0" borderId="1" xfId="951" applyNumberFormat="1" applyFill="1" applyBorder="1"/>
    <xf numFmtId="165" fontId="14" fillId="0" borderId="0" xfId="1" applyNumberFormat="1" applyFont="1" applyFill="1" applyBorder="1"/>
    <xf numFmtId="168" fontId="32" fillId="0" borderId="1" xfId="951" applyNumberFormat="1" applyFont="1" applyFill="1" applyBorder="1"/>
    <xf numFmtId="168" fontId="9" fillId="0" borderId="1" xfId="969" applyNumberFormat="1" applyFont="1" applyFill="1" applyBorder="1"/>
    <xf numFmtId="168" fontId="32" fillId="0" borderId="1" xfId="969" applyNumberFormat="1" applyFont="1" applyFill="1" applyBorder="1"/>
    <xf numFmtId="2" fontId="14" fillId="0" borderId="0" xfId="1" applyNumberFormat="1" applyFont="1" applyFill="1" applyBorder="1"/>
    <xf numFmtId="11" fontId="14" fillId="0" borderId="0" xfId="1" applyNumberFormat="1" applyFont="1" applyFill="1" applyBorder="1"/>
    <xf numFmtId="0" fontId="22" fillId="0" borderId="1" xfId="539" applyFont="1" applyFill="1" applyBorder="1" applyAlignment="1">
      <alignment horizontal="left" vertical="top" wrapText="1"/>
    </xf>
    <xf numFmtId="0" fontId="0" fillId="0" borderId="1" xfId="0" applyNumberFormat="1" applyFont="1" applyFill="1" applyBorder="1" applyAlignment="1">
      <alignment horizontal="center"/>
    </xf>
    <xf numFmtId="171" fontId="22" fillId="0" borderId="1" xfId="0" applyNumberFormat="1" applyFont="1" applyFill="1" applyBorder="1" applyAlignment="1">
      <alignment horizontal="center" vertical="top" wrapText="1"/>
    </xf>
    <xf numFmtId="11" fontId="14" fillId="0" borderId="1" xfId="0" applyNumberFormat="1" applyFont="1" applyFill="1" applyBorder="1" applyAlignment="1">
      <alignment horizontal="center"/>
    </xf>
    <xf numFmtId="11" fontId="14" fillId="0" borderId="0" xfId="3" applyNumberFormat="1" applyFont="1" applyFill="1" applyBorder="1"/>
    <xf numFmtId="11" fontId="14" fillId="0" borderId="1" xfId="1" applyNumberFormat="1" applyFont="1" applyFill="1" applyBorder="1" applyAlignment="1">
      <alignment horizontal="center"/>
    </xf>
    <xf numFmtId="168" fontId="32" fillId="0" borderId="1" xfId="984" applyNumberFormat="1" applyFont="1" applyFill="1" applyBorder="1"/>
    <xf numFmtId="2" fontId="8" fillId="0" borderId="1" xfId="448" applyNumberFormat="1" applyFill="1" applyBorder="1"/>
    <xf numFmtId="165" fontId="5" fillId="0" borderId="1" xfId="1" applyNumberFormat="1" applyFill="1" applyBorder="1"/>
    <xf numFmtId="11" fontId="14" fillId="0" borderId="1" xfId="3" applyNumberFormat="1" applyFont="1" applyFill="1" applyBorder="1" applyAlignment="1">
      <alignment horizontal="center"/>
    </xf>
    <xf numFmtId="2" fontId="14" fillId="0" borderId="1" xfId="1" applyNumberFormat="1" applyFont="1" applyFill="1" applyBorder="1" applyAlignment="1">
      <alignment horizontal="center"/>
    </xf>
    <xf numFmtId="11" fontId="14" fillId="0" borderId="4" xfId="3" applyNumberFormat="1" applyFon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2" fontId="14" fillId="0" borderId="1" xfId="2" applyNumberFormat="1" applyFont="1" applyFill="1" applyBorder="1" applyAlignment="1">
      <alignment horizontal="center"/>
    </xf>
    <xf numFmtId="168" fontId="32" fillId="0" borderId="1" xfId="962" applyNumberFormat="1" applyFont="1" applyFill="1" applyBorder="1"/>
    <xf numFmtId="0" fontId="1" fillId="81" borderId="1" xfId="2" applyNumberFormat="1" applyFont="1" applyFill="1" applyBorder="1" applyAlignment="1">
      <alignment horizontal="center"/>
    </xf>
    <xf numFmtId="14" fontId="0" fillId="87" borderId="0" xfId="0" applyNumberFormat="1" applyFill="1" applyAlignment="1">
      <alignment horizontal="center"/>
    </xf>
    <xf numFmtId="0" fontId="6" fillId="87" borderId="1" xfId="2" applyNumberFormat="1" applyFill="1" applyBorder="1" applyAlignment="1">
      <alignment horizontal="center"/>
    </xf>
    <xf numFmtId="165" fontId="0" fillId="87" borderId="1" xfId="0" applyNumberFormat="1" applyFill="1" applyBorder="1"/>
    <xf numFmtId="0" fontId="6" fillId="87" borderId="1" xfId="2" applyFill="1" applyBorder="1" applyAlignment="1">
      <alignment horizontal="center"/>
    </xf>
    <xf numFmtId="0" fontId="0" fillId="87" borderId="1" xfId="0" applyFill="1" applyBorder="1" applyAlignment="1">
      <alignment horizontal="center"/>
    </xf>
    <xf numFmtId="165" fontId="0" fillId="87" borderId="3" xfId="0" applyNumberFormat="1" applyFill="1" applyBorder="1"/>
    <xf numFmtId="0" fontId="0" fillId="87" borderId="0" xfId="0" applyFill="1"/>
    <xf numFmtId="3" fontId="14" fillId="81" borderId="1" xfId="0" applyNumberFormat="1" applyFont="1" applyFill="1" applyBorder="1" applyAlignment="1">
      <alignment horizontal="center" vertical="center"/>
    </xf>
    <xf numFmtId="3" fontId="14" fillId="0" borderId="1" xfId="0" applyNumberFormat="1" applyFont="1" applyFill="1" applyBorder="1" applyAlignment="1">
      <alignment horizontal="center" vertical="center"/>
    </xf>
    <xf numFmtId="3" fontId="14" fillId="70" borderId="1" xfId="0" applyNumberFormat="1" applyFont="1" applyFill="1" applyBorder="1" applyAlignment="1">
      <alignment horizontal="center" vertical="center"/>
    </xf>
    <xf numFmtId="3" fontId="1" fillId="81" borderId="1" xfId="2" applyNumberFormat="1" applyFont="1" applyFill="1" applyBorder="1" applyAlignment="1">
      <alignment horizontal="center"/>
    </xf>
    <xf numFmtId="3" fontId="1" fillId="81" borderId="3" xfId="0" applyNumberFormat="1" applyFont="1" applyFill="1" applyBorder="1" applyAlignment="1">
      <alignment horizontal="center"/>
    </xf>
    <xf numFmtId="3" fontId="1" fillId="81" borderId="3" xfId="0" applyNumberFormat="1" applyFont="1" applyFill="1" applyBorder="1"/>
    <xf numFmtId="3" fontId="1" fillId="0" borderId="1" xfId="2" applyNumberFormat="1" applyFont="1" applyFill="1" applyBorder="1" applyAlignment="1">
      <alignment horizontal="center"/>
    </xf>
    <xf numFmtId="3" fontId="1" fillId="0" borderId="3" xfId="0" applyNumberFormat="1" applyFont="1" applyFill="1" applyBorder="1"/>
    <xf numFmtId="3" fontId="1" fillId="31" borderId="3" xfId="0" applyNumberFormat="1" applyFont="1" applyFill="1" applyBorder="1"/>
    <xf numFmtId="3" fontId="1" fillId="0" borderId="0" xfId="0" applyNumberFormat="1" applyFont="1" applyFill="1" applyAlignment="1">
      <alignment horizontal="center"/>
    </xf>
    <xf numFmtId="3" fontId="1" fillId="0" borderId="1" xfId="0" applyNumberFormat="1" applyFont="1" applyFill="1" applyBorder="1"/>
    <xf numFmtId="3" fontId="1" fillId="0" borderId="1" xfId="0" applyNumberFormat="1" applyFont="1" applyBorder="1"/>
    <xf numFmtId="3" fontId="1" fillId="70" borderId="0" xfId="0" applyNumberFormat="1" applyFont="1" applyFill="1"/>
    <xf numFmtId="0" fontId="1" fillId="0" borderId="1" xfId="2" applyNumberFormat="1" applyFont="1" applyFill="1" applyBorder="1" applyAlignment="1">
      <alignment horizontal="center"/>
    </xf>
    <xf numFmtId="0" fontId="1" fillId="0" borderId="1" xfId="0" applyNumberFormat="1" applyFont="1" applyFill="1" applyBorder="1"/>
    <xf numFmtId="0" fontId="1" fillId="0" borderId="1" xfId="0" applyNumberFormat="1" applyFont="1" applyBorder="1"/>
    <xf numFmtId="0" fontId="14" fillId="0" borderId="0" xfId="912" applyNumberFormat="1"/>
    <xf numFmtId="0" fontId="0" fillId="31" borderId="1" xfId="0" applyFont="1" applyFill="1" applyBorder="1" applyAlignment="1">
      <alignment horizontal="center" vertical="center" wrapText="1"/>
    </xf>
    <xf numFmtId="0" fontId="0" fillId="31" borderId="1" xfId="0" applyFill="1" applyBorder="1" applyAlignment="1">
      <alignment horizontal="center"/>
    </xf>
    <xf numFmtId="0" fontId="1" fillId="31" borderId="1" xfId="2" applyNumberFormat="1" applyFont="1" applyFill="1" applyBorder="1" applyAlignment="1">
      <alignment horizontal="center"/>
    </xf>
    <xf numFmtId="165" fontId="0" fillId="31" borderId="1" xfId="0" applyNumberFormat="1" applyFill="1" applyBorder="1"/>
    <xf numFmtId="0" fontId="0" fillId="31" borderId="1" xfId="0" applyFill="1" applyBorder="1"/>
    <xf numFmtId="0" fontId="0" fillId="70" borderId="1" xfId="0" applyFont="1" applyFill="1" applyBorder="1" applyAlignment="1">
      <alignment horizontal="center" vertical="center" wrapText="1"/>
    </xf>
    <xf numFmtId="0" fontId="0" fillId="70" borderId="1" xfId="0" applyFill="1" applyBorder="1" applyAlignment="1">
      <alignment horizontal="center"/>
    </xf>
    <xf numFmtId="0" fontId="1" fillId="70" borderId="1" xfId="2" applyNumberFormat="1" applyFont="1" applyFill="1" applyBorder="1" applyAlignment="1">
      <alignment horizontal="center"/>
    </xf>
    <xf numFmtId="165" fontId="0" fillId="70" borderId="1" xfId="0" applyNumberFormat="1" applyFill="1" applyBorder="1"/>
    <xf numFmtId="0" fontId="0" fillId="70" borderId="1" xfId="0" applyFill="1" applyBorder="1"/>
    <xf numFmtId="14" fontId="0" fillId="70" borderId="1" xfId="0" applyNumberFormat="1" applyFill="1" applyBorder="1" applyAlignment="1">
      <alignment horizontal="center"/>
    </xf>
    <xf numFmtId="14" fontId="0" fillId="70" borderId="1" xfId="0" applyNumberFormat="1" applyFont="1" applyFill="1" applyBorder="1" applyAlignment="1">
      <alignment horizontal="center" vertical="center"/>
    </xf>
    <xf numFmtId="14" fontId="1" fillId="0" borderId="0" xfId="0" applyNumberFormat="1" applyFont="1" applyFill="1" applyAlignment="1">
      <alignment horizontal="center"/>
    </xf>
    <xf numFmtId="14" fontId="1" fillId="70" borderId="0" xfId="0" applyNumberFormat="1" applyFont="1" applyFill="1"/>
    <xf numFmtId="14" fontId="0" fillId="70" borderId="0" xfId="0" applyNumberFormat="1" applyFont="1" applyFill="1" applyAlignment="1">
      <alignment horizontal="center" vertical="center"/>
    </xf>
    <xf numFmtId="0" fontId="50" fillId="66" borderId="1" xfId="913" applyFont="1" applyBorder="1"/>
    <xf numFmtId="0" fontId="0" fillId="0" borderId="0" xfId="0" applyNumberFormat="1" applyFill="1" applyBorder="1" applyAlignment="1">
      <alignment horizontal="center"/>
    </xf>
    <xf numFmtId="176" fontId="0" fillId="0" borderId="0" xfId="0" applyNumberFormat="1" applyFill="1" applyBorder="1"/>
    <xf numFmtId="0" fontId="22" fillId="0" borderId="0" xfId="0" applyNumberFormat="1" applyFont="1" applyFill="1" applyBorder="1" applyAlignment="1">
      <alignment horizontal="center" vertical="top" wrapText="1"/>
    </xf>
    <xf numFmtId="170" fontId="22" fillId="36" borderId="59" xfId="0" applyNumberFormat="1" applyFont="1" applyFill="1" applyBorder="1" applyAlignment="1">
      <alignment horizontal="left" vertical="top" wrapText="1"/>
    </xf>
    <xf numFmtId="170" fontId="22" fillId="36" borderId="60" xfId="0" applyNumberFormat="1" applyFont="1" applyFill="1" applyBorder="1" applyAlignment="1">
      <alignment horizontal="left" vertical="top" wrapText="1"/>
    </xf>
    <xf numFmtId="170" fontId="22" fillId="36" borderId="61" xfId="0" applyNumberFormat="1" applyFont="1" applyFill="1" applyBorder="1" applyAlignment="1">
      <alignment horizontal="left" vertical="top" wrapText="1"/>
    </xf>
    <xf numFmtId="170" fontId="22" fillId="36" borderId="62" xfId="0" applyNumberFormat="1" applyFont="1" applyFill="1" applyBorder="1" applyAlignment="1">
      <alignment horizontal="left" vertical="top" wrapText="1"/>
    </xf>
    <xf numFmtId="170" fontId="22" fillId="36" borderId="63" xfId="0" applyNumberFormat="1" applyFont="1" applyFill="1" applyBorder="1" applyAlignment="1">
      <alignment horizontal="left" vertical="top" wrapText="1"/>
    </xf>
    <xf numFmtId="175" fontId="22" fillId="36" borderId="63" xfId="0" applyNumberFormat="1" applyFont="1" applyFill="1" applyBorder="1" applyAlignment="1">
      <alignment horizontal="left" vertical="top" wrapText="1"/>
    </xf>
    <xf numFmtId="170" fontId="22" fillId="36" borderId="64" xfId="0" applyNumberFormat="1" applyFont="1" applyFill="1" applyBorder="1" applyAlignment="1">
      <alignment horizontal="left" vertical="top" wrapText="1"/>
    </xf>
    <xf numFmtId="170" fontId="22" fillId="36" borderId="65" xfId="0" applyNumberFormat="1" applyFont="1" applyFill="1" applyBorder="1" applyAlignment="1">
      <alignment horizontal="left" vertical="top" wrapText="1"/>
    </xf>
    <xf numFmtId="170" fontId="22" fillId="36" borderId="66" xfId="0" applyNumberFormat="1" applyFont="1" applyFill="1" applyBorder="1" applyAlignment="1">
      <alignment horizontal="left" vertical="top" wrapText="1"/>
    </xf>
    <xf numFmtId="170" fontId="22" fillId="36" borderId="67" xfId="0" applyNumberFormat="1" applyFont="1" applyFill="1" applyBorder="1" applyAlignment="1">
      <alignment horizontal="left" vertical="top" wrapText="1"/>
    </xf>
    <xf numFmtId="2" fontId="0" fillId="81" borderId="0" xfId="0" applyNumberFormat="1" applyFill="1"/>
    <xf numFmtId="2" fontId="0" fillId="69" borderId="0" xfId="0" applyNumberFormat="1" applyFill="1"/>
    <xf numFmtId="2" fontId="18" fillId="83" borderId="0" xfId="0" applyNumberFormat="1" applyFont="1" applyFill="1"/>
    <xf numFmtId="173" fontId="0" fillId="81" borderId="0" xfId="0" applyNumberFormat="1" applyFill="1"/>
    <xf numFmtId="173" fontId="0" fillId="69" borderId="0" xfId="0" applyNumberFormat="1" applyFill="1"/>
    <xf numFmtId="173" fontId="18" fillId="83" borderId="0" xfId="0" applyNumberFormat="1" applyFont="1" applyFill="1"/>
    <xf numFmtId="3" fontId="0" fillId="0" borderId="0" xfId="0" applyNumberFormat="1"/>
    <xf numFmtId="0" fontId="0" fillId="34" borderId="0" xfId="0" applyFill="1" applyAlignment="1">
      <alignment horizontal="center"/>
    </xf>
    <xf numFmtId="0" fontId="0" fillId="34" borderId="0" xfId="0" applyFill="1" applyAlignment="1">
      <alignment horizontal="center" wrapText="1"/>
    </xf>
    <xf numFmtId="0" fontId="0" fillId="84" borderId="0" xfId="0" applyFill="1" applyAlignment="1">
      <alignment horizontal="center" wrapText="1"/>
    </xf>
    <xf numFmtId="0" fontId="0" fillId="84" borderId="0" xfId="0" applyFill="1" applyAlignment="1">
      <alignment horizontal="center"/>
    </xf>
    <xf numFmtId="173" fontId="0" fillId="89" borderId="0" xfId="0" applyNumberFormat="1" applyFill="1"/>
    <xf numFmtId="2" fontId="0" fillId="89" borderId="0" xfId="0" applyNumberFormat="1" applyFill="1"/>
    <xf numFmtId="2" fontId="18" fillId="90" borderId="0" xfId="0" applyNumberFormat="1" applyFont="1" applyFill="1"/>
    <xf numFmtId="173" fontId="18" fillId="90" borderId="0" xfId="0" applyNumberFormat="1" applyFont="1" applyFill="1"/>
    <xf numFmtId="1" fontId="0" fillId="89" borderId="0" xfId="0" applyNumberFormat="1" applyFill="1"/>
    <xf numFmtId="0" fontId="0" fillId="88" borderId="0" xfId="0" applyFill="1" applyBorder="1"/>
    <xf numFmtId="176" fontId="0" fillId="88" borderId="0" xfId="0" applyNumberFormat="1" applyFill="1" applyBorder="1"/>
    <xf numFmtId="0" fontId="0" fillId="34" borderId="1" xfId="0" applyFill="1" applyBorder="1" applyAlignment="1">
      <alignment horizontal="center"/>
    </xf>
    <xf numFmtId="0" fontId="0" fillId="91" borderId="1" xfId="0" applyFill="1" applyBorder="1"/>
    <xf numFmtId="0" fontId="0" fillId="34" borderId="1" xfId="0" applyFill="1" applyBorder="1" applyAlignment="1">
      <alignment horizontal="center" wrapText="1"/>
    </xf>
    <xf numFmtId="0" fontId="0" fillId="13" borderId="1" xfId="0" applyFill="1" applyBorder="1" applyAlignment="1">
      <alignment horizontal="center" wrapText="1"/>
    </xf>
    <xf numFmtId="0" fontId="0" fillId="91" borderId="1" xfId="0" applyFill="1" applyBorder="1" applyAlignment="1">
      <alignment horizontal="center" wrapText="1"/>
    </xf>
    <xf numFmtId="0" fontId="0" fillId="92" borderId="0" xfId="0" applyFill="1"/>
    <xf numFmtId="0" fontId="0" fillId="92" borderId="1" xfId="0" applyFill="1" applyBorder="1" applyAlignment="1">
      <alignment horizontal="center"/>
    </xf>
    <xf numFmtId="0" fontId="0" fillId="92" borderId="1" xfId="0" applyFill="1" applyBorder="1"/>
    <xf numFmtId="0" fontId="0" fillId="92" borderId="1" xfId="0" applyFill="1" applyBorder="1" applyAlignment="1">
      <alignment horizontal="center" wrapText="1"/>
    </xf>
    <xf numFmtId="165" fontId="0" fillId="34" borderId="1" xfId="0" applyNumberFormat="1" applyFill="1" applyBorder="1" applyAlignment="1">
      <alignment horizontal="center"/>
    </xf>
    <xf numFmtId="165" fontId="0" fillId="91" borderId="1" xfId="0" applyNumberFormat="1" applyFill="1" applyBorder="1" applyAlignment="1">
      <alignment horizontal="center"/>
    </xf>
    <xf numFmtId="165" fontId="0" fillId="91" borderId="1" xfId="0" applyNumberFormat="1" applyFill="1" applyBorder="1"/>
    <xf numFmtId="2" fontId="0" fillId="93" borderId="0" xfId="0" applyNumberFormat="1" applyFill="1"/>
    <xf numFmtId="170" fontId="0" fillId="0" borderId="0" xfId="0" applyNumberFormat="1" applyFill="1"/>
    <xf numFmtId="3" fontId="0" fillId="0" borderId="0" xfId="0" applyNumberFormat="1" applyFill="1"/>
    <xf numFmtId="174" fontId="0" fillId="15" borderId="0" xfId="0" applyNumberFormat="1" applyFont="1" applyFill="1" applyAlignment="1">
      <alignment horizontal="center" vertical="center"/>
    </xf>
    <xf numFmtId="0" fontId="14" fillId="0" borderId="0" xfId="912" applyBorder="1" applyAlignment="1">
      <alignment horizontal="center" vertical="center" wrapText="1"/>
    </xf>
    <xf numFmtId="18" fontId="29" fillId="5" borderId="3" xfId="948" applyNumberFormat="1" applyBorder="1" applyAlignment="1">
      <alignment horizontal="center"/>
    </xf>
    <xf numFmtId="0" fontId="0" fillId="9" borderId="1" xfId="0" applyFill="1" applyBorder="1" applyAlignment="1">
      <alignment horizontal="center" wrapText="1"/>
    </xf>
    <xf numFmtId="165" fontId="0" fillId="9" borderId="1" xfId="0" applyNumberFormat="1" applyFill="1" applyBorder="1" applyAlignment="1">
      <alignment horizontal="center"/>
    </xf>
    <xf numFmtId="165" fontId="0" fillId="9" borderId="0" xfId="0" applyNumberFormat="1" applyFill="1"/>
    <xf numFmtId="165" fontId="0" fillId="0" borderId="0" xfId="0" applyNumberFormat="1"/>
    <xf numFmtId="165" fontId="14" fillId="0" borderId="0" xfId="912" applyNumberFormat="1"/>
    <xf numFmtId="173" fontId="0" fillId="0" borderId="1" xfId="0" applyNumberFormat="1" applyFill="1" applyBorder="1"/>
    <xf numFmtId="18" fontId="29" fillId="5" borderId="1" xfId="948" applyNumberFormat="1" applyBorder="1" applyAlignment="1">
      <alignment horizontal="center"/>
    </xf>
    <xf numFmtId="18" fontId="29" fillId="5" borderId="3" xfId="948" applyNumberFormat="1" applyBorder="1" applyAlignment="1">
      <alignment horizontal="center"/>
    </xf>
    <xf numFmtId="18" fontId="29" fillId="5" borderId="34" xfId="948" applyNumberFormat="1" applyBorder="1" applyAlignment="1">
      <alignment horizontal="center"/>
    </xf>
    <xf numFmtId="18" fontId="29" fillId="5" borderId="8" xfId="948" applyNumberFormat="1" applyBorder="1" applyAlignment="1">
      <alignment horizontal="center"/>
    </xf>
    <xf numFmtId="18" fontId="29" fillId="5" borderId="43" xfId="948" applyNumberFormat="1" applyBorder="1" applyAlignment="1">
      <alignment horizontal="center"/>
    </xf>
    <xf numFmtId="18" fontId="29" fillId="5" borderId="44" xfId="948" applyNumberFormat="1" applyBorder="1" applyAlignment="1">
      <alignment horizontal="center"/>
    </xf>
    <xf numFmtId="0" fontId="14" fillId="0" borderId="0" xfId="912" applyAlignment="1">
      <alignment horizontal="center"/>
    </xf>
    <xf numFmtId="0" fontId="29" fillId="5" borderId="3" xfId="948" applyBorder="1" applyAlignment="1">
      <alignment horizontal="center"/>
    </xf>
    <xf numFmtId="0" fontId="29" fillId="5" borderId="34" xfId="948" applyBorder="1" applyAlignment="1">
      <alignment horizontal="center"/>
    </xf>
    <xf numFmtId="173" fontId="0" fillId="0" borderId="0" xfId="0" applyNumberFormat="1" applyFont="1" applyBorder="1" applyAlignment="1">
      <alignment horizontal="right"/>
    </xf>
    <xf numFmtId="0" fontId="29" fillId="60" borderId="5" xfId="943" applyBorder="1"/>
    <xf numFmtId="0" fontId="29" fillId="60" borderId="42" xfId="943" applyBorder="1"/>
    <xf numFmtId="168" fontId="13" fillId="3" borderId="0" xfId="962" applyNumberFormat="1" applyBorder="1"/>
    <xf numFmtId="3" fontId="1" fillId="31" borderId="3" xfId="0" applyNumberFormat="1" applyFont="1" applyFill="1" applyBorder="1" applyAlignment="1">
      <alignment horizontal="center"/>
    </xf>
    <xf numFmtId="0" fontId="0" fillId="15" borderId="0" xfId="0" applyFill="1" applyBorder="1"/>
    <xf numFmtId="165" fontId="0" fillId="0" borderId="0" xfId="0" applyNumberFormat="1" applyFill="1" applyBorder="1"/>
    <xf numFmtId="165" fontId="0" fillId="0" borderId="6" xfId="0" applyNumberFormat="1" applyBorder="1"/>
    <xf numFmtId="0" fontId="1" fillId="15" borderId="1" xfId="2" applyNumberFormat="1" applyFont="1" applyFill="1" applyBorder="1" applyAlignment="1">
      <alignment horizontal="center"/>
    </xf>
    <xf numFmtId="3" fontId="1" fillId="15" borderId="1" xfId="2" applyNumberFormat="1" applyFont="1" applyFill="1" applyBorder="1" applyAlignment="1">
      <alignment horizontal="center"/>
    </xf>
    <xf numFmtId="18" fontId="29" fillId="5" borderId="3" xfId="948" applyNumberFormat="1" applyBorder="1" applyAlignment="1">
      <alignment horizontal="center"/>
    </xf>
    <xf numFmtId="18" fontId="29" fillId="5" borderId="34" xfId="948" applyNumberFormat="1" applyBorder="1" applyAlignment="1">
      <alignment horizontal="center"/>
    </xf>
    <xf numFmtId="18" fontId="29" fillId="5" borderId="8" xfId="948" applyNumberFormat="1" applyBorder="1" applyAlignment="1">
      <alignment horizontal="center"/>
    </xf>
    <xf numFmtId="14" fontId="14" fillId="0" borderId="0" xfId="912" applyNumberFormat="1" applyFill="1"/>
    <xf numFmtId="0" fontId="0" fillId="0" borderId="1" xfId="0" applyBorder="1" applyAlignment="1">
      <alignment horizontal="center" vertical="center" wrapText="1"/>
    </xf>
    <xf numFmtId="11" fontId="14" fillId="9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21" borderId="0" xfId="0" applyNumberFormat="1" applyFill="1" applyAlignment="1">
      <alignment horizontal="center" wrapText="1"/>
    </xf>
    <xf numFmtId="0" fontId="0" fillId="21" borderId="0" xfId="0" applyNumberFormat="1" applyFill="1" applyAlignment="1">
      <alignment horizontal="center" vertical="center" wrapText="1"/>
    </xf>
    <xf numFmtId="0" fontId="31" fillId="0" borderId="3" xfId="912" applyFont="1" applyBorder="1" applyAlignment="1">
      <alignment horizontal="center"/>
    </xf>
    <xf numFmtId="0" fontId="31" fillId="0" borderId="34" xfId="912" applyFont="1" applyBorder="1" applyAlignment="1">
      <alignment horizontal="center"/>
    </xf>
    <xf numFmtId="0" fontId="31" fillId="0" borderId="8" xfId="912" applyFont="1" applyBorder="1" applyAlignment="1">
      <alignment horizontal="center"/>
    </xf>
    <xf numFmtId="0" fontId="14" fillId="0" borderId="1" xfId="912" applyBorder="1" applyAlignment="1">
      <alignment horizontal="center"/>
    </xf>
    <xf numFmtId="0" fontId="14" fillId="0" borderId="3" xfId="912" applyBorder="1" applyAlignment="1">
      <alignment horizontal="center"/>
    </xf>
    <xf numFmtId="0" fontId="32" fillId="0" borderId="3" xfId="912" applyFont="1" applyBorder="1" applyAlignment="1">
      <alignment horizontal="center"/>
    </xf>
    <xf numFmtId="0" fontId="32" fillId="0" borderId="34" xfId="912" applyFont="1" applyBorder="1" applyAlignment="1">
      <alignment horizontal="center"/>
    </xf>
    <xf numFmtId="0" fontId="32" fillId="0" borderId="8" xfId="912" applyFont="1" applyBorder="1" applyAlignment="1">
      <alignment horizontal="center"/>
    </xf>
    <xf numFmtId="0" fontId="14" fillId="0" borderId="0" xfId="912" applyBorder="1" applyAlignment="1">
      <alignment horizontal="center" vertical="center" wrapText="1"/>
    </xf>
    <xf numFmtId="0" fontId="29" fillId="84" borderId="0" xfId="912" applyFont="1" applyFill="1" applyAlignment="1">
      <alignment horizontal="center"/>
    </xf>
    <xf numFmtId="18" fontId="29" fillId="5" borderId="1" xfId="948" applyNumberFormat="1" applyBorder="1" applyAlignment="1">
      <alignment horizontal="center"/>
    </xf>
    <xf numFmtId="18" fontId="29" fillId="5" borderId="3" xfId="948" applyNumberFormat="1" applyBorder="1" applyAlignment="1">
      <alignment horizontal="center"/>
    </xf>
    <xf numFmtId="18" fontId="29" fillId="5" borderId="34" xfId="948" applyNumberFormat="1" applyBorder="1" applyAlignment="1">
      <alignment horizontal="center"/>
    </xf>
    <xf numFmtId="18" fontId="29" fillId="5" borderId="8" xfId="948" applyNumberFormat="1" applyBorder="1" applyAlignment="1">
      <alignment horizontal="center"/>
    </xf>
    <xf numFmtId="0" fontId="29" fillId="5" borderId="0" xfId="948" applyAlignment="1">
      <alignment horizontal="center"/>
    </xf>
    <xf numFmtId="0" fontId="29" fillId="60" borderId="10" xfId="943" applyBorder="1" applyAlignment="1">
      <alignment horizontal="center" wrapText="1"/>
    </xf>
    <xf numFmtId="0" fontId="29" fillId="60" borderId="11" xfId="943" applyBorder="1" applyAlignment="1">
      <alignment horizontal="center" wrapText="1"/>
    </xf>
    <xf numFmtId="0" fontId="29" fillId="60" borderId="12" xfId="943" applyBorder="1" applyAlignment="1">
      <alignment horizontal="center" wrapText="1"/>
    </xf>
    <xf numFmtId="0" fontId="29" fillId="60" borderId="48" xfId="943" applyBorder="1" applyAlignment="1">
      <alignment horizontal="center" wrapText="1"/>
    </xf>
    <xf numFmtId="0" fontId="29" fillId="60" borderId="49" xfId="943" applyBorder="1" applyAlignment="1">
      <alignment horizontal="center" wrapText="1"/>
    </xf>
    <xf numFmtId="0" fontId="29" fillId="60" borderId="35" xfId="943" applyBorder="1" applyAlignment="1">
      <alignment horizontal="center" wrapText="1"/>
    </xf>
    <xf numFmtId="0" fontId="29" fillId="5" borderId="8" xfId="948" applyBorder="1" applyAlignment="1">
      <alignment horizontal="center"/>
    </xf>
    <xf numFmtId="0" fontId="29" fillId="5" borderId="1" xfId="948" applyBorder="1" applyAlignment="1">
      <alignment horizontal="center"/>
    </xf>
    <xf numFmtId="0" fontId="14" fillId="0" borderId="17" xfId="912" applyBorder="1" applyAlignment="1">
      <alignment horizontal="center"/>
    </xf>
    <xf numFmtId="18" fontId="29" fillId="5" borderId="43" xfId="948" applyNumberFormat="1" applyBorder="1" applyAlignment="1">
      <alignment horizontal="center"/>
    </xf>
    <xf numFmtId="18" fontId="29" fillId="5" borderId="44" xfId="948" applyNumberFormat="1" applyBorder="1" applyAlignment="1">
      <alignment horizontal="center"/>
    </xf>
    <xf numFmtId="0" fontId="14" fillId="0" borderId="0" xfId="912" applyAlignment="1">
      <alignment horizontal="center"/>
    </xf>
    <xf numFmtId="0" fontId="29" fillId="5" borderId="3" xfId="948" applyBorder="1" applyAlignment="1">
      <alignment horizontal="center"/>
    </xf>
    <xf numFmtId="0" fontId="29" fillId="5" borderId="34" xfId="948" applyBorder="1" applyAlignment="1">
      <alignment horizontal="center"/>
    </xf>
    <xf numFmtId="0" fontId="48" fillId="5" borderId="0" xfId="948" applyFont="1" applyBorder="1" applyAlignment="1">
      <alignment horizontal="center" vertical="center"/>
    </xf>
    <xf numFmtId="0" fontId="48" fillId="5" borderId="44" xfId="948" applyFont="1" applyBorder="1" applyAlignment="1">
      <alignment horizontal="center" vertical="center"/>
    </xf>
    <xf numFmtId="0" fontId="14" fillId="0" borderId="34" xfId="912" applyBorder="1" applyAlignment="1">
      <alignment horizontal="center"/>
    </xf>
    <xf numFmtId="0" fontId="14" fillId="0" borderId="8" xfId="912" applyBorder="1" applyAlignment="1">
      <alignment horizontal="center"/>
    </xf>
    <xf numFmtId="0" fontId="14" fillId="0" borderId="1" xfId="912" applyBorder="1" applyAlignment="1">
      <alignment horizontal="center" vertical="center" wrapText="1"/>
    </xf>
    <xf numFmtId="0" fontId="14" fillId="0" borderId="7" xfId="912" applyBorder="1" applyAlignment="1">
      <alignment horizontal="center" vertical="center" wrapText="1"/>
    </xf>
    <xf numFmtId="0" fontId="14" fillId="0" borderId="5" xfId="912" applyBorder="1" applyAlignment="1">
      <alignment horizontal="center" vertical="center" wrapText="1"/>
    </xf>
    <xf numFmtId="0" fontId="14" fillId="0" borderId="42" xfId="912" applyBorder="1" applyAlignment="1">
      <alignment horizontal="center" vertical="center" wrapText="1"/>
    </xf>
    <xf numFmtId="0" fontId="14" fillId="0" borderId="43" xfId="912" applyBorder="1" applyAlignment="1">
      <alignment horizontal="center" vertical="center" wrapText="1"/>
    </xf>
    <xf numFmtId="0" fontId="14" fillId="0" borderId="44" xfId="912" applyBorder="1" applyAlignment="1">
      <alignment horizontal="center" vertical="center" wrapText="1"/>
    </xf>
    <xf numFmtId="0" fontId="14" fillId="0" borderId="15" xfId="912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73" fontId="0" fillId="0" borderId="0" xfId="0" applyNumberFormat="1" applyAlignment="1">
      <alignment horizontal="center"/>
    </xf>
    <xf numFmtId="173" fontId="0" fillId="89" borderId="0" xfId="0" applyNumberFormat="1" applyFill="1" applyAlignment="1">
      <alignment horizontal="center"/>
    </xf>
  </cellXfs>
  <cellStyles count="2364">
    <cellStyle name="20% - Accent1 2" xfId="918" xr:uid="{00000000-0005-0000-0000-000000000000}"/>
    <cellStyle name="20% - Accent1 3" xfId="919" xr:uid="{00000000-0005-0000-0000-000001000000}"/>
    <cellStyle name="20% - Accent2 2" xfId="920" xr:uid="{00000000-0005-0000-0000-000002000000}"/>
    <cellStyle name="20% - Accent3 2" xfId="921" xr:uid="{00000000-0005-0000-0000-000003000000}"/>
    <cellStyle name="20% - Accent4 2" xfId="922" xr:uid="{00000000-0005-0000-0000-000004000000}"/>
    <cellStyle name="20% - Accent4 3" xfId="923" xr:uid="{00000000-0005-0000-0000-000005000000}"/>
    <cellStyle name="20% - Accent6 2" xfId="924" xr:uid="{00000000-0005-0000-0000-000006000000}"/>
    <cellStyle name="40% - Accent1 2" xfId="925" xr:uid="{00000000-0005-0000-0000-000007000000}"/>
    <cellStyle name="40% - Accent1 3" xfId="926" xr:uid="{00000000-0005-0000-0000-000008000000}"/>
    <cellStyle name="40% - Accent1 4" xfId="915" xr:uid="{00000000-0005-0000-0000-000009000000}"/>
    <cellStyle name="40% - Accent3 2" xfId="927" xr:uid="{00000000-0005-0000-0000-00000A000000}"/>
    <cellStyle name="40% - Accent4 2" xfId="928" xr:uid="{00000000-0005-0000-0000-00000B000000}"/>
    <cellStyle name="40% - Accent4 3" xfId="929" xr:uid="{00000000-0005-0000-0000-00000C000000}"/>
    <cellStyle name="40% - Accent5 2" xfId="930" xr:uid="{00000000-0005-0000-0000-00000D000000}"/>
    <cellStyle name="40% - Accent5 3" xfId="931" xr:uid="{00000000-0005-0000-0000-00000E000000}"/>
    <cellStyle name="40% - Accent6 2" xfId="932" xr:uid="{00000000-0005-0000-0000-00000F000000}"/>
    <cellStyle name="40% - Accent6 3" xfId="933" xr:uid="{00000000-0005-0000-0000-000010000000}"/>
    <cellStyle name="60% - Accent1 2" xfId="934" xr:uid="{00000000-0005-0000-0000-000011000000}"/>
    <cellStyle name="60% - Accent1 3" xfId="935" xr:uid="{00000000-0005-0000-0000-000012000000}"/>
    <cellStyle name="60% - Accent1 4" xfId="913" xr:uid="{00000000-0005-0000-0000-000013000000}"/>
    <cellStyle name="60% - Accent2 2" xfId="936" xr:uid="{00000000-0005-0000-0000-000014000000}"/>
    <cellStyle name="60% - Accent2 3" xfId="937" xr:uid="{00000000-0005-0000-0000-000015000000}"/>
    <cellStyle name="60% - Accent3 2" xfId="938" xr:uid="{00000000-0005-0000-0000-000016000000}"/>
    <cellStyle name="60% - Accent3 3" xfId="939" xr:uid="{00000000-0005-0000-0000-000017000000}"/>
    <cellStyle name="60% - Accent4 2" xfId="940" xr:uid="{00000000-0005-0000-0000-000018000000}"/>
    <cellStyle name="60% - Accent4 3" xfId="941" xr:uid="{00000000-0005-0000-0000-000019000000}"/>
    <cellStyle name="60% - Accent5 2" xfId="942" xr:uid="{00000000-0005-0000-0000-00001A000000}"/>
    <cellStyle name="60% - Accent5 3" xfId="943" xr:uid="{00000000-0005-0000-0000-00001B000000}"/>
    <cellStyle name="60% - Accent6 2" xfId="944" xr:uid="{00000000-0005-0000-0000-00001C000000}"/>
    <cellStyle name="Accent1" xfId="4" builtinId="29"/>
    <cellStyle name="Accent1 2" xfId="945" xr:uid="{00000000-0005-0000-0000-00001E000000}"/>
    <cellStyle name="Accent1 2 2" xfId="946" xr:uid="{00000000-0005-0000-0000-00001F000000}"/>
    <cellStyle name="Accent1 3" xfId="947" xr:uid="{00000000-0005-0000-0000-000020000000}"/>
    <cellStyle name="Accent1 4" xfId="948" xr:uid="{00000000-0005-0000-0000-000021000000}"/>
    <cellStyle name="Accent1 5" xfId="949" xr:uid="{00000000-0005-0000-0000-000022000000}"/>
    <cellStyle name="Accent2" xfId="448" builtinId="33"/>
    <cellStyle name="Accent2 2" xfId="950" xr:uid="{00000000-0005-0000-0000-000024000000}"/>
    <cellStyle name="Accent2 3" xfId="951" xr:uid="{00000000-0005-0000-0000-000025000000}"/>
    <cellStyle name="Accent3" xfId="5" builtinId="37"/>
    <cellStyle name="Accent3 2" xfId="952" xr:uid="{00000000-0005-0000-0000-000027000000}"/>
    <cellStyle name="Accent3 2 2" xfId="953" xr:uid="{00000000-0005-0000-0000-000028000000}"/>
    <cellStyle name="Accent3 3" xfId="954" xr:uid="{00000000-0005-0000-0000-000029000000}"/>
    <cellStyle name="Accent3 4" xfId="955" xr:uid="{00000000-0005-0000-0000-00002A000000}"/>
    <cellStyle name="Accent4 2" xfId="956" xr:uid="{00000000-0005-0000-0000-00002B000000}"/>
    <cellStyle name="Accent5 2" xfId="2059" xr:uid="{00000000-0005-0000-0000-00002C000000}"/>
    <cellStyle name="Accent6 2" xfId="957" xr:uid="{00000000-0005-0000-0000-00002D000000}"/>
    <cellStyle name="Accent6 3" xfId="958" xr:uid="{00000000-0005-0000-0000-00002E000000}"/>
    <cellStyle name="Bad" xfId="2" builtinId="27"/>
    <cellStyle name="Bad 2" xfId="959" xr:uid="{00000000-0005-0000-0000-000030000000}"/>
    <cellStyle name="Bad 2 2" xfId="960" xr:uid="{00000000-0005-0000-0000-000031000000}"/>
    <cellStyle name="Bad 3" xfId="961" xr:uid="{00000000-0005-0000-0000-000032000000}"/>
    <cellStyle name="Bad 4" xfId="962" xr:uid="{00000000-0005-0000-0000-000033000000}"/>
    <cellStyle name="Bad 5" xfId="963" xr:uid="{00000000-0005-0000-0000-000034000000}"/>
    <cellStyle name="Calculation 2" xfId="964" xr:uid="{00000000-0005-0000-0000-000035000000}"/>
    <cellStyle name="Calculation 3" xfId="965" xr:uid="{00000000-0005-0000-0000-000036000000}"/>
    <cellStyle name="Check Cell 2" xfId="1430" xr:uid="{00000000-0005-0000-0000-000037000000}"/>
    <cellStyle name="Comma" xfId="447" builtinId="3"/>
    <cellStyle name="Comma 2" xfId="914" xr:uid="{00000000-0005-0000-0000-000039000000}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Good" xfId="1" builtinId="26"/>
    <cellStyle name="Good 2" xfId="966" xr:uid="{00000000-0005-0000-0000-0000AA040000}"/>
    <cellStyle name="Good 2 2" xfId="967" xr:uid="{00000000-0005-0000-0000-0000AB040000}"/>
    <cellStyle name="Good 3" xfId="968" xr:uid="{00000000-0005-0000-0000-0000AC040000}"/>
    <cellStyle name="Good 4" xfId="969" xr:uid="{00000000-0005-0000-0000-0000AD040000}"/>
    <cellStyle name="Good 5" xfId="970" xr:uid="{00000000-0005-0000-0000-0000AE040000}"/>
    <cellStyle name="Heading 1 2" xfId="971" xr:uid="{00000000-0005-0000-0000-0000AF040000}"/>
    <cellStyle name="Heading 1 3" xfId="972" xr:uid="{00000000-0005-0000-0000-0000B0040000}"/>
    <cellStyle name="Heading 2 2" xfId="973" xr:uid="{00000000-0005-0000-0000-0000B1040000}"/>
    <cellStyle name="Heading 2 3" xfId="974" xr:uid="{00000000-0005-0000-0000-0000B2040000}"/>
    <cellStyle name="Heading 3 2" xfId="975" xr:uid="{00000000-0005-0000-0000-0000B3040000}"/>
    <cellStyle name="Heading 3 3" xfId="976" xr:uid="{00000000-0005-0000-0000-0000B4040000}"/>
    <cellStyle name="Heading 4 2" xfId="977" xr:uid="{00000000-0005-0000-0000-0000B5040000}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Input 2" xfId="978" xr:uid="{00000000-0005-0000-0000-000025090000}"/>
    <cellStyle name="Linked Cell 2" xfId="979" xr:uid="{00000000-0005-0000-0000-000026090000}"/>
    <cellStyle name="Linked Cell 3" xfId="980" xr:uid="{00000000-0005-0000-0000-000027090000}"/>
    <cellStyle name="Neutral" xfId="3" builtinId="28"/>
    <cellStyle name="Neutral 2" xfId="981" xr:uid="{00000000-0005-0000-0000-000029090000}"/>
    <cellStyle name="Neutral 2 2" xfId="982" xr:uid="{00000000-0005-0000-0000-00002A090000}"/>
    <cellStyle name="Neutral 3" xfId="983" xr:uid="{00000000-0005-0000-0000-00002B090000}"/>
    <cellStyle name="Neutral 4" xfId="984" xr:uid="{00000000-0005-0000-0000-00002C090000}"/>
    <cellStyle name="Normal" xfId="0" builtinId="0"/>
    <cellStyle name="Normal 2" xfId="912" xr:uid="{00000000-0005-0000-0000-00002E090000}"/>
    <cellStyle name="Normal 2 2" xfId="2060" xr:uid="{00000000-0005-0000-0000-00002F090000}"/>
    <cellStyle name="Normal 3" xfId="539" xr:uid="{00000000-0005-0000-0000-000030090000}"/>
    <cellStyle name="Normal 3 2" xfId="917" xr:uid="{00000000-0005-0000-0000-000031090000}"/>
    <cellStyle name="Normal 4" xfId="2061" xr:uid="{00000000-0005-0000-0000-000032090000}"/>
    <cellStyle name="Note 2" xfId="985" xr:uid="{00000000-0005-0000-0000-000033090000}"/>
    <cellStyle name="Note 3" xfId="986" xr:uid="{00000000-0005-0000-0000-000034090000}"/>
    <cellStyle name="Output 2" xfId="987" xr:uid="{00000000-0005-0000-0000-000035090000}"/>
    <cellStyle name="Percent" xfId="366" builtinId="5"/>
    <cellStyle name="Percent 2" xfId="916" xr:uid="{00000000-0005-0000-0000-000037090000}"/>
    <cellStyle name="Percent 2 2" xfId="988" xr:uid="{00000000-0005-0000-0000-000038090000}"/>
    <cellStyle name="Title 2" xfId="989" xr:uid="{00000000-0005-0000-0000-000039090000}"/>
    <cellStyle name="Total 2" xfId="990" xr:uid="{00000000-0005-0000-0000-00003A090000}"/>
    <cellStyle name="Total 3" xfId="991" xr:uid="{00000000-0005-0000-0000-00003B090000}"/>
  </cellStyles>
  <dxfs count="0"/>
  <tableStyles count="0" defaultTableStyle="TableStyleMedium9" defaultPivotStyle="PivotStyleMedium4"/>
  <colors>
    <mruColors>
      <color rgb="FFB3B3B3"/>
      <color rgb="FF999999"/>
      <color rgb="FFFFFF66"/>
      <color rgb="FFFF8000"/>
      <color rgb="FFFF0000"/>
      <color rgb="FF800000"/>
      <color rgb="FFFF00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sz="2800"/>
              <a:t>Tank</a:t>
            </a:r>
            <a:r>
              <a:rPr lang="en-US" sz="2800" baseline="0"/>
              <a:t> 1 </a:t>
            </a:r>
          </a:p>
          <a:p>
            <a:pPr algn="ctr">
              <a:defRPr/>
            </a:pPr>
            <a:endParaRPr lang="en-US" sz="2800"/>
          </a:p>
        </c:rich>
      </c:tx>
      <c:layout>
        <c:manualLayout>
          <c:xMode val="edge"/>
          <c:yMode val="edge"/>
          <c:x val="0.45090695058466501"/>
          <c:y val="9.933774834437079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09378335380701"/>
          <c:y val="0.101894326293325"/>
          <c:w val="0.86428217572547705"/>
          <c:h val="0.61365310177349297"/>
        </c:manualLayout>
      </c:layout>
      <c:areaChart>
        <c:grouping val="standard"/>
        <c:varyColors val="0"/>
        <c:ser>
          <c:idx val="3"/>
          <c:order val="3"/>
          <c:spPr>
            <a:solidFill>
              <a:schemeClr val="accent1">
                <a:lumMod val="75000"/>
              </a:schemeClr>
            </a:solidFill>
            <a:ln w="63500"/>
          </c:spPr>
          <c:dPt>
            <c:idx val="68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1DF9-AC4E-9616-5A586992DE8A}"/>
              </c:ext>
            </c:extLst>
          </c:dPt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F9-AC4E-9616-5A586992DE8A}"/>
            </c:ext>
          </c:extLst>
        </c:ser>
        <c:ser>
          <c:idx val="2"/>
          <c:order val="2"/>
          <c:spPr>
            <a:solidFill>
              <a:schemeClr val="bg1">
                <a:lumMod val="75000"/>
                <a:alpha val="41000"/>
              </a:schemeClr>
            </a:solidFill>
            <a:ln w="127000" cmpd="sng">
              <a:noFill/>
            </a:ln>
          </c:spPr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Data'!$E$23:$E$117</c:f>
              <c:numCache>
                <c:formatCode>0.00E+00</c:formatCode>
                <c:ptCount val="95"/>
                <c:pt idx="0">
                  <c:v>3.001481022440164</c:v>
                </c:pt>
                <c:pt idx="1">
                  <c:v>3.0295143565567302</c:v>
                </c:pt>
                <c:pt idx="2">
                  <c:v>3.1842159959313361</c:v>
                </c:pt>
                <c:pt idx="3">
                  <c:v>3.1727063881024375</c:v>
                </c:pt>
                <c:pt idx="4">
                  <c:v>3.1319503382091853</c:v>
                </c:pt>
                <c:pt idx="5">
                  <c:v>3.0868947052086626</c:v>
                </c:pt>
                <c:pt idx="6">
                  <c:v>3.0421924557679625</c:v>
                </c:pt>
                <c:pt idx="7">
                  <c:v>2.9996337677375871</c:v>
                </c:pt>
                <c:pt idx="8">
                  <c:v>2.9609229280280371</c:v>
                </c:pt>
                <c:pt idx="9">
                  <c:v>2.9154341775812385</c:v>
                </c:pt>
                <c:pt idx="10" formatCode="0.000">
                  <c:v>2.8776409376518033</c:v>
                </c:pt>
                <c:pt idx="11" formatCode="0.000">
                  <c:v>2.8401098576753268</c:v>
                </c:pt>
                <c:pt idx="12" formatCode="0.000">
                  <c:v>2.7989624191981517</c:v>
                </c:pt>
                <c:pt idx="13" formatCode="0.000">
                  <c:v>2.7607329762465871</c:v>
                </c:pt>
                <c:pt idx="14" formatCode="0.000">
                  <c:v>2.7228466778126248</c:v>
                </c:pt>
                <c:pt idx="15" formatCode="0.000">
                  <c:v>2.6960524038752909</c:v>
                </c:pt>
                <c:pt idx="16" formatCode="0.000">
                  <c:v>2.6588710094669961</c:v>
                </c:pt>
                <c:pt idx="17" formatCode="0.000">
                  <c:v>2.6246802121516297</c:v>
                </c:pt>
                <c:pt idx="18" formatCode="0.000">
                  <c:v>2.5902771477230098</c:v>
                </c:pt>
                <c:pt idx="19" formatCode="0.000">
                  <c:v>2.6102194843017643</c:v>
                </c:pt>
                <c:pt idx="20" formatCode="0.000">
                  <c:v>2.6013288895585291</c:v>
                </c:pt>
                <c:pt idx="21" formatCode="0.000">
                  <c:v>2.56585301864077</c:v>
                </c:pt>
                <c:pt idx="22" formatCode="0.000">
                  <c:v>2.531948719981806</c:v>
                </c:pt>
                <c:pt idx="23" formatCode="0.000">
                  <c:v>2.4993953411213714</c:v>
                </c:pt>
                <c:pt idx="24" formatCode="0.000">
                  <c:v>2.4632184455944803</c:v>
                </c:pt>
                <c:pt idx="25" formatCode="0.000">
                  <c:v>2.4248004524185611</c:v>
                </c:pt>
                <c:pt idx="26" formatCode="0.000">
                  <c:v>2.3878161938040869</c:v>
                </c:pt>
                <c:pt idx="27" formatCode="0.000">
                  <c:v>2.3528955413438131</c:v>
                </c:pt>
                <c:pt idx="28" formatCode="0.000">
                  <c:v>2.3232748912332295</c:v>
                </c:pt>
                <c:pt idx="29" formatCode="0.000">
                  <c:v>2.2819939113679717</c:v>
                </c:pt>
                <c:pt idx="30" formatCode="0.000">
                  <c:v>2.2373266236699831</c:v>
                </c:pt>
                <c:pt idx="31" formatCode="0.000">
                  <c:v>2.1916783584564272</c:v>
                </c:pt>
                <c:pt idx="32" formatCode="0.000">
                  <c:v>2.2556730516361818</c:v>
                </c:pt>
                <c:pt idx="33" formatCode="0.000">
                  <c:v>2.2130814440322788</c:v>
                </c:pt>
                <c:pt idx="34" formatCode="0.000">
                  <c:v>2.1686401297129607</c:v>
                </c:pt>
                <c:pt idx="35" formatCode="0.000">
                  <c:v>2.1246155743392241</c:v>
                </c:pt>
                <c:pt idx="36" formatCode="0.000">
                  <c:v>2.0702272337360754</c:v>
                </c:pt>
                <c:pt idx="37" formatCode="0.000">
                  <c:v>2.0150720246773575</c:v>
                </c:pt>
                <c:pt idx="38" formatCode="0.000">
                  <c:v>1.9673231540970932</c:v>
                </c:pt>
                <c:pt idx="39" formatCode="0.000">
                  <c:v>1.919013953762152</c:v>
                </c:pt>
                <c:pt idx="40" formatCode="0.000">
                  <c:v>1.8739722295991847</c:v>
                </c:pt>
                <c:pt idx="41" formatCode="0.000">
                  <c:v>1.8367587306052831</c:v>
                </c:pt>
                <c:pt idx="42" formatCode="0.000">
                  <c:v>1.7994634391078965</c:v>
                </c:pt>
                <c:pt idx="43" formatCode="0.000">
                  <c:v>1.7632726488416055</c:v>
                </c:pt>
                <c:pt idx="44" formatCode="0.000">
                  <c:v>1.7149452480592271</c:v>
                </c:pt>
                <c:pt idx="45" formatCode="0.000">
                  <c:v>1.6719742858665225</c:v>
                </c:pt>
                <c:pt idx="46" formatCode="0.000">
                  <c:v>1.638650769200066</c:v>
                </c:pt>
                <c:pt idx="47" formatCode="0.000">
                  <c:v>1.6298924910133441</c:v>
                </c:pt>
                <c:pt idx="48" formatCode="0.000">
                  <c:v>1.5979663033140761</c:v>
                </c:pt>
                <c:pt idx="49" formatCode="0.000">
                  <c:v>1.567169367742697</c:v>
                </c:pt>
                <c:pt idx="50" formatCode="0.000">
                  <c:v>1.5350550443621054</c:v>
                </c:pt>
                <c:pt idx="51" formatCode="0.000">
                  <c:v>1.5037257992832953</c:v>
                </c:pt>
                <c:pt idx="52" formatCode="0.000">
                  <c:v>1.4761350043176198</c:v>
                </c:pt>
                <c:pt idx="53" formatCode="0.000">
                  <c:v>1.4483703853027508</c:v>
                </c:pt>
                <c:pt idx="54" formatCode="0.000">
                  <c:v>1.4215358193055381</c:v>
                </c:pt>
                <c:pt idx="55" formatCode="0.000">
                  <c:v>1.394499628031872</c:v>
                </c:pt>
                <c:pt idx="56" formatCode="0.000">
                  <c:v>1.3708202734430697</c:v>
                </c:pt>
                <c:pt idx="57" formatCode="0.000">
                  <c:v>1.3670572820543492</c:v>
                </c:pt>
                <c:pt idx="58" formatCode="0.000">
                  <c:v>1.3745521919043875</c:v>
                </c:pt>
                <c:pt idx="59" formatCode="0.000">
                  <c:v>1.3461162032028562</c:v>
                </c:pt>
                <c:pt idx="60" formatCode="0.000">
                  <c:v>1.3168452457095339</c:v>
                </c:pt>
                <c:pt idx="61" formatCode="0.000">
                  <c:v>1.2877566978348676</c:v>
                </c:pt>
                <c:pt idx="62" formatCode="0.000">
                  <c:v>1.2599575104730953</c:v>
                </c:pt>
                <c:pt idx="63" formatCode="0.000">
                  <c:v>1.2310082253497936</c:v>
                </c:pt>
                <c:pt idx="64" formatCode="0.000">
                  <c:v>1.2057875728895202</c:v>
                </c:pt>
                <c:pt idx="65" formatCode="0.000">
                  <c:v>1.1813288895585292</c:v>
                </c:pt>
                <c:pt idx="66" formatCode="0.000">
                  <c:v>1.1558933107006486</c:v>
                </c:pt>
                <c:pt idx="67" formatCode="0.000">
                  <c:v>1.1294738854216377</c:v>
                </c:pt>
                <c:pt idx="68" formatCode="0.000">
                  <c:v>1.1028156048852229</c:v>
                </c:pt>
                <c:pt idx="69" formatCode="0.000">
                  <c:v>1.0784434202106383</c:v>
                </c:pt>
                <c:pt idx="70" formatCode="0.000">
                  <c:v>1.0514010906809603</c:v>
                </c:pt>
                <c:pt idx="71" formatCode="0.000">
                  <c:v>1.0209965847504816</c:v>
                </c:pt>
                <c:pt idx="72">
                  <c:v>0.99228676730036958</c:v>
                </c:pt>
                <c:pt idx="73">
                  <c:v>0.96585404559959065</c:v>
                </c:pt>
                <c:pt idx="74">
                  <c:v>0.94686099884352315</c:v>
                </c:pt>
                <c:pt idx="75">
                  <c:v>0.92725057132731747</c:v>
                </c:pt>
                <c:pt idx="76">
                  <c:v>0.90683318586779882</c:v>
                </c:pt>
                <c:pt idx="77">
                  <c:v>0.88597981170674578</c:v>
                </c:pt>
                <c:pt idx="78">
                  <c:v>0.85625384067776678</c:v>
                </c:pt>
                <c:pt idx="79">
                  <c:v>0.82819800980449421</c:v>
                </c:pt>
                <c:pt idx="80">
                  <c:v>0.79448532579851039</c:v>
                </c:pt>
                <c:pt idx="81">
                  <c:v>0.76523991774205824</c:v>
                </c:pt>
                <c:pt idx="82">
                  <c:v>0.74332233440979012</c:v>
                </c:pt>
                <c:pt idx="83">
                  <c:v>0.72644667781262529</c:v>
                </c:pt>
                <c:pt idx="84">
                  <c:v>0.72156631271284555</c:v>
                </c:pt>
                <c:pt idx="85">
                  <c:v>0.70435056662793416</c:v>
                </c:pt>
                <c:pt idx="86">
                  <c:v>0.681747092355661</c:v>
                </c:pt>
                <c:pt idx="87">
                  <c:v>0.65773114369861618</c:v>
                </c:pt>
                <c:pt idx="88">
                  <c:v>0.61232889425791415</c:v>
                </c:pt>
                <c:pt idx="89">
                  <c:v>0.53664341316156028</c:v>
                </c:pt>
                <c:pt idx="90">
                  <c:v>0.45490926170738405</c:v>
                </c:pt>
                <c:pt idx="91">
                  <c:v>0.40644607479560563</c:v>
                </c:pt>
                <c:pt idx="92">
                  <c:v>0.30954382535490638</c:v>
                </c:pt>
                <c:pt idx="93">
                  <c:v>0.21282725723299883</c:v>
                </c:pt>
                <c:pt idx="94">
                  <c:v>0.21143871875709991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F9-AC4E-9616-5A586992D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7433824"/>
        <c:axId val="-2027430768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12700" cmpd="sng">
              <a:noFill/>
            </a:ln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12700" cmpd="sng">
                <a:noFill/>
              </a:ln>
            </c:spPr>
            <c:extLst>
              <c:ext xmlns:c16="http://schemas.microsoft.com/office/drawing/2014/chart" uri="{C3380CC4-5D6E-409C-BE32-E72D297353CC}">
                <c16:uniqueId val="{00000005-1DF9-AC4E-9616-5A586992DE8A}"/>
              </c:ext>
            </c:extLst>
          </c:dPt>
          <c:cat>
            <c:numRef>
              <c:f>'Tank Data'!$A$23:$A$117</c:f>
              <c:numCache>
                <c:formatCode>m/d/yy</c:formatCode>
                <c:ptCount val="95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</c:numCache>
            </c:numRef>
          </c:cat>
          <c:val>
            <c:numRef>
              <c:f>'Tank Data'!$H$23:$H$117</c:f>
              <c:numCache>
                <c:formatCode>0.00E+00</c:formatCode>
                <c:ptCount val="95"/>
                <c:pt idx="0">
                  <c:v>-29.113842827575777</c:v>
                </c:pt>
                <c:pt idx="1">
                  <c:v>2.716601369125919</c:v>
                </c:pt>
                <c:pt idx="2">
                  <c:v>-6.9865281303983009</c:v>
                </c:pt>
                <c:pt idx="3">
                  <c:v>0.21632796069424831</c:v>
                </c:pt>
                <c:pt idx="4">
                  <c:v>3.466658489390702</c:v>
                </c:pt>
                <c:pt idx="5">
                  <c:v>3.3920863402552461</c:v>
                </c:pt>
                <c:pt idx="6">
                  <c:v>2.1658642810269448</c:v>
                </c:pt>
                <c:pt idx="7">
                  <c:v>2.4658880369421148</c:v>
                </c:pt>
                <c:pt idx="8">
                  <c:v>2.3188057761894143</c:v>
                </c:pt>
                <c:pt idx="9">
                  <c:v>2.5485912338155376</c:v>
                </c:pt>
                <c:pt idx="10">
                  <c:v>0.83246256511395056</c:v>
                </c:pt>
                <c:pt idx="11">
                  <c:v>2.4574444869481429</c:v>
                </c:pt>
                <c:pt idx="12">
                  <c:v>0.82967068513196685</c:v>
                </c:pt>
                <c:pt idx="13">
                  <c:v>7.777790457327155E-3</c:v>
                </c:pt>
                <c:pt idx="14">
                  <c:v>0.41022454911389916</c:v>
                </c:pt>
                <c:pt idx="15">
                  <c:v>0.18976332453145039</c:v>
                </c:pt>
                <c:pt idx="16">
                  <c:v>1.3991659247795396</c:v>
                </c:pt>
                <c:pt idx="17">
                  <c:v>1.3982649265098575</c:v>
                </c:pt>
                <c:pt idx="18">
                  <c:v>1.5274908896857891</c:v>
                </c:pt>
                <c:pt idx="19">
                  <c:v>0.39610524332319919</c:v>
                </c:pt>
                <c:pt idx="20">
                  <c:v>6.8535519120552571E-2</c:v>
                </c:pt>
                <c:pt idx="21">
                  <c:v>0.25180894600578124</c:v>
                </c:pt>
                <c:pt idx="22">
                  <c:v>1.0469022626295983</c:v>
                </c:pt>
                <c:pt idx="23">
                  <c:v>1.2644297557785247</c:v>
                </c:pt>
                <c:pt idx="24">
                  <c:v>1.4826781827594009</c:v>
                </c:pt>
                <c:pt idx="25">
                  <c:v>0.9970202387254643</c:v>
                </c:pt>
                <c:pt idx="26">
                  <c:v>1.0585549051520822</c:v>
                </c:pt>
                <c:pt idx="27">
                  <c:v>-2.2786927870812557</c:v>
                </c:pt>
                <c:pt idx="28">
                  <c:v>1.2074456943418108</c:v>
                </c:pt>
                <c:pt idx="29">
                  <c:v>1.5902010483746121</c:v>
                </c:pt>
                <c:pt idx="30">
                  <c:v>1.7887605156449635</c:v>
                </c:pt>
                <c:pt idx="31">
                  <c:v>-34.961213517434622</c:v>
                </c:pt>
                <c:pt idx="32">
                  <c:v>1.4900324925011976</c:v>
                </c:pt>
                <c:pt idx="33">
                  <c:v>1.6448642839515508</c:v>
                </c:pt>
                <c:pt idx="34">
                  <c:v>1.8452564641379312</c:v>
                </c:pt>
                <c:pt idx="35">
                  <c:v>1.485148008047585</c:v>
                </c:pt>
                <c:pt idx="36">
                  <c:v>3.53859916157956</c:v>
                </c:pt>
                <c:pt idx="37">
                  <c:v>1.8510278738354182</c:v>
                </c:pt>
                <c:pt idx="38">
                  <c:v>1.9889912044079403</c:v>
                </c:pt>
                <c:pt idx="39">
                  <c:v>2.4032069433746193</c:v>
                </c:pt>
                <c:pt idx="40">
                  <c:v>1.0745001960906984</c:v>
                </c:pt>
                <c:pt idx="41">
                  <c:v>1.3534649100124276</c:v>
                </c:pt>
                <c:pt idx="42">
                  <c:v>0.74135844917414362</c:v>
                </c:pt>
                <c:pt idx="43">
                  <c:v>0.97947810620428488</c:v>
                </c:pt>
                <c:pt idx="44">
                  <c:v>1.9958360015556522</c:v>
                </c:pt>
                <c:pt idx="45">
                  <c:v>-0.38902093188312498</c:v>
                </c:pt>
                <c:pt idx="46">
                  <c:v>-0.34918944060170398</c:v>
                </c:pt>
                <c:pt idx="47">
                  <c:v>0.77039023158242992</c:v>
                </c:pt>
                <c:pt idx="48">
                  <c:v>0.85403480825987366</c:v>
                </c:pt>
                <c:pt idx="49">
                  <c:v>1.0100420205928329</c:v>
                </c:pt>
                <c:pt idx="50">
                  <c:v>0.63699377620157138</c:v>
                </c:pt>
                <c:pt idx="51">
                  <c:v>0.192954212420195</c:v>
                </c:pt>
                <c:pt idx="52">
                  <c:v>0.60930636040609598</c:v>
                </c:pt>
                <c:pt idx="53">
                  <c:v>0.29336135933377466</c:v>
                </c:pt>
                <c:pt idx="54">
                  <c:v>0.26580098697347887</c:v>
                </c:pt>
                <c:pt idx="55">
                  <c:v>0.73013884999175416</c:v>
                </c:pt>
                <c:pt idx="56">
                  <c:v>2.1110633027836452E-2</c:v>
                </c:pt>
                <c:pt idx="57">
                  <c:v>0.10292249308495628</c:v>
                </c:pt>
                <c:pt idx="58">
                  <c:v>0.49235833221796743</c:v>
                </c:pt>
                <c:pt idx="59">
                  <c:v>0.84789859757544928</c:v>
                </c:pt>
                <c:pt idx="60">
                  <c:v>0.87650992421113672</c:v>
                </c:pt>
                <c:pt idx="61">
                  <c:v>0.69168241790556972</c:v>
                </c:pt>
                <c:pt idx="62">
                  <c:v>0.82391284694074296</c:v>
                </c:pt>
                <c:pt idx="63">
                  <c:v>0.58748827874951015</c:v>
                </c:pt>
                <c:pt idx="64">
                  <c:v>0.56146619707861634</c:v>
                </c:pt>
                <c:pt idx="65">
                  <c:v>0.60838084777314272</c:v>
                </c:pt>
                <c:pt idx="66">
                  <c:v>1.1015175688425534</c:v>
                </c:pt>
                <c:pt idx="67">
                  <c:v>0.56947444958647375</c:v>
                </c:pt>
                <c:pt idx="68">
                  <c:v>0.39303599212225993</c:v>
                </c:pt>
                <c:pt idx="69">
                  <c:v>0.5057443635654395</c:v>
                </c:pt>
                <c:pt idx="70">
                  <c:v>1.6355713718672651</c:v>
                </c:pt>
                <c:pt idx="71">
                  <c:v>0.87777292866804757</c:v>
                </c:pt>
                <c:pt idx="72">
                  <c:v>0.76843228316337775</c:v>
                </c:pt>
                <c:pt idx="73">
                  <c:v>0.16242659840085255</c:v>
                </c:pt>
                <c:pt idx="74">
                  <c:v>0.27139643798940749</c:v>
                </c:pt>
                <c:pt idx="75">
                  <c:v>-0.28833269867627037</c:v>
                </c:pt>
                <c:pt idx="76">
                  <c:v>-0.32900450010002985</c:v>
                </c:pt>
                <c:pt idx="77">
                  <c:v>-0.48853298888598162</c:v>
                </c:pt>
                <c:pt idx="78">
                  <c:v>-6.2650090333920497E-3</c:v>
                </c:pt>
                <c:pt idx="79">
                  <c:v>0.25864402271873183</c:v>
                </c:pt>
                <c:pt idx="80">
                  <c:v>0.82812721657620858</c:v>
                </c:pt>
                <c:pt idx="81">
                  <c:v>1.33632</c:v>
                </c:pt>
                <c:pt idx="82">
                  <c:v>0.10900799999999999</c:v>
                </c:pt>
                <c:pt idx="83">
                  <c:v>-0.57599999999999996</c:v>
                </c:pt>
                <c:pt idx="84">
                  <c:v>1.3449600000000002</c:v>
                </c:pt>
                <c:pt idx="85">
                  <c:v>1.3204800000000001</c:v>
                </c:pt>
                <c:pt idx="86">
                  <c:v>0.57599999999999996</c:v>
                </c:pt>
                <c:pt idx="87">
                  <c:v>0.28799999999999998</c:v>
                </c:pt>
                <c:pt idx="88">
                  <c:v>3.8736000000000002</c:v>
                </c:pt>
                <c:pt idx="89">
                  <c:v>4.2767999999999997</c:v>
                </c:pt>
                <c:pt idx="90">
                  <c:v>-0.72000000000000008</c:v>
                </c:pt>
                <c:pt idx="91">
                  <c:v>6.4079999999999995</c:v>
                </c:pt>
                <c:pt idx="92">
                  <c:v>8.1504000000000012</c:v>
                </c:pt>
                <c:pt idx="93">
                  <c:v>-2.8800000000000003</c:v>
                </c:pt>
                <c:pt idx="94">
                  <c:v>-2.8800000000000003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F9-AC4E-9616-5A586992D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7433824"/>
        <c:axId val="-2027430768"/>
      </c:barChart>
      <c:barChart>
        <c:barDir val="col"/>
        <c:grouping val="clustered"/>
        <c:varyColors val="0"/>
        <c:ser>
          <c:idx val="1"/>
          <c:order val="1"/>
          <c:invertIfNegative val="0"/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Data'!$AH$23:$AH$150</c:f>
              <c:numCache>
                <c:formatCode>General</c:formatCode>
                <c:ptCount val="128"/>
                <c:pt idx="0">
                  <c:v>-1</c:v>
                </c:pt>
                <c:pt idx="1">
                  <c:v>-1</c:v>
                </c:pt>
                <c:pt idx="3">
                  <c:v>-48</c:v>
                </c:pt>
                <c:pt idx="4">
                  <c:v>-1</c:v>
                </c:pt>
                <c:pt idx="7">
                  <c:v>-1</c:v>
                </c:pt>
                <c:pt idx="8">
                  <c:v>-13</c:v>
                </c:pt>
                <c:pt idx="9">
                  <c:v>-1</c:v>
                </c:pt>
                <c:pt idx="16">
                  <c:v>-6</c:v>
                </c:pt>
                <c:pt idx="17">
                  <c:v>0</c:v>
                </c:pt>
                <c:pt idx="18">
                  <c:v>-6</c:v>
                </c:pt>
                <c:pt idx="19">
                  <c:v>-13</c:v>
                </c:pt>
                <c:pt idx="20">
                  <c:v>-7</c:v>
                </c:pt>
                <c:pt idx="30">
                  <c:v>-150</c:v>
                </c:pt>
                <c:pt idx="31">
                  <c:v>0</c:v>
                </c:pt>
                <c:pt idx="32">
                  <c:v>-7</c:v>
                </c:pt>
                <c:pt idx="33">
                  <c:v>-1</c:v>
                </c:pt>
                <c:pt idx="38">
                  <c:v>-2</c:v>
                </c:pt>
                <c:pt idx="45">
                  <c:v>-1</c:v>
                </c:pt>
                <c:pt idx="46">
                  <c:v>-12</c:v>
                </c:pt>
                <c:pt idx="47">
                  <c:v>-5</c:v>
                </c:pt>
                <c:pt idx="48">
                  <c:v>-2</c:v>
                </c:pt>
                <c:pt idx="57">
                  <c:v>-14</c:v>
                </c:pt>
                <c:pt idx="58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F9-AC4E-9616-5A586992D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7350464"/>
        <c:axId val="-2027353456"/>
      </c:barChart>
      <c:dateAx>
        <c:axId val="-2027433824"/>
        <c:scaling>
          <c:orientation val="minMax"/>
          <c:max val="41691"/>
        </c:scaling>
        <c:delete val="0"/>
        <c:axPos val="b"/>
        <c:numFmt formatCode="m/d/yy" sourceLinked="1"/>
        <c:majorTickMark val="out"/>
        <c:minorTickMark val="none"/>
        <c:tickLblPos val="low"/>
        <c:txPr>
          <a:bodyPr/>
          <a:lstStyle/>
          <a:p>
            <a:pPr>
              <a:defRPr sz="1400" b="1"/>
            </a:pPr>
            <a:endParaRPr lang="en-US"/>
          </a:p>
        </c:txPr>
        <c:crossAx val="-2027430768"/>
        <c:crossesAt val="0"/>
        <c:auto val="0"/>
        <c:lblOffset val="100"/>
        <c:baseTimeUnit val="days"/>
        <c:majorUnit val="7"/>
        <c:majorTimeUnit val="days"/>
      </c:dateAx>
      <c:valAx>
        <c:axId val="-2027430768"/>
        <c:scaling>
          <c:orientation val="minMax"/>
          <c:max val="7"/>
          <c:min val="-1.5"/>
        </c:scaling>
        <c:delete val="0"/>
        <c:axPos val="l"/>
        <c:majorGridlines/>
        <c:numFmt formatCode="#,##0.0;[Red]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7433824"/>
        <c:crosses val="autoZero"/>
        <c:crossBetween val="between"/>
        <c:majorUnit val="1"/>
      </c:valAx>
      <c:valAx>
        <c:axId val="-2027353456"/>
        <c:scaling>
          <c:orientation val="minMax"/>
          <c:max val="0"/>
          <c:min val="-300"/>
        </c:scaling>
        <c:delete val="0"/>
        <c:axPos val="r"/>
        <c:numFmt formatCode="General" sourceLinked="1"/>
        <c:majorTickMark val="in"/>
        <c:minorTickMark val="none"/>
        <c:tickLblPos val="none"/>
        <c:spPr>
          <a:ln w="19050">
            <a:solidFill>
              <a:schemeClr val="tx1"/>
            </a:solidFill>
          </a:ln>
        </c:spPr>
        <c:crossAx val="-2027350464"/>
        <c:crosses val="max"/>
        <c:crossBetween val="between"/>
      </c:valAx>
      <c:dateAx>
        <c:axId val="-2027350464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7353456"/>
        <c:crosses val="max"/>
        <c:auto val="1"/>
        <c:lblOffset val="100"/>
        <c:baseTimeUnit val="days"/>
      </c:date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800"/>
              <a:t>Tank</a:t>
            </a:r>
            <a:r>
              <a:rPr lang="en-US" sz="2800" baseline="0"/>
              <a:t> 4</a:t>
            </a:r>
          </a:p>
          <a:p>
            <a:pPr>
              <a:defRPr/>
            </a:pPr>
            <a:endParaRPr lang="en-US" sz="28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909378335380701"/>
          <c:y val="0.101894326293325"/>
          <c:w val="0.86428217572547705"/>
          <c:h val="0.61365310177349297"/>
        </c:manualLayout>
      </c:layout>
      <c:areaChart>
        <c:grouping val="standard"/>
        <c:varyColors val="0"/>
        <c:ser>
          <c:idx val="2"/>
          <c:order val="2"/>
          <c:spPr>
            <a:solidFill>
              <a:schemeClr val="bg1">
                <a:lumMod val="75000"/>
                <a:alpha val="41000"/>
              </a:schemeClr>
            </a:solidFill>
            <a:ln w="127000" cmpd="sng">
              <a:noFill/>
            </a:ln>
          </c:spPr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Data'!$AC$23:$AC$150</c:f>
              <c:numCache>
                <c:formatCode>0.00E+00</c:formatCode>
                <c:ptCount val="128"/>
                <c:pt idx="0">
                  <c:v>3.1435810224401641</c:v>
                </c:pt>
                <c:pt idx="1">
                  <c:v>3.2043143565567305</c:v>
                </c:pt>
                <c:pt idx="2">
                  <c:v>3.2750159959313367</c:v>
                </c:pt>
                <c:pt idx="3">
                  <c:v>3.3996063881024372</c:v>
                </c:pt>
                <c:pt idx="4">
                  <c:v>3.2055503382091852</c:v>
                </c:pt>
                <c:pt idx="5">
                  <c:v>3.2147947052086621</c:v>
                </c:pt>
                <c:pt idx="6">
                  <c:v>3.179992455767962</c:v>
                </c:pt>
                <c:pt idx="7">
                  <c:v>3.1485337677375855</c:v>
                </c:pt>
                <c:pt idx="8">
                  <c:v>3.1297229280280372</c:v>
                </c:pt>
                <c:pt idx="9">
                  <c:v>3.1196341775812395</c:v>
                </c:pt>
                <c:pt idx="10">
                  <c:v>3.0979409376518041</c:v>
                </c:pt>
                <c:pt idx="11">
                  <c:v>3.0740098576753261</c:v>
                </c:pt>
                <c:pt idx="12">
                  <c:v>3.0483624191981504</c:v>
                </c:pt>
                <c:pt idx="13">
                  <c:v>3.0304329762465883</c:v>
                </c:pt>
                <c:pt idx="14">
                  <c:v>3.0117466778126238</c:v>
                </c:pt>
                <c:pt idx="15">
                  <c:v>2.9937524038752907</c:v>
                </c:pt>
                <c:pt idx="16">
                  <c:v>2.9733710094669976</c:v>
                </c:pt>
                <c:pt idx="17">
                  <c:v>2.9555802121516304</c:v>
                </c:pt>
                <c:pt idx="18">
                  <c:v>2.9368771477230093</c:v>
                </c:pt>
                <c:pt idx="19">
                  <c:v>2.9495194843017631</c:v>
                </c:pt>
                <c:pt idx="20">
                  <c:v>2.9404288895585302</c:v>
                </c:pt>
                <c:pt idx="21">
                  <c:v>2.9189530186407686</c:v>
                </c:pt>
                <c:pt idx="22">
                  <c:v>2.8968487199818074</c:v>
                </c:pt>
                <c:pt idx="23">
                  <c:v>2.8724953411213714</c:v>
                </c:pt>
                <c:pt idx="24">
                  <c:v>2.8491184455944807</c:v>
                </c:pt>
                <c:pt idx="25">
                  <c:v>2.8217004524185607</c:v>
                </c:pt>
                <c:pt idx="26">
                  <c:v>2.7828161938040874</c:v>
                </c:pt>
                <c:pt idx="27">
                  <c:v>2.7604955413438126</c:v>
                </c:pt>
                <c:pt idx="28">
                  <c:v>2.7414748912332292</c:v>
                </c:pt>
                <c:pt idx="29">
                  <c:v>2.7170939113679728</c:v>
                </c:pt>
                <c:pt idx="30">
                  <c:v>2.681026623669982</c:v>
                </c:pt>
                <c:pt idx="31">
                  <c:v>2.6427783584564284</c:v>
                </c:pt>
                <c:pt idx="32">
                  <c:v>3.1592730516361818</c:v>
                </c:pt>
                <c:pt idx="33">
                  <c:v>3.1414814440322778</c:v>
                </c:pt>
                <c:pt idx="34">
                  <c:v>3.1183401297129616</c:v>
                </c:pt>
                <c:pt idx="35">
                  <c:v>3.0934155743392249</c:v>
                </c:pt>
                <c:pt idx="36">
                  <c:v>3.0679272337360763</c:v>
                </c:pt>
                <c:pt idx="37">
                  <c:v>3.0416720246773585</c:v>
                </c:pt>
                <c:pt idx="38">
                  <c:v>3.0159231540970928</c:v>
                </c:pt>
                <c:pt idx="39">
                  <c:v>2.9912139537621534</c:v>
                </c:pt>
                <c:pt idx="40">
                  <c:v>2.9665722295991848</c:v>
                </c:pt>
                <c:pt idx="41">
                  <c:v>2.9412587306052838</c:v>
                </c:pt>
                <c:pt idx="42">
                  <c:v>2.9136634391078959</c:v>
                </c:pt>
                <c:pt idx="43">
                  <c:v>2.8870726488416056</c:v>
                </c:pt>
                <c:pt idx="44">
                  <c:v>2.8603452480592284</c:v>
                </c:pt>
                <c:pt idx="45">
                  <c:v>2.8344742858665231</c:v>
                </c:pt>
                <c:pt idx="46">
                  <c:v>2.808250769200066</c:v>
                </c:pt>
                <c:pt idx="47">
                  <c:v>2.797992491013344</c:v>
                </c:pt>
                <c:pt idx="48">
                  <c:v>2.7761663033140755</c:v>
                </c:pt>
                <c:pt idx="49">
                  <c:v>2.7505693677426968</c:v>
                </c:pt>
                <c:pt idx="50">
                  <c:v>2.7202550443621063</c:v>
                </c:pt>
                <c:pt idx="51">
                  <c:v>2.6826257992832949</c:v>
                </c:pt>
                <c:pt idx="52">
                  <c:v>2.6472350043176198</c:v>
                </c:pt>
                <c:pt idx="53">
                  <c:v>2.6114703853027499</c:v>
                </c:pt>
                <c:pt idx="54">
                  <c:v>2.5763358193055388</c:v>
                </c:pt>
                <c:pt idx="55">
                  <c:v>2.539699628031872</c:v>
                </c:pt>
                <c:pt idx="56">
                  <c:v>2.5019202734430688</c:v>
                </c:pt>
                <c:pt idx="57">
                  <c:v>2.4986572820543489</c:v>
                </c:pt>
                <c:pt idx="58">
                  <c:v>2.5224521919043883</c:v>
                </c:pt>
                <c:pt idx="59">
                  <c:v>2.500216203202855</c:v>
                </c:pt>
                <c:pt idx="60">
                  <c:v>2.4751452457095353</c:v>
                </c:pt>
                <c:pt idx="61">
                  <c:v>2.4447566978348667</c:v>
                </c:pt>
                <c:pt idx="62">
                  <c:v>2.4068575104730967</c:v>
                </c:pt>
                <c:pt idx="63">
                  <c:v>2.3701082253497936</c:v>
                </c:pt>
                <c:pt idx="64">
                  <c:v>2.3149875728895206</c:v>
                </c:pt>
                <c:pt idx="65">
                  <c:v>2.2296288895585294</c:v>
                </c:pt>
                <c:pt idx="66">
                  <c:v>2.1447933107006487</c:v>
                </c:pt>
                <c:pt idx="67">
                  <c:v>2.076373885421638</c:v>
                </c:pt>
                <c:pt idx="68">
                  <c:v>2.0227156048852222</c:v>
                </c:pt>
                <c:pt idx="69">
                  <c:v>1.9766434202106367</c:v>
                </c:pt>
                <c:pt idx="70">
                  <c:v>1.9459010906809602</c:v>
                </c:pt>
                <c:pt idx="71">
                  <c:v>1.9260965847504816</c:v>
                </c:pt>
                <c:pt idx="72">
                  <c:v>1.9073867673003693</c:v>
                </c:pt>
                <c:pt idx="73">
                  <c:v>1.8889540455995912</c:v>
                </c:pt>
                <c:pt idx="74">
                  <c:v>1.8552609988435225</c:v>
                </c:pt>
                <c:pt idx="75">
                  <c:v>1.8162505713273176</c:v>
                </c:pt>
                <c:pt idx="76">
                  <c:v>1.7785331858677984</c:v>
                </c:pt>
                <c:pt idx="77">
                  <c:v>1.744879811706745</c:v>
                </c:pt>
                <c:pt idx="78">
                  <c:v>1.7175538406777657</c:v>
                </c:pt>
                <c:pt idx="79">
                  <c:v>1.6927980098044944</c:v>
                </c:pt>
                <c:pt idx="80">
                  <c:v>1.6738853257985116</c:v>
                </c:pt>
                <c:pt idx="81">
                  <c:v>1.6540399177420588</c:v>
                </c:pt>
                <c:pt idx="82">
                  <c:v>1.6342223344097913</c:v>
                </c:pt>
                <c:pt idx="83">
                  <c:v>1.6170466778126253</c:v>
                </c:pt>
                <c:pt idx="84">
                  <c:v>1.6136663127128439</c:v>
                </c:pt>
                <c:pt idx="85">
                  <c:v>1.5972505666279342</c:v>
                </c:pt>
                <c:pt idx="86">
                  <c:v>1.5800470923556609</c:v>
                </c:pt>
                <c:pt idx="87">
                  <c:v>1.5642311436986165</c:v>
                </c:pt>
                <c:pt idx="88">
                  <c:v>1.5474288942579135</c:v>
                </c:pt>
                <c:pt idx="89">
                  <c:v>1.5286434131615603</c:v>
                </c:pt>
                <c:pt idx="90">
                  <c:v>1.5106092617073847</c:v>
                </c:pt>
                <c:pt idx="91">
                  <c:v>1.4923460747956052</c:v>
                </c:pt>
                <c:pt idx="92">
                  <c:v>1.4737438253549064</c:v>
                </c:pt>
                <c:pt idx="93">
                  <c:v>1.4548272572329988</c:v>
                </c:pt>
                <c:pt idx="94">
                  <c:v>1.434738718757099</c:v>
                </c:pt>
                <c:pt idx="95">
                  <c:v>1.4139307456034245</c:v>
                </c:pt>
                <c:pt idx="96">
                  <c:v>1.3935712355360539</c:v>
                </c:pt>
                <c:pt idx="97">
                  <c:v>1.3718448476143439</c:v>
                </c:pt>
                <c:pt idx="98">
                  <c:v>1.3499583466082465</c:v>
                </c:pt>
                <c:pt idx="99">
                  <c:v>1.3276139702099985</c:v>
                </c:pt>
                <c:pt idx="100">
                  <c:v>1.305385945263374</c:v>
                </c:pt>
                <c:pt idx="101">
                  <c:v>1.2829575198718639</c:v>
                </c:pt>
                <c:pt idx="102">
                  <c:v>1.2593783796036564</c:v>
                </c:pt>
                <c:pt idx="103">
                  <c:v>1.2354814463819692</c:v>
                </c:pt>
                <c:pt idx="104">
                  <c:v>1.2124260277020418</c:v>
                </c:pt>
                <c:pt idx="105">
                  <c:v>1.1877430056676022</c:v>
                </c:pt>
                <c:pt idx="106">
                  <c:v>1.1624562973899848</c:v>
                </c:pt>
                <c:pt idx="107">
                  <c:v>1.1376661054413257</c:v>
                </c:pt>
                <c:pt idx="108">
                  <c:v>1.112165702646752</c:v>
                </c:pt>
                <c:pt idx="109">
                  <c:v>1.08927653295753</c:v>
                </c:pt>
                <c:pt idx="110">
                  <c:v>1.0646573055512696</c:v>
                </c:pt>
                <c:pt idx="111">
                  <c:v>1.0399552539833183</c:v>
                </c:pt>
                <c:pt idx="112">
                  <c:v>1.0165198800472619</c:v>
                </c:pt>
                <c:pt idx="113">
                  <c:v>0.99477406919623368</c:v>
                </c:pt>
                <c:pt idx="114">
                  <c:v>0.97102928765371876</c:v>
                </c:pt>
                <c:pt idx="115">
                  <c:v>0.94512253463223272</c:v>
                </c:pt>
                <c:pt idx="116">
                  <c:v>0.92076568619890642</c:v>
                </c:pt>
                <c:pt idx="117">
                  <c:v>0.89365014268613008</c:v>
                </c:pt>
                <c:pt idx="118">
                  <c:v>0.86809103541333377</c:v>
                </c:pt>
                <c:pt idx="119">
                  <c:v>0.84340679089701309</c:v>
                </c:pt>
                <c:pt idx="120">
                  <c:v>0.81532704526209576</c:v>
                </c:pt>
                <c:pt idx="121">
                  <c:v>0.78949329895218723</c:v>
                </c:pt>
                <c:pt idx="122">
                  <c:v>0.76517836315581134</c:v>
                </c:pt>
                <c:pt idx="123">
                  <c:v>0.74098941248656969</c:v>
                </c:pt>
                <c:pt idx="124">
                  <c:v>0.71552950432400797</c:v>
                </c:pt>
                <c:pt idx="125">
                  <c:v>0.69674443542099906</c:v>
                </c:pt>
                <c:pt idx="126">
                  <c:v>0.67210271125803045</c:v>
                </c:pt>
                <c:pt idx="127">
                  <c:v>0.52862664481721344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C-4B43-9B31-8C5087345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8437472"/>
        <c:axId val="-2025419072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12700" cmpd="sng">
              <a:noFill/>
            </a:ln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12700" cmpd="sng">
                <a:noFill/>
              </a:ln>
            </c:spPr>
            <c:extLst>
              <c:ext xmlns:c16="http://schemas.microsoft.com/office/drawing/2014/chart" uri="{C3380CC4-5D6E-409C-BE32-E72D297353CC}">
                <c16:uniqueId val="{00000002-76EC-4B43-9B31-8C5087345795}"/>
              </c:ext>
            </c:extLst>
          </c:dPt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Data'!$AF$23:$AF$150</c:f>
              <c:numCache>
                <c:formatCode>0.00E+00</c:formatCode>
                <c:ptCount val="128"/>
                <c:pt idx="0">
                  <c:v>-53.439130055378115</c:v>
                </c:pt>
                <c:pt idx="1">
                  <c:v>-0.33147637182707679</c:v>
                </c:pt>
                <c:pt idx="2">
                  <c:v>12.550215143008876</c:v>
                </c:pt>
                <c:pt idx="3">
                  <c:v>49.032408985437151</c:v>
                </c:pt>
                <c:pt idx="4">
                  <c:v>-0.14392828975426342</c:v>
                </c:pt>
                <c:pt idx="5">
                  <c:v>1.8891291210258447</c:v>
                </c:pt>
                <c:pt idx="6">
                  <c:v>-0.81316758730067096</c:v>
                </c:pt>
                <c:pt idx="7">
                  <c:v>5.7906656274811161E-2</c:v>
                </c:pt>
                <c:pt idx="8">
                  <c:v>-0.79545390828986051</c:v>
                </c:pt>
                <c:pt idx="9">
                  <c:v>0.23953170807214652</c:v>
                </c:pt>
                <c:pt idx="10">
                  <c:v>0.10653296367176025</c:v>
                </c:pt>
                <c:pt idx="11">
                  <c:v>-0.18437699289918197</c:v>
                </c:pt>
                <c:pt idx="12">
                  <c:v>-0.47444989878023047</c:v>
                </c:pt>
                <c:pt idx="13">
                  <c:v>-1.3680144254648863</c:v>
                </c:pt>
                <c:pt idx="14">
                  <c:v>-1.0369758377861031</c:v>
                </c:pt>
                <c:pt idx="15">
                  <c:v>-1.4684863639916124</c:v>
                </c:pt>
                <c:pt idx="16">
                  <c:v>-1.0351261824847269</c:v>
                </c:pt>
                <c:pt idx="17">
                  <c:v>-1.0332019764012534</c:v>
                </c:pt>
                <c:pt idx="18">
                  <c:v>0.40960138061237988</c:v>
                </c:pt>
                <c:pt idx="19">
                  <c:v>-2.0403830948889263</c:v>
                </c:pt>
                <c:pt idx="20">
                  <c:v>-1.5695544001749746</c:v>
                </c:pt>
                <c:pt idx="21">
                  <c:v>-1.4589227979861892</c:v>
                </c:pt>
                <c:pt idx="22">
                  <c:v>-2.2699938135866562</c:v>
                </c:pt>
                <c:pt idx="23">
                  <c:v>-6.363185087767502E-2</c:v>
                </c:pt>
                <c:pt idx="24">
                  <c:v>0.72275058579618356</c:v>
                </c:pt>
                <c:pt idx="25">
                  <c:v>0.4183905468843514</c:v>
                </c:pt>
                <c:pt idx="26">
                  <c:v>1.0451309710629426</c:v>
                </c:pt>
                <c:pt idx="27">
                  <c:v>-2.6838063946914672</c:v>
                </c:pt>
                <c:pt idx="28">
                  <c:v>0.42655682172897669</c:v>
                </c:pt>
                <c:pt idx="29">
                  <c:v>0.14474981881563398</c:v>
                </c:pt>
                <c:pt idx="30">
                  <c:v>0.16564679449580372</c:v>
                </c:pt>
                <c:pt idx="31">
                  <c:v>-88.681227314746309</c:v>
                </c:pt>
                <c:pt idx="32">
                  <c:v>-1.5957342214388917</c:v>
                </c:pt>
                <c:pt idx="33">
                  <c:v>-0.80755960410805083</c:v>
                </c:pt>
                <c:pt idx="34">
                  <c:v>-0.37989048676427656</c:v>
                </c:pt>
                <c:pt idx="35">
                  <c:v>-9.5686504933702524E-2</c:v>
                </c:pt>
                <c:pt idx="36">
                  <c:v>-0.31456925909300187</c:v>
                </c:pt>
                <c:pt idx="37">
                  <c:v>-0.30200307620411071</c:v>
                </c:pt>
                <c:pt idx="38">
                  <c:v>-0.56179775531487108</c:v>
                </c:pt>
                <c:pt idx="39">
                  <c:v>-0.58996450647456522</c:v>
                </c:pt>
                <c:pt idx="40">
                  <c:v>-0.35767398137029927</c:v>
                </c:pt>
                <c:pt idx="41">
                  <c:v>-0.45512925890862677</c:v>
                </c:pt>
                <c:pt idx="42">
                  <c:v>-0.37774367011921411</c:v>
                </c:pt>
                <c:pt idx="43">
                  <c:v>-0.11150776774200913</c:v>
                </c:pt>
                <c:pt idx="44">
                  <c:v>-0.23206942474571016</c:v>
                </c:pt>
                <c:pt idx="45">
                  <c:v>-1.5749025158820305</c:v>
                </c:pt>
                <c:pt idx="46">
                  <c:v>-1.2738120930003871</c:v>
                </c:pt>
                <c:pt idx="47">
                  <c:v>-1.556060318742158</c:v>
                </c:pt>
                <c:pt idx="48">
                  <c:v>4.1422390507913145E-2</c:v>
                </c:pt>
                <c:pt idx="49">
                  <c:v>-0.51649129679547001</c:v>
                </c:pt>
                <c:pt idx="50">
                  <c:v>0.63153638159846492</c:v>
                </c:pt>
                <c:pt idx="51">
                  <c:v>0.94155290821139181</c:v>
                </c:pt>
                <c:pt idx="52">
                  <c:v>0.85241886971706882</c:v>
                </c:pt>
                <c:pt idx="53">
                  <c:v>0.65526965992834463</c:v>
                </c:pt>
                <c:pt idx="54">
                  <c:v>0.6949683494215666</c:v>
                </c:pt>
                <c:pt idx="55">
                  <c:v>1.7822660783882269</c:v>
                </c:pt>
                <c:pt idx="56">
                  <c:v>0.99522285914351061</c:v>
                </c:pt>
                <c:pt idx="57">
                  <c:v>-3.6344173030996392</c:v>
                </c:pt>
                <c:pt idx="58">
                  <c:v>-0.85800801115005854</c:v>
                </c:pt>
                <c:pt idx="59">
                  <c:v>-0.26824852694965379</c:v>
                </c:pt>
                <c:pt idx="60">
                  <c:v>0.23573368904136854</c:v>
                </c:pt>
                <c:pt idx="61">
                  <c:v>9.6746017342390703E-2</c:v>
                </c:pt>
                <c:pt idx="62">
                  <c:v>1.1696818889693983</c:v>
                </c:pt>
                <c:pt idx="63">
                  <c:v>1.5622743532361143</c:v>
                </c:pt>
                <c:pt idx="64">
                  <c:v>7.3862516395388251</c:v>
                </c:pt>
                <c:pt idx="65">
                  <c:v>7.8199520547144363</c:v>
                </c:pt>
                <c:pt idx="66">
                  <c:v>7.1657100245320375</c:v>
                </c:pt>
                <c:pt idx="67">
                  <c:v>4.9679999999999991</c:v>
                </c:pt>
                <c:pt idx="68">
                  <c:v>3.5424000000000002</c:v>
                </c:pt>
                <c:pt idx="69">
                  <c:v>3.4416000000000002</c:v>
                </c:pt>
                <c:pt idx="70">
                  <c:v>1.6847999999999999</c:v>
                </c:pt>
                <c:pt idx="71">
                  <c:v>0.91871999999999998</c:v>
                </c:pt>
                <c:pt idx="72">
                  <c:v>0.97055999999999998</c:v>
                </c:pt>
                <c:pt idx="73">
                  <c:v>0.99791999999999992</c:v>
                </c:pt>
                <c:pt idx="74">
                  <c:v>3.528</c:v>
                </c:pt>
                <c:pt idx="75">
                  <c:v>2.8512</c:v>
                </c:pt>
                <c:pt idx="76">
                  <c:v>2.5775999999999999</c:v>
                </c:pt>
                <c:pt idx="77">
                  <c:v>1.7568000000000001</c:v>
                </c:pt>
                <c:pt idx="78">
                  <c:v>1.8863999999999999</c:v>
                </c:pt>
                <c:pt idx="79">
                  <c:v>1.4327999999999999</c:v>
                </c:pt>
                <c:pt idx="80">
                  <c:v>7.9200000000000007E-2</c:v>
                </c:pt>
                <c:pt idx="81">
                  <c:v>0.7545599999999999</c:v>
                </c:pt>
                <c:pt idx="82">
                  <c:v>0.99504000000000004</c:v>
                </c:pt>
                <c:pt idx="83">
                  <c:v>-1.2182400000000002</c:v>
                </c:pt>
                <c:pt idx="84">
                  <c:v>1.3881599999999998</c:v>
                </c:pt>
                <c:pt idx="85">
                  <c:v>0.98639999999999994</c:v>
                </c:pt>
                <c:pt idx="86">
                  <c:v>0.63648000000000005</c:v>
                </c:pt>
                <c:pt idx="87">
                  <c:v>0.58608000000000005</c:v>
                </c:pt>
                <c:pt idx="88">
                  <c:v>0.78335999999999995</c:v>
                </c:pt>
                <c:pt idx="89">
                  <c:v>0.62783999999999995</c:v>
                </c:pt>
                <c:pt idx="90">
                  <c:v>0.54143999999999992</c:v>
                </c:pt>
                <c:pt idx="91">
                  <c:v>0.64512000000000003</c:v>
                </c:pt>
                <c:pt idx="92">
                  <c:v>1.1059199999999998</c:v>
                </c:pt>
                <c:pt idx="93">
                  <c:v>0.93024000000000007</c:v>
                </c:pt>
                <c:pt idx="94">
                  <c:v>0.70992</c:v>
                </c:pt>
                <c:pt idx="95">
                  <c:v>0.60624000000000011</c:v>
                </c:pt>
                <c:pt idx="96">
                  <c:v>0.48527999999999999</c:v>
                </c:pt>
                <c:pt idx="97">
                  <c:v>0.36144000000000004</c:v>
                </c:pt>
                <c:pt idx="98">
                  <c:v>6.3072000000000003E-2</c:v>
                </c:pt>
                <c:pt idx="99">
                  <c:v>0.42624000000000006</c:v>
                </c:pt>
                <c:pt idx="100">
                  <c:v>1.0396800000000002</c:v>
                </c:pt>
                <c:pt idx="101">
                  <c:v>2.6783999999999999E-2</c:v>
                </c:pt>
                <c:pt idx="102">
                  <c:v>-1.2830399999999999E-2</c:v>
                </c:pt>
                <c:pt idx="103">
                  <c:v>9.6192E-2</c:v>
                </c:pt>
                <c:pt idx="104">
                  <c:v>0.18432000000000001</c:v>
                </c:pt>
                <c:pt idx="105">
                  <c:v>-3.8736E-2</c:v>
                </c:pt>
                <c:pt idx="106">
                  <c:v>0.11232</c:v>
                </c:pt>
                <c:pt idx="107">
                  <c:v>0.30528</c:v>
                </c:pt>
                <c:pt idx="108">
                  <c:v>-0.17712</c:v>
                </c:pt>
                <c:pt idx="109">
                  <c:v>-4.8528000000000002E-2</c:v>
                </c:pt>
                <c:pt idx="110">
                  <c:v>0.12844800000000001</c:v>
                </c:pt>
                <c:pt idx="111">
                  <c:v>0.22320000000000001</c:v>
                </c:pt>
                <c:pt idx="112">
                  <c:v>-0.97776000000000007</c:v>
                </c:pt>
                <c:pt idx="113">
                  <c:v>-0.54576000000000002</c:v>
                </c:pt>
                <c:pt idx="114">
                  <c:v>-0.30528</c:v>
                </c:pt>
                <c:pt idx="115">
                  <c:v>-0.4536</c:v>
                </c:pt>
                <c:pt idx="116">
                  <c:v>-0.61199999999999999</c:v>
                </c:pt>
                <c:pt idx="117">
                  <c:v>-0.93455999999999995</c:v>
                </c:pt>
                <c:pt idx="118">
                  <c:v>-0.12124800000000002</c:v>
                </c:pt>
                <c:pt idx="119">
                  <c:v>0.30384</c:v>
                </c:pt>
                <c:pt idx="120">
                  <c:v>1.6992</c:v>
                </c:pt>
                <c:pt idx="121">
                  <c:v>-0.3024</c:v>
                </c:pt>
                <c:pt idx="122">
                  <c:v>-0.26495999999999997</c:v>
                </c:pt>
                <c:pt idx="123">
                  <c:v>0.71711999999999998</c:v>
                </c:pt>
                <c:pt idx="124">
                  <c:v>0.28223999999999999</c:v>
                </c:pt>
                <c:pt idx="125">
                  <c:v>-1.1664000000000001</c:v>
                </c:pt>
                <c:pt idx="126">
                  <c:v>-6.6096000000000002E-2</c:v>
                </c:pt>
                <c:pt idx="127">
                  <c:v>-1.0728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EC-4B43-9B31-8C5087345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437472"/>
        <c:axId val="-2025419072"/>
      </c:barChart>
      <c:barChart>
        <c:barDir val="col"/>
        <c:grouping val="clustered"/>
        <c:varyColors val="0"/>
        <c:ser>
          <c:idx val="1"/>
          <c:order val="1"/>
          <c:invertIfNegative val="0"/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Data'!$AH$23:$AH$150</c:f>
              <c:numCache>
                <c:formatCode>General</c:formatCode>
                <c:ptCount val="128"/>
                <c:pt idx="0">
                  <c:v>-1</c:v>
                </c:pt>
                <c:pt idx="1">
                  <c:v>-1</c:v>
                </c:pt>
                <c:pt idx="3">
                  <c:v>-48</c:v>
                </c:pt>
                <c:pt idx="4">
                  <c:v>-1</c:v>
                </c:pt>
                <c:pt idx="7">
                  <c:v>-1</c:v>
                </c:pt>
                <c:pt idx="8">
                  <c:v>-13</c:v>
                </c:pt>
                <c:pt idx="9">
                  <c:v>-1</c:v>
                </c:pt>
                <c:pt idx="16">
                  <c:v>-6</c:v>
                </c:pt>
                <c:pt idx="17">
                  <c:v>0</c:v>
                </c:pt>
                <c:pt idx="18">
                  <c:v>-6</c:v>
                </c:pt>
                <c:pt idx="19">
                  <c:v>-13</c:v>
                </c:pt>
                <c:pt idx="20">
                  <c:v>-7</c:v>
                </c:pt>
                <c:pt idx="30">
                  <c:v>-150</c:v>
                </c:pt>
                <c:pt idx="31">
                  <c:v>0</c:v>
                </c:pt>
                <c:pt idx="32">
                  <c:v>-7</c:v>
                </c:pt>
                <c:pt idx="33">
                  <c:v>-1</c:v>
                </c:pt>
                <c:pt idx="38">
                  <c:v>-2</c:v>
                </c:pt>
                <c:pt idx="45">
                  <c:v>-1</c:v>
                </c:pt>
                <c:pt idx="46">
                  <c:v>-12</c:v>
                </c:pt>
                <c:pt idx="47">
                  <c:v>-5</c:v>
                </c:pt>
                <c:pt idx="48">
                  <c:v>-2</c:v>
                </c:pt>
                <c:pt idx="57">
                  <c:v>-14</c:v>
                </c:pt>
                <c:pt idx="58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EC-4B43-9B31-8C5087345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2067520"/>
        <c:axId val="-2022070352"/>
      </c:barChart>
      <c:dateAx>
        <c:axId val="-202843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Date</a:t>
                </a:r>
              </a:p>
            </c:rich>
          </c:tx>
          <c:layout>
            <c:manualLayout>
              <c:xMode val="edge"/>
              <c:yMode val="edge"/>
              <c:x val="0.480156189492707"/>
              <c:y val="0.91076233183856503"/>
            </c:manualLayout>
          </c:layout>
          <c:overlay val="0"/>
        </c:title>
        <c:numFmt formatCode="m/d/yy" sourceLinked="1"/>
        <c:majorTickMark val="out"/>
        <c:minorTickMark val="none"/>
        <c:tickLblPos val="low"/>
        <c:txPr>
          <a:bodyPr/>
          <a:lstStyle/>
          <a:p>
            <a:pPr>
              <a:defRPr sz="1400" b="1"/>
            </a:pPr>
            <a:endParaRPr lang="en-US"/>
          </a:p>
        </c:txPr>
        <c:crossAx val="-2025419072"/>
        <c:crossesAt val="0"/>
        <c:auto val="1"/>
        <c:lblOffset val="100"/>
        <c:baseTimeUnit val="days"/>
        <c:majorUnit val="7"/>
        <c:majorTimeUnit val="days"/>
      </c:dateAx>
      <c:valAx>
        <c:axId val="-2025419072"/>
        <c:scaling>
          <c:orientation val="minMax"/>
          <c:max val="7"/>
          <c:min val="-1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400"/>
                  <a:t>Recharge (cm/day)</a:t>
                </a:r>
              </a:p>
            </c:rich>
          </c:tx>
          <c:layout>
            <c:manualLayout>
              <c:xMode val="edge"/>
              <c:yMode val="edge"/>
              <c:x val="5.1150895140665001E-3"/>
              <c:y val="0.15585996257194301"/>
            </c:manualLayout>
          </c:layout>
          <c:overlay val="0"/>
        </c:title>
        <c:numFmt formatCode="#,##0.0;[Red]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8437472"/>
        <c:crosses val="autoZero"/>
        <c:crossBetween val="between"/>
        <c:majorUnit val="1"/>
      </c:valAx>
      <c:valAx>
        <c:axId val="-2022070352"/>
        <c:scaling>
          <c:orientation val="minMax"/>
          <c:min val="-300"/>
        </c:scaling>
        <c:delete val="0"/>
        <c:axPos val="r"/>
        <c:numFmt formatCode="General" sourceLinked="1"/>
        <c:majorTickMark val="in"/>
        <c:minorTickMark val="none"/>
        <c:tickLblPos val="none"/>
        <c:crossAx val="-2022067520"/>
        <c:crosses val="max"/>
        <c:crossBetween val="between"/>
      </c:valAx>
      <c:dateAx>
        <c:axId val="-2022067520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2070352"/>
        <c:crosses val="max"/>
        <c:auto val="1"/>
        <c:lblOffset val="100"/>
        <c:baseTimeUnit val="days"/>
      </c:date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09377410048699"/>
          <c:y val="6.5711035492422701E-2"/>
          <c:w val="0.79632819270372301"/>
          <c:h val="0.785874450995132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63500"/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5333-554F-9AE7-573E85AFE15F}"/>
              </c:ext>
            </c:extLst>
          </c:dPt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33-554F-9AE7-573E85AFE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2182256"/>
        <c:axId val="-2039563312"/>
      </c:barChart>
      <c:dateAx>
        <c:axId val="-204218225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txPr>
          <a:bodyPr/>
          <a:lstStyle/>
          <a:p>
            <a:pPr>
              <a:defRPr sz="1800" b="0"/>
            </a:pPr>
            <a:endParaRPr lang="en-US"/>
          </a:p>
        </c:txPr>
        <c:crossAx val="-2039563312"/>
        <c:crossesAt val="0"/>
        <c:auto val="1"/>
        <c:lblOffset val="100"/>
        <c:baseTimeUnit val="days"/>
        <c:majorUnit val="7"/>
        <c:majorTimeUnit val="days"/>
      </c:dateAx>
      <c:valAx>
        <c:axId val="-2039563312"/>
        <c:scaling>
          <c:orientation val="minMax"/>
          <c:max val="5.5"/>
          <c:min val="-1.5"/>
        </c:scaling>
        <c:delete val="0"/>
        <c:axPos val="l"/>
        <c:majorGridlines/>
        <c:numFmt formatCode="#,##0.0;[Red]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42182256"/>
        <c:crosses val="autoZero"/>
        <c:crossBetween val="between"/>
        <c:majorUnit val="1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09378335380701"/>
          <c:y val="0.101894326293325"/>
          <c:w val="0.84765813480476104"/>
          <c:h val="0.8144282139966150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63500"/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ADA4-DD4C-BE4C-5D44E78DB1A5}"/>
              </c:ext>
            </c:extLst>
          </c:dPt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A4-DD4C-BE4C-5D44E78D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499104"/>
        <c:axId val="-2029498144"/>
      </c:barChart>
      <c:dateAx>
        <c:axId val="-2029499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txPr>
          <a:bodyPr/>
          <a:lstStyle/>
          <a:p>
            <a:pPr>
              <a:defRPr sz="1800" b="0"/>
            </a:pPr>
            <a:endParaRPr lang="en-US"/>
          </a:p>
        </c:txPr>
        <c:crossAx val="-2029498144"/>
        <c:crossesAt val="0"/>
        <c:auto val="1"/>
        <c:lblOffset val="100"/>
        <c:baseTimeUnit val="days"/>
        <c:majorUnit val="7"/>
        <c:majorTimeUnit val="days"/>
      </c:dateAx>
      <c:valAx>
        <c:axId val="-2029498144"/>
        <c:scaling>
          <c:orientation val="minMax"/>
          <c:max val="5.5"/>
          <c:min val="-1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000"/>
                  <a:t>Recharge (cm/day)</a:t>
                </a:r>
              </a:p>
            </c:rich>
          </c:tx>
          <c:layout>
            <c:manualLayout>
              <c:xMode val="edge"/>
              <c:yMode val="edge"/>
              <c:x val="5.1150895140665001E-3"/>
              <c:y val="0.15585996257194301"/>
            </c:manualLayout>
          </c:layout>
          <c:overlay val="0"/>
        </c:title>
        <c:numFmt formatCode="#,##0.0;[Red]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9499104"/>
        <c:crosses val="autoZero"/>
        <c:crossBetween val="between"/>
        <c:majorUnit val="1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09378335380701"/>
          <c:y val="0.101894326293325"/>
          <c:w val="0.86428217572547705"/>
          <c:h val="0.613653101773492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63500"/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FD48-A449-8FED-0E262B9E371D}"/>
              </c:ext>
            </c:extLst>
          </c:dPt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48-A449-8FED-0E262B9E3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2026400"/>
        <c:axId val="-2027347584"/>
      </c:barChart>
      <c:dateAx>
        <c:axId val="-202202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Date</a:t>
                </a:r>
              </a:p>
            </c:rich>
          </c:tx>
          <c:layout>
            <c:manualLayout>
              <c:xMode val="edge"/>
              <c:yMode val="edge"/>
              <c:x val="0.480156189492707"/>
              <c:y val="0.91076233183856503"/>
            </c:manualLayout>
          </c:layout>
          <c:overlay val="0"/>
        </c:title>
        <c:numFmt formatCode="m/d/yy" sourceLinked="1"/>
        <c:majorTickMark val="out"/>
        <c:minorTickMark val="none"/>
        <c:tickLblPos val="low"/>
        <c:txPr>
          <a:bodyPr/>
          <a:lstStyle/>
          <a:p>
            <a:pPr>
              <a:defRPr sz="1800" b="0"/>
            </a:pPr>
            <a:endParaRPr lang="en-US"/>
          </a:p>
        </c:txPr>
        <c:crossAx val="-2027347584"/>
        <c:crossesAt val="0"/>
        <c:auto val="1"/>
        <c:lblOffset val="100"/>
        <c:baseTimeUnit val="days"/>
        <c:majorUnit val="7"/>
        <c:majorTimeUnit val="days"/>
      </c:dateAx>
      <c:valAx>
        <c:axId val="-2027347584"/>
        <c:scaling>
          <c:orientation val="minMax"/>
          <c:max val="5.5"/>
          <c:min val="-1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400"/>
                  <a:t>Recharge (cm/day)</a:t>
                </a:r>
              </a:p>
            </c:rich>
          </c:tx>
          <c:layout>
            <c:manualLayout>
              <c:xMode val="edge"/>
              <c:yMode val="edge"/>
              <c:x val="5.1150895140665001E-3"/>
              <c:y val="0.15585996257194301"/>
            </c:manualLayout>
          </c:layout>
          <c:overlay val="0"/>
        </c:title>
        <c:numFmt formatCode="#,##0.0;[Red]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2026400"/>
        <c:crosses val="autoZero"/>
        <c:crossBetween val="between"/>
        <c:majorUnit val="1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800"/>
              <a:t>Tank</a:t>
            </a:r>
            <a:r>
              <a:rPr lang="en-US" sz="2800" baseline="0"/>
              <a:t> 2 </a:t>
            </a:r>
          </a:p>
          <a:p>
            <a:pPr>
              <a:defRPr/>
            </a:pPr>
            <a:endParaRPr lang="en-US" sz="2800"/>
          </a:p>
        </c:rich>
      </c:tx>
      <c:layout>
        <c:manualLayout>
          <c:xMode val="edge"/>
          <c:yMode val="edge"/>
          <c:x val="0.45422920972087799"/>
          <c:y val="1.65562913907284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09378335380701"/>
          <c:y val="0.101894326293325"/>
          <c:w val="0.86428217572547705"/>
          <c:h val="0.61365310177349297"/>
        </c:manualLayout>
      </c:layout>
      <c:areaChart>
        <c:grouping val="standard"/>
        <c:varyColors val="0"/>
        <c:ser>
          <c:idx val="3"/>
          <c:order val="3"/>
          <c:spPr>
            <a:solidFill>
              <a:schemeClr val="accent1">
                <a:lumMod val="75000"/>
              </a:schemeClr>
            </a:solidFill>
            <a:ln w="63500"/>
          </c:spPr>
          <c:dPt>
            <c:idx val="68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1C80-0542-8407-11C2BF83E53F}"/>
              </c:ext>
            </c:extLst>
          </c:dPt>
          <c:cat>
            <c:numRef>
              <c:f>'Tank Data'!$A$23:$A$111</c:f>
              <c:numCache>
                <c:formatCode>m/d/yy</c:formatCode>
                <c:ptCount val="89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80-0542-8407-11C2BF83E53F}"/>
            </c:ext>
          </c:extLst>
        </c:ser>
        <c:ser>
          <c:idx val="2"/>
          <c:order val="2"/>
          <c:spPr>
            <a:solidFill>
              <a:schemeClr val="bg1">
                <a:lumMod val="75000"/>
                <a:alpha val="41000"/>
              </a:schemeClr>
            </a:solidFill>
            <a:ln w="127000" cmpd="sng">
              <a:noFill/>
            </a:ln>
          </c:spPr>
          <c:cat>
            <c:numRef>
              <c:f>'Tank Data'!$A$23:$A$111</c:f>
              <c:numCache>
                <c:formatCode>m/d/yy</c:formatCode>
                <c:ptCount val="89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</c:numCache>
            </c:numRef>
          </c:cat>
          <c:val>
            <c:numRef>
              <c:f>'Tank Data'!$M$23:$M$111</c:f>
              <c:numCache>
                <c:formatCode>0.00E+00</c:formatCode>
                <c:ptCount val="89"/>
                <c:pt idx="0">
                  <c:v>3.1793810224401646</c:v>
                </c:pt>
                <c:pt idx="1">
                  <c:v>3.2773143565567313</c:v>
                </c:pt>
                <c:pt idx="2">
                  <c:v>3.3345159959313371</c:v>
                </c:pt>
                <c:pt idx="3">
                  <c:v>3.4026063881024378</c:v>
                </c:pt>
                <c:pt idx="4">
                  <c:v>3.4228503382091855</c:v>
                </c:pt>
                <c:pt idx="5">
                  <c:v>3.4088947052086631</c:v>
                </c:pt>
                <c:pt idx="6">
                  <c:v>3.3914924557679615</c:v>
                </c:pt>
                <c:pt idx="7">
                  <c:v>3.371833767737586</c:v>
                </c:pt>
                <c:pt idx="8">
                  <c:v>3.3511229280280386</c:v>
                </c:pt>
                <c:pt idx="9">
                  <c:v>3.3322341775812401</c:v>
                </c:pt>
                <c:pt idx="10">
                  <c:v>3.3132409376518037</c:v>
                </c:pt>
                <c:pt idx="11">
                  <c:v>3.292209857675326</c:v>
                </c:pt>
                <c:pt idx="12">
                  <c:v>3.2727624191981519</c:v>
                </c:pt>
                <c:pt idx="13">
                  <c:v>3.2534329762465877</c:v>
                </c:pt>
                <c:pt idx="14">
                  <c:v>3.2334466778126245</c:v>
                </c:pt>
                <c:pt idx="15">
                  <c:v>3.2137524038752918</c:v>
                </c:pt>
                <c:pt idx="16">
                  <c:v>3.1945710094669977</c:v>
                </c:pt>
                <c:pt idx="17">
                  <c:v>3.1776802121516301</c:v>
                </c:pt>
                <c:pt idx="18">
                  <c:v>3.1596771477230092</c:v>
                </c:pt>
                <c:pt idx="19">
                  <c:v>3.1680194843017642</c:v>
                </c:pt>
                <c:pt idx="20">
                  <c:v>3.1691288895585306</c:v>
                </c:pt>
                <c:pt idx="21">
                  <c:v>3.1474530186407694</c:v>
                </c:pt>
                <c:pt idx="22">
                  <c:v>3.1306487199818065</c:v>
                </c:pt>
                <c:pt idx="23">
                  <c:v>3.1099953411213708</c:v>
                </c:pt>
                <c:pt idx="24">
                  <c:v>3.0919184455944819</c:v>
                </c:pt>
                <c:pt idx="25">
                  <c:v>3.0709004524185612</c:v>
                </c:pt>
                <c:pt idx="26">
                  <c:v>3.0501161938040884</c:v>
                </c:pt>
                <c:pt idx="27">
                  <c:v>3.0268955413438121</c:v>
                </c:pt>
                <c:pt idx="28">
                  <c:v>3.0064748912332302</c:v>
                </c:pt>
                <c:pt idx="29">
                  <c:v>2.9805939113679738</c:v>
                </c:pt>
                <c:pt idx="30">
                  <c:v>2.9560266236699828</c:v>
                </c:pt>
                <c:pt idx="31">
                  <c:v>2.928978358456428</c:v>
                </c:pt>
                <c:pt idx="32">
                  <c:v>3.230673051636181</c:v>
                </c:pt>
                <c:pt idx="33">
                  <c:v>3.2119814440322791</c:v>
                </c:pt>
                <c:pt idx="34">
                  <c:v>3.1923401297129619</c:v>
                </c:pt>
                <c:pt idx="35">
                  <c:v>3.1712155743392252</c:v>
                </c:pt>
                <c:pt idx="36">
                  <c:v>3.1489272337360763</c:v>
                </c:pt>
                <c:pt idx="37">
                  <c:v>3.125172024677358</c:v>
                </c:pt>
                <c:pt idx="38">
                  <c:v>3.1047231540970941</c:v>
                </c:pt>
                <c:pt idx="39">
                  <c:v>3.081513953762153</c:v>
                </c:pt>
                <c:pt idx="40">
                  <c:v>3.0538722295991843</c:v>
                </c:pt>
                <c:pt idx="41">
                  <c:v>3.0250587306052825</c:v>
                </c:pt>
                <c:pt idx="42">
                  <c:v>2.9966634391078966</c:v>
                </c:pt>
                <c:pt idx="43">
                  <c:v>2.9721726488416049</c:v>
                </c:pt>
                <c:pt idx="44">
                  <c:v>2.9501452480592274</c:v>
                </c:pt>
                <c:pt idx="45">
                  <c:v>2.9242742858665238</c:v>
                </c:pt>
                <c:pt idx="46">
                  <c:v>2.9012507692000664</c:v>
                </c:pt>
                <c:pt idx="47">
                  <c:v>2.8964924910133441</c:v>
                </c:pt>
                <c:pt idx="48">
                  <c:v>2.8756663033140768</c:v>
                </c:pt>
                <c:pt idx="49">
                  <c:v>2.8481693677426971</c:v>
                </c:pt>
                <c:pt idx="50">
                  <c:v>2.8178550443621067</c:v>
                </c:pt>
                <c:pt idx="51">
                  <c:v>2.7797257992832947</c:v>
                </c:pt>
                <c:pt idx="52">
                  <c:v>2.7452350043176192</c:v>
                </c:pt>
                <c:pt idx="53">
                  <c:v>2.7107703853027498</c:v>
                </c:pt>
                <c:pt idx="54">
                  <c:v>2.6747358193055391</c:v>
                </c:pt>
                <c:pt idx="55">
                  <c:v>2.6353996280318732</c:v>
                </c:pt>
                <c:pt idx="56">
                  <c:v>2.5918202734430693</c:v>
                </c:pt>
                <c:pt idx="57">
                  <c:v>2.588757282054349</c:v>
                </c:pt>
                <c:pt idx="58">
                  <c:v>2.6219521919043878</c:v>
                </c:pt>
                <c:pt idx="59">
                  <c:v>2.5973162032028565</c:v>
                </c:pt>
                <c:pt idx="60">
                  <c:v>2.5751452457095354</c:v>
                </c:pt>
                <c:pt idx="61">
                  <c:v>2.5535566978348676</c:v>
                </c:pt>
                <c:pt idx="62">
                  <c:v>2.5267575104730966</c:v>
                </c:pt>
                <c:pt idx="63">
                  <c:v>2.4946082253497934</c:v>
                </c:pt>
                <c:pt idx="64">
                  <c:v>2.456787572889521</c:v>
                </c:pt>
                <c:pt idx="65">
                  <c:v>2.42622888955853</c:v>
                </c:pt>
                <c:pt idx="66">
                  <c:v>2.3935933107006484</c:v>
                </c:pt>
                <c:pt idx="67">
                  <c:v>2.3505738854216389</c:v>
                </c:pt>
                <c:pt idx="68">
                  <c:v>2.3118156048852239</c:v>
                </c:pt>
                <c:pt idx="69">
                  <c:v>2.2767434202106376</c:v>
                </c:pt>
                <c:pt idx="70">
                  <c:v>2.2421010906809613</c:v>
                </c:pt>
                <c:pt idx="71">
                  <c:v>2.2058965847504819</c:v>
                </c:pt>
                <c:pt idx="72">
                  <c:v>2.1696867673003695</c:v>
                </c:pt>
                <c:pt idx="73">
                  <c:v>2.1281540455995902</c:v>
                </c:pt>
                <c:pt idx="74">
                  <c:v>2.0889609988435236</c:v>
                </c:pt>
                <c:pt idx="75">
                  <c:v>2.0485505713273184</c:v>
                </c:pt>
                <c:pt idx="76">
                  <c:v>2.0045331858677997</c:v>
                </c:pt>
                <c:pt idx="77">
                  <c:v>1.9808798117067459</c:v>
                </c:pt>
                <c:pt idx="78">
                  <c:v>1.9578538406777672</c:v>
                </c:pt>
                <c:pt idx="79">
                  <c:v>1.9360980098044942</c:v>
                </c:pt>
                <c:pt idx="80">
                  <c:v>1.9113853257985107</c:v>
                </c:pt>
                <c:pt idx="81">
                  <c:v>1.887739917742058</c:v>
                </c:pt>
                <c:pt idx="82">
                  <c:v>1.8694223344097904</c:v>
                </c:pt>
                <c:pt idx="83">
                  <c:v>1.6491466778126254</c:v>
                </c:pt>
                <c:pt idx="84">
                  <c:v>1.8071663127128443</c:v>
                </c:pt>
                <c:pt idx="85">
                  <c:v>1.8004505666279333</c:v>
                </c:pt>
                <c:pt idx="86">
                  <c:v>1.7729470923556627</c:v>
                </c:pt>
                <c:pt idx="87">
                  <c:v>1.1646311436986172</c:v>
                </c:pt>
                <c:pt idx="88">
                  <c:v>1.1184288942579135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80-0542-8407-11C2BF83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456160"/>
        <c:axId val="-2094096592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12700" cmpd="sng">
              <a:noFill/>
            </a:ln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12700" cmpd="sng">
                <a:noFill/>
              </a:ln>
            </c:spPr>
            <c:extLst>
              <c:ext xmlns:c16="http://schemas.microsoft.com/office/drawing/2014/chart" uri="{C3380CC4-5D6E-409C-BE32-E72D297353CC}">
                <c16:uniqueId val="{00000005-1C80-0542-8407-11C2BF83E53F}"/>
              </c:ext>
            </c:extLst>
          </c:dPt>
          <c:cat>
            <c:numRef>
              <c:f>'Tank Data'!$A$23:$A$111</c:f>
              <c:numCache>
                <c:formatCode>m/d/yy</c:formatCode>
                <c:ptCount val="89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</c:numCache>
            </c:numRef>
          </c:cat>
          <c:val>
            <c:numRef>
              <c:f>'Tank Data'!$P$23:$P$111</c:f>
              <c:numCache>
                <c:formatCode>0.00E+00</c:formatCode>
                <c:ptCount val="89"/>
                <c:pt idx="0">
                  <c:v>-40.14732068659071</c:v>
                </c:pt>
                <c:pt idx="1">
                  <c:v>-0.6615640898907964</c:v>
                </c:pt>
                <c:pt idx="2">
                  <c:v>-6.8159109733490268</c:v>
                </c:pt>
                <c:pt idx="3">
                  <c:v>-8.3333378152627002</c:v>
                </c:pt>
                <c:pt idx="4">
                  <c:v>-0.63448691881859731</c:v>
                </c:pt>
                <c:pt idx="5">
                  <c:v>1.0394279105713664</c:v>
                </c:pt>
                <c:pt idx="6">
                  <c:v>1.1592289323187195</c:v>
                </c:pt>
                <c:pt idx="7">
                  <c:v>1.4383277025029755</c:v>
                </c:pt>
                <c:pt idx="8">
                  <c:v>1.7180797601324966</c:v>
                </c:pt>
                <c:pt idx="9">
                  <c:v>2.372024507120182</c:v>
                </c:pt>
                <c:pt idx="10">
                  <c:v>0.54089600162749185</c:v>
                </c:pt>
                <c:pt idx="11">
                  <c:v>0.55405076621011184</c:v>
                </c:pt>
                <c:pt idx="12">
                  <c:v>0.88096372110154575</c:v>
                </c:pt>
                <c:pt idx="13">
                  <c:v>0.58902411285490686</c:v>
                </c:pt>
                <c:pt idx="14">
                  <c:v>0.911208677765174</c:v>
                </c:pt>
                <c:pt idx="15">
                  <c:v>0.57275372908752198</c:v>
                </c:pt>
                <c:pt idx="16">
                  <c:v>0.5570731036384573</c:v>
                </c:pt>
                <c:pt idx="17">
                  <c:v>1.6999130614841298</c:v>
                </c:pt>
                <c:pt idx="18">
                  <c:v>1.5361647611557454</c:v>
                </c:pt>
                <c:pt idx="19">
                  <c:v>0.46775849688989307</c:v>
                </c:pt>
                <c:pt idx="20">
                  <c:v>3.0880592362979385E-2</c:v>
                </c:pt>
                <c:pt idx="21">
                  <c:v>0.76495192792049382</c:v>
                </c:pt>
                <c:pt idx="22">
                  <c:v>0.77406069785108023</c:v>
                </c:pt>
                <c:pt idx="23">
                  <c:v>0.91539453249542757</c:v>
                </c:pt>
                <c:pt idx="24">
                  <c:v>1.4157707347119952</c:v>
                </c:pt>
                <c:pt idx="25">
                  <c:v>0.80971881854580408</c:v>
                </c:pt>
                <c:pt idx="26">
                  <c:v>0.82340197041009222</c:v>
                </c:pt>
                <c:pt idx="27">
                  <c:v>2.279526715602247</c:v>
                </c:pt>
                <c:pt idx="28">
                  <c:v>2.294470562958959</c:v>
                </c:pt>
                <c:pt idx="29">
                  <c:v>1.0487128470330551E-2</c:v>
                </c:pt>
                <c:pt idx="30">
                  <c:v>0.46265724384605811</c:v>
                </c:pt>
                <c:pt idx="31">
                  <c:v>-95.129745562685159</c:v>
                </c:pt>
                <c:pt idx="32">
                  <c:v>0.725190844925235</c:v>
                </c:pt>
                <c:pt idx="33">
                  <c:v>-1.5706122176233204</c:v>
                </c:pt>
                <c:pt idx="34">
                  <c:v>0.74244533955201353</c:v>
                </c:pt>
                <c:pt idx="35">
                  <c:v>1.602315509407696</c:v>
                </c:pt>
                <c:pt idx="36">
                  <c:v>1.5417711041648792</c:v>
                </c:pt>
                <c:pt idx="37">
                  <c:v>1.6123134336435554</c:v>
                </c:pt>
                <c:pt idx="38">
                  <c:v>2.4304877833823939</c:v>
                </c:pt>
                <c:pt idx="39">
                  <c:v>1.9693946521314183</c:v>
                </c:pt>
                <c:pt idx="40">
                  <c:v>1.5696777496614089</c:v>
                </c:pt>
                <c:pt idx="41">
                  <c:v>2.6264411489731012</c:v>
                </c:pt>
                <c:pt idx="42">
                  <c:v>2.3019141789377926</c:v>
                </c:pt>
                <c:pt idx="43">
                  <c:v>1.9612697439769873</c:v>
                </c:pt>
                <c:pt idx="44">
                  <c:v>1.8356616307483968</c:v>
                </c:pt>
                <c:pt idx="45">
                  <c:v>-0.37348703267908445</c:v>
                </c:pt>
                <c:pt idx="46">
                  <c:v>-1.3599574728302397</c:v>
                </c:pt>
                <c:pt idx="47">
                  <c:v>-5.9362484117227686E-2</c:v>
                </c:pt>
                <c:pt idx="48">
                  <c:v>1.3437556730952001</c:v>
                </c:pt>
                <c:pt idx="49">
                  <c:v>1.8910806892071093</c:v>
                </c:pt>
                <c:pt idx="50">
                  <c:v>1.7955597399709997</c:v>
                </c:pt>
                <c:pt idx="51">
                  <c:v>2.1155167385857632</c:v>
                </c:pt>
                <c:pt idx="52">
                  <c:v>2.2906588531654606</c:v>
                </c:pt>
                <c:pt idx="53">
                  <c:v>2.5126653192386073</c:v>
                </c:pt>
                <c:pt idx="54">
                  <c:v>2.1075812217741396</c:v>
                </c:pt>
                <c:pt idx="55">
                  <c:v>2.8650014306715583</c:v>
                </c:pt>
                <c:pt idx="56">
                  <c:v>3.8552695079968808</c:v>
                </c:pt>
                <c:pt idx="57">
                  <c:v>-3.8487165118392443</c:v>
                </c:pt>
                <c:pt idx="58">
                  <c:v>1.765819430275458</c:v>
                </c:pt>
                <c:pt idx="59">
                  <c:v>1.3107660964389327</c:v>
                </c:pt>
                <c:pt idx="60">
                  <c:v>0.93215386435971481</c:v>
                </c:pt>
                <c:pt idx="61">
                  <c:v>1.2231741351618473</c:v>
                </c:pt>
                <c:pt idx="62">
                  <c:v>1.6957201727489404</c:v>
                </c:pt>
                <c:pt idx="63">
                  <c:v>5.1088733172965268</c:v>
                </c:pt>
                <c:pt idx="64">
                  <c:v>2.0710143984830864</c:v>
                </c:pt>
                <c:pt idx="65">
                  <c:v>2.3595608248919042</c:v>
                </c:pt>
                <c:pt idx="66">
                  <c:v>4.7218631547601193</c:v>
                </c:pt>
                <c:pt idx="67">
                  <c:v>2.6349965501658628</c:v>
                </c:pt>
                <c:pt idx="68">
                  <c:v>2.0602434062651653</c:v>
                </c:pt>
                <c:pt idx="69">
                  <c:v>2.8535780423817458</c:v>
                </c:pt>
                <c:pt idx="70">
                  <c:v>2.2215100794748581</c:v>
                </c:pt>
                <c:pt idx="71">
                  <c:v>1.8489628663529076</c:v>
                </c:pt>
                <c:pt idx="72">
                  <c:v>1.6639015834679183</c:v>
                </c:pt>
                <c:pt idx="73">
                  <c:v>3.481148219352423</c:v>
                </c:pt>
                <c:pt idx="74">
                  <c:v>0.90378747644363489</c:v>
                </c:pt>
                <c:pt idx="75">
                  <c:v>1.5727804140015467</c:v>
                </c:pt>
                <c:pt idx="76">
                  <c:v>1.9662749174467264</c:v>
                </c:pt>
                <c:pt idx="77">
                  <c:v>0.99278997740990216</c:v>
                </c:pt>
                <c:pt idx="78">
                  <c:v>0.53209994278655559</c:v>
                </c:pt>
                <c:pt idx="79">
                  <c:v>0.95706882410562466</c:v>
                </c:pt>
                <c:pt idx="80">
                  <c:v>1.0083357123997592</c:v>
                </c:pt>
                <c:pt idx="81">
                  <c:v>-0.17721527128805709</c:v>
                </c:pt>
                <c:pt idx="82">
                  <c:v>-2.2783356034582803E-2</c:v>
                </c:pt>
                <c:pt idx="83">
                  <c:v>-28.511999999999997</c:v>
                </c:pt>
                <c:pt idx="84">
                  <c:v>-2.2205988269460639</c:v>
                </c:pt>
                <c:pt idx="85">
                  <c:v>1.4961209645573192</c:v>
                </c:pt>
                <c:pt idx="86">
                  <c:v>0.85471084501868233</c:v>
                </c:pt>
                <c:pt idx="87">
                  <c:v>1.904436657899276</c:v>
                </c:pt>
                <c:pt idx="88">
                  <c:v>3.1572366578992761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80-0542-8407-11C2BF83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456160"/>
        <c:axId val="-2094096592"/>
      </c:barChart>
      <c:barChart>
        <c:barDir val="col"/>
        <c:grouping val="clustered"/>
        <c:varyColors val="0"/>
        <c:ser>
          <c:idx val="1"/>
          <c:order val="1"/>
          <c:invertIfNegative val="0"/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Data'!$AH$23:$AH$150</c:f>
              <c:numCache>
                <c:formatCode>General</c:formatCode>
                <c:ptCount val="128"/>
                <c:pt idx="0">
                  <c:v>-1</c:v>
                </c:pt>
                <c:pt idx="1">
                  <c:v>-1</c:v>
                </c:pt>
                <c:pt idx="3">
                  <c:v>-48</c:v>
                </c:pt>
                <c:pt idx="4">
                  <c:v>-1</c:v>
                </c:pt>
                <c:pt idx="7">
                  <c:v>-1</c:v>
                </c:pt>
                <c:pt idx="8">
                  <c:v>-13</c:v>
                </c:pt>
                <c:pt idx="9">
                  <c:v>-1</c:v>
                </c:pt>
                <c:pt idx="16">
                  <c:v>-6</c:v>
                </c:pt>
                <c:pt idx="17">
                  <c:v>0</c:v>
                </c:pt>
                <c:pt idx="18">
                  <c:v>-6</c:v>
                </c:pt>
                <c:pt idx="19">
                  <c:v>-13</c:v>
                </c:pt>
                <c:pt idx="20">
                  <c:v>-7</c:v>
                </c:pt>
                <c:pt idx="30">
                  <c:v>-150</c:v>
                </c:pt>
                <c:pt idx="31">
                  <c:v>0</c:v>
                </c:pt>
                <c:pt idx="32">
                  <c:v>-7</c:v>
                </c:pt>
                <c:pt idx="33">
                  <c:v>-1</c:v>
                </c:pt>
                <c:pt idx="38">
                  <c:v>-2</c:v>
                </c:pt>
                <c:pt idx="45">
                  <c:v>-1</c:v>
                </c:pt>
                <c:pt idx="46">
                  <c:v>-12</c:v>
                </c:pt>
                <c:pt idx="47">
                  <c:v>-5</c:v>
                </c:pt>
                <c:pt idx="48">
                  <c:v>-2</c:v>
                </c:pt>
                <c:pt idx="57">
                  <c:v>-14</c:v>
                </c:pt>
                <c:pt idx="58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80-0542-8407-11C2BF83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3387008"/>
        <c:axId val="-2043696848"/>
      </c:barChart>
      <c:dateAx>
        <c:axId val="-2029456160"/>
        <c:scaling>
          <c:orientation val="minMax"/>
          <c:max val="41691"/>
        </c:scaling>
        <c:delete val="0"/>
        <c:axPos val="b"/>
        <c:numFmt formatCode="m/d/yy" sourceLinked="1"/>
        <c:majorTickMark val="out"/>
        <c:minorTickMark val="none"/>
        <c:tickLblPos val="low"/>
        <c:txPr>
          <a:bodyPr/>
          <a:lstStyle/>
          <a:p>
            <a:pPr>
              <a:defRPr sz="1400" b="1"/>
            </a:pPr>
            <a:endParaRPr lang="en-US"/>
          </a:p>
        </c:txPr>
        <c:crossAx val="-2094096592"/>
        <c:crossesAt val="0"/>
        <c:auto val="0"/>
        <c:lblOffset val="100"/>
        <c:baseTimeUnit val="days"/>
        <c:majorUnit val="7"/>
        <c:majorTimeUnit val="days"/>
      </c:dateAx>
      <c:valAx>
        <c:axId val="-2094096592"/>
        <c:scaling>
          <c:orientation val="minMax"/>
          <c:max val="7"/>
          <c:min val="-1.5"/>
        </c:scaling>
        <c:delete val="0"/>
        <c:axPos val="l"/>
        <c:majorGridlines/>
        <c:numFmt formatCode="#,##0.0;[Red]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9456160"/>
        <c:crosses val="autoZero"/>
        <c:crossBetween val="between"/>
        <c:majorUnit val="1"/>
      </c:valAx>
      <c:valAx>
        <c:axId val="-2043696848"/>
        <c:scaling>
          <c:orientation val="minMax"/>
          <c:min val="-300"/>
        </c:scaling>
        <c:delete val="0"/>
        <c:axPos val="r"/>
        <c:numFmt formatCode="General" sourceLinked="1"/>
        <c:majorTickMark val="in"/>
        <c:minorTickMark val="none"/>
        <c:tickLblPos val="none"/>
        <c:spPr>
          <a:ln w="19050">
            <a:solidFill>
              <a:schemeClr val="tx1"/>
            </a:solidFill>
          </a:ln>
        </c:spPr>
        <c:crossAx val="-2033387008"/>
        <c:crosses val="max"/>
        <c:crossBetween val="between"/>
      </c:valAx>
      <c:dateAx>
        <c:axId val="-2033387008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43696848"/>
        <c:crosses val="max"/>
        <c:auto val="1"/>
        <c:lblOffset val="100"/>
        <c:baseTimeUnit val="days"/>
      </c:date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800"/>
              <a:t>Tank</a:t>
            </a:r>
            <a:r>
              <a:rPr lang="en-US" sz="2800" baseline="0"/>
              <a:t> 3</a:t>
            </a:r>
          </a:p>
          <a:p>
            <a:pPr>
              <a:defRPr/>
            </a:pPr>
            <a:endParaRPr lang="en-US" sz="2800"/>
          </a:p>
        </c:rich>
      </c:tx>
      <c:layout>
        <c:manualLayout>
          <c:xMode val="edge"/>
          <c:yMode val="edge"/>
          <c:x val="0.434295654903602"/>
          <c:y val="2.4834437086092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09378335380701"/>
          <c:y val="0.101894326293325"/>
          <c:w val="0.86428217572547705"/>
          <c:h val="0.61365310177349297"/>
        </c:manualLayout>
      </c:layout>
      <c:areaChart>
        <c:grouping val="standard"/>
        <c:varyColors val="0"/>
        <c:ser>
          <c:idx val="3"/>
          <c:order val="3"/>
          <c:spPr>
            <a:solidFill>
              <a:schemeClr val="accent1">
                <a:lumMod val="75000"/>
              </a:schemeClr>
            </a:solidFill>
            <a:ln w="63500"/>
          </c:spPr>
          <c:dPt>
            <c:idx val="68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A12E-8747-80FA-E5D2BC680EB6}"/>
              </c:ext>
            </c:extLst>
          </c:dPt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2E-8747-80FA-E5D2BC680EB6}"/>
            </c:ext>
          </c:extLst>
        </c:ser>
        <c:ser>
          <c:idx val="2"/>
          <c:order val="2"/>
          <c:spPr>
            <a:solidFill>
              <a:schemeClr val="bg1">
                <a:lumMod val="75000"/>
                <a:alpha val="41000"/>
              </a:schemeClr>
            </a:solidFill>
            <a:ln w="127000" cmpd="sng">
              <a:noFill/>
            </a:ln>
          </c:spPr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Data'!$U$23:$U$150</c:f>
              <c:numCache>
                <c:formatCode>0.000</c:formatCode>
                <c:ptCount val="128"/>
                <c:pt idx="0">
                  <c:v>3.402581022440164</c:v>
                </c:pt>
                <c:pt idx="1">
                  <c:v>3.5956143565567311</c:v>
                </c:pt>
                <c:pt idx="2">
                  <c:v>3.7167159959313372</c:v>
                </c:pt>
                <c:pt idx="3">
                  <c:v>3.9735063881024368</c:v>
                </c:pt>
                <c:pt idx="4">
                  <c:v>4.0705503382091868</c:v>
                </c:pt>
                <c:pt idx="5">
                  <c:v>4.0373947052086629</c:v>
                </c:pt>
                <c:pt idx="6">
                  <c:v>3.9870924557679617</c:v>
                </c:pt>
                <c:pt idx="7">
                  <c:v>3.9363337677375876</c:v>
                </c:pt>
                <c:pt idx="8">
                  <c:v>3.8828229280280384</c:v>
                </c:pt>
                <c:pt idx="9">
                  <c:v>3.8284341775812392</c:v>
                </c:pt>
                <c:pt idx="10">
                  <c:v>3.7887409376518049</c:v>
                </c:pt>
                <c:pt idx="11">
                  <c:v>3.7360098576753265</c:v>
                </c:pt>
                <c:pt idx="12">
                  <c:v>3.6890624191981507</c:v>
                </c:pt>
                <c:pt idx="13">
                  <c:v>3.661432976246588</c:v>
                </c:pt>
                <c:pt idx="14">
                  <c:v>3.616246677812625</c:v>
                </c:pt>
                <c:pt idx="15">
                  <c:v>3.5651524038752909</c:v>
                </c:pt>
                <c:pt idx="16">
                  <c:v>3.5144710094669973</c:v>
                </c:pt>
                <c:pt idx="17">
                  <c:v>3.4816802121516313</c:v>
                </c:pt>
                <c:pt idx="18">
                  <c:v>3.4474771477230091</c:v>
                </c:pt>
                <c:pt idx="19">
                  <c:v>3.4445194843017637</c:v>
                </c:pt>
                <c:pt idx="20">
                  <c:v>3.42052888955853</c:v>
                </c:pt>
                <c:pt idx="21">
                  <c:v>3.3864530186407693</c:v>
                </c:pt>
                <c:pt idx="22">
                  <c:v>3.3481487199818067</c:v>
                </c:pt>
                <c:pt idx="23">
                  <c:v>3.3074953411213714</c:v>
                </c:pt>
                <c:pt idx="24">
                  <c:v>3.2686184455944813</c:v>
                </c:pt>
                <c:pt idx="25">
                  <c:v>3.2278004524185606</c:v>
                </c:pt>
                <c:pt idx="26">
                  <c:v>3.1861161938040867</c:v>
                </c:pt>
                <c:pt idx="27">
                  <c:v>3.1516955413438135</c:v>
                </c:pt>
                <c:pt idx="28">
                  <c:v>3.1205748912332298</c:v>
                </c:pt>
                <c:pt idx="29">
                  <c:v>3.0834939113679729</c:v>
                </c:pt>
                <c:pt idx="30">
                  <c:v>3.0417266236699829</c:v>
                </c:pt>
                <c:pt idx="31">
                  <c:v>3.0008783584564283</c:v>
                </c:pt>
                <c:pt idx="32">
                  <c:v>3.7856730516361816</c:v>
                </c:pt>
                <c:pt idx="33">
                  <c:v>3.7786814440322791</c:v>
                </c:pt>
                <c:pt idx="34">
                  <c:v>3.7410401297129612</c:v>
                </c:pt>
                <c:pt idx="35">
                  <c:v>3.7009155743392244</c:v>
                </c:pt>
                <c:pt idx="36">
                  <c:v>3.660127233736076</c:v>
                </c:pt>
                <c:pt idx="37">
                  <c:v>3.6221720246773588</c:v>
                </c:pt>
                <c:pt idx="38">
                  <c:v>3.5806231540970943</c:v>
                </c:pt>
                <c:pt idx="39">
                  <c:v>3.5398139537621534</c:v>
                </c:pt>
                <c:pt idx="40">
                  <c:v>3.5004722295991852</c:v>
                </c:pt>
                <c:pt idx="41">
                  <c:v>3.4643587306052828</c:v>
                </c:pt>
                <c:pt idx="42">
                  <c:v>3.4180634391078977</c:v>
                </c:pt>
                <c:pt idx="43">
                  <c:v>3.3739726488416055</c:v>
                </c:pt>
                <c:pt idx="44">
                  <c:v>3.339745248059228</c:v>
                </c:pt>
                <c:pt idx="45">
                  <c:v>3.3122742858665228</c:v>
                </c:pt>
                <c:pt idx="46">
                  <c:v>3.2755507692000672</c:v>
                </c:pt>
                <c:pt idx="47">
                  <c:v>3.2615924910133449</c:v>
                </c:pt>
                <c:pt idx="48">
                  <c:v>3.2337663033140762</c:v>
                </c:pt>
                <c:pt idx="49">
                  <c:v>3.2027693677426976</c:v>
                </c:pt>
                <c:pt idx="50">
                  <c:v>3.1658550443621065</c:v>
                </c:pt>
                <c:pt idx="51">
                  <c:v>3.1260257992832949</c:v>
                </c:pt>
                <c:pt idx="52">
                  <c:v>3.0964350043176188</c:v>
                </c:pt>
                <c:pt idx="53">
                  <c:v>3.0696703853027509</c:v>
                </c:pt>
                <c:pt idx="54">
                  <c:v>3.0310358193055391</c:v>
                </c:pt>
                <c:pt idx="55">
                  <c:v>2.9960996280318719</c:v>
                </c:pt>
                <c:pt idx="56">
                  <c:v>2.9535202734430692</c:v>
                </c:pt>
                <c:pt idx="57">
                  <c:v>2.9459572820543505</c:v>
                </c:pt>
                <c:pt idx="58">
                  <c:v>2.9589521919043884</c:v>
                </c:pt>
                <c:pt idx="59">
                  <c:v>2.9403162032028556</c:v>
                </c:pt>
                <c:pt idx="60">
                  <c:v>2.9093452457095355</c:v>
                </c:pt>
                <c:pt idx="61">
                  <c:v>2.8816566978348677</c:v>
                </c:pt>
                <c:pt idx="62">
                  <c:v>2.8446575104730956</c:v>
                </c:pt>
                <c:pt idx="63">
                  <c:v>2.8065082253497939</c:v>
                </c:pt>
                <c:pt idx="64">
                  <c:v>2.7656875728895214</c:v>
                </c:pt>
                <c:pt idx="65">
                  <c:v>2.7222288895585303</c:v>
                </c:pt>
                <c:pt idx="66">
                  <c:v>2.677693310700648</c:v>
                </c:pt>
                <c:pt idx="67">
                  <c:v>2.6445738854216385</c:v>
                </c:pt>
                <c:pt idx="68">
                  <c:v>2.6126156048852236</c:v>
                </c:pt>
                <c:pt idx="69">
                  <c:v>2.5780434202106379</c:v>
                </c:pt>
                <c:pt idx="70">
                  <c:v>2.5453010906809608</c:v>
                </c:pt>
                <c:pt idx="71">
                  <c:v>2.5081965847504817</c:v>
                </c:pt>
                <c:pt idx="72">
                  <c:v>2.4690867673003689</c:v>
                </c:pt>
                <c:pt idx="73">
                  <c:v>2.4298540455995914</c:v>
                </c:pt>
                <c:pt idx="74">
                  <c:v>2.3931609988435225</c:v>
                </c:pt>
                <c:pt idx="75">
                  <c:v>2.3502505713273179</c:v>
                </c:pt>
                <c:pt idx="76">
                  <c:v>2.3023331858677993</c:v>
                </c:pt>
                <c:pt idx="77">
                  <c:v>2.2695798117067456</c:v>
                </c:pt>
                <c:pt idx="78">
                  <c:v>2.2397538406777668</c:v>
                </c:pt>
                <c:pt idx="79">
                  <c:v>2.2115980098044945</c:v>
                </c:pt>
                <c:pt idx="80">
                  <c:v>2.1831853257985108</c:v>
                </c:pt>
                <c:pt idx="81">
                  <c:v>2.1525399177420583</c:v>
                </c:pt>
                <c:pt idx="82">
                  <c:v>2.1216223344097918</c:v>
                </c:pt>
                <c:pt idx="83">
                  <c:v>2.0977466778126255</c:v>
                </c:pt>
                <c:pt idx="84">
                  <c:v>2.0814663127128457</c:v>
                </c:pt>
                <c:pt idx="85">
                  <c:v>2.055550566627935</c:v>
                </c:pt>
                <c:pt idx="86">
                  <c:v>2.0289470923556623</c:v>
                </c:pt>
                <c:pt idx="87">
                  <c:v>2.0001311436986162</c:v>
                </c:pt>
                <c:pt idx="88">
                  <c:v>1.9718288942579132</c:v>
                </c:pt>
                <c:pt idx="89">
                  <c:v>1.94464341316156</c:v>
                </c:pt>
                <c:pt idx="90">
                  <c:v>1.9197092617073845</c:v>
                </c:pt>
                <c:pt idx="91">
                  <c:v>1.8912460747956057</c:v>
                </c:pt>
                <c:pt idx="92">
                  <c:v>1.8654438253549059</c:v>
                </c:pt>
                <c:pt idx="93">
                  <c:v>1.8430272572329993</c:v>
                </c:pt>
                <c:pt idx="94">
                  <c:v>1.8197387187570999</c:v>
                </c:pt>
                <c:pt idx="95">
                  <c:v>1.7965307456034256</c:v>
                </c:pt>
                <c:pt idx="96">
                  <c:v>1.7742712355360541</c:v>
                </c:pt>
                <c:pt idx="97">
                  <c:v>1.7503448476143439</c:v>
                </c:pt>
                <c:pt idx="98">
                  <c:v>1.7278583466082462</c:v>
                </c:pt>
                <c:pt idx="99">
                  <c:v>1.7063139702099981</c:v>
                </c:pt>
                <c:pt idx="100">
                  <c:v>1.6838859452633741</c:v>
                </c:pt>
                <c:pt idx="101">
                  <c:v>1.6634575198718646</c:v>
                </c:pt>
                <c:pt idx="102">
                  <c:v>1.6420783796036555</c:v>
                </c:pt>
                <c:pt idx="103">
                  <c:v>1.6201814463819708</c:v>
                </c:pt>
                <c:pt idx="104">
                  <c:v>1.5991260277020405</c:v>
                </c:pt>
                <c:pt idx="105">
                  <c:v>1.5776430056676023</c:v>
                </c:pt>
                <c:pt idx="106">
                  <c:v>1.5563562973899845</c:v>
                </c:pt>
                <c:pt idx="107">
                  <c:v>1.5351661054413257</c:v>
                </c:pt>
                <c:pt idx="108">
                  <c:v>1.5152657026467513</c:v>
                </c:pt>
                <c:pt idx="109">
                  <c:v>1.4951765329575299</c:v>
                </c:pt>
                <c:pt idx="110">
                  <c:v>1.4721573055512711</c:v>
                </c:pt>
                <c:pt idx="111">
                  <c:v>1.4525552539833169</c:v>
                </c:pt>
                <c:pt idx="112">
                  <c:v>1.4321198800472623</c:v>
                </c:pt>
                <c:pt idx="113">
                  <c:v>1.4101740691962346</c:v>
                </c:pt>
                <c:pt idx="114">
                  <c:v>1.3890292876537189</c:v>
                </c:pt>
                <c:pt idx="115">
                  <c:v>1.3675225346322315</c:v>
                </c:pt>
                <c:pt idx="116">
                  <c:v>1.3459656861989058</c:v>
                </c:pt>
                <c:pt idx="117">
                  <c:v>1.3257501426861293</c:v>
                </c:pt>
                <c:pt idx="118">
                  <c:v>1.3051910354133338</c:v>
                </c:pt>
                <c:pt idx="119">
                  <c:v>1.2847067908970122</c:v>
                </c:pt>
                <c:pt idx="120">
                  <c:v>1.2617270452620954</c:v>
                </c:pt>
                <c:pt idx="121">
                  <c:v>1.2418932989521871</c:v>
                </c:pt>
                <c:pt idx="122">
                  <c:v>1.2223783631558125</c:v>
                </c:pt>
                <c:pt idx="123">
                  <c:v>1.2017894124865713</c:v>
                </c:pt>
                <c:pt idx="124">
                  <c:v>1.1800295043240081</c:v>
                </c:pt>
                <c:pt idx="125">
                  <c:v>1.1658444354209991</c:v>
                </c:pt>
                <c:pt idx="126">
                  <c:v>1.1438027112580298</c:v>
                </c:pt>
                <c:pt idx="127">
                  <c:v>1.1231266448172126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2E-8747-80FA-E5D2BC680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3427760"/>
        <c:axId val="-2023193632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12700" cmpd="sng">
              <a:noFill/>
            </a:ln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12700" cmpd="sng">
                <a:noFill/>
              </a:ln>
            </c:spPr>
            <c:extLst>
              <c:ext xmlns:c16="http://schemas.microsoft.com/office/drawing/2014/chart" uri="{C3380CC4-5D6E-409C-BE32-E72D297353CC}">
                <c16:uniqueId val="{00000005-A12E-8747-80FA-E5D2BC680EB6}"/>
              </c:ext>
            </c:extLst>
          </c:dPt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Data'!$X$23:$X$150</c:f>
              <c:numCache>
                <c:formatCode>0.00E+00</c:formatCode>
                <c:ptCount val="128"/>
                <c:pt idx="0">
                  <c:v>-79.973350146190668</c:v>
                </c:pt>
                <c:pt idx="1">
                  <c:v>2.6177410127786906</c:v>
                </c:pt>
                <c:pt idx="2">
                  <c:v>-0.56387212943336684</c:v>
                </c:pt>
                <c:pt idx="3">
                  <c:v>-58.238376605933176</c:v>
                </c:pt>
                <c:pt idx="4">
                  <c:v>5.5839163343111604</c:v>
                </c:pt>
                <c:pt idx="5">
                  <c:v>5.0937353449505034</c:v>
                </c:pt>
                <c:pt idx="6">
                  <c:v>4.1857935013886101</c:v>
                </c:pt>
                <c:pt idx="7">
                  <c:v>5.5388270426736348</c:v>
                </c:pt>
                <c:pt idx="8">
                  <c:v>4.3432434144931031</c:v>
                </c:pt>
                <c:pt idx="9">
                  <c:v>5.0342961067394389</c:v>
                </c:pt>
                <c:pt idx="10">
                  <c:v>-5.7800455448740902</c:v>
                </c:pt>
                <c:pt idx="11">
                  <c:v>3.4074644537712251</c:v>
                </c:pt>
                <c:pt idx="12">
                  <c:v>3.1631793989667374</c:v>
                </c:pt>
                <c:pt idx="13">
                  <c:v>3.7827943980309602</c:v>
                </c:pt>
                <c:pt idx="14">
                  <c:v>3.7836626571571248</c:v>
                </c:pt>
                <c:pt idx="15">
                  <c:v>4.7209456837530226</c:v>
                </c:pt>
                <c:pt idx="16">
                  <c:v>2.4041579503754762</c:v>
                </c:pt>
                <c:pt idx="17">
                  <c:v>2.8229936699320426</c:v>
                </c:pt>
                <c:pt idx="18">
                  <c:v>2.5220535160769892</c:v>
                </c:pt>
                <c:pt idx="19">
                  <c:v>2.3925882414576654</c:v>
                </c:pt>
                <c:pt idx="20">
                  <c:v>2.3505325128332526</c:v>
                </c:pt>
                <c:pt idx="21">
                  <c:v>2.4099202472238552</c:v>
                </c:pt>
                <c:pt idx="22">
                  <c:v>2.5849687140150812</c:v>
                </c:pt>
                <c:pt idx="23">
                  <c:v>2.357247889535663</c:v>
                </c:pt>
                <c:pt idx="24">
                  <c:v>2.4177093906381546</c:v>
                </c:pt>
                <c:pt idx="25">
                  <c:v>2.4786486742017049</c:v>
                </c:pt>
                <c:pt idx="26">
                  <c:v>2.5400356092888066</c:v>
                </c:pt>
                <c:pt idx="27">
                  <c:v>0.25386746483055578</c:v>
                </c:pt>
                <c:pt idx="28">
                  <c:v>2.5324211692552661</c:v>
                </c:pt>
                <c:pt idx="29">
                  <c:v>2.5079453327704595</c:v>
                </c:pt>
                <c:pt idx="30">
                  <c:v>2.4268687058578156</c:v>
                </c:pt>
                <c:pt idx="31">
                  <c:v>-97.647430864124217</c:v>
                </c:pt>
                <c:pt idx="32">
                  <c:v>-3.8072349285506291</c:v>
                </c:pt>
                <c:pt idx="33">
                  <c:v>1.6215926195515196</c:v>
                </c:pt>
                <c:pt idx="34">
                  <c:v>3.5082229399978564</c:v>
                </c:pt>
                <c:pt idx="35">
                  <c:v>2.7310272233608663</c:v>
                </c:pt>
                <c:pt idx="36">
                  <c:v>2.4868161403737918</c:v>
                </c:pt>
                <c:pt idx="37">
                  <c:v>2.5163349535879447</c:v>
                </c:pt>
                <c:pt idx="38">
                  <c:v>2.8773220906537453</c:v>
                </c:pt>
                <c:pt idx="39">
                  <c:v>2.4897078554911189</c:v>
                </c:pt>
                <c:pt idx="40">
                  <c:v>1.7566663861910563</c:v>
                </c:pt>
                <c:pt idx="41">
                  <c:v>2.319710623450967</c:v>
                </c:pt>
                <c:pt idx="42">
                  <c:v>2.3794553762568076</c:v>
                </c:pt>
                <c:pt idx="43">
                  <c:v>1.7914244224558209</c:v>
                </c:pt>
                <c:pt idx="44">
                  <c:v>1.6494972194786475</c:v>
                </c:pt>
                <c:pt idx="45">
                  <c:v>0.90251670911935233</c:v>
                </c:pt>
                <c:pt idx="46">
                  <c:v>-2.3492231024052805</c:v>
                </c:pt>
                <c:pt idx="47">
                  <c:v>-1.3401408402984851</c:v>
                </c:pt>
                <c:pt idx="48">
                  <c:v>0.53413838918235679</c:v>
                </c:pt>
                <c:pt idx="49">
                  <c:v>1.1272754696107128</c:v>
                </c:pt>
                <c:pt idx="50">
                  <c:v>1.5340212544321055</c:v>
                </c:pt>
                <c:pt idx="51">
                  <c:v>2.1430160008998009</c:v>
                </c:pt>
                <c:pt idx="52">
                  <c:v>2.1751945026621589</c:v>
                </c:pt>
                <c:pt idx="53">
                  <c:v>1.9768526543968914</c:v>
                </c:pt>
                <c:pt idx="54">
                  <c:v>1.9099120904236586</c:v>
                </c:pt>
                <c:pt idx="55">
                  <c:v>-99.978730547639628</c:v>
                </c:pt>
                <c:pt idx="56">
                  <c:v>2.195033567448692</c:v>
                </c:pt>
                <c:pt idx="57">
                  <c:v>-6.9377187857936479E-3</c:v>
                </c:pt>
                <c:pt idx="58">
                  <c:v>-0.72903700252423786</c:v>
                </c:pt>
                <c:pt idx="59">
                  <c:v>0.77159145993558076</c:v>
                </c:pt>
                <c:pt idx="60">
                  <c:v>1.5112910128221568</c:v>
                </c:pt>
                <c:pt idx="61">
                  <c:v>1.573922799789395</c:v>
                </c:pt>
                <c:pt idx="62">
                  <c:v>1.6099028971229741</c:v>
                </c:pt>
                <c:pt idx="63">
                  <c:v>1.7906845772023492</c:v>
                </c:pt>
                <c:pt idx="64">
                  <c:v>2.0015187029673589</c:v>
                </c:pt>
                <c:pt idx="65">
                  <c:v>2.9193934360205995</c:v>
                </c:pt>
                <c:pt idx="66">
                  <c:v>1.5777037055302721</c:v>
                </c:pt>
                <c:pt idx="67">
                  <c:v>1.4864436727347066</c:v>
                </c:pt>
                <c:pt idx="68">
                  <c:v>1.4098371767342981</c:v>
                </c:pt>
                <c:pt idx="69">
                  <c:v>1.4931207691465183</c:v>
                </c:pt>
                <c:pt idx="70">
                  <c:v>1.1733069915397627</c:v>
                </c:pt>
                <c:pt idx="71">
                  <c:v>1.3886855674006375</c:v>
                </c:pt>
                <c:pt idx="72">
                  <c:v>2.0090834447837609</c:v>
                </c:pt>
                <c:pt idx="73">
                  <c:v>0.97471852729933206</c:v>
                </c:pt>
                <c:pt idx="74">
                  <c:v>2.0572191929802996</c:v>
                </c:pt>
                <c:pt idx="75">
                  <c:v>2.294508238372603</c:v>
                </c:pt>
                <c:pt idx="76">
                  <c:v>3.2419859054981006</c:v>
                </c:pt>
                <c:pt idx="77">
                  <c:v>0.8130560206943076</c:v>
                </c:pt>
                <c:pt idx="78">
                  <c:v>0.86026939967923932</c:v>
                </c:pt>
                <c:pt idx="79">
                  <c:v>1.094623729795529</c:v>
                </c:pt>
                <c:pt idx="80">
                  <c:v>1.3589583779788437</c:v>
                </c:pt>
                <c:pt idx="81">
                  <c:v>1.2228366820038492</c:v>
                </c:pt>
                <c:pt idx="82">
                  <c:v>1.1026630432856455</c:v>
                </c:pt>
                <c:pt idx="83">
                  <c:v>-0.62409807888486579</c:v>
                </c:pt>
                <c:pt idx="84">
                  <c:v>1.337378577976011</c:v>
                </c:pt>
                <c:pt idx="85">
                  <c:v>1.2449419530532713</c:v>
                </c:pt>
                <c:pt idx="86">
                  <c:v>1.0391201934159273</c:v>
                </c:pt>
                <c:pt idx="87">
                  <c:v>1.0384080211698601</c:v>
                </c:pt>
                <c:pt idx="88">
                  <c:v>0.72196983464759812</c:v>
                </c:pt>
                <c:pt idx="89">
                  <c:v>1.3419423188444295</c:v>
                </c:pt>
                <c:pt idx="90">
                  <c:v>1.3272920470254472</c:v>
                </c:pt>
                <c:pt idx="91">
                  <c:v>1.010292671458225</c:v>
                </c:pt>
                <c:pt idx="92">
                  <c:v>1.0201309896267592</c:v>
                </c:pt>
                <c:pt idx="93">
                  <c:v>0.74483004024267152</c:v>
                </c:pt>
                <c:pt idx="94">
                  <c:v>0.56576661193491162</c:v>
                </c:pt>
                <c:pt idx="95">
                  <c:v>0.56816344768324634</c:v>
                </c:pt>
                <c:pt idx="96">
                  <c:v>0.59808424612383948</c:v>
                </c:pt>
                <c:pt idx="97">
                  <c:v>0.52868427880805713</c:v>
                </c:pt>
                <c:pt idx="98">
                  <c:v>4.4321294862278964E-3</c:v>
                </c:pt>
                <c:pt idx="99">
                  <c:v>0.34718426852914031</c:v>
                </c:pt>
                <c:pt idx="100">
                  <c:v>-0.47808</c:v>
                </c:pt>
                <c:pt idx="101">
                  <c:v>-0.15984000000000001</c:v>
                </c:pt>
                <c:pt idx="102">
                  <c:v>-0.41039999999999999</c:v>
                </c:pt>
                <c:pt idx="103">
                  <c:v>-0.24191999999999997</c:v>
                </c:pt>
                <c:pt idx="104">
                  <c:v>-0.23327999999999999</c:v>
                </c:pt>
                <c:pt idx="105">
                  <c:v>-7.1856000000000003E-2</c:v>
                </c:pt>
                <c:pt idx="106">
                  <c:v>-0.14371200000000001</c:v>
                </c:pt>
                <c:pt idx="107">
                  <c:v>-6.3072000000000003E-2</c:v>
                </c:pt>
                <c:pt idx="108">
                  <c:v>5.7312000000000002E-2</c:v>
                </c:pt>
                <c:pt idx="109">
                  <c:v>0.11203199999999999</c:v>
                </c:pt>
                <c:pt idx="110">
                  <c:v>-0.71279999999999999</c:v>
                </c:pt>
                <c:pt idx="111">
                  <c:v>-0.66527999999999998</c:v>
                </c:pt>
                <c:pt idx="112">
                  <c:v>-1.2369600000000001</c:v>
                </c:pt>
                <c:pt idx="113">
                  <c:v>-1.04112</c:v>
                </c:pt>
                <c:pt idx="114">
                  <c:v>-0.87696000000000007</c:v>
                </c:pt>
                <c:pt idx="115">
                  <c:v>-0.98352000000000006</c:v>
                </c:pt>
                <c:pt idx="116">
                  <c:v>-1.05264</c:v>
                </c:pt>
                <c:pt idx="117">
                  <c:v>-0.98063999999999996</c:v>
                </c:pt>
                <c:pt idx="118">
                  <c:v>-8.524799999999999E-2</c:v>
                </c:pt>
                <c:pt idx="119">
                  <c:v>0.12196799999999999</c:v>
                </c:pt>
                <c:pt idx="120">
                  <c:v>0.74015999999999993</c:v>
                </c:pt>
                <c:pt idx="121">
                  <c:v>0.22320000000000001</c:v>
                </c:pt>
                <c:pt idx="122">
                  <c:v>0.19583999999999999</c:v>
                </c:pt>
                <c:pt idx="123">
                  <c:v>0.52127999999999997</c:v>
                </c:pt>
                <c:pt idx="124">
                  <c:v>7.6607999999999997E-3</c:v>
                </c:pt>
                <c:pt idx="125">
                  <c:v>-0.13852800000000001</c:v>
                </c:pt>
                <c:pt idx="126">
                  <c:v>3.0096000000000001E-2</c:v>
                </c:pt>
                <c:pt idx="127">
                  <c:v>0.16847999999999999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2E-8747-80FA-E5D2BC680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3427760"/>
        <c:axId val="-2023193632"/>
      </c:barChart>
      <c:barChart>
        <c:barDir val="col"/>
        <c:grouping val="clustered"/>
        <c:varyColors val="0"/>
        <c:ser>
          <c:idx val="1"/>
          <c:order val="1"/>
          <c:invertIfNegative val="0"/>
          <c:cat>
            <c:numRef>
              <c:f>'Tank Data'!$A$23:$A$150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Data'!$AH$23:$AH$150</c:f>
              <c:numCache>
                <c:formatCode>General</c:formatCode>
                <c:ptCount val="128"/>
                <c:pt idx="0">
                  <c:v>-1</c:v>
                </c:pt>
                <c:pt idx="1">
                  <c:v>-1</c:v>
                </c:pt>
                <c:pt idx="3">
                  <c:v>-48</c:v>
                </c:pt>
                <c:pt idx="4">
                  <c:v>-1</c:v>
                </c:pt>
                <c:pt idx="7">
                  <c:v>-1</c:v>
                </c:pt>
                <c:pt idx="8">
                  <c:v>-13</c:v>
                </c:pt>
                <c:pt idx="9">
                  <c:v>-1</c:v>
                </c:pt>
                <c:pt idx="16">
                  <c:v>-6</c:v>
                </c:pt>
                <c:pt idx="17">
                  <c:v>0</c:v>
                </c:pt>
                <c:pt idx="18">
                  <c:v>-6</c:v>
                </c:pt>
                <c:pt idx="19">
                  <c:v>-13</c:v>
                </c:pt>
                <c:pt idx="20">
                  <c:v>-7</c:v>
                </c:pt>
                <c:pt idx="30">
                  <c:v>-150</c:v>
                </c:pt>
                <c:pt idx="31">
                  <c:v>0</c:v>
                </c:pt>
                <c:pt idx="32">
                  <c:v>-7</c:v>
                </c:pt>
                <c:pt idx="33">
                  <c:v>-1</c:v>
                </c:pt>
                <c:pt idx="38">
                  <c:v>-2</c:v>
                </c:pt>
                <c:pt idx="45">
                  <c:v>-1</c:v>
                </c:pt>
                <c:pt idx="46">
                  <c:v>-12</c:v>
                </c:pt>
                <c:pt idx="47">
                  <c:v>-5</c:v>
                </c:pt>
                <c:pt idx="48">
                  <c:v>-2</c:v>
                </c:pt>
                <c:pt idx="57">
                  <c:v>-14</c:v>
                </c:pt>
                <c:pt idx="58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2E-8747-80FA-E5D2BC680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9206896"/>
        <c:axId val="-2039216128"/>
      </c:barChart>
      <c:dateAx>
        <c:axId val="-2023427760"/>
        <c:scaling>
          <c:orientation val="minMax"/>
          <c:max val="41691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200"/>
                  <a:t>Date</a:t>
                </a:r>
              </a:p>
            </c:rich>
          </c:tx>
          <c:layout>
            <c:manualLayout>
              <c:xMode val="edge"/>
              <c:yMode val="edge"/>
              <c:x val="0.47534857561409499"/>
              <c:y val="0.832947802054544"/>
            </c:manualLayout>
          </c:layout>
          <c:overlay val="0"/>
        </c:title>
        <c:numFmt formatCode="m/d/yy" sourceLinked="1"/>
        <c:majorTickMark val="out"/>
        <c:minorTickMark val="none"/>
        <c:tickLblPos val="low"/>
        <c:txPr>
          <a:bodyPr/>
          <a:lstStyle/>
          <a:p>
            <a:pPr>
              <a:defRPr sz="1400" b="1"/>
            </a:pPr>
            <a:endParaRPr lang="en-US"/>
          </a:p>
        </c:txPr>
        <c:crossAx val="-2023193632"/>
        <c:crossesAt val="0"/>
        <c:auto val="0"/>
        <c:lblOffset val="100"/>
        <c:baseTimeUnit val="days"/>
        <c:majorUnit val="7"/>
        <c:majorTimeUnit val="days"/>
      </c:dateAx>
      <c:valAx>
        <c:axId val="-2023193632"/>
        <c:scaling>
          <c:orientation val="minMax"/>
          <c:max val="7"/>
          <c:min val="-1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200"/>
                  <a:t>Groundwater Exchange (cm/day)</a:t>
                </a:r>
              </a:p>
            </c:rich>
          </c:tx>
          <c:layout>
            <c:manualLayout>
              <c:xMode val="edge"/>
              <c:yMode val="edge"/>
              <c:x val="8.6130222094331198E-3"/>
              <c:y val="0.208840147051155"/>
            </c:manualLayout>
          </c:layout>
          <c:overlay val="0"/>
        </c:title>
        <c:numFmt formatCode="#,##0.0;[Red]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3427760"/>
        <c:crosses val="autoZero"/>
        <c:crossBetween val="between"/>
        <c:majorUnit val="1"/>
      </c:valAx>
      <c:valAx>
        <c:axId val="-2039216128"/>
        <c:scaling>
          <c:orientation val="minMax"/>
          <c:min val="-300"/>
        </c:scaling>
        <c:delete val="0"/>
        <c:axPos val="r"/>
        <c:numFmt formatCode="General" sourceLinked="1"/>
        <c:majorTickMark val="in"/>
        <c:minorTickMark val="none"/>
        <c:tickLblPos val="none"/>
        <c:spPr>
          <a:ln w="19050">
            <a:solidFill>
              <a:schemeClr val="tx1"/>
            </a:solidFill>
          </a:ln>
        </c:spPr>
        <c:crossAx val="-2039206896"/>
        <c:crosses val="max"/>
        <c:crossBetween val="between"/>
      </c:valAx>
      <c:dateAx>
        <c:axId val="-2039206896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39216128"/>
        <c:crosses val="max"/>
        <c:auto val="1"/>
        <c:lblOffset val="100"/>
        <c:baseTimeUnit val="days"/>
      </c:date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'Tank Data'!$BG$54</c:f>
              <c:strCache>
                <c:ptCount val="1"/>
                <c:pt idx="0">
                  <c:v>RF</c:v>
                </c:pt>
              </c:strCache>
            </c:strRef>
          </c:tx>
          <c:marker>
            <c:symbol val="none"/>
          </c:marker>
          <c:xVal>
            <c:numRef>
              <c:f>'Tank Data'!$BF$55:$BF$64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</c:numCache>
            </c:numRef>
          </c:xVal>
          <c:yVal>
            <c:numRef>
              <c:f>'Tank Data'!$BG$55:$BG$64</c:f>
              <c:numCache>
                <c:formatCode>General</c:formatCode>
                <c:ptCount val="10"/>
                <c:pt idx="0">
                  <c:v>0.54900000000000004</c:v>
                </c:pt>
                <c:pt idx="1">
                  <c:v>0.7360000000000001</c:v>
                </c:pt>
                <c:pt idx="2">
                  <c:v>0.86099999999999999</c:v>
                </c:pt>
                <c:pt idx="3">
                  <c:v>0.92399999999999993</c:v>
                </c:pt>
                <c:pt idx="4">
                  <c:v>0.92500000000000004</c:v>
                </c:pt>
                <c:pt idx="5">
                  <c:v>0.8640000000000001</c:v>
                </c:pt>
                <c:pt idx="6">
                  <c:v>0.74099999999999999</c:v>
                </c:pt>
                <c:pt idx="7">
                  <c:v>0.55600000000000016</c:v>
                </c:pt>
                <c:pt idx="8">
                  <c:v>0.30900000000000027</c:v>
                </c:pt>
                <c:pt idx="9">
                  <c:v>3.7747582837255316E-16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53-0248-B3A4-F4AD3ACBA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256192"/>
        <c:axId val="-2039253360"/>
      </c:scatterChart>
      <c:valAx>
        <c:axId val="-2039256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9253360"/>
        <c:crosses val="autoZero"/>
        <c:crossBetween val="midCat"/>
      </c:valAx>
      <c:valAx>
        <c:axId val="-2039253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256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4: Recharge vs Water Level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2528318175729"/>
          <c:y val="0.147164374162773"/>
          <c:w val="0.84729217212687702"/>
          <c:h val="0.77348144759913295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xVal>
            <c:numRef>
              <c:f>[1]Sheet1!$G$44:$G$149</c:f>
              <c:numCache>
                <c:formatCode>General</c:formatCode>
                <c:ptCount val="106"/>
                <c:pt idx="0">
                  <c:v>-0.21</c:v>
                </c:pt>
                <c:pt idx="1">
                  <c:v>0.28899999999999998</c:v>
                </c:pt>
                <c:pt idx="2">
                  <c:v>1.0900000000000001</c:v>
                </c:pt>
                <c:pt idx="3">
                  <c:v>0.80600000000000005</c:v>
                </c:pt>
                <c:pt idx="4">
                  <c:v>1.46</c:v>
                </c:pt>
                <c:pt idx="5">
                  <c:v>-1.68</c:v>
                </c:pt>
                <c:pt idx="6">
                  <c:v>0.86899999999999999</c:v>
                </c:pt>
                <c:pt idx="7">
                  <c:v>0.60299999999999998</c:v>
                </c:pt>
                <c:pt idx="8">
                  <c:v>0.64700000000000002</c:v>
                </c:pt>
                <c:pt idx="9">
                  <c:v>-88.2</c:v>
                </c:pt>
                <c:pt idx="10">
                  <c:v>-1.43</c:v>
                </c:pt>
                <c:pt idx="11">
                  <c:v>-0.63200000000000001</c:v>
                </c:pt>
                <c:pt idx="12">
                  <c:v>-0.19</c:v>
                </c:pt>
                <c:pt idx="13">
                  <c:v>0.11</c:v>
                </c:pt>
                <c:pt idx="14">
                  <c:v>-9.2700000000000005E-2</c:v>
                </c:pt>
                <c:pt idx="15">
                  <c:v>-6.3100000000000003E-2</c:v>
                </c:pt>
                <c:pt idx="16">
                  <c:v>-0.30599999999999999</c:v>
                </c:pt>
                <c:pt idx="17">
                  <c:v>-0.318</c:v>
                </c:pt>
                <c:pt idx="18">
                  <c:v>-6.9000000000000006E-2</c:v>
                </c:pt>
                <c:pt idx="19">
                  <c:v>-0.14899999999999999</c:v>
                </c:pt>
                <c:pt idx="20">
                  <c:v>-5.3100000000000001E-2</c:v>
                </c:pt>
                <c:pt idx="21">
                  <c:v>0.23100000000000001</c:v>
                </c:pt>
                <c:pt idx="22">
                  <c:v>0.129</c:v>
                </c:pt>
                <c:pt idx="23">
                  <c:v>-1.2</c:v>
                </c:pt>
                <c:pt idx="24">
                  <c:v>0</c:v>
                </c:pt>
                <c:pt idx="25">
                  <c:v>-1.1499999999999999</c:v>
                </c:pt>
                <c:pt idx="26">
                  <c:v>0.46</c:v>
                </c:pt>
                <c:pt idx="27">
                  <c:v>-8.0399999999999999E-2</c:v>
                </c:pt>
                <c:pt idx="28">
                  <c:v>1.0900000000000001</c:v>
                </c:pt>
                <c:pt idx="29">
                  <c:v>1.42</c:v>
                </c:pt>
                <c:pt idx="30">
                  <c:v>1.35</c:v>
                </c:pt>
                <c:pt idx="31">
                  <c:v>1.18</c:v>
                </c:pt>
                <c:pt idx="32">
                  <c:v>1.24</c:v>
                </c:pt>
                <c:pt idx="33">
                  <c:v>2.34</c:v>
                </c:pt>
                <c:pt idx="34">
                  <c:v>1.57</c:v>
                </c:pt>
                <c:pt idx="35">
                  <c:v>-20.2</c:v>
                </c:pt>
                <c:pt idx="36">
                  <c:v>-0.29099999999999998</c:v>
                </c:pt>
                <c:pt idx="37">
                  <c:v>0.307</c:v>
                </c:pt>
                <c:pt idx="38">
                  <c:v>0.81799999999999995</c:v>
                </c:pt>
                <c:pt idx="39">
                  <c:v>0.68600000000000005</c:v>
                </c:pt>
                <c:pt idx="40">
                  <c:v>1.76</c:v>
                </c:pt>
                <c:pt idx="41">
                  <c:v>2.15</c:v>
                </c:pt>
                <c:pt idx="45">
                  <c:v>4.97</c:v>
                </c:pt>
                <c:pt idx="46">
                  <c:v>3.54</c:v>
                </c:pt>
                <c:pt idx="47">
                  <c:v>3.44</c:v>
                </c:pt>
                <c:pt idx="48">
                  <c:v>1.68</c:v>
                </c:pt>
                <c:pt idx="49">
                  <c:v>0.91900000000000004</c:v>
                </c:pt>
                <c:pt idx="50">
                  <c:v>0.97099999999999997</c:v>
                </c:pt>
                <c:pt idx="51">
                  <c:v>0.998</c:v>
                </c:pt>
                <c:pt idx="52">
                  <c:v>3.53</c:v>
                </c:pt>
                <c:pt idx="53">
                  <c:v>2.85</c:v>
                </c:pt>
                <c:pt idx="54">
                  <c:v>2.58</c:v>
                </c:pt>
                <c:pt idx="55">
                  <c:v>1.76</c:v>
                </c:pt>
                <c:pt idx="56">
                  <c:v>1.89</c:v>
                </c:pt>
                <c:pt idx="57">
                  <c:v>1.43</c:v>
                </c:pt>
                <c:pt idx="58">
                  <c:v>1.23</c:v>
                </c:pt>
                <c:pt idx="59">
                  <c:v>0.755</c:v>
                </c:pt>
                <c:pt idx="60">
                  <c:v>0.995</c:v>
                </c:pt>
                <c:pt idx="61">
                  <c:v>0</c:v>
                </c:pt>
                <c:pt idx="62">
                  <c:v>1.39</c:v>
                </c:pt>
                <c:pt idx="63">
                  <c:v>0.98599999999999999</c:v>
                </c:pt>
                <c:pt idx="64">
                  <c:v>0.63600000000000001</c:v>
                </c:pt>
                <c:pt idx="65">
                  <c:v>0.58599999999999997</c:v>
                </c:pt>
                <c:pt idx="66">
                  <c:v>0.78300000000000003</c:v>
                </c:pt>
                <c:pt idx="67">
                  <c:v>0.628</c:v>
                </c:pt>
                <c:pt idx="68">
                  <c:v>0.54100000000000004</c:v>
                </c:pt>
                <c:pt idx="69">
                  <c:v>0.64500000000000002</c:v>
                </c:pt>
                <c:pt idx="70">
                  <c:v>1.1100000000000001</c:v>
                </c:pt>
                <c:pt idx="71">
                  <c:v>0.93</c:v>
                </c:pt>
                <c:pt idx="72">
                  <c:v>0.71</c:v>
                </c:pt>
                <c:pt idx="73">
                  <c:v>0.60599999999999998</c:v>
                </c:pt>
                <c:pt idx="74">
                  <c:v>0.48499999999999999</c:v>
                </c:pt>
                <c:pt idx="75">
                  <c:v>0.36099999999999999</c:v>
                </c:pt>
                <c:pt idx="76">
                  <c:v>6.3100000000000003E-2</c:v>
                </c:pt>
                <c:pt idx="77">
                  <c:v>0.42599999999999999</c:v>
                </c:pt>
                <c:pt idx="78">
                  <c:v>1.04</c:v>
                </c:pt>
                <c:pt idx="79">
                  <c:v>-2.6800000000000001E-2</c:v>
                </c:pt>
                <c:pt idx="80">
                  <c:v>-1.2800000000000001E-2</c:v>
                </c:pt>
                <c:pt idx="81">
                  <c:v>9.6199999999999994E-2</c:v>
                </c:pt>
                <c:pt idx="82">
                  <c:v>0.184</c:v>
                </c:pt>
                <c:pt idx="83">
                  <c:v>-3.8699999999999998E-2</c:v>
                </c:pt>
                <c:pt idx="84">
                  <c:v>0.112</c:v>
                </c:pt>
                <c:pt idx="85">
                  <c:v>0.30499999999999999</c:v>
                </c:pt>
                <c:pt idx="86">
                  <c:v>-0.17699999999999999</c:v>
                </c:pt>
                <c:pt idx="87">
                  <c:v>-4.8500000000000001E-2</c:v>
                </c:pt>
                <c:pt idx="88">
                  <c:v>0.128</c:v>
                </c:pt>
                <c:pt idx="89">
                  <c:v>-0.223</c:v>
                </c:pt>
                <c:pt idx="90">
                  <c:v>-0.97799999999999998</c:v>
                </c:pt>
                <c:pt idx="91">
                  <c:v>-0.54600000000000004</c:v>
                </c:pt>
                <c:pt idx="92">
                  <c:v>-0.30499999999999999</c:v>
                </c:pt>
                <c:pt idx="93">
                  <c:v>-0.45400000000000001</c:v>
                </c:pt>
                <c:pt idx="94">
                  <c:v>-0.61199999999999999</c:v>
                </c:pt>
                <c:pt idx="95">
                  <c:v>-0.93500000000000005</c:v>
                </c:pt>
                <c:pt idx="96">
                  <c:v>-0.121</c:v>
                </c:pt>
                <c:pt idx="97">
                  <c:v>0.30399999999999999</c:v>
                </c:pt>
                <c:pt idx="98">
                  <c:v>1.7</c:v>
                </c:pt>
                <c:pt idx="99">
                  <c:v>-0.30199999999999999</c:v>
                </c:pt>
                <c:pt idx="100">
                  <c:v>-0.26500000000000001</c:v>
                </c:pt>
                <c:pt idx="101">
                  <c:v>0.71699999999999997</c:v>
                </c:pt>
                <c:pt idx="102">
                  <c:v>0.28199999999999997</c:v>
                </c:pt>
                <c:pt idx="103">
                  <c:v>-1.17</c:v>
                </c:pt>
                <c:pt idx="104">
                  <c:v>-6.6100000000000006E-2</c:v>
                </c:pt>
                <c:pt idx="105">
                  <c:v>-1.07</c:v>
                </c:pt>
              </c:numCache>
            </c:numRef>
          </c:xVal>
          <c:yVal>
            <c:numRef>
              <c:f>[1]Sheet1!$H$44:$H$149</c:f>
              <c:numCache>
                <c:formatCode>General</c:formatCode>
                <c:ptCount val="106"/>
                <c:pt idx="0">
                  <c:v>2.8968487199818074</c:v>
                </c:pt>
                <c:pt idx="1">
                  <c:v>2.8724953411213714</c:v>
                </c:pt>
                <c:pt idx="2">
                  <c:v>2.8491184455944807</c:v>
                </c:pt>
                <c:pt idx="3">
                  <c:v>2.8217004524185607</c:v>
                </c:pt>
                <c:pt idx="4">
                  <c:v>2.7828161938040874</c:v>
                </c:pt>
                <c:pt idx="5">
                  <c:v>2.7604955413438126</c:v>
                </c:pt>
                <c:pt idx="6">
                  <c:v>2.7414748912332292</c:v>
                </c:pt>
                <c:pt idx="7">
                  <c:v>2.7170939113679728</c:v>
                </c:pt>
                <c:pt idx="8">
                  <c:v>2.681026623669982</c:v>
                </c:pt>
                <c:pt idx="9">
                  <c:v>2.6427783584564284</c:v>
                </c:pt>
                <c:pt idx="10">
                  <c:v>3.1592730516361818</c:v>
                </c:pt>
                <c:pt idx="11">
                  <c:v>3.1414814440322778</c:v>
                </c:pt>
                <c:pt idx="12">
                  <c:v>3.1183401297129616</c:v>
                </c:pt>
                <c:pt idx="13">
                  <c:v>3.0934155743392249</c:v>
                </c:pt>
                <c:pt idx="14">
                  <c:v>3.0679272337360763</c:v>
                </c:pt>
                <c:pt idx="15">
                  <c:v>3.0416720246773585</c:v>
                </c:pt>
                <c:pt idx="16">
                  <c:v>3.0159231540970928</c:v>
                </c:pt>
                <c:pt idx="17">
                  <c:v>2.9912139537621534</c:v>
                </c:pt>
                <c:pt idx="18">
                  <c:v>2.9665722295991848</c:v>
                </c:pt>
                <c:pt idx="19">
                  <c:v>2.9412587306052838</c:v>
                </c:pt>
                <c:pt idx="20">
                  <c:v>2.9136634391078959</c:v>
                </c:pt>
                <c:pt idx="21">
                  <c:v>2.8870726488416056</c:v>
                </c:pt>
                <c:pt idx="22">
                  <c:v>2.8603452480592284</c:v>
                </c:pt>
                <c:pt idx="23">
                  <c:v>2.8344742858665231</c:v>
                </c:pt>
                <c:pt idx="24">
                  <c:v>2.808250769200066</c:v>
                </c:pt>
                <c:pt idx="25">
                  <c:v>2.797992491013344</c:v>
                </c:pt>
                <c:pt idx="26">
                  <c:v>2.7761663033140755</c:v>
                </c:pt>
                <c:pt idx="27">
                  <c:v>2.7505693677426968</c:v>
                </c:pt>
                <c:pt idx="28">
                  <c:v>2.7202550443621063</c:v>
                </c:pt>
                <c:pt idx="29">
                  <c:v>2.6826257992832949</c:v>
                </c:pt>
                <c:pt idx="30">
                  <c:v>2.6472350043176198</c:v>
                </c:pt>
                <c:pt idx="31">
                  <c:v>2.6114703853027499</c:v>
                </c:pt>
                <c:pt idx="32">
                  <c:v>2.5763358193055388</c:v>
                </c:pt>
                <c:pt idx="33">
                  <c:v>2.539699628031872</c:v>
                </c:pt>
                <c:pt idx="34">
                  <c:v>2.5019202734430688</c:v>
                </c:pt>
                <c:pt idx="35">
                  <c:v>2.4986572820543489</c:v>
                </c:pt>
                <c:pt idx="36">
                  <c:v>2.5224521919043883</c:v>
                </c:pt>
                <c:pt idx="37">
                  <c:v>2.500216203202855</c:v>
                </c:pt>
                <c:pt idx="38">
                  <c:v>2.4751452457095353</c:v>
                </c:pt>
                <c:pt idx="39">
                  <c:v>2.4447566978348667</c:v>
                </c:pt>
                <c:pt idx="40">
                  <c:v>2.4068575104730967</c:v>
                </c:pt>
                <c:pt idx="41">
                  <c:v>2.3701082253497936</c:v>
                </c:pt>
                <c:pt idx="42">
                  <c:v>2.3149875728895206</c:v>
                </c:pt>
                <c:pt idx="43">
                  <c:v>2.2296288895585294</c:v>
                </c:pt>
                <c:pt idx="44">
                  <c:v>2.1447933107006487</c:v>
                </c:pt>
                <c:pt idx="45">
                  <c:v>2.076373885421638</c:v>
                </c:pt>
                <c:pt idx="46">
                  <c:v>2.0227156048852222</c:v>
                </c:pt>
                <c:pt idx="47">
                  <c:v>1.9766434202106367</c:v>
                </c:pt>
                <c:pt idx="48">
                  <c:v>1.9459010906809602</c:v>
                </c:pt>
                <c:pt idx="49">
                  <c:v>1.9260965847504816</c:v>
                </c:pt>
                <c:pt idx="50">
                  <c:v>1.9073867673003693</c:v>
                </c:pt>
                <c:pt idx="51">
                  <c:v>1.8889540455995912</c:v>
                </c:pt>
                <c:pt idx="52">
                  <c:v>1.8552609988435225</c:v>
                </c:pt>
                <c:pt idx="53">
                  <c:v>1.8162505713273176</c:v>
                </c:pt>
                <c:pt idx="54">
                  <c:v>1.7785331858677984</c:v>
                </c:pt>
                <c:pt idx="55">
                  <c:v>1.744879811706745</c:v>
                </c:pt>
                <c:pt idx="56">
                  <c:v>1.7175538406777657</c:v>
                </c:pt>
                <c:pt idx="57">
                  <c:v>1.6927980098044944</c:v>
                </c:pt>
                <c:pt idx="58">
                  <c:v>1.6738853257985116</c:v>
                </c:pt>
                <c:pt idx="59">
                  <c:v>1.6540399177420588</c:v>
                </c:pt>
                <c:pt idx="60">
                  <c:v>1.6342223344097913</c:v>
                </c:pt>
                <c:pt idx="61">
                  <c:v>1.6170466778126253</c:v>
                </c:pt>
                <c:pt idx="62">
                  <c:v>1.6136663127128439</c:v>
                </c:pt>
                <c:pt idx="63">
                  <c:v>1.5972505666279342</c:v>
                </c:pt>
                <c:pt idx="64">
                  <c:v>1.5800470923556609</c:v>
                </c:pt>
                <c:pt idx="65">
                  <c:v>1.5642311436986165</c:v>
                </c:pt>
                <c:pt idx="66">
                  <c:v>1.5474288942579135</c:v>
                </c:pt>
                <c:pt idx="67">
                  <c:v>1.5286434131615603</c:v>
                </c:pt>
                <c:pt idx="68">
                  <c:v>1.5106092617073847</c:v>
                </c:pt>
                <c:pt idx="69">
                  <c:v>1.4923460747956052</c:v>
                </c:pt>
                <c:pt idx="70">
                  <c:v>1.4737438253549064</c:v>
                </c:pt>
                <c:pt idx="71">
                  <c:v>1.4548272572329988</c:v>
                </c:pt>
                <c:pt idx="72">
                  <c:v>1.434738718757099</c:v>
                </c:pt>
                <c:pt idx="73">
                  <c:v>1.4139307456034245</c:v>
                </c:pt>
                <c:pt idx="74">
                  <c:v>1.3935712355360539</c:v>
                </c:pt>
                <c:pt idx="75">
                  <c:v>1.3718448476143439</c:v>
                </c:pt>
                <c:pt idx="76">
                  <c:v>1.3499583466082465</c:v>
                </c:pt>
                <c:pt idx="77">
                  <c:v>1.3276139702099985</c:v>
                </c:pt>
                <c:pt idx="78">
                  <c:v>1.305385945263374</c:v>
                </c:pt>
                <c:pt idx="79">
                  <c:v>1.2829575198718639</c:v>
                </c:pt>
                <c:pt idx="80">
                  <c:v>1.2593783796036564</c:v>
                </c:pt>
                <c:pt idx="81">
                  <c:v>1.2354814463819692</c:v>
                </c:pt>
                <c:pt idx="82">
                  <c:v>1.2124260277020418</c:v>
                </c:pt>
                <c:pt idx="83">
                  <c:v>1.1877430056676022</c:v>
                </c:pt>
                <c:pt idx="84">
                  <c:v>1.1624562973899848</c:v>
                </c:pt>
                <c:pt idx="85">
                  <c:v>1.1376661054413257</c:v>
                </c:pt>
                <c:pt idx="86">
                  <c:v>1.112165702646752</c:v>
                </c:pt>
                <c:pt idx="87">
                  <c:v>1.08927653295753</c:v>
                </c:pt>
                <c:pt idx="88">
                  <c:v>1.0646573055512696</c:v>
                </c:pt>
                <c:pt idx="89">
                  <c:v>1.0399552539833183</c:v>
                </c:pt>
                <c:pt idx="90">
                  <c:v>1.0165198800472619</c:v>
                </c:pt>
                <c:pt idx="91">
                  <c:v>0.99477406919623368</c:v>
                </c:pt>
                <c:pt idx="92">
                  <c:v>0.97102928765371876</c:v>
                </c:pt>
                <c:pt idx="93">
                  <c:v>0.94512253463223272</c:v>
                </c:pt>
                <c:pt idx="94">
                  <c:v>0.92076568619890642</c:v>
                </c:pt>
                <c:pt idx="95">
                  <c:v>0.89365014268613008</c:v>
                </c:pt>
                <c:pt idx="96">
                  <c:v>0.86809103541333377</c:v>
                </c:pt>
                <c:pt idx="97">
                  <c:v>0.84340679089701309</c:v>
                </c:pt>
                <c:pt idx="98">
                  <c:v>0.81532704526209576</c:v>
                </c:pt>
                <c:pt idx="99">
                  <c:v>0.78949329895218723</c:v>
                </c:pt>
                <c:pt idx="100">
                  <c:v>0.76517836315581134</c:v>
                </c:pt>
                <c:pt idx="101">
                  <c:v>0.74098941248656969</c:v>
                </c:pt>
                <c:pt idx="102">
                  <c:v>0.71552950432400797</c:v>
                </c:pt>
                <c:pt idx="103">
                  <c:v>0.69674443542099906</c:v>
                </c:pt>
                <c:pt idx="104">
                  <c:v>0.67210271125803045</c:v>
                </c:pt>
                <c:pt idx="105">
                  <c:v>0.52862664481721344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2-BB4A-BD38-B523DBE76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3778848"/>
        <c:axId val="-2021677296"/>
      </c:scatterChart>
      <c:valAx>
        <c:axId val="-2033778848"/>
        <c:scaling>
          <c:orientation val="minMax"/>
          <c:min val="-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21677296"/>
        <c:crosses val="autoZero"/>
        <c:crossBetween val="midCat"/>
        <c:majorUnit val="1"/>
      </c:valAx>
      <c:valAx>
        <c:axId val="-2021677296"/>
        <c:scaling>
          <c:orientation val="minMax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33778848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4: Recharge vs Water Level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2528318175729"/>
          <c:y val="0.147164374162773"/>
          <c:w val="0.84729217212687702"/>
          <c:h val="0.77348144759913295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xVal>
            <c:numRef>
              <c:f>[1]Sheet1!$G$44:$G$149</c:f>
              <c:numCache>
                <c:formatCode>General</c:formatCode>
                <c:ptCount val="106"/>
                <c:pt idx="0">
                  <c:v>-0.21</c:v>
                </c:pt>
                <c:pt idx="1">
                  <c:v>0.28899999999999998</c:v>
                </c:pt>
                <c:pt idx="2">
                  <c:v>1.0900000000000001</c:v>
                </c:pt>
                <c:pt idx="3">
                  <c:v>0.80600000000000005</c:v>
                </c:pt>
                <c:pt idx="4">
                  <c:v>1.46</c:v>
                </c:pt>
                <c:pt idx="5">
                  <c:v>-1.68</c:v>
                </c:pt>
                <c:pt idx="6">
                  <c:v>0.86899999999999999</c:v>
                </c:pt>
                <c:pt idx="7">
                  <c:v>0.60299999999999998</c:v>
                </c:pt>
                <c:pt idx="8">
                  <c:v>0.64700000000000002</c:v>
                </c:pt>
                <c:pt idx="9">
                  <c:v>-88.2</c:v>
                </c:pt>
                <c:pt idx="10">
                  <c:v>-1.43</c:v>
                </c:pt>
                <c:pt idx="11">
                  <c:v>-0.63200000000000001</c:v>
                </c:pt>
                <c:pt idx="12">
                  <c:v>-0.19</c:v>
                </c:pt>
                <c:pt idx="13">
                  <c:v>0.11</c:v>
                </c:pt>
                <c:pt idx="14">
                  <c:v>-9.2700000000000005E-2</c:v>
                </c:pt>
                <c:pt idx="15">
                  <c:v>-6.3100000000000003E-2</c:v>
                </c:pt>
                <c:pt idx="16">
                  <c:v>-0.30599999999999999</c:v>
                </c:pt>
                <c:pt idx="17">
                  <c:v>-0.318</c:v>
                </c:pt>
                <c:pt idx="18">
                  <c:v>-6.9000000000000006E-2</c:v>
                </c:pt>
                <c:pt idx="19">
                  <c:v>-0.14899999999999999</c:v>
                </c:pt>
                <c:pt idx="20">
                  <c:v>-5.3100000000000001E-2</c:v>
                </c:pt>
                <c:pt idx="21">
                  <c:v>0.23100000000000001</c:v>
                </c:pt>
                <c:pt idx="22">
                  <c:v>0.129</c:v>
                </c:pt>
                <c:pt idx="23">
                  <c:v>-1.2</c:v>
                </c:pt>
                <c:pt idx="24">
                  <c:v>0</c:v>
                </c:pt>
                <c:pt idx="25">
                  <c:v>-1.1499999999999999</c:v>
                </c:pt>
                <c:pt idx="26">
                  <c:v>0.46</c:v>
                </c:pt>
                <c:pt idx="27">
                  <c:v>-8.0399999999999999E-2</c:v>
                </c:pt>
                <c:pt idx="28">
                  <c:v>1.0900000000000001</c:v>
                </c:pt>
                <c:pt idx="29">
                  <c:v>1.42</c:v>
                </c:pt>
                <c:pt idx="30">
                  <c:v>1.35</c:v>
                </c:pt>
                <c:pt idx="31">
                  <c:v>1.18</c:v>
                </c:pt>
                <c:pt idx="32">
                  <c:v>1.24</c:v>
                </c:pt>
                <c:pt idx="33">
                  <c:v>2.34</c:v>
                </c:pt>
                <c:pt idx="34">
                  <c:v>1.57</c:v>
                </c:pt>
                <c:pt idx="35">
                  <c:v>-20.2</c:v>
                </c:pt>
                <c:pt idx="36">
                  <c:v>-0.29099999999999998</c:v>
                </c:pt>
                <c:pt idx="37">
                  <c:v>0.307</c:v>
                </c:pt>
                <c:pt idx="38">
                  <c:v>0.81799999999999995</c:v>
                </c:pt>
                <c:pt idx="39">
                  <c:v>0.68600000000000005</c:v>
                </c:pt>
                <c:pt idx="40">
                  <c:v>1.76</c:v>
                </c:pt>
                <c:pt idx="41">
                  <c:v>2.15</c:v>
                </c:pt>
                <c:pt idx="45">
                  <c:v>4.97</c:v>
                </c:pt>
                <c:pt idx="46">
                  <c:v>3.54</c:v>
                </c:pt>
                <c:pt idx="47">
                  <c:v>3.44</c:v>
                </c:pt>
                <c:pt idx="48">
                  <c:v>1.68</c:v>
                </c:pt>
                <c:pt idx="49">
                  <c:v>0.91900000000000004</c:v>
                </c:pt>
                <c:pt idx="50">
                  <c:v>0.97099999999999997</c:v>
                </c:pt>
                <c:pt idx="51">
                  <c:v>0.998</c:v>
                </c:pt>
                <c:pt idx="52">
                  <c:v>3.53</c:v>
                </c:pt>
                <c:pt idx="53">
                  <c:v>2.85</c:v>
                </c:pt>
                <c:pt idx="54">
                  <c:v>2.58</c:v>
                </c:pt>
                <c:pt idx="55">
                  <c:v>1.76</c:v>
                </c:pt>
                <c:pt idx="56">
                  <c:v>1.89</c:v>
                </c:pt>
                <c:pt idx="57">
                  <c:v>1.43</c:v>
                </c:pt>
                <c:pt idx="58">
                  <c:v>1.23</c:v>
                </c:pt>
                <c:pt idx="59">
                  <c:v>0.755</c:v>
                </c:pt>
                <c:pt idx="60">
                  <c:v>0.995</c:v>
                </c:pt>
                <c:pt idx="61">
                  <c:v>0</c:v>
                </c:pt>
                <c:pt idx="62">
                  <c:v>1.39</c:v>
                </c:pt>
                <c:pt idx="63">
                  <c:v>0.98599999999999999</c:v>
                </c:pt>
                <c:pt idx="64">
                  <c:v>0.63600000000000001</c:v>
                </c:pt>
                <c:pt idx="65">
                  <c:v>0.58599999999999997</c:v>
                </c:pt>
                <c:pt idx="66">
                  <c:v>0.78300000000000003</c:v>
                </c:pt>
                <c:pt idx="67">
                  <c:v>0.628</c:v>
                </c:pt>
                <c:pt idx="68">
                  <c:v>0.54100000000000004</c:v>
                </c:pt>
                <c:pt idx="69">
                  <c:v>0.64500000000000002</c:v>
                </c:pt>
                <c:pt idx="70">
                  <c:v>1.1100000000000001</c:v>
                </c:pt>
                <c:pt idx="71">
                  <c:v>0.93</c:v>
                </c:pt>
                <c:pt idx="72">
                  <c:v>0.71</c:v>
                </c:pt>
                <c:pt idx="73">
                  <c:v>0.60599999999999998</c:v>
                </c:pt>
                <c:pt idx="74">
                  <c:v>0.48499999999999999</c:v>
                </c:pt>
                <c:pt idx="75">
                  <c:v>0.36099999999999999</c:v>
                </c:pt>
                <c:pt idx="76">
                  <c:v>6.3100000000000003E-2</c:v>
                </c:pt>
                <c:pt idx="77">
                  <c:v>0.42599999999999999</c:v>
                </c:pt>
                <c:pt idx="78">
                  <c:v>1.04</c:v>
                </c:pt>
                <c:pt idx="79">
                  <c:v>-2.6800000000000001E-2</c:v>
                </c:pt>
                <c:pt idx="80">
                  <c:v>-1.2800000000000001E-2</c:v>
                </c:pt>
                <c:pt idx="81">
                  <c:v>9.6199999999999994E-2</c:v>
                </c:pt>
                <c:pt idx="82">
                  <c:v>0.184</c:v>
                </c:pt>
                <c:pt idx="83">
                  <c:v>-3.8699999999999998E-2</c:v>
                </c:pt>
                <c:pt idx="84">
                  <c:v>0.112</c:v>
                </c:pt>
                <c:pt idx="85">
                  <c:v>0.30499999999999999</c:v>
                </c:pt>
                <c:pt idx="86">
                  <c:v>-0.17699999999999999</c:v>
                </c:pt>
                <c:pt idx="87">
                  <c:v>-4.8500000000000001E-2</c:v>
                </c:pt>
                <c:pt idx="88">
                  <c:v>0.128</c:v>
                </c:pt>
                <c:pt idx="89">
                  <c:v>-0.223</c:v>
                </c:pt>
                <c:pt idx="90">
                  <c:v>-0.97799999999999998</c:v>
                </c:pt>
                <c:pt idx="91">
                  <c:v>-0.54600000000000004</c:v>
                </c:pt>
                <c:pt idx="92">
                  <c:v>-0.30499999999999999</c:v>
                </c:pt>
                <c:pt idx="93">
                  <c:v>-0.45400000000000001</c:v>
                </c:pt>
                <c:pt idx="94">
                  <c:v>-0.61199999999999999</c:v>
                </c:pt>
                <c:pt idx="95">
                  <c:v>-0.93500000000000005</c:v>
                </c:pt>
                <c:pt idx="96">
                  <c:v>-0.121</c:v>
                </c:pt>
                <c:pt idx="97">
                  <c:v>0.30399999999999999</c:v>
                </c:pt>
                <c:pt idx="98">
                  <c:v>1.7</c:v>
                </c:pt>
                <c:pt idx="99">
                  <c:v>-0.30199999999999999</c:v>
                </c:pt>
                <c:pt idx="100">
                  <c:v>-0.26500000000000001</c:v>
                </c:pt>
                <c:pt idx="101">
                  <c:v>0.71699999999999997</c:v>
                </c:pt>
                <c:pt idx="102">
                  <c:v>0.28199999999999997</c:v>
                </c:pt>
                <c:pt idx="103">
                  <c:v>-1.17</c:v>
                </c:pt>
                <c:pt idx="104">
                  <c:v>-6.6100000000000006E-2</c:v>
                </c:pt>
                <c:pt idx="105">
                  <c:v>-1.07</c:v>
                </c:pt>
              </c:numCache>
            </c:numRef>
          </c:xVal>
          <c:yVal>
            <c:numRef>
              <c:f>[1]Sheet1!$I$44:$I$149</c:f>
              <c:numCache>
                <c:formatCode>General</c:formatCode>
                <c:ptCount val="1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6</c:v>
                </c:pt>
                <c:pt idx="43">
                  <c:v>7</c:v>
                </c:pt>
                <c:pt idx="44">
                  <c:v>8</c:v>
                </c:pt>
                <c:pt idx="45">
                  <c:v>9</c:v>
                </c:pt>
                <c:pt idx="46">
                  <c:v>10</c:v>
                </c:pt>
                <c:pt idx="47">
                  <c:v>11</c:v>
                </c:pt>
                <c:pt idx="48">
                  <c:v>12</c:v>
                </c:pt>
                <c:pt idx="49">
                  <c:v>13</c:v>
                </c:pt>
                <c:pt idx="50">
                  <c:v>14</c:v>
                </c:pt>
                <c:pt idx="51">
                  <c:v>15</c:v>
                </c:pt>
                <c:pt idx="52">
                  <c:v>16</c:v>
                </c:pt>
                <c:pt idx="53">
                  <c:v>17</c:v>
                </c:pt>
                <c:pt idx="54">
                  <c:v>18</c:v>
                </c:pt>
                <c:pt idx="55">
                  <c:v>19</c:v>
                </c:pt>
                <c:pt idx="56">
                  <c:v>20</c:v>
                </c:pt>
                <c:pt idx="57">
                  <c:v>21</c:v>
                </c:pt>
                <c:pt idx="58">
                  <c:v>22</c:v>
                </c:pt>
                <c:pt idx="59">
                  <c:v>23</c:v>
                </c:pt>
                <c:pt idx="60">
                  <c:v>24</c:v>
                </c:pt>
                <c:pt idx="61">
                  <c:v>25</c:v>
                </c:pt>
                <c:pt idx="62">
                  <c:v>26</c:v>
                </c:pt>
                <c:pt idx="63">
                  <c:v>27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34</c:v>
                </c:pt>
                <c:pt idx="71">
                  <c:v>35</c:v>
                </c:pt>
                <c:pt idx="72">
                  <c:v>36</c:v>
                </c:pt>
                <c:pt idx="73">
                  <c:v>37</c:v>
                </c:pt>
                <c:pt idx="74">
                  <c:v>38</c:v>
                </c:pt>
                <c:pt idx="75">
                  <c:v>39</c:v>
                </c:pt>
                <c:pt idx="76">
                  <c:v>40</c:v>
                </c:pt>
                <c:pt idx="77">
                  <c:v>41</c:v>
                </c:pt>
                <c:pt idx="78">
                  <c:v>42</c:v>
                </c:pt>
                <c:pt idx="79">
                  <c:v>43</c:v>
                </c:pt>
                <c:pt idx="80">
                  <c:v>44</c:v>
                </c:pt>
                <c:pt idx="81">
                  <c:v>45</c:v>
                </c:pt>
                <c:pt idx="82">
                  <c:v>46</c:v>
                </c:pt>
                <c:pt idx="83">
                  <c:v>47</c:v>
                </c:pt>
                <c:pt idx="84">
                  <c:v>48</c:v>
                </c:pt>
                <c:pt idx="85">
                  <c:v>49</c:v>
                </c:pt>
                <c:pt idx="86">
                  <c:v>50</c:v>
                </c:pt>
                <c:pt idx="87">
                  <c:v>51</c:v>
                </c:pt>
                <c:pt idx="88">
                  <c:v>52</c:v>
                </c:pt>
                <c:pt idx="89">
                  <c:v>53</c:v>
                </c:pt>
                <c:pt idx="90">
                  <c:v>54</c:v>
                </c:pt>
                <c:pt idx="91">
                  <c:v>55</c:v>
                </c:pt>
                <c:pt idx="92">
                  <c:v>56</c:v>
                </c:pt>
                <c:pt idx="93">
                  <c:v>57</c:v>
                </c:pt>
                <c:pt idx="94">
                  <c:v>58</c:v>
                </c:pt>
                <c:pt idx="95">
                  <c:v>59</c:v>
                </c:pt>
                <c:pt idx="96">
                  <c:v>60</c:v>
                </c:pt>
                <c:pt idx="97">
                  <c:v>61</c:v>
                </c:pt>
                <c:pt idx="98">
                  <c:v>62</c:v>
                </c:pt>
                <c:pt idx="99">
                  <c:v>63</c:v>
                </c:pt>
                <c:pt idx="100">
                  <c:v>64</c:v>
                </c:pt>
                <c:pt idx="101">
                  <c:v>65</c:v>
                </c:pt>
                <c:pt idx="102">
                  <c:v>66</c:v>
                </c:pt>
                <c:pt idx="103">
                  <c:v>67</c:v>
                </c:pt>
                <c:pt idx="104">
                  <c:v>68</c:v>
                </c:pt>
                <c:pt idx="105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E7-5140-99D1-F38557816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891200"/>
        <c:axId val="-2035901424"/>
      </c:scatterChart>
      <c:valAx>
        <c:axId val="-2035891200"/>
        <c:scaling>
          <c:orientation val="minMax"/>
          <c:min val="-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35901424"/>
        <c:crosses val="autoZero"/>
        <c:crossBetween val="midCat"/>
        <c:majorUnit val="1"/>
      </c:valAx>
      <c:valAx>
        <c:axId val="-2035901424"/>
        <c:scaling>
          <c:orientation val="minMax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35891200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4: Recharge vs Days since Last Rainfall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2528318175729"/>
          <c:y val="0.147164374162773"/>
          <c:w val="0.84729217212687702"/>
          <c:h val="0.77348144759913295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xVal>
            <c:numRef>
              <c:f>[1]Sheet1!$G$44:$G$149</c:f>
              <c:numCache>
                <c:formatCode>General</c:formatCode>
                <c:ptCount val="106"/>
                <c:pt idx="0">
                  <c:v>-0.21</c:v>
                </c:pt>
                <c:pt idx="1">
                  <c:v>0.28899999999999998</c:v>
                </c:pt>
                <c:pt idx="2">
                  <c:v>1.0900000000000001</c:v>
                </c:pt>
                <c:pt idx="3">
                  <c:v>0.80600000000000005</c:v>
                </c:pt>
                <c:pt idx="4">
                  <c:v>1.46</c:v>
                </c:pt>
                <c:pt idx="5">
                  <c:v>-1.68</c:v>
                </c:pt>
                <c:pt idx="6">
                  <c:v>0.86899999999999999</c:v>
                </c:pt>
                <c:pt idx="7">
                  <c:v>0.60299999999999998</c:v>
                </c:pt>
                <c:pt idx="8">
                  <c:v>0.64700000000000002</c:v>
                </c:pt>
                <c:pt idx="9">
                  <c:v>-88.2</c:v>
                </c:pt>
                <c:pt idx="10">
                  <c:v>-1.43</c:v>
                </c:pt>
                <c:pt idx="11">
                  <c:v>-0.63200000000000001</c:v>
                </c:pt>
                <c:pt idx="12">
                  <c:v>-0.19</c:v>
                </c:pt>
                <c:pt idx="13">
                  <c:v>0.11</c:v>
                </c:pt>
                <c:pt idx="14">
                  <c:v>-9.2700000000000005E-2</c:v>
                </c:pt>
                <c:pt idx="15">
                  <c:v>-6.3100000000000003E-2</c:v>
                </c:pt>
                <c:pt idx="16">
                  <c:v>-0.30599999999999999</c:v>
                </c:pt>
                <c:pt idx="17">
                  <c:v>-0.318</c:v>
                </c:pt>
                <c:pt idx="18">
                  <c:v>-6.9000000000000006E-2</c:v>
                </c:pt>
                <c:pt idx="19">
                  <c:v>-0.14899999999999999</c:v>
                </c:pt>
                <c:pt idx="20">
                  <c:v>-5.3100000000000001E-2</c:v>
                </c:pt>
                <c:pt idx="21">
                  <c:v>0.23100000000000001</c:v>
                </c:pt>
                <c:pt idx="22">
                  <c:v>0.129</c:v>
                </c:pt>
                <c:pt idx="23">
                  <c:v>-1.2</c:v>
                </c:pt>
                <c:pt idx="24">
                  <c:v>0</c:v>
                </c:pt>
                <c:pt idx="25">
                  <c:v>-1.1499999999999999</c:v>
                </c:pt>
                <c:pt idx="26">
                  <c:v>0.46</c:v>
                </c:pt>
                <c:pt idx="27">
                  <c:v>-8.0399999999999999E-2</c:v>
                </c:pt>
                <c:pt idx="28">
                  <c:v>1.0900000000000001</c:v>
                </c:pt>
                <c:pt idx="29">
                  <c:v>1.42</c:v>
                </c:pt>
                <c:pt idx="30">
                  <c:v>1.35</c:v>
                </c:pt>
                <c:pt idx="31">
                  <c:v>1.18</c:v>
                </c:pt>
                <c:pt idx="32">
                  <c:v>1.24</c:v>
                </c:pt>
                <c:pt idx="33">
                  <c:v>2.34</c:v>
                </c:pt>
                <c:pt idx="34">
                  <c:v>1.57</c:v>
                </c:pt>
                <c:pt idx="35">
                  <c:v>-20.2</c:v>
                </c:pt>
                <c:pt idx="36">
                  <c:v>-0.29099999999999998</c:v>
                </c:pt>
                <c:pt idx="37">
                  <c:v>0.307</c:v>
                </c:pt>
                <c:pt idx="38">
                  <c:v>0.81799999999999995</c:v>
                </c:pt>
                <c:pt idx="39">
                  <c:v>0.68600000000000005</c:v>
                </c:pt>
                <c:pt idx="40">
                  <c:v>1.76</c:v>
                </c:pt>
                <c:pt idx="41">
                  <c:v>2.15</c:v>
                </c:pt>
                <c:pt idx="45">
                  <c:v>4.97</c:v>
                </c:pt>
                <c:pt idx="46">
                  <c:v>3.54</c:v>
                </c:pt>
                <c:pt idx="47">
                  <c:v>3.44</c:v>
                </c:pt>
                <c:pt idx="48">
                  <c:v>1.68</c:v>
                </c:pt>
                <c:pt idx="49">
                  <c:v>0.91900000000000004</c:v>
                </c:pt>
                <c:pt idx="50">
                  <c:v>0.97099999999999997</c:v>
                </c:pt>
                <c:pt idx="51">
                  <c:v>0.998</c:v>
                </c:pt>
                <c:pt idx="52">
                  <c:v>3.53</c:v>
                </c:pt>
                <c:pt idx="53">
                  <c:v>2.85</c:v>
                </c:pt>
                <c:pt idx="54">
                  <c:v>2.58</c:v>
                </c:pt>
                <c:pt idx="55">
                  <c:v>1.76</c:v>
                </c:pt>
                <c:pt idx="56">
                  <c:v>1.89</c:v>
                </c:pt>
                <c:pt idx="57">
                  <c:v>1.43</c:v>
                </c:pt>
                <c:pt idx="58">
                  <c:v>1.23</c:v>
                </c:pt>
                <c:pt idx="59">
                  <c:v>0.755</c:v>
                </c:pt>
                <c:pt idx="60">
                  <c:v>0.995</c:v>
                </c:pt>
                <c:pt idx="61">
                  <c:v>0</c:v>
                </c:pt>
                <c:pt idx="62">
                  <c:v>1.39</c:v>
                </c:pt>
                <c:pt idx="63">
                  <c:v>0.98599999999999999</c:v>
                </c:pt>
                <c:pt idx="64">
                  <c:v>0.63600000000000001</c:v>
                </c:pt>
                <c:pt idx="65">
                  <c:v>0.58599999999999997</c:v>
                </c:pt>
                <c:pt idx="66">
                  <c:v>0.78300000000000003</c:v>
                </c:pt>
                <c:pt idx="67">
                  <c:v>0.628</c:v>
                </c:pt>
                <c:pt idx="68">
                  <c:v>0.54100000000000004</c:v>
                </c:pt>
                <c:pt idx="69">
                  <c:v>0.64500000000000002</c:v>
                </c:pt>
                <c:pt idx="70">
                  <c:v>1.1100000000000001</c:v>
                </c:pt>
                <c:pt idx="71">
                  <c:v>0.93</c:v>
                </c:pt>
                <c:pt idx="72">
                  <c:v>0.71</c:v>
                </c:pt>
                <c:pt idx="73">
                  <c:v>0.60599999999999998</c:v>
                </c:pt>
                <c:pt idx="74">
                  <c:v>0.48499999999999999</c:v>
                </c:pt>
                <c:pt idx="75">
                  <c:v>0.36099999999999999</c:v>
                </c:pt>
                <c:pt idx="76">
                  <c:v>6.3100000000000003E-2</c:v>
                </c:pt>
                <c:pt idx="77">
                  <c:v>0.42599999999999999</c:v>
                </c:pt>
                <c:pt idx="78">
                  <c:v>1.04</c:v>
                </c:pt>
                <c:pt idx="79">
                  <c:v>-2.6800000000000001E-2</c:v>
                </c:pt>
                <c:pt idx="80">
                  <c:v>-1.2800000000000001E-2</c:v>
                </c:pt>
                <c:pt idx="81">
                  <c:v>9.6199999999999994E-2</c:v>
                </c:pt>
                <c:pt idx="82">
                  <c:v>0.184</c:v>
                </c:pt>
                <c:pt idx="83">
                  <c:v>-3.8699999999999998E-2</c:v>
                </c:pt>
                <c:pt idx="84">
                  <c:v>0.112</c:v>
                </c:pt>
                <c:pt idx="85">
                  <c:v>0.30499999999999999</c:v>
                </c:pt>
                <c:pt idx="86">
                  <c:v>-0.17699999999999999</c:v>
                </c:pt>
                <c:pt idx="87">
                  <c:v>-4.8500000000000001E-2</c:v>
                </c:pt>
                <c:pt idx="88">
                  <c:v>0.128</c:v>
                </c:pt>
                <c:pt idx="89">
                  <c:v>-0.223</c:v>
                </c:pt>
                <c:pt idx="90">
                  <c:v>-0.97799999999999998</c:v>
                </c:pt>
                <c:pt idx="91">
                  <c:v>-0.54600000000000004</c:v>
                </c:pt>
                <c:pt idx="92">
                  <c:v>-0.30499999999999999</c:v>
                </c:pt>
                <c:pt idx="93">
                  <c:v>-0.45400000000000001</c:v>
                </c:pt>
                <c:pt idx="94">
                  <c:v>-0.61199999999999999</c:v>
                </c:pt>
                <c:pt idx="95">
                  <c:v>-0.93500000000000005</c:v>
                </c:pt>
                <c:pt idx="96">
                  <c:v>-0.121</c:v>
                </c:pt>
                <c:pt idx="97">
                  <c:v>0.30399999999999999</c:v>
                </c:pt>
                <c:pt idx="98">
                  <c:v>1.7</c:v>
                </c:pt>
                <c:pt idx="99">
                  <c:v>-0.30199999999999999</c:v>
                </c:pt>
                <c:pt idx="100">
                  <c:v>-0.26500000000000001</c:v>
                </c:pt>
                <c:pt idx="101">
                  <c:v>0.71699999999999997</c:v>
                </c:pt>
                <c:pt idx="102">
                  <c:v>0.28199999999999997</c:v>
                </c:pt>
                <c:pt idx="103">
                  <c:v>-1.17</c:v>
                </c:pt>
                <c:pt idx="104">
                  <c:v>-6.6100000000000006E-2</c:v>
                </c:pt>
                <c:pt idx="105">
                  <c:v>-1.07</c:v>
                </c:pt>
              </c:numCache>
            </c:numRef>
          </c:xVal>
          <c:yVal>
            <c:numRef>
              <c:f>[1]Sheet1!$I$44:$I$149</c:f>
              <c:numCache>
                <c:formatCode>General</c:formatCode>
                <c:ptCount val="1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6</c:v>
                </c:pt>
                <c:pt idx="43">
                  <c:v>7</c:v>
                </c:pt>
                <c:pt idx="44">
                  <c:v>8</c:v>
                </c:pt>
                <c:pt idx="45">
                  <c:v>9</c:v>
                </c:pt>
                <c:pt idx="46">
                  <c:v>10</c:v>
                </c:pt>
                <c:pt idx="47">
                  <c:v>11</c:v>
                </c:pt>
                <c:pt idx="48">
                  <c:v>12</c:v>
                </c:pt>
                <c:pt idx="49">
                  <c:v>13</c:v>
                </c:pt>
                <c:pt idx="50">
                  <c:v>14</c:v>
                </c:pt>
                <c:pt idx="51">
                  <c:v>15</c:v>
                </c:pt>
                <c:pt idx="52">
                  <c:v>16</c:v>
                </c:pt>
                <c:pt idx="53">
                  <c:v>17</c:v>
                </c:pt>
                <c:pt idx="54">
                  <c:v>18</c:v>
                </c:pt>
                <c:pt idx="55">
                  <c:v>19</c:v>
                </c:pt>
                <c:pt idx="56">
                  <c:v>20</c:v>
                </c:pt>
                <c:pt idx="57">
                  <c:v>21</c:v>
                </c:pt>
                <c:pt idx="58">
                  <c:v>22</c:v>
                </c:pt>
                <c:pt idx="59">
                  <c:v>23</c:v>
                </c:pt>
                <c:pt idx="60">
                  <c:v>24</c:v>
                </c:pt>
                <c:pt idx="61">
                  <c:v>25</c:v>
                </c:pt>
                <c:pt idx="62">
                  <c:v>26</c:v>
                </c:pt>
                <c:pt idx="63">
                  <c:v>27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34</c:v>
                </c:pt>
                <c:pt idx="71">
                  <c:v>35</c:v>
                </c:pt>
                <c:pt idx="72">
                  <c:v>36</c:v>
                </c:pt>
                <c:pt idx="73">
                  <c:v>37</c:v>
                </c:pt>
                <c:pt idx="74">
                  <c:v>38</c:v>
                </c:pt>
                <c:pt idx="75">
                  <c:v>39</c:v>
                </c:pt>
                <c:pt idx="76">
                  <c:v>40</c:v>
                </c:pt>
                <c:pt idx="77">
                  <c:v>41</c:v>
                </c:pt>
                <c:pt idx="78">
                  <c:v>42</c:v>
                </c:pt>
                <c:pt idx="79">
                  <c:v>43</c:v>
                </c:pt>
                <c:pt idx="80">
                  <c:v>44</c:v>
                </c:pt>
                <c:pt idx="81">
                  <c:v>45</c:v>
                </c:pt>
                <c:pt idx="82">
                  <c:v>46</c:v>
                </c:pt>
                <c:pt idx="83">
                  <c:v>47</c:v>
                </c:pt>
                <c:pt idx="84">
                  <c:v>48</c:v>
                </c:pt>
                <c:pt idx="85">
                  <c:v>49</c:v>
                </c:pt>
                <c:pt idx="86">
                  <c:v>50</c:v>
                </c:pt>
                <c:pt idx="87">
                  <c:v>51</c:v>
                </c:pt>
                <c:pt idx="88">
                  <c:v>52</c:v>
                </c:pt>
                <c:pt idx="89">
                  <c:v>53</c:v>
                </c:pt>
                <c:pt idx="90">
                  <c:v>54</c:v>
                </c:pt>
                <c:pt idx="91">
                  <c:v>55</c:v>
                </c:pt>
                <c:pt idx="92">
                  <c:v>56</c:v>
                </c:pt>
                <c:pt idx="93">
                  <c:v>57</c:v>
                </c:pt>
                <c:pt idx="94">
                  <c:v>58</c:v>
                </c:pt>
                <c:pt idx="95">
                  <c:v>59</c:v>
                </c:pt>
                <c:pt idx="96">
                  <c:v>60</c:v>
                </c:pt>
                <c:pt idx="97">
                  <c:v>61</c:v>
                </c:pt>
                <c:pt idx="98">
                  <c:v>62</c:v>
                </c:pt>
                <c:pt idx="99">
                  <c:v>63</c:v>
                </c:pt>
                <c:pt idx="100">
                  <c:v>64</c:v>
                </c:pt>
                <c:pt idx="101">
                  <c:v>65</c:v>
                </c:pt>
                <c:pt idx="102">
                  <c:v>66</c:v>
                </c:pt>
                <c:pt idx="103">
                  <c:v>67</c:v>
                </c:pt>
                <c:pt idx="104">
                  <c:v>68</c:v>
                </c:pt>
                <c:pt idx="105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8A-BA41-9D92-06866D5C5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7329376"/>
        <c:axId val="-2027326400"/>
      </c:scatterChart>
      <c:valAx>
        <c:axId val="-2027329376"/>
        <c:scaling>
          <c:orientation val="minMax"/>
          <c:min val="-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27326400"/>
        <c:crosses val="autoZero"/>
        <c:crossBetween val="midCat"/>
        <c:majorUnit val="1"/>
      </c:valAx>
      <c:valAx>
        <c:axId val="-2027326400"/>
        <c:scaling>
          <c:orientation val="minMax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27329376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4: Recharge vs Tank Stage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2528318175729"/>
          <c:y val="0.147164374162773"/>
          <c:w val="0.84729217212687702"/>
          <c:h val="0.77348144759913295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xVal>
            <c:numRef>
              <c:f>[1]Sheet1!$G$44:$G$149</c:f>
              <c:numCache>
                <c:formatCode>General</c:formatCode>
                <c:ptCount val="106"/>
                <c:pt idx="0">
                  <c:v>-0.21</c:v>
                </c:pt>
                <c:pt idx="1">
                  <c:v>0.28899999999999998</c:v>
                </c:pt>
                <c:pt idx="2">
                  <c:v>1.0900000000000001</c:v>
                </c:pt>
                <c:pt idx="3">
                  <c:v>0.80600000000000005</c:v>
                </c:pt>
                <c:pt idx="4">
                  <c:v>1.46</c:v>
                </c:pt>
                <c:pt idx="5">
                  <c:v>-1.68</c:v>
                </c:pt>
                <c:pt idx="6">
                  <c:v>0.86899999999999999</c:v>
                </c:pt>
                <c:pt idx="7">
                  <c:v>0.60299999999999998</c:v>
                </c:pt>
                <c:pt idx="8">
                  <c:v>0.64700000000000002</c:v>
                </c:pt>
                <c:pt idx="9">
                  <c:v>-88.2</c:v>
                </c:pt>
                <c:pt idx="10">
                  <c:v>-1.43</c:v>
                </c:pt>
                <c:pt idx="11">
                  <c:v>-0.63200000000000001</c:v>
                </c:pt>
                <c:pt idx="12">
                  <c:v>-0.19</c:v>
                </c:pt>
                <c:pt idx="13">
                  <c:v>0.11</c:v>
                </c:pt>
                <c:pt idx="14">
                  <c:v>-9.2700000000000005E-2</c:v>
                </c:pt>
                <c:pt idx="15">
                  <c:v>-6.3100000000000003E-2</c:v>
                </c:pt>
                <c:pt idx="16">
                  <c:v>-0.30599999999999999</c:v>
                </c:pt>
                <c:pt idx="17">
                  <c:v>-0.318</c:v>
                </c:pt>
                <c:pt idx="18">
                  <c:v>-6.9000000000000006E-2</c:v>
                </c:pt>
                <c:pt idx="19">
                  <c:v>-0.14899999999999999</c:v>
                </c:pt>
                <c:pt idx="20">
                  <c:v>-5.3100000000000001E-2</c:v>
                </c:pt>
                <c:pt idx="21">
                  <c:v>0.23100000000000001</c:v>
                </c:pt>
                <c:pt idx="22">
                  <c:v>0.129</c:v>
                </c:pt>
                <c:pt idx="23">
                  <c:v>-1.2</c:v>
                </c:pt>
                <c:pt idx="24">
                  <c:v>0</c:v>
                </c:pt>
                <c:pt idx="25">
                  <c:v>-1.1499999999999999</c:v>
                </c:pt>
                <c:pt idx="26">
                  <c:v>0.46</c:v>
                </c:pt>
                <c:pt idx="27">
                  <c:v>-8.0399999999999999E-2</c:v>
                </c:pt>
                <c:pt idx="28">
                  <c:v>1.0900000000000001</c:v>
                </c:pt>
                <c:pt idx="29">
                  <c:v>1.42</c:v>
                </c:pt>
                <c:pt idx="30">
                  <c:v>1.35</c:v>
                </c:pt>
                <c:pt idx="31">
                  <c:v>1.18</c:v>
                </c:pt>
                <c:pt idx="32">
                  <c:v>1.24</c:v>
                </c:pt>
                <c:pt idx="33">
                  <c:v>2.34</c:v>
                </c:pt>
                <c:pt idx="34">
                  <c:v>1.57</c:v>
                </c:pt>
                <c:pt idx="35">
                  <c:v>-20.2</c:v>
                </c:pt>
                <c:pt idx="36">
                  <c:v>-0.29099999999999998</c:v>
                </c:pt>
                <c:pt idx="37">
                  <c:v>0.307</c:v>
                </c:pt>
                <c:pt idx="38">
                  <c:v>0.81799999999999995</c:v>
                </c:pt>
                <c:pt idx="39">
                  <c:v>0.68600000000000005</c:v>
                </c:pt>
                <c:pt idx="40">
                  <c:v>1.76</c:v>
                </c:pt>
                <c:pt idx="41">
                  <c:v>2.15</c:v>
                </c:pt>
                <c:pt idx="45">
                  <c:v>4.97</c:v>
                </c:pt>
                <c:pt idx="46">
                  <c:v>3.54</c:v>
                </c:pt>
                <c:pt idx="47">
                  <c:v>3.44</c:v>
                </c:pt>
                <c:pt idx="48">
                  <c:v>1.68</c:v>
                </c:pt>
                <c:pt idx="49">
                  <c:v>0.91900000000000004</c:v>
                </c:pt>
                <c:pt idx="50">
                  <c:v>0.97099999999999997</c:v>
                </c:pt>
                <c:pt idx="51">
                  <c:v>0.998</c:v>
                </c:pt>
                <c:pt idx="52">
                  <c:v>3.53</c:v>
                </c:pt>
                <c:pt idx="53">
                  <c:v>2.85</c:v>
                </c:pt>
                <c:pt idx="54">
                  <c:v>2.58</c:v>
                </c:pt>
                <c:pt idx="55">
                  <c:v>1.76</c:v>
                </c:pt>
                <c:pt idx="56">
                  <c:v>1.89</c:v>
                </c:pt>
                <c:pt idx="57">
                  <c:v>1.43</c:v>
                </c:pt>
                <c:pt idx="58">
                  <c:v>1.23</c:v>
                </c:pt>
                <c:pt idx="59">
                  <c:v>0.755</c:v>
                </c:pt>
                <c:pt idx="60">
                  <c:v>0.995</c:v>
                </c:pt>
                <c:pt idx="61">
                  <c:v>0</c:v>
                </c:pt>
                <c:pt idx="62">
                  <c:v>1.39</c:v>
                </c:pt>
                <c:pt idx="63">
                  <c:v>0.98599999999999999</c:v>
                </c:pt>
                <c:pt idx="64">
                  <c:v>0.63600000000000001</c:v>
                </c:pt>
                <c:pt idx="65">
                  <c:v>0.58599999999999997</c:v>
                </c:pt>
                <c:pt idx="66">
                  <c:v>0.78300000000000003</c:v>
                </c:pt>
                <c:pt idx="67">
                  <c:v>0.628</c:v>
                </c:pt>
                <c:pt idx="68">
                  <c:v>0.54100000000000004</c:v>
                </c:pt>
                <c:pt idx="69">
                  <c:v>0.64500000000000002</c:v>
                </c:pt>
                <c:pt idx="70">
                  <c:v>1.1100000000000001</c:v>
                </c:pt>
                <c:pt idx="71">
                  <c:v>0.93</c:v>
                </c:pt>
                <c:pt idx="72">
                  <c:v>0.71</c:v>
                </c:pt>
                <c:pt idx="73">
                  <c:v>0.60599999999999998</c:v>
                </c:pt>
                <c:pt idx="74">
                  <c:v>0.48499999999999999</c:v>
                </c:pt>
                <c:pt idx="75">
                  <c:v>0.36099999999999999</c:v>
                </c:pt>
                <c:pt idx="76">
                  <c:v>6.3100000000000003E-2</c:v>
                </c:pt>
                <c:pt idx="77">
                  <c:v>0.42599999999999999</c:v>
                </c:pt>
                <c:pt idx="78">
                  <c:v>1.04</c:v>
                </c:pt>
                <c:pt idx="79">
                  <c:v>-2.6800000000000001E-2</c:v>
                </c:pt>
                <c:pt idx="80">
                  <c:v>-1.2800000000000001E-2</c:v>
                </c:pt>
                <c:pt idx="81">
                  <c:v>9.6199999999999994E-2</c:v>
                </c:pt>
                <c:pt idx="82">
                  <c:v>0.184</c:v>
                </c:pt>
                <c:pt idx="83">
                  <c:v>-3.8699999999999998E-2</c:v>
                </c:pt>
                <c:pt idx="84">
                  <c:v>0.112</c:v>
                </c:pt>
                <c:pt idx="85">
                  <c:v>0.30499999999999999</c:v>
                </c:pt>
                <c:pt idx="86">
                  <c:v>-0.17699999999999999</c:v>
                </c:pt>
                <c:pt idx="87">
                  <c:v>-4.8500000000000001E-2</c:v>
                </c:pt>
                <c:pt idx="88">
                  <c:v>0.128</c:v>
                </c:pt>
                <c:pt idx="89">
                  <c:v>-0.223</c:v>
                </c:pt>
                <c:pt idx="90">
                  <c:v>-0.97799999999999998</c:v>
                </c:pt>
                <c:pt idx="91">
                  <c:v>-0.54600000000000004</c:v>
                </c:pt>
                <c:pt idx="92">
                  <c:v>-0.30499999999999999</c:v>
                </c:pt>
                <c:pt idx="93">
                  <c:v>-0.45400000000000001</c:v>
                </c:pt>
                <c:pt idx="94">
                  <c:v>-0.61199999999999999</c:v>
                </c:pt>
                <c:pt idx="95">
                  <c:v>-0.93500000000000005</c:v>
                </c:pt>
                <c:pt idx="96">
                  <c:v>-0.121</c:v>
                </c:pt>
                <c:pt idx="97">
                  <c:v>0.30399999999999999</c:v>
                </c:pt>
                <c:pt idx="98">
                  <c:v>1.7</c:v>
                </c:pt>
                <c:pt idx="99">
                  <c:v>-0.30199999999999999</c:v>
                </c:pt>
                <c:pt idx="100">
                  <c:v>-0.26500000000000001</c:v>
                </c:pt>
                <c:pt idx="101">
                  <c:v>0.71699999999999997</c:v>
                </c:pt>
                <c:pt idx="102">
                  <c:v>0.28199999999999997</c:v>
                </c:pt>
                <c:pt idx="103">
                  <c:v>-1.17</c:v>
                </c:pt>
                <c:pt idx="104">
                  <c:v>-6.6100000000000006E-2</c:v>
                </c:pt>
                <c:pt idx="105">
                  <c:v>-1.07</c:v>
                </c:pt>
              </c:numCache>
            </c:numRef>
          </c:xVal>
          <c:yVal>
            <c:numRef>
              <c:f>[1]Sheet1!$H$44:$H$149</c:f>
              <c:numCache>
                <c:formatCode>General</c:formatCode>
                <c:ptCount val="106"/>
                <c:pt idx="0">
                  <c:v>2.8968487199818074</c:v>
                </c:pt>
                <c:pt idx="1">
                  <c:v>2.8724953411213714</c:v>
                </c:pt>
                <c:pt idx="2">
                  <c:v>2.8491184455944807</c:v>
                </c:pt>
                <c:pt idx="3">
                  <c:v>2.8217004524185607</c:v>
                </c:pt>
                <c:pt idx="4">
                  <c:v>2.7828161938040874</c:v>
                </c:pt>
                <c:pt idx="5">
                  <c:v>2.7604955413438126</c:v>
                </c:pt>
                <c:pt idx="6">
                  <c:v>2.7414748912332292</c:v>
                </c:pt>
                <c:pt idx="7">
                  <c:v>2.7170939113679728</c:v>
                </c:pt>
                <c:pt idx="8">
                  <c:v>2.681026623669982</c:v>
                </c:pt>
                <c:pt idx="9">
                  <c:v>2.6427783584564284</c:v>
                </c:pt>
                <c:pt idx="10">
                  <c:v>3.1592730516361818</c:v>
                </c:pt>
                <c:pt idx="11">
                  <c:v>3.1414814440322778</c:v>
                </c:pt>
                <c:pt idx="12">
                  <c:v>3.1183401297129616</c:v>
                </c:pt>
                <c:pt idx="13">
                  <c:v>3.0934155743392249</c:v>
                </c:pt>
                <c:pt idx="14">
                  <c:v>3.0679272337360763</c:v>
                </c:pt>
                <c:pt idx="15">
                  <c:v>3.0416720246773585</c:v>
                </c:pt>
                <c:pt idx="16">
                  <c:v>3.0159231540970928</c:v>
                </c:pt>
                <c:pt idx="17">
                  <c:v>2.9912139537621534</c:v>
                </c:pt>
                <c:pt idx="18">
                  <c:v>2.9665722295991848</c:v>
                </c:pt>
                <c:pt idx="19">
                  <c:v>2.9412587306052838</c:v>
                </c:pt>
                <c:pt idx="20">
                  <c:v>2.9136634391078959</c:v>
                </c:pt>
                <c:pt idx="21">
                  <c:v>2.8870726488416056</c:v>
                </c:pt>
                <c:pt idx="22">
                  <c:v>2.8603452480592284</c:v>
                </c:pt>
                <c:pt idx="23">
                  <c:v>2.8344742858665231</c:v>
                </c:pt>
                <c:pt idx="24">
                  <c:v>2.808250769200066</c:v>
                </c:pt>
                <c:pt idx="25">
                  <c:v>2.797992491013344</c:v>
                </c:pt>
                <c:pt idx="26">
                  <c:v>2.7761663033140755</c:v>
                </c:pt>
                <c:pt idx="27">
                  <c:v>2.7505693677426968</c:v>
                </c:pt>
                <c:pt idx="28">
                  <c:v>2.7202550443621063</c:v>
                </c:pt>
                <c:pt idx="29">
                  <c:v>2.6826257992832949</c:v>
                </c:pt>
                <c:pt idx="30">
                  <c:v>2.6472350043176198</c:v>
                </c:pt>
                <c:pt idx="31">
                  <c:v>2.6114703853027499</c:v>
                </c:pt>
                <c:pt idx="32">
                  <c:v>2.5763358193055388</c:v>
                </c:pt>
                <c:pt idx="33">
                  <c:v>2.539699628031872</c:v>
                </c:pt>
                <c:pt idx="34">
                  <c:v>2.5019202734430688</c:v>
                </c:pt>
                <c:pt idx="35">
                  <c:v>2.4986572820543489</c:v>
                </c:pt>
                <c:pt idx="36">
                  <c:v>2.5224521919043883</c:v>
                </c:pt>
                <c:pt idx="37">
                  <c:v>2.500216203202855</c:v>
                </c:pt>
                <c:pt idx="38">
                  <c:v>2.4751452457095353</c:v>
                </c:pt>
                <c:pt idx="39">
                  <c:v>2.4447566978348667</c:v>
                </c:pt>
                <c:pt idx="40">
                  <c:v>2.4068575104730967</c:v>
                </c:pt>
                <c:pt idx="41">
                  <c:v>2.3701082253497936</c:v>
                </c:pt>
                <c:pt idx="42">
                  <c:v>2.3149875728895206</c:v>
                </c:pt>
                <c:pt idx="43">
                  <c:v>2.2296288895585294</c:v>
                </c:pt>
                <c:pt idx="44">
                  <c:v>2.1447933107006487</c:v>
                </c:pt>
                <c:pt idx="45">
                  <c:v>2.076373885421638</c:v>
                </c:pt>
                <c:pt idx="46">
                  <c:v>2.0227156048852222</c:v>
                </c:pt>
                <c:pt idx="47">
                  <c:v>1.9766434202106367</c:v>
                </c:pt>
                <c:pt idx="48">
                  <c:v>1.9459010906809602</c:v>
                </c:pt>
                <c:pt idx="49">
                  <c:v>1.9260965847504816</c:v>
                </c:pt>
                <c:pt idx="50">
                  <c:v>1.9073867673003693</c:v>
                </c:pt>
                <c:pt idx="51">
                  <c:v>1.8889540455995912</c:v>
                </c:pt>
                <c:pt idx="52">
                  <c:v>1.8552609988435225</c:v>
                </c:pt>
                <c:pt idx="53">
                  <c:v>1.8162505713273176</c:v>
                </c:pt>
                <c:pt idx="54">
                  <c:v>1.7785331858677984</c:v>
                </c:pt>
                <c:pt idx="55">
                  <c:v>1.744879811706745</c:v>
                </c:pt>
                <c:pt idx="56">
                  <c:v>1.7175538406777657</c:v>
                </c:pt>
                <c:pt idx="57">
                  <c:v>1.6927980098044944</c:v>
                </c:pt>
                <c:pt idx="58">
                  <c:v>1.6738853257985116</c:v>
                </c:pt>
                <c:pt idx="59">
                  <c:v>1.6540399177420588</c:v>
                </c:pt>
                <c:pt idx="60">
                  <c:v>1.6342223344097913</c:v>
                </c:pt>
                <c:pt idx="61">
                  <c:v>1.6170466778126253</c:v>
                </c:pt>
                <c:pt idx="62">
                  <c:v>1.6136663127128439</c:v>
                </c:pt>
                <c:pt idx="63">
                  <c:v>1.5972505666279342</c:v>
                </c:pt>
                <c:pt idx="64">
                  <c:v>1.5800470923556609</c:v>
                </c:pt>
                <c:pt idx="65">
                  <c:v>1.5642311436986165</c:v>
                </c:pt>
                <c:pt idx="66">
                  <c:v>1.5474288942579135</c:v>
                </c:pt>
                <c:pt idx="67">
                  <c:v>1.5286434131615603</c:v>
                </c:pt>
                <c:pt idx="68">
                  <c:v>1.5106092617073847</c:v>
                </c:pt>
                <c:pt idx="69">
                  <c:v>1.4923460747956052</c:v>
                </c:pt>
                <c:pt idx="70">
                  <c:v>1.4737438253549064</c:v>
                </c:pt>
                <c:pt idx="71">
                  <c:v>1.4548272572329988</c:v>
                </c:pt>
                <c:pt idx="72">
                  <c:v>1.434738718757099</c:v>
                </c:pt>
                <c:pt idx="73">
                  <c:v>1.4139307456034245</c:v>
                </c:pt>
                <c:pt idx="74">
                  <c:v>1.3935712355360539</c:v>
                </c:pt>
                <c:pt idx="75">
                  <c:v>1.3718448476143439</c:v>
                </c:pt>
                <c:pt idx="76">
                  <c:v>1.3499583466082465</c:v>
                </c:pt>
                <c:pt idx="77">
                  <c:v>1.3276139702099985</c:v>
                </c:pt>
                <c:pt idx="78">
                  <c:v>1.305385945263374</c:v>
                </c:pt>
                <c:pt idx="79">
                  <c:v>1.2829575198718639</c:v>
                </c:pt>
                <c:pt idx="80">
                  <c:v>1.2593783796036564</c:v>
                </c:pt>
                <c:pt idx="81">
                  <c:v>1.2354814463819692</c:v>
                </c:pt>
                <c:pt idx="82">
                  <c:v>1.2124260277020418</c:v>
                </c:pt>
                <c:pt idx="83">
                  <c:v>1.1877430056676022</c:v>
                </c:pt>
                <c:pt idx="84">
                  <c:v>1.1624562973899848</c:v>
                </c:pt>
                <c:pt idx="85">
                  <c:v>1.1376661054413257</c:v>
                </c:pt>
                <c:pt idx="86">
                  <c:v>1.112165702646752</c:v>
                </c:pt>
                <c:pt idx="87">
                  <c:v>1.08927653295753</c:v>
                </c:pt>
                <c:pt idx="88">
                  <c:v>1.0646573055512696</c:v>
                </c:pt>
                <c:pt idx="89">
                  <c:v>1.0399552539833183</c:v>
                </c:pt>
                <c:pt idx="90">
                  <c:v>1.0165198800472619</c:v>
                </c:pt>
                <c:pt idx="91">
                  <c:v>0.99477406919623368</c:v>
                </c:pt>
                <c:pt idx="92">
                  <c:v>0.97102928765371876</c:v>
                </c:pt>
                <c:pt idx="93">
                  <c:v>0.94512253463223272</c:v>
                </c:pt>
                <c:pt idx="94">
                  <c:v>0.92076568619890642</c:v>
                </c:pt>
                <c:pt idx="95">
                  <c:v>0.89365014268613008</c:v>
                </c:pt>
                <c:pt idx="96">
                  <c:v>0.86809103541333377</c:v>
                </c:pt>
                <c:pt idx="97">
                  <c:v>0.84340679089701309</c:v>
                </c:pt>
                <c:pt idx="98">
                  <c:v>0.81532704526209576</c:v>
                </c:pt>
                <c:pt idx="99">
                  <c:v>0.78949329895218723</c:v>
                </c:pt>
                <c:pt idx="100">
                  <c:v>0.76517836315581134</c:v>
                </c:pt>
                <c:pt idx="101">
                  <c:v>0.74098941248656969</c:v>
                </c:pt>
                <c:pt idx="102">
                  <c:v>0.71552950432400797</c:v>
                </c:pt>
                <c:pt idx="103">
                  <c:v>0.69674443542099906</c:v>
                </c:pt>
                <c:pt idx="104">
                  <c:v>0.67210271125803045</c:v>
                </c:pt>
                <c:pt idx="105">
                  <c:v>0.52862664481721344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4-CF4F-B54D-0EF08DBE1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454656"/>
        <c:axId val="-2011805056"/>
      </c:scatterChart>
      <c:valAx>
        <c:axId val="-2035454656"/>
        <c:scaling>
          <c:orientation val="minMax"/>
          <c:min val="-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11805056"/>
        <c:crosses val="autoZero"/>
        <c:crossBetween val="midCat"/>
        <c:majorUnit val="1"/>
      </c:valAx>
      <c:valAx>
        <c:axId val="-2011805056"/>
        <c:scaling>
          <c:orientation val="minMax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35454656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1: Recharge vs Water Level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6"/>
          <c:order val="0"/>
          <c:spPr>
            <a:ln w="47625">
              <a:noFill/>
            </a:ln>
          </c:spP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74CB-EF49-8CF8-5196FB56D88B}"/>
            </c:ext>
          </c:extLst>
        </c:ser>
        <c:ser>
          <c:idx val="7"/>
          <c:order val="1"/>
          <c:spPr>
            <a:ln w="47625">
              <a:noFill/>
            </a:ln>
          </c:spPr>
          <c:marker>
            <c:symbol val="square"/>
            <c:size val="9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6103032017028103E-2"/>
                  <c:y val="0.24499463548580699"/>
                </c:manualLayout>
              </c:layout>
              <c:numFmt formatCode="General" sourceLinked="0"/>
              <c:spPr>
                <a:solidFill>
                  <a:srgbClr val="FFFFFF"/>
                </a:solidFill>
                <a:ln w="19050" cmpd="sng">
                  <a:solidFill>
                    <a:srgbClr val="000000"/>
                  </a:solidFill>
                </a:ln>
              </c:spPr>
              <c:txPr>
                <a:bodyPr/>
                <a:lstStyle/>
                <a:p>
                  <a:pPr>
                    <a:defRPr sz="1400"/>
                  </a:pPr>
                  <a:endParaRPr lang="en-US"/>
                </a:p>
              </c:txPr>
            </c:trendlineLbl>
          </c:trendline>
          <c:xVal>
            <c:numRef>
              <c:f>Plots!$AX$23:$AX$117</c:f>
              <c:numCache>
                <c:formatCode>0.00E+00</c:formatCode>
                <c:ptCount val="95"/>
                <c:pt idx="0">
                  <c:v>3.001481022440164</c:v>
                </c:pt>
                <c:pt idx="1">
                  <c:v>3.0295143565567302</c:v>
                </c:pt>
                <c:pt idx="2">
                  <c:v>3.1727063881024375</c:v>
                </c:pt>
                <c:pt idx="3">
                  <c:v>3.1319503382091853</c:v>
                </c:pt>
                <c:pt idx="4">
                  <c:v>2.9996337677375871</c:v>
                </c:pt>
                <c:pt idx="5">
                  <c:v>2.9609229280280371</c:v>
                </c:pt>
                <c:pt idx="6">
                  <c:v>2.9154341775812385</c:v>
                </c:pt>
                <c:pt idx="7">
                  <c:v>2.6588710094669961</c:v>
                </c:pt>
                <c:pt idx="8">
                  <c:v>2.5902771477230098</c:v>
                </c:pt>
                <c:pt idx="9">
                  <c:v>2.6102194843017643</c:v>
                </c:pt>
                <c:pt idx="10">
                  <c:v>2.6013288895585291</c:v>
                </c:pt>
                <c:pt idx="11">
                  <c:v>2.2373266236699831</c:v>
                </c:pt>
                <c:pt idx="12">
                  <c:v>2.2556730516361818</c:v>
                </c:pt>
                <c:pt idx="13">
                  <c:v>2.2130814440322788</c:v>
                </c:pt>
                <c:pt idx="14">
                  <c:v>1.9673231540970932</c:v>
                </c:pt>
                <c:pt idx="15">
                  <c:v>1.6719742858665225</c:v>
                </c:pt>
                <c:pt idx="16">
                  <c:v>1.638650769200066</c:v>
                </c:pt>
                <c:pt idx="17">
                  <c:v>1.6298924910133441</c:v>
                </c:pt>
                <c:pt idx="18">
                  <c:v>1.5979663033140761</c:v>
                </c:pt>
                <c:pt idx="19">
                  <c:v>1.3670572820543492</c:v>
                </c:pt>
                <c:pt idx="20">
                  <c:v>1.3745521919043875</c:v>
                </c:pt>
                <c:pt idx="21">
                  <c:v>3.1842159959313361</c:v>
                </c:pt>
                <c:pt idx="22">
                  <c:v>3.0868947052086626</c:v>
                </c:pt>
                <c:pt idx="23">
                  <c:v>2.8776409376518033</c:v>
                </c:pt>
                <c:pt idx="24">
                  <c:v>2.6246802121516297</c:v>
                </c:pt>
                <c:pt idx="25">
                  <c:v>2.56585301864077</c:v>
                </c:pt>
                <c:pt idx="26">
                  <c:v>2.1916783584564272</c:v>
                </c:pt>
                <c:pt idx="27">
                  <c:v>2.1686401297129607</c:v>
                </c:pt>
                <c:pt idx="28">
                  <c:v>1.919013953762152</c:v>
                </c:pt>
                <c:pt idx="29">
                  <c:v>1.567169367742697</c:v>
                </c:pt>
                <c:pt idx="30">
                  <c:v>1.3461162032028562</c:v>
                </c:pt>
                <c:pt idx="31">
                  <c:v>3.0421924557679625</c:v>
                </c:pt>
                <c:pt idx="32">
                  <c:v>2.8401098576753268</c:v>
                </c:pt>
                <c:pt idx="33">
                  <c:v>2.531948719981806</c:v>
                </c:pt>
                <c:pt idx="34">
                  <c:v>2.1246155743392241</c:v>
                </c:pt>
                <c:pt idx="35">
                  <c:v>1.8739722295991847</c:v>
                </c:pt>
                <c:pt idx="36">
                  <c:v>1.5350550443621054</c:v>
                </c:pt>
                <c:pt idx="37">
                  <c:v>1.3168452457095339</c:v>
                </c:pt>
                <c:pt idx="38">
                  <c:v>2.7989624191981517</c:v>
                </c:pt>
                <c:pt idx="39">
                  <c:v>2.4993953411213714</c:v>
                </c:pt>
                <c:pt idx="40">
                  <c:v>2.0702272337360754</c:v>
                </c:pt>
                <c:pt idx="41">
                  <c:v>1.8367587306052831</c:v>
                </c:pt>
                <c:pt idx="42">
                  <c:v>1.5037257992832953</c:v>
                </c:pt>
                <c:pt idx="43">
                  <c:v>1.2877566978348676</c:v>
                </c:pt>
                <c:pt idx="44">
                  <c:v>2.7607329762465871</c:v>
                </c:pt>
                <c:pt idx="45">
                  <c:v>2.4632184455944803</c:v>
                </c:pt>
                <c:pt idx="46">
                  <c:v>2.0150720246773575</c:v>
                </c:pt>
                <c:pt idx="47">
                  <c:v>1.7994634391078965</c:v>
                </c:pt>
                <c:pt idx="48">
                  <c:v>1.4761350043176198</c:v>
                </c:pt>
                <c:pt idx="49">
                  <c:v>1.2599575104730953</c:v>
                </c:pt>
                <c:pt idx="50">
                  <c:v>2.7228466778126248</c:v>
                </c:pt>
                <c:pt idx="51">
                  <c:v>2.4248004524185611</c:v>
                </c:pt>
                <c:pt idx="52">
                  <c:v>1.7632726488416055</c:v>
                </c:pt>
                <c:pt idx="53">
                  <c:v>1.4483703853027508</c:v>
                </c:pt>
                <c:pt idx="54">
                  <c:v>1.2310082253497936</c:v>
                </c:pt>
                <c:pt idx="55">
                  <c:v>2.6960524038752909</c:v>
                </c:pt>
                <c:pt idx="56">
                  <c:v>2.3878161938040869</c:v>
                </c:pt>
                <c:pt idx="57">
                  <c:v>1.7149452480592271</c:v>
                </c:pt>
                <c:pt idx="58">
                  <c:v>1.4215358193055381</c:v>
                </c:pt>
                <c:pt idx="59">
                  <c:v>1.2057875728895202</c:v>
                </c:pt>
                <c:pt idx="60">
                  <c:v>2.3528955413438131</c:v>
                </c:pt>
                <c:pt idx="61">
                  <c:v>1.394499628031872</c:v>
                </c:pt>
                <c:pt idx="62">
                  <c:v>1.1813288895585292</c:v>
                </c:pt>
                <c:pt idx="63">
                  <c:v>2.3232748912332295</c:v>
                </c:pt>
                <c:pt idx="64">
                  <c:v>1.3708202734430697</c:v>
                </c:pt>
                <c:pt idx="65">
                  <c:v>1.1558933107006486</c:v>
                </c:pt>
                <c:pt idx="66">
                  <c:v>2.2819939113679717</c:v>
                </c:pt>
                <c:pt idx="67">
                  <c:v>1.1294738854216377</c:v>
                </c:pt>
                <c:pt idx="68">
                  <c:v>1.1028156048852229</c:v>
                </c:pt>
                <c:pt idx="69">
                  <c:v>1.0784434202106383</c:v>
                </c:pt>
                <c:pt idx="70">
                  <c:v>1.0514010906809603</c:v>
                </c:pt>
                <c:pt idx="71">
                  <c:v>1.0209965847504816</c:v>
                </c:pt>
                <c:pt idx="72">
                  <c:v>0.99228676730036958</c:v>
                </c:pt>
                <c:pt idx="73">
                  <c:v>0.96585404559959065</c:v>
                </c:pt>
                <c:pt idx="74">
                  <c:v>0.94686099884352315</c:v>
                </c:pt>
                <c:pt idx="75">
                  <c:v>0.92725057132731747</c:v>
                </c:pt>
                <c:pt idx="76">
                  <c:v>0.90683318586779882</c:v>
                </c:pt>
                <c:pt idx="77">
                  <c:v>0.88597981170674578</c:v>
                </c:pt>
                <c:pt idx="78" formatCode="General">
                  <c:v>0.85625384067776678</c:v>
                </c:pt>
                <c:pt idx="79" formatCode="General">
                  <c:v>0.82819800980449421</c:v>
                </c:pt>
                <c:pt idx="80" formatCode="General">
                  <c:v>0.79448532579851039</c:v>
                </c:pt>
                <c:pt idx="81" formatCode="General">
                  <c:v>0.76523991774205824</c:v>
                </c:pt>
                <c:pt idx="82" formatCode="General">
                  <c:v>0.74332233440979012</c:v>
                </c:pt>
                <c:pt idx="83" formatCode="General">
                  <c:v>0.72644667781262529</c:v>
                </c:pt>
                <c:pt idx="84" formatCode="General">
                  <c:v>0.72156631271284555</c:v>
                </c:pt>
                <c:pt idx="85" formatCode="General">
                  <c:v>0.70435056662793416</c:v>
                </c:pt>
                <c:pt idx="86" formatCode="General">
                  <c:v>0.681747092355661</c:v>
                </c:pt>
                <c:pt idx="87" formatCode="General">
                  <c:v>0.65773114369861618</c:v>
                </c:pt>
                <c:pt idx="88" formatCode="General">
                  <c:v>0.61232889425791415</c:v>
                </c:pt>
                <c:pt idx="89" formatCode="General">
                  <c:v>0.53664341316156028</c:v>
                </c:pt>
                <c:pt idx="90" formatCode="General">
                  <c:v>0.45490926170738405</c:v>
                </c:pt>
                <c:pt idx="91" formatCode="General">
                  <c:v>0.40644607479560563</c:v>
                </c:pt>
                <c:pt idx="92" formatCode="General">
                  <c:v>0.30954382535490638</c:v>
                </c:pt>
                <c:pt idx="93" formatCode="General">
                  <c:v>0.21282725723299883</c:v>
                </c:pt>
                <c:pt idx="94" formatCode="General">
                  <c:v>0.21143871875709991</c:v>
                </c:pt>
              </c:numCache>
            </c:numRef>
          </c:xVal>
          <c:yVal>
            <c:numRef>
              <c:f>Plots!$AW$23:$AW$117</c:f>
              <c:numCache>
                <c:formatCode>General</c:formatCode>
                <c:ptCount val="95"/>
                <c:pt idx="7">
                  <c:v>1.2391627813077115</c:v>
                </c:pt>
                <c:pt idx="8">
                  <c:v>1.3690966106416618</c:v>
                </c:pt>
                <c:pt idx="9">
                  <c:v>0.23723239823112835</c:v>
                </c:pt>
                <c:pt idx="10">
                  <c:v>-9.0125096165409244E-2</c:v>
                </c:pt>
                <c:pt idx="11">
                  <c:v>1.6406077059297679</c:v>
                </c:pt>
                <c:pt idx="12">
                  <c:v>1.3412505342622234</c:v>
                </c:pt>
                <c:pt idx="13">
                  <c:v>1.4975622033645566</c:v>
                </c:pt>
                <c:pt idx="14">
                  <c:v>1.8517498878099174</c:v>
                </c:pt>
                <c:pt idx="15">
                  <c:v>-0.50943277788117691</c:v>
                </c:pt>
                <c:pt idx="17">
                  <c:v>0.65296018157465396</c:v>
                </c:pt>
                <c:pt idx="18">
                  <c:v>0.7389882085370294</c:v>
                </c:pt>
                <c:pt idx="19">
                  <c:v>0.10292249308495628</c:v>
                </c:pt>
                <c:pt idx="20">
                  <c:v>0.39759845246897624</c:v>
                </c:pt>
                <c:pt idx="24">
                  <c:v>1.2390506869590545</c:v>
                </c:pt>
                <c:pt idx="25">
                  <c:v>9.4013346896085551E-2</c:v>
                </c:pt>
                <c:pt idx="27">
                  <c:v>1.699573283312289</c:v>
                </c:pt>
                <c:pt idx="28">
                  <c:v>2.2683063199733988</c:v>
                </c:pt>
                <c:pt idx="29">
                  <c:v>0.89740077424436304</c:v>
                </c:pt>
                <c:pt idx="30">
                  <c:v>0.75627580459359456</c:v>
                </c:pt>
                <c:pt idx="33">
                  <c:v>0.88996141782315863</c:v>
                </c:pt>
                <c:pt idx="34">
                  <c:v>1.3411488375636851</c:v>
                </c:pt>
                <c:pt idx="35">
                  <c:v>0.94191037495527274</c:v>
                </c:pt>
                <c:pt idx="36">
                  <c:v>0.5269791818641737</c:v>
                </c:pt>
                <c:pt idx="37">
                  <c:v>0.78827700599976136</c:v>
                </c:pt>
                <c:pt idx="39">
                  <c:v>1.1083365594786558</c:v>
                </c:pt>
                <c:pt idx="40">
                  <c:v>3.3967990088736091</c:v>
                </c:pt>
                <c:pt idx="41">
                  <c:v>1.2228849109255437</c:v>
                </c:pt>
                <c:pt idx="42">
                  <c:v>8.5626331654542129E-2</c:v>
                </c:pt>
                <c:pt idx="43">
                  <c:v>0.6069912813119116</c:v>
                </c:pt>
                <c:pt idx="45">
                  <c:v>1.3275593681271378</c:v>
                </c:pt>
                <c:pt idx="46">
                  <c:v>1.7116026072613704</c:v>
                </c:pt>
                <c:pt idx="47">
                  <c:v>0.61289056413976128</c:v>
                </c:pt>
                <c:pt idx="48">
                  <c:v>0.5044529139287639</c:v>
                </c:pt>
                <c:pt idx="49">
                  <c:v>0.74277938754755812</c:v>
                </c:pt>
                <c:pt idx="50">
                  <c:v>0.24881118929884136</c:v>
                </c:pt>
                <c:pt idx="51">
                  <c:v>0.84297528289486756</c:v>
                </c:pt>
                <c:pt idx="52">
                  <c:v>0.85315976464860199</c:v>
                </c:pt>
                <c:pt idx="53">
                  <c:v>0.19110687114638031</c:v>
                </c:pt>
                <c:pt idx="54">
                  <c:v>0.51025256102702321</c:v>
                </c:pt>
                <c:pt idx="55">
                  <c:v>2.8930434227503882E-2</c:v>
                </c:pt>
                <c:pt idx="56">
                  <c:v>0.9055837296409921</c:v>
                </c:pt>
                <c:pt idx="57">
                  <c:v>1.8725532979813202</c:v>
                </c:pt>
                <c:pt idx="58">
                  <c:v>0.16616863489916991</c:v>
                </c:pt>
                <c:pt idx="59">
                  <c:v>0.48779815138875576</c:v>
                </c:pt>
                <c:pt idx="61">
                  <c:v>0.6332647426895861</c:v>
                </c:pt>
                <c:pt idx="62">
                  <c:v>0.53833640298860119</c:v>
                </c:pt>
                <c:pt idx="63">
                  <c:v>1.0564485090813018</c:v>
                </c:pt>
                <c:pt idx="64">
                  <c:v>-7.3245941647176627E-2</c:v>
                </c:pt>
                <c:pt idx="65">
                  <c:v>1.0346279026653047</c:v>
                </c:pt>
                <c:pt idx="66">
                  <c:v>1.440537730474329</c:v>
                </c:pt>
                <c:pt idx="67">
                  <c:v>0.50575015825164782</c:v>
                </c:pt>
                <c:pt idx="68">
                  <c:v>0.33267904186875269</c:v>
                </c:pt>
                <c:pt idx="69">
                  <c:v>0.44862994717123472</c:v>
                </c:pt>
                <c:pt idx="70">
                  <c:v>1.582252434935534</c:v>
                </c:pt>
                <c:pt idx="71">
                  <c:v>0.82899079097128558</c:v>
                </c:pt>
                <c:pt idx="72">
                  <c:v>0.72421991112869977</c:v>
                </c:pt>
                <c:pt idx="73">
                  <c:v>0.12269001496789197</c:v>
                </c:pt>
                <c:pt idx="74">
                  <c:v>0.2350479561699633</c:v>
                </c:pt>
                <c:pt idx="75">
                  <c:v>-0.32102080393363697</c:v>
                </c:pt>
                <c:pt idx="76">
                  <c:v>-0.35769454551226437</c:v>
                </c:pt>
                <c:pt idx="77">
                  <c:v>-0.51292833901464729</c:v>
                </c:pt>
                <c:pt idx="78">
                  <c:v>-2.413703658778895E-2</c:v>
                </c:pt>
                <c:pt idx="79">
                  <c:v>0.2474048500651774</c:v>
                </c:pt>
                <c:pt idx="80">
                  <c:v>0.82554398491245951</c:v>
                </c:pt>
                <c:pt idx="81">
                  <c:v>1.33632</c:v>
                </c:pt>
                <c:pt idx="82">
                  <c:v>0.10900799999999999</c:v>
                </c:pt>
                <c:pt idx="83">
                  <c:v>-0.57599999999999996</c:v>
                </c:pt>
                <c:pt idx="84">
                  <c:v>1.3449600000000002</c:v>
                </c:pt>
                <c:pt idx="85">
                  <c:v>1.3204800000000001</c:v>
                </c:pt>
                <c:pt idx="86">
                  <c:v>0.57599999999999996</c:v>
                </c:pt>
                <c:pt idx="87">
                  <c:v>0.28799999999999998</c:v>
                </c:pt>
                <c:pt idx="90">
                  <c:v>-0.72000000000000008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CB-EF49-8CF8-5196FB56D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7732144"/>
        <c:axId val="-2043280128"/>
      </c:scatterChart>
      <c:valAx>
        <c:axId val="-2037732144"/>
        <c:scaling>
          <c:orientation val="minMax"/>
          <c:max val="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800"/>
                  <a:t>Water Level</a:t>
                </a:r>
                <a:r>
                  <a:rPr lang="en-US" sz="1800" baseline="0"/>
                  <a:t> (m)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44562180908860899"/>
              <c:y val="0.87758178611045501"/>
            </c:manualLayout>
          </c:layout>
          <c:overlay val="0"/>
        </c:title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43280128"/>
        <c:crossesAt val="-4"/>
        <c:crossBetween val="midCat"/>
        <c:majorUnit val="1"/>
      </c:valAx>
      <c:valAx>
        <c:axId val="-2043280128"/>
        <c:scaling>
          <c:orientation val="minMax"/>
          <c:max val="6"/>
          <c:min val="-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Recharge (cm/day)</a:t>
                </a:r>
              </a:p>
            </c:rich>
          </c:tx>
          <c:layout>
            <c:manualLayout>
              <c:xMode val="edge"/>
              <c:yMode val="edge"/>
              <c:x val="2.63279401038953E-2"/>
              <c:y val="0.33722827371751701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7732144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1: Recharge vs Water Level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0"/>
          <c:order val="2"/>
          <c:spPr>
            <a:ln w="47625">
              <a:noFill/>
            </a:ln>
          </c:spP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6BC9-A646-8A66-EE0041C0B243}"/>
            </c:ext>
          </c:extLst>
        </c:ser>
        <c:ser>
          <c:idx val="1"/>
          <c:order val="3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115416102287801"/>
                  <c:y val="-0.19129857613064"/>
                </c:manualLayout>
              </c:layout>
              <c:numFmt formatCode="General" sourceLinked="0"/>
              <c:spPr>
                <a:solidFill>
                  <a:srgbClr val="FFFFFF"/>
                </a:solidFill>
                <a:ln>
                  <a:solidFill>
                    <a:srgbClr val="000000"/>
                  </a:solidFill>
                </a:ln>
              </c:spPr>
              <c:txPr>
                <a:bodyPr/>
                <a:lstStyle/>
                <a:p>
                  <a:pPr>
                    <a:defRPr sz="1400"/>
                  </a:pPr>
                  <a:endParaRPr lang="en-US"/>
                </a:p>
              </c:txPr>
            </c:trendlineLbl>
          </c:trendline>
          <c:xVal>
            <c:numRef>
              <c:f>Plots!$AW$23:$AW$72</c:f>
              <c:numCache>
                <c:formatCode>General</c:formatCode>
                <c:ptCount val="50"/>
                <c:pt idx="7">
                  <c:v>1.2391627813077115</c:v>
                </c:pt>
                <c:pt idx="8">
                  <c:v>1.3690966106416618</c:v>
                </c:pt>
                <c:pt idx="9">
                  <c:v>0.23723239823112835</c:v>
                </c:pt>
                <c:pt idx="10">
                  <c:v>-9.0125096165409244E-2</c:v>
                </c:pt>
                <c:pt idx="11">
                  <c:v>1.6406077059297679</c:v>
                </c:pt>
                <c:pt idx="12">
                  <c:v>1.3412505342622234</c:v>
                </c:pt>
                <c:pt idx="13">
                  <c:v>1.4975622033645566</c:v>
                </c:pt>
                <c:pt idx="14">
                  <c:v>1.8517498878099174</c:v>
                </c:pt>
                <c:pt idx="15">
                  <c:v>-0.50943277788117691</c:v>
                </c:pt>
                <c:pt idx="17">
                  <c:v>0.65296018157465396</c:v>
                </c:pt>
                <c:pt idx="18">
                  <c:v>0.7389882085370294</c:v>
                </c:pt>
                <c:pt idx="19">
                  <c:v>0.10292249308495628</c:v>
                </c:pt>
                <c:pt idx="20">
                  <c:v>0.39759845246897624</c:v>
                </c:pt>
                <c:pt idx="24">
                  <c:v>1.2390506869590545</c:v>
                </c:pt>
                <c:pt idx="25">
                  <c:v>9.4013346896085551E-2</c:v>
                </c:pt>
                <c:pt idx="27">
                  <c:v>1.699573283312289</c:v>
                </c:pt>
                <c:pt idx="28">
                  <c:v>2.2683063199733988</c:v>
                </c:pt>
                <c:pt idx="29">
                  <c:v>0.89740077424436304</c:v>
                </c:pt>
                <c:pt idx="30">
                  <c:v>0.75627580459359456</c:v>
                </c:pt>
                <c:pt idx="33">
                  <c:v>0.88996141782315863</c:v>
                </c:pt>
                <c:pt idx="34">
                  <c:v>1.3411488375636851</c:v>
                </c:pt>
                <c:pt idx="35">
                  <c:v>0.94191037495527274</c:v>
                </c:pt>
                <c:pt idx="36">
                  <c:v>0.5269791818641737</c:v>
                </c:pt>
                <c:pt idx="37">
                  <c:v>0.78827700599976136</c:v>
                </c:pt>
                <c:pt idx="39">
                  <c:v>1.1083365594786558</c:v>
                </c:pt>
                <c:pt idx="40">
                  <c:v>3.3967990088736091</c:v>
                </c:pt>
                <c:pt idx="41">
                  <c:v>1.2228849109255437</c:v>
                </c:pt>
                <c:pt idx="42">
                  <c:v>8.5626331654542129E-2</c:v>
                </c:pt>
                <c:pt idx="43">
                  <c:v>0.6069912813119116</c:v>
                </c:pt>
                <c:pt idx="45">
                  <c:v>1.3275593681271378</c:v>
                </c:pt>
                <c:pt idx="46">
                  <c:v>1.7116026072613704</c:v>
                </c:pt>
                <c:pt idx="47">
                  <c:v>0.61289056413976128</c:v>
                </c:pt>
                <c:pt idx="48">
                  <c:v>0.5044529139287639</c:v>
                </c:pt>
                <c:pt idx="49">
                  <c:v>0.74277938754755812</c:v>
                </c:pt>
              </c:numCache>
            </c:numRef>
          </c:xVal>
          <c:yVal>
            <c:numRef>
              <c:f>Plots!$AX$23:$AX$72</c:f>
              <c:numCache>
                <c:formatCode>0.00E+00</c:formatCode>
                <c:ptCount val="50"/>
                <c:pt idx="0">
                  <c:v>3.001481022440164</c:v>
                </c:pt>
                <c:pt idx="1">
                  <c:v>3.0295143565567302</c:v>
                </c:pt>
                <c:pt idx="2">
                  <c:v>3.1727063881024375</c:v>
                </c:pt>
                <c:pt idx="3">
                  <c:v>3.1319503382091853</c:v>
                </c:pt>
                <c:pt idx="4">
                  <c:v>2.9996337677375871</c:v>
                </c:pt>
                <c:pt idx="5">
                  <c:v>2.9609229280280371</c:v>
                </c:pt>
                <c:pt idx="6">
                  <c:v>2.9154341775812385</c:v>
                </c:pt>
                <c:pt idx="7">
                  <c:v>2.6588710094669961</c:v>
                </c:pt>
                <c:pt idx="8">
                  <c:v>2.5902771477230098</c:v>
                </c:pt>
                <c:pt idx="9">
                  <c:v>2.6102194843017643</c:v>
                </c:pt>
                <c:pt idx="10">
                  <c:v>2.6013288895585291</c:v>
                </c:pt>
                <c:pt idx="11">
                  <c:v>2.2373266236699831</c:v>
                </c:pt>
                <c:pt idx="12">
                  <c:v>2.2556730516361818</c:v>
                </c:pt>
                <c:pt idx="13">
                  <c:v>2.2130814440322788</c:v>
                </c:pt>
                <c:pt idx="14">
                  <c:v>1.9673231540970932</c:v>
                </c:pt>
                <c:pt idx="15">
                  <c:v>1.6719742858665225</c:v>
                </c:pt>
                <c:pt idx="16">
                  <c:v>1.638650769200066</c:v>
                </c:pt>
                <c:pt idx="17">
                  <c:v>1.6298924910133441</c:v>
                </c:pt>
                <c:pt idx="18">
                  <c:v>1.5979663033140761</c:v>
                </c:pt>
                <c:pt idx="19">
                  <c:v>1.3670572820543492</c:v>
                </c:pt>
                <c:pt idx="20">
                  <c:v>1.3745521919043875</c:v>
                </c:pt>
                <c:pt idx="21">
                  <c:v>3.1842159959313361</c:v>
                </c:pt>
                <c:pt idx="22">
                  <c:v>3.0868947052086626</c:v>
                </c:pt>
                <c:pt idx="23">
                  <c:v>2.8776409376518033</c:v>
                </c:pt>
                <c:pt idx="24">
                  <c:v>2.6246802121516297</c:v>
                </c:pt>
                <c:pt idx="25">
                  <c:v>2.56585301864077</c:v>
                </c:pt>
                <c:pt idx="26">
                  <c:v>2.1916783584564272</c:v>
                </c:pt>
                <c:pt idx="27">
                  <c:v>2.1686401297129607</c:v>
                </c:pt>
                <c:pt idx="28">
                  <c:v>1.919013953762152</c:v>
                </c:pt>
                <c:pt idx="29">
                  <c:v>1.567169367742697</c:v>
                </c:pt>
                <c:pt idx="30">
                  <c:v>1.3461162032028562</c:v>
                </c:pt>
                <c:pt idx="31">
                  <c:v>3.0421924557679625</c:v>
                </c:pt>
                <c:pt idx="32">
                  <c:v>2.8401098576753268</c:v>
                </c:pt>
                <c:pt idx="33">
                  <c:v>2.531948719981806</c:v>
                </c:pt>
                <c:pt idx="34">
                  <c:v>2.1246155743392241</c:v>
                </c:pt>
                <c:pt idx="35">
                  <c:v>1.8739722295991847</c:v>
                </c:pt>
                <c:pt idx="36">
                  <c:v>1.5350550443621054</c:v>
                </c:pt>
                <c:pt idx="37">
                  <c:v>1.3168452457095339</c:v>
                </c:pt>
                <c:pt idx="38">
                  <c:v>2.7989624191981517</c:v>
                </c:pt>
                <c:pt idx="39">
                  <c:v>2.4993953411213714</c:v>
                </c:pt>
                <c:pt idx="40">
                  <c:v>2.0702272337360754</c:v>
                </c:pt>
                <c:pt idx="41">
                  <c:v>1.8367587306052831</c:v>
                </c:pt>
                <c:pt idx="42">
                  <c:v>1.5037257992832953</c:v>
                </c:pt>
                <c:pt idx="43">
                  <c:v>1.2877566978348676</c:v>
                </c:pt>
                <c:pt idx="44">
                  <c:v>2.7607329762465871</c:v>
                </c:pt>
                <c:pt idx="45">
                  <c:v>2.4632184455944803</c:v>
                </c:pt>
                <c:pt idx="46">
                  <c:v>2.0150720246773575</c:v>
                </c:pt>
                <c:pt idx="47">
                  <c:v>1.7994634391078965</c:v>
                </c:pt>
                <c:pt idx="48">
                  <c:v>1.4761350043176198</c:v>
                </c:pt>
                <c:pt idx="49">
                  <c:v>1.2599575104730953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C9-A646-8A66-EE0041C0B243}"/>
            </c:ext>
          </c:extLst>
        </c:ser>
        <c:ser>
          <c:idx val="6"/>
          <c:order val="0"/>
          <c:spPr>
            <a:ln w="47625">
              <a:noFill/>
            </a:ln>
          </c:spP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BC9-A646-8A66-EE0041C0B243}"/>
            </c:ext>
          </c:extLst>
        </c:ser>
        <c:ser>
          <c:idx val="7"/>
          <c:order val="1"/>
          <c:spPr>
            <a:ln w="47625">
              <a:noFill/>
            </a:ln>
          </c:spPr>
          <c:marker>
            <c:symbol val="square"/>
            <c:size val="9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1.2957742285995E-2"/>
                  <c:y val="0.14737357022058201"/>
                </c:manualLayout>
              </c:layout>
              <c:numFmt formatCode="General" sourceLinked="0"/>
              <c:spPr>
                <a:solidFill>
                  <a:srgbClr val="FFFFFF"/>
                </a:solidFill>
                <a:ln>
                  <a:solidFill>
                    <a:srgbClr val="000000"/>
                  </a:solidFill>
                </a:ln>
              </c:spPr>
              <c:txPr>
                <a:bodyPr/>
                <a:lstStyle/>
                <a:p>
                  <a:pPr>
                    <a:defRPr sz="1400"/>
                  </a:pPr>
                  <a:endParaRPr lang="en-US"/>
                </a:p>
              </c:txPr>
            </c:trendlineLbl>
          </c:trendline>
          <c:xVal>
            <c:numRef>
              <c:f>Plots!$AW$83:$AW$117</c:f>
              <c:numCache>
                <c:formatCode>General</c:formatCode>
                <c:ptCount val="35"/>
                <c:pt idx="1">
                  <c:v>0.6332647426895861</c:v>
                </c:pt>
                <c:pt idx="2">
                  <c:v>0.53833640298860119</c:v>
                </c:pt>
                <c:pt idx="3">
                  <c:v>1.0564485090813018</c:v>
                </c:pt>
                <c:pt idx="4">
                  <c:v>-7.3245941647176627E-2</c:v>
                </c:pt>
                <c:pt idx="5">
                  <c:v>1.0346279026653047</c:v>
                </c:pt>
                <c:pt idx="6">
                  <c:v>1.440537730474329</c:v>
                </c:pt>
                <c:pt idx="7">
                  <c:v>0.50575015825164782</c:v>
                </c:pt>
                <c:pt idx="8">
                  <c:v>0.33267904186875269</c:v>
                </c:pt>
                <c:pt idx="9">
                  <c:v>0.44862994717123472</c:v>
                </c:pt>
                <c:pt idx="10">
                  <c:v>1.582252434935534</c:v>
                </c:pt>
                <c:pt idx="11">
                  <c:v>0.82899079097128558</c:v>
                </c:pt>
                <c:pt idx="12">
                  <c:v>0.72421991112869977</c:v>
                </c:pt>
                <c:pt idx="13">
                  <c:v>0.12269001496789197</c:v>
                </c:pt>
                <c:pt idx="14">
                  <c:v>0.2350479561699633</c:v>
                </c:pt>
                <c:pt idx="15">
                  <c:v>-0.32102080393363697</c:v>
                </c:pt>
                <c:pt idx="16">
                  <c:v>-0.35769454551226437</c:v>
                </c:pt>
                <c:pt idx="17">
                  <c:v>-0.51292833901464729</c:v>
                </c:pt>
                <c:pt idx="18">
                  <c:v>-2.413703658778895E-2</c:v>
                </c:pt>
                <c:pt idx="19">
                  <c:v>0.2474048500651774</c:v>
                </c:pt>
                <c:pt idx="20">
                  <c:v>0.82554398491245951</c:v>
                </c:pt>
                <c:pt idx="21">
                  <c:v>1.33632</c:v>
                </c:pt>
                <c:pt idx="22">
                  <c:v>0.10900799999999999</c:v>
                </c:pt>
                <c:pt idx="23">
                  <c:v>-0.57599999999999996</c:v>
                </c:pt>
                <c:pt idx="24">
                  <c:v>1.3449600000000002</c:v>
                </c:pt>
                <c:pt idx="25">
                  <c:v>1.3204800000000001</c:v>
                </c:pt>
                <c:pt idx="26">
                  <c:v>0.57599999999999996</c:v>
                </c:pt>
                <c:pt idx="27">
                  <c:v>0.28799999999999998</c:v>
                </c:pt>
                <c:pt idx="30">
                  <c:v>-0.72000000000000008</c:v>
                </c:pt>
              </c:numCache>
            </c:numRef>
          </c:xVal>
          <c:yVal>
            <c:numRef>
              <c:f>Plots!$AX$83:$AX$117</c:f>
              <c:numCache>
                <c:formatCode>0.00E+00</c:formatCode>
                <c:ptCount val="35"/>
                <c:pt idx="0">
                  <c:v>2.3528955413438131</c:v>
                </c:pt>
                <c:pt idx="1">
                  <c:v>1.394499628031872</c:v>
                </c:pt>
                <c:pt idx="2">
                  <c:v>1.1813288895585292</c:v>
                </c:pt>
                <c:pt idx="3">
                  <c:v>2.3232748912332295</c:v>
                </c:pt>
                <c:pt idx="4">
                  <c:v>1.3708202734430697</c:v>
                </c:pt>
                <c:pt idx="5">
                  <c:v>1.1558933107006486</c:v>
                </c:pt>
                <c:pt idx="6">
                  <c:v>2.2819939113679717</c:v>
                </c:pt>
                <c:pt idx="7">
                  <c:v>1.1294738854216377</c:v>
                </c:pt>
                <c:pt idx="8">
                  <c:v>1.1028156048852229</c:v>
                </c:pt>
                <c:pt idx="9">
                  <c:v>1.0784434202106383</c:v>
                </c:pt>
                <c:pt idx="10">
                  <c:v>1.0514010906809603</c:v>
                </c:pt>
                <c:pt idx="11">
                  <c:v>1.0209965847504816</c:v>
                </c:pt>
                <c:pt idx="12">
                  <c:v>0.99228676730036958</c:v>
                </c:pt>
                <c:pt idx="13">
                  <c:v>0.96585404559959065</c:v>
                </c:pt>
                <c:pt idx="14">
                  <c:v>0.94686099884352315</c:v>
                </c:pt>
                <c:pt idx="15">
                  <c:v>0.92725057132731747</c:v>
                </c:pt>
                <c:pt idx="16">
                  <c:v>0.90683318586779882</c:v>
                </c:pt>
                <c:pt idx="17">
                  <c:v>0.88597981170674578</c:v>
                </c:pt>
                <c:pt idx="18" formatCode="General">
                  <c:v>0.85625384067776678</c:v>
                </c:pt>
                <c:pt idx="19" formatCode="General">
                  <c:v>0.82819800980449421</c:v>
                </c:pt>
                <c:pt idx="20" formatCode="General">
                  <c:v>0.79448532579851039</c:v>
                </c:pt>
                <c:pt idx="21" formatCode="General">
                  <c:v>0.76523991774205824</c:v>
                </c:pt>
                <c:pt idx="22" formatCode="General">
                  <c:v>0.74332233440979012</c:v>
                </c:pt>
                <c:pt idx="23" formatCode="General">
                  <c:v>0.72644667781262529</c:v>
                </c:pt>
                <c:pt idx="24" formatCode="General">
                  <c:v>0.72156631271284555</c:v>
                </c:pt>
                <c:pt idx="25" formatCode="General">
                  <c:v>0.70435056662793416</c:v>
                </c:pt>
                <c:pt idx="26" formatCode="General">
                  <c:v>0.681747092355661</c:v>
                </c:pt>
                <c:pt idx="27" formatCode="General">
                  <c:v>0.65773114369861618</c:v>
                </c:pt>
                <c:pt idx="28" formatCode="General">
                  <c:v>0.61232889425791415</c:v>
                </c:pt>
                <c:pt idx="29" formatCode="General">
                  <c:v>0.53664341316156028</c:v>
                </c:pt>
                <c:pt idx="30" formatCode="General">
                  <c:v>0.45490926170738405</c:v>
                </c:pt>
                <c:pt idx="31" formatCode="General">
                  <c:v>0.40644607479560563</c:v>
                </c:pt>
                <c:pt idx="32" formatCode="General">
                  <c:v>0.30954382535490638</c:v>
                </c:pt>
                <c:pt idx="33" formatCode="General">
                  <c:v>0.21282725723299883</c:v>
                </c:pt>
                <c:pt idx="34" formatCode="General">
                  <c:v>0.21143871875709991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BC9-A646-8A66-EE0041C0B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021392"/>
        <c:axId val="-2037926176"/>
      </c:scatterChart>
      <c:valAx>
        <c:axId val="2097021392"/>
        <c:scaling>
          <c:orientation val="minMax"/>
          <c:max val="4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800"/>
                  <a:t>Recharge (cm/day)</a:t>
                </a:r>
              </a:p>
            </c:rich>
          </c:tx>
          <c:layout>
            <c:manualLayout>
              <c:xMode val="edge"/>
              <c:yMode val="edge"/>
              <c:x val="0.40214354821904402"/>
              <c:y val="0.89605753668782195"/>
            </c:manualLayout>
          </c:layout>
          <c:overlay val="0"/>
        </c:title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7926176"/>
        <c:crosses val="autoZero"/>
        <c:crossBetween val="midCat"/>
        <c:majorUnit val="1"/>
      </c:valAx>
      <c:valAx>
        <c:axId val="-2037926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Water Level (m)</a:t>
                </a:r>
              </a:p>
            </c:rich>
          </c:tx>
          <c:layout>
            <c:manualLayout>
              <c:xMode val="edge"/>
              <c:yMode val="edge"/>
              <c:x val="2.63279401038953E-2"/>
              <c:y val="0.33722827371751701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2097021392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2: Recharge vs Water Level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1"/>
          <c:order val="1"/>
          <c:spPr>
            <a:ln w="47625">
              <a:noFill/>
            </a:ln>
          </c:spPr>
          <c:marker>
            <c:symbol val="diamond"/>
            <c:size val="12"/>
            <c:spPr>
              <a:solidFill>
                <a:schemeClr val="accent1"/>
              </a:solidFill>
              <a:ln>
                <a:solidFill>
                  <a:schemeClr val="accent3"/>
                </a:solidFill>
              </a:ln>
            </c:spPr>
          </c:marker>
          <c:xVal>
            <c:numRef>
              <c:f>Plots!$CA$18:$CA$80</c:f>
              <c:numCache>
                <c:formatCode>General</c:formatCode>
                <c:ptCount val="63"/>
                <c:pt idx="0">
                  <c:v>3.1793810224401646</c:v>
                </c:pt>
                <c:pt idx="1">
                  <c:v>3.2773143565567313</c:v>
                </c:pt>
                <c:pt idx="2">
                  <c:v>3.4026063881024378</c:v>
                </c:pt>
                <c:pt idx="3">
                  <c:v>3.4228503382091855</c:v>
                </c:pt>
                <c:pt idx="4">
                  <c:v>3.371833767737586</c:v>
                </c:pt>
                <c:pt idx="5">
                  <c:v>3.3511229280280386</c:v>
                </c:pt>
                <c:pt idx="6">
                  <c:v>3.3322341775812401</c:v>
                </c:pt>
                <c:pt idx="7">
                  <c:v>3.1945710094669977</c:v>
                </c:pt>
                <c:pt idx="8">
                  <c:v>3.1596771477230092</c:v>
                </c:pt>
                <c:pt idx="9">
                  <c:v>3.1680194843017642</c:v>
                </c:pt>
                <c:pt idx="10">
                  <c:v>3.1691288895585306</c:v>
                </c:pt>
                <c:pt idx="11">
                  <c:v>2.9560266236699828</c:v>
                </c:pt>
                <c:pt idx="12">
                  <c:v>3.230673051636181</c:v>
                </c:pt>
                <c:pt idx="13">
                  <c:v>3.2119814440322791</c:v>
                </c:pt>
                <c:pt idx="14">
                  <c:v>3.1047231540970941</c:v>
                </c:pt>
                <c:pt idx="15">
                  <c:v>2.9242742858665238</c:v>
                </c:pt>
                <c:pt idx="16">
                  <c:v>2.9012507692000664</c:v>
                </c:pt>
                <c:pt idx="17">
                  <c:v>2.8964924910133441</c:v>
                </c:pt>
                <c:pt idx="18">
                  <c:v>2.8756663033140768</c:v>
                </c:pt>
                <c:pt idx="19">
                  <c:v>2.588757282054349</c:v>
                </c:pt>
                <c:pt idx="20">
                  <c:v>2.6219521919043878</c:v>
                </c:pt>
                <c:pt idx="21">
                  <c:v>3.3345159959313371</c:v>
                </c:pt>
                <c:pt idx="22">
                  <c:v>3.4088947052086631</c:v>
                </c:pt>
                <c:pt idx="23">
                  <c:v>3.3132409376518037</c:v>
                </c:pt>
                <c:pt idx="24">
                  <c:v>3.1776802121516301</c:v>
                </c:pt>
                <c:pt idx="25">
                  <c:v>3.1474530186407694</c:v>
                </c:pt>
                <c:pt idx="26">
                  <c:v>2.928978358456428</c:v>
                </c:pt>
                <c:pt idx="27">
                  <c:v>3.1923401297129619</c:v>
                </c:pt>
                <c:pt idx="28">
                  <c:v>3.081513953762153</c:v>
                </c:pt>
                <c:pt idx="29">
                  <c:v>2.8481693677426971</c:v>
                </c:pt>
                <c:pt idx="30">
                  <c:v>2.5973162032028565</c:v>
                </c:pt>
                <c:pt idx="31">
                  <c:v>3.3914924557679615</c:v>
                </c:pt>
                <c:pt idx="32">
                  <c:v>3.292209857675326</c:v>
                </c:pt>
                <c:pt idx="33">
                  <c:v>3.1306487199818065</c:v>
                </c:pt>
                <c:pt idx="34">
                  <c:v>3.1712155743392252</c:v>
                </c:pt>
                <c:pt idx="35">
                  <c:v>3.0538722295991843</c:v>
                </c:pt>
                <c:pt idx="36">
                  <c:v>2.8178550443621067</c:v>
                </c:pt>
                <c:pt idx="37">
                  <c:v>2.5751452457095354</c:v>
                </c:pt>
                <c:pt idx="38">
                  <c:v>3.2727624191981519</c:v>
                </c:pt>
                <c:pt idx="39">
                  <c:v>3.1099953411213708</c:v>
                </c:pt>
                <c:pt idx="40">
                  <c:v>3.1489272337360763</c:v>
                </c:pt>
                <c:pt idx="41">
                  <c:v>3.0250587306052825</c:v>
                </c:pt>
                <c:pt idx="42">
                  <c:v>2.7797257992832947</c:v>
                </c:pt>
                <c:pt idx="43">
                  <c:v>2.5535566978348676</c:v>
                </c:pt>
                <c:pt idx="44">
                  <c:v>3.2534329762465877</c:v>
                </c:pt>
                <c:pt idx="45">
                  <c:v>3.0919184455944819</c:v>
                </c:pt>
                <c:pt idx="46">
                  <c:v>3.125172024677358</c:v>
                </c:pt>
                <c:pt idx="47">
                  <c:v>2.9966634391078966</c:v>
                </c:pt>
                <c:pt idx="48">
                  <c:v>2.7452350043176192</c:v>
                </c:pt>
                <c:pt idx="49">
                  <c:v>2.5267575104730966</c:v>
                </c:pt>
                <c:pt idx="50">
                  <c:v>3.2334466778126245</c:v>
                </c:pt>
                <c:pt idx="51">
                  <c:v>3.0709004524185612</c:v>
                </c:pt>
                <c:pt idx="52">
                  <c:v>2.9721726488416049</c:v>
                </c:pt>
                <c:pt idx="53">
                  <c:v>2.7107703853027498</c:v>
                </c:pt>
                <c:pt idx="54">
                  <c:v>2.4946082253497934</c:v>
                </c:pt>
                <c:pt idx="55">
                  <c:v>3.2137524038752918</c:v>
                </c:pt>
                <c:pt idx="56">
                  <c:v>3.0501161938040884</c:v>
                </c:pt>
                <c:pt idx="57">
                  <c:v>2.9501452480592274</c:v>
                </c:pt>
                <c:pt idx="58">
                  <c:v>2.6747358193055391</c:v>
                </c:pt>
                <c:pt idx="59">
                  <c:v>2.456787572889521</c:v>
                </c:pt>
                <c:pt idx="60">
                  <c:v>3.0268955413438121</c:v>
                </c:pt>
                <c:pt idx="61">
                  <c:v>2.6353996280318732</c:v>
                </c:pt>
                <c:pt idx="62">
                  <c:v>2.42622888955853</c:v>
                </c:pt>
              </c:numCache>
            </c:numRef>
          </c:xVal>
          <c:yVal>
            <c:numRef>
              <c:f>Plots!$BZ$18:$BZ$80</c:f>
              <c:numCache>
                <c:formatCode>General</c:formatCode>
                <c:ptCount val="63"/>
                <c:pt idx="7">
                  <c:v>0.50279075182196653</c:v>
                </c:pt>
                <c:pt idx="8">
                  <c:v>1.4949716434717337</c:v>
                </c:pt>
                <c:pt idx="9">
                  <c:v>0.42338980618710281</c:v>
                </c:pt>
                <c:pt idx="10">
                  <c:v>-1.3908210673903559E-2</c:v>
                </c:pt>
                <c:pt idx="11">
                  <c:v>0.50772944608594051</c:v>
                </c:pt>
                <c:pt idx="12">
                  <c:v>0.65789852459403453</c:v>
                </c:pt>
                <c:pt idx="13">
                  <c:v>-1.6312359796333313</c:v>
                </c:pt>
                <c:pt idx="14">
                  <c:v>2.4109397683936313</c:v>
                </c:pt>
                <c:pt idx="15">
                  <c:v>-0.31362669262713816</c:v>
                </c:pt>
                <c:pt idx="16">
                  <c:v>-1.2892189741377256</c:v>
                </c:pt>
                <c:pt idx="17">
                  <c:v>1.3637236714245365E-2</c:v>
                </c:pt>
                <c:pt idx="18">
                  <c:v>1.4266914446650907</c:v>
                </c:pt>
                <c:pt idx="19">
                  <c:v>-3.8487165118392443</c:v>
                </c:pt>
                <c:pt idx="20">
                  <c:v>1.79830026085901</c:v>
                </c:pt>
                <c:pt idx="24">
                  <c:v>1.6519032736952086</c:v>
                </c:pt>
                <c:pt idx="25">
                  <c:v>0.72846457203397852</c:v>
                </c:pt>
                <c:pt idx="27">
                  <c:v>0.68898463782179731</c:v>
                </c:pt>
                <c:pt idx="28">
                  <c:v>1.9593647523468638</c:v>
                </c:pt>
                <c:pt idx="29">
                  <c:v>1.9871863646742542</c:v>
                </c:pt>
                <c:pt idx="30">
                  <c:v>1.3</c:v>
                </c:pt>
                <c:pt idx="33">
                  <c:v>0.74414422672680225</c:v>
                </c:pt>
                <c:pt idx="34">
                  <c:v>1.5567379084738564</c:v>
                </c:pt>
                <c:pt idx="35">
                  <c:v>1.5712702284108773</c:v>
                </c:pt>
                <c:pt idx="36">
                  <c:v>1.9061340824203516</c:v>
                </c:pt>
                <c:pt idx="37">
                  <c:v>0.92011709713573064</c:v>
                </c:pt>
                <c:pt idx="39">
                  <c:v>0.89371537531801359</c:v>
                </c:pt>
                <c:pt idx="40">
                  <c:v>1.5047129258102911</c:v>
                </c:pt>
                <c:pt idx="41">
                  <c:v>2.6404716046717125</c:v>
                </c:pt>
                <c:pt idx="42">
                  <c:v>2.2438871846158799</c:v>
                </c:pt>
                <c:pt idx="43">
                  <c:v>1.2111596288873414</c:v>
                </c:pt>
                <c:pt idx="44">
                  <c:v>0.51380529982026912</c:v>
                </c:pt>
                <c:pt idx="45">
                  <c:v>1.4014465393149891</c:v>
                </c:pt>
                <c:pt idx="46">
                  <c:v>1.584563958071205</c:v>
                </c:pt>
                <c:pt idx="47">
                  <c:v>2.3285108207370135</c:v>
                </c:pt>
                <c:pt idx="48">
                  <c:v>2.4341461905421689</c:v>
                </c:pt>
                <c:pt idx="49">
                  <c:v>1.6837415385962864</c:v>
                </c:pt>
                <c:pt idx="50">
                  <c:v>0.84293906513104155</c:v>
                </c:pt>
                <c:pt idx="51">
                  <c:v>0.80411502232914134</c:v>
                </c:pt>
                <c:pt idx="52">
                  <c:v>1.9989357774816381</c:v>
                </c:pt>
                <c:pt idx="53">
                  <c:v>2.6689105851279873</c:v>
                </c:pt>
                <c:pt idx="54">
                  <c:v>5.0999999999999996</c:v>
                </c:pt>
                <c:pt idx="55">
                  <c:v>0.51149196568268729</c:v>
                </c:pt>
                <c:pt idx="56">
                  <c:v>0.82659738260706006</c:v>
                </c:pt>
                <c:pt idx="57">
                  <c:v>1.8834516113750797</c:v>
                </c:pt>
                <c:pt idx="58">
                  <c:v>2.2302539133568398</c:v>
                </c:pt>
                <c:pt idx="59">
                  <c:v>2.0591776777834614</c:v>
                </c:pt>
                <c:pt idx="60">
                  <c:v>2.2927546764752416</c:v>
                </c:pt>
                <c:pt idx="61">
                  <c:v>2.9214696641984412</c:v>
                </c:pt>
                <c:pt idx="62">
                  <c:v>2.3478108219588796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66-6248-BF53-B98F9CA7B9AC}"/>
            </c:ext>
          </c:extLst>
        </c:ser>
        <c:ser>
          <c:idx val="0"/>
          <c:order val="0"/>
          <c:spPr>
            <a:ln w="47625">
              <a:noFill/>
            </a:ln>
          </c:spPr>
          <c:marker>
            <c:symbol val="square"/>
            <c:size val="11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7.3708676302040699E-2"/>
                  <c:y val="-1.08140371342471E-2"/>
                </c:manualLayout>
              </c:layout>
              <c:numFmt formatCode="General" sourceLinked="0"/>
              <c:spPr>
                <a:solidFill>
                  <a:srgbClr val="FFFFFF"/>
                </a:solidFill>
                <a:ln w="19050" cmpd="sng">
                  <a:solidFill>
                    <a:srgbClr val="000000"/>
                  </a:solidFill>
                </a:ln>
              </c:spPr>
              <c:txPr>
                <a:bodyPr/>
                <a:lstStyle/>
                <a:p>
                  <a:pPr>
                    <a:defRPr sz="1400"/>
                  </a:pPr>
                  <a:endParaRPr lang="en-US"/>
                </a:p>
              </c:txPr>
            </c:trendlineLbl>
          </c:trendline>
          <c:xVal>
            <c:numRef>
              <c:f>Plots!$CA$86:$CA$104</c:f>
              <c:numCache>
                <c:formatCode>General</c:formatCode>
                <c:ptCount val="19"/>
                <c:pt idx="0">
                  <c:v>2.3118156048852239</c:v>
                </c:pt>
                <c:pt idx="1">
                  <c:v>2.2767434202106376</c:v>
                </c:pt>
                <c:pt idx="2">
                  <c:v>2.2421010906809613</c:v>
                </c:pt>
                <c:pt idx="3">
                  <c:v>2.2058965847504819</c:v>
                </c:pt>
                <c:pt idx="4">
                  <c:v>2.1696867673003695</c:v>
                </c:pt>
                <c:pt idx="5">
                  <c:v>2.1281540455995902</c:v>
                </c:pt>
                <c:pt idx="6">
                  <c:v>2.0889609988435236</c:v>
                </c:pt>
                <c:pt idx="7">
                  <c:v>2.0485505713273184</c:v>
                </c:pt>
                <c:pt idx="8">
                  <c:v>2.0045331858677997</c:v>
                </c:pt>
                <c:pt idx="9">
                  <c:v>1.9808798117067459</c:v>
                </c:pt>
                <c:pt idx="10">
                  <c:v>1.9578538406777672</c:v>
                </c:pt>
                <c:pt idx="11">
                  <c:v>1.9360980098044942</c:v>
                </c:pt>
                <c:pt idx="12">
                  <c:v>1.9113853257985107</c:v>
                </c:pt>
                <c:pt idx="13">
                  <c:v>1.887739917742058</c:v>
                </c:pt>
                <c:pt idx="14">
                  <c:v>1.8694223344097904</c:v>
                </c:pt>
                <c:pt idx="15">
                  <c:v>1.6491466778126254</c:v>
                </c:pt>
                <c:pt idx="16">
                  <c:v>1.8071663127128443</c:v>
                </c:pt>
                <c:pt idx="17">
                  <c:v>1.8004505666279333</c:v>
                </c:pt>
                <c:pt idx="18">
                  <c:v>1.7729470923556627</c:v>
                </c:pt>
              </c:numCache>
            </c:numRef>
          </c:xVal>
          <c:yVal>
            <c:numRef>
              <c:f>Plots!$BZ$86:$BZ$104</c:f>
              <c:numCache>
                <c:formatCode>General</c:formatCode>
                <c:ptCount val="19"/>
                <c:pt idx="0">
                  <c:v>2.0489826084066736</c:v>
                </c:pt>
                <c:pt idx="1">
                  <c:v>2.8425290510197669</c:v>
                </c:pt>
                <c:pt idx="2">
                  <c:v>2.2107042221066235</c:v>
                </c:pt>
                <c:pt idx="3">
                  <c:v>1.8384510459079579</c:v>
                </c:pt>
                <c:pt idx="4">
                  <c:v>1.6537291770201885</c:v>
                </c:pt>
                <c:pt idx="5">
                  <c:v>3.4714275734752733</c:v>
                </c:pt>
                <c:pt idx="6">
                  <c:v>0.89456185607044503</c:v>
                </c:pt>
                <c:pt idx="7">
                  <c:v>1.5641440361088665</c:v>
                </c:pt>
                <c:pt idx="8">
                  <c:v>1.9583835563531857</c:v>
                </c:pt>
                <c:pt idx="9">
                  <c:v>0.98534853979044112</c:v>
                </c:pt>
                <c:pt idx="10">
                  <c:v>0.52513301210067431</c:v>
                </c:pt>
                <c:pt idx="11">
                  <c:v>0.95058575030211956</c:v>
                </c:pt>
                <c:pt idx="12">
                  <c:v>1.0024472690521109</c:v>
                </c:pt>
                <c:pt idx="13">
                  <c:v>-0.18248652849055946</c:v>
                </c:pt>
                <c:pt idx="14">
                  <c:v>-2.7541708904315829E-2</c:v>
                </c:pt>
                <c:pt idx="16">
                  <c:v>-2.2233600174556685</c:v>
                </c:pt>
                <c:pt idx="17">
                  <c:v>1.4936009646687103</c:v>
                </c:pt>
                <c:pt idx="18">
                  <c:v>0.85323665789927616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66-6248-BF53-B98F9CA7B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442912"/>
        <c:axId val="-2035430224"/>
      </c:scatterChart>
      <c:valAx>
        <c:axId val="-2035442912"/>
        <c:scaling>
          <c:orientation val="minMax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800"/>
                  <a:t>Water Level</a:t>
                </a:r>
                <a:r>
                  <a:rPr lang="en-US" sz="1800" baseline="0"/>
                  <a:t> (m)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40214354821904402"/>
              <c:y val="0.89605753668782195"/>
            </c:manualLayout>
          </c:layout>
          <c:overlay val="0"/>
        </c:title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430224"/>
        <c:crossesAt val="-4"/>
        <c:crossBetween val="midCat"/>
        <c:majorUnit val="1"/>
      </c:valAx>
      <c:valAx>
        <c:axId val="-2035430224"/>
        <c:scaling>
          <c:orientation val="minMax"/>
          <c:min val="-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Recharge (cm/day)</a:t>
                </a:r>
              </a:p>
            </c:rich>
          </c:tx>
          <c:layout>
            <c:manualLayout>
              <c:xMode val="edge"/>
              <c:yMode val="edge"/>
              <c:x val="2.63279401038953E-2"/>
              <c:y val="0.33722827371751701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442912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3: Recharge vs Water Level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5"/>
          <c:order val="1"/>
          <c:spPr>
            <a:ln w="47625">
              <a:noFill/>
            </a:ln>
          </c:spPr>
          <c:marker>
            <c:symbol val="square"/>
            <c:size val="11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xVal>
            <c:numRef>
              <c:f>Plots!$BM$55:$BM$144</c:f>
              <c:numCache>
                <c:formatCode>General</c:formatCode>
                <c:ptCount val="90"/>
                <c:pt idx="0">
                  <c:v>3.6890624191981507</c:v>
                </c:pt>
                <c:pt idx="1">
                  <c:v>3.3074953411213714</c:v>
                </c:pt>
                <c:pt idx="2">
                  <c:v>3.7009155743392244</c:v>
                </c:pt>
                <c:pt idx="3">
                  <c:v>3.5004722295991852</c:v>
                </c:pt>
                <c:pt idx="4">
                  <c:v>3.1658550443621065</c:v>
                </c:pt>
                <c:pt idx="5">
                  <c:v>2.9093452457095355</c:v>
                </c:pt>
                <c:pt idx="6">
                  <c:v>3.661432976246588</c:v>
                </c:pt>
                <c:pt idx="7">
                  <c:v>3.2686184455944813</c:v>
                </c:pt>
                <c:pt idx="8">
                  <c:v>3.660127233736076</c:v>
                </c:pt>
                <c:pt idx="9">
                  <c:v>3.4643587306052828</c:v>
                </c:pt>
                <c:pt idx="10">
                  <c:v>3.1260257992832949</c:v>
                </c:pt>
                <c:pt idx="11">
                  <c:v>2.8816566978348677</c:v>
                </c:pt>
                <c:pt idx="12">
                  <c:v>3.616246677812625</c:v>
                </c:pt>
                <c:pt idx="13">
                  <c:v>3.2278004524185606</c:v>
                </c:pt>
                <c:pt idx="14">
                  <c:v>3.4180634391078977</c:v>
                </c:pt>
                <c:pt idx="15">
                  <c:v>3.0964350043176188</c:v>
                </c:pt>
                <c:pt idx="16">
                  <c:v>2.8446575104730956</c:v>
                </c:pt>
                <c:pt idx="17">
                  <c:v>3.5651524038752909</c:v>
                </c:pt>
                <c:pt idx="18">
                  <c:v>3.1861161938040867</c:v>
                </c:pt>
                <c:pt idx="19">
                  <c:v>3.3739726488416055</c:v>
                </c:pt>
                <c:pt idx="20">
                  <c:v>3.0696703853027509</c:v>
                </c:pt>
                <c:pt idx="21">
                  <c:v>2.8065082253497939</c:v>
                </c:pt>
                <c:pt idx="22">
                  <c:v>3.1516955413438135</c:v>
                </c:pt>
                <c:pt idx="23">
                  <c:v>3.0310358193055391</c:v>
                </c:pt>
                <c:pt idx="24">
                  <c:v>2.7656875728895214</c:v>
                </c:pt>
                <c:pt idx="25">
                  <c:v>3.1205748912332298</c:v>
                </c:pt>
                <c:pt idx="26">
                  <c:v>2.9960996280318719</c:v>
                </c:pt>
                <c:pt idx="27">
                  <c:v>2.7222288895585303</c:v>
                </c:pt>
                <c:pt idx="28">
                  <c:v>2.677693310700648</c:v>
                </c:pt>
                <c:pt idx="29">
                  <c:v>2.6445738854216385</c:v>
                </c:pt>
                <c:pt idx="30">
                  <c:v>2.6126156048852236</c:v>
                </c:pt>
                <c:pt idx="31">
                  <c:v>2.5780434202106379</c:v>
                </c:pt>
                <c:pt idx="32">
                  <c:v>2.5453010906809608</c:v>
                </c:pt>
                <c:pt idx="33">
                  <c:v>2.5081965847504817</c:v>
                </c:pt>
                <c:pt idx="34">
                  <c:v>2.4690867673003689</c:v>
                </c:pt>
                <c:pt idx="35">
                  <c:v>2.4298540455995914</c:v>
                </c:pt>
                <c:pt idx="36">
                  <c:v>2.3931609988435225</c:v>
                </c:pt>
                <c:pt idx="37">
                  <c:v>2.3502505713273179</c:v>
                </c:pt>
                <c:pt idx="38">
                  <c:v>2.3023331858677993</c:v>
                </c:pt>
                <c:pt idx="39">
                  <c:v>2.2695798117067456</c:v>
                </c:pt>
                <c:pt idx="40">
                  <c:v>2.2397538406777668</c:v>
                </c:pt>
                <c:pt idx="41">
                  <c:v>2.2115980098044945</c:v>
                </c:pt>
                <c:pt idx="42">
                  <c:v>2.1831853257985108</c:v>
                </c:pt>
                <c:pt idx="43">
                  <c:v>2.1525399177420583</c:v>
                </c:pt>
                <c:pt idx="44">
                  <c:v>2.1216223344097918</c:v>
                </c:pt>
                <c:pt idx="45">
                  <c:v>2.0977466778126255</c:v>
                </c:pt>
                <c:pt idx="46">
                  <c:v>2.0814663127128457</c:v>
                </c:pt>
                <c:pt idx="47">
                  <c:v>2.055550566627935</c:v>
                </c:pt>
                <c:pt idx="48">
                  <c:v>2.0289470923556623</c:v>
                </c:pt>
                <c:pt idx="49">
                  <c:v>2.0001311436986162</c:v>
                </c:pt>
                <c:pt idx="50">
                  <c:v>1.9718288942579132</c:v>
                </c:pt>
                <c:pt idx="51">
                  <c:v>1.94464341316156</c:v>
                </c:pt>
                <c:pt idx="52">
                  <c:v>1.9197092617073845</c:v>
                </c:pt>
                <c:pt idx="53">
                  <c:v>1.8912460747956057</c:v>
                </c:pt>
                <c:pt idx="54">
                  <c:v>1.8654438253549059</c:v>
                </c:pt>
                <c:pt idx="55">
                  <c:v>1.8430272572329993</c:v>
                </c:pt>
                <c:pt idx="56">
                  <c:v>1.8197387187570999</c:v>
                </c:pt>
                <c:pt idx="57">
                  <c:v>1.7965307456034256</c:v>
                </c:pt>
                <c:pt idx="58">
                  <c:v>1.7742712355360541</c:v>
                </c:pt>
                <c:pt idx="59">
                  <c:v>1.7503448476143439</c:v>
                </c:pt>
                <c:pt idx="60">
                  <c:v>1.7278583466082462</c:v>
                </c:pt>
                <c:pt idx="61">
                  <c:v>1.7063139702099981</c:v>
                </c:pt>
                <c:pt idx="62">
                  <c:v>1.6838859452633741</c:v>
                </c:pt>
                <c:pt idx="63">
                  <c:v>1.6634575198718646</c:v>
                </c:pt>
                <c:pt idx="64">
                  <c:v>1.6420783796036555</c:v>
                </c:pt>
                <c:pt idx="65">
                  <c:v>1.6201814463819708</c:v>
                </c:pt>
                <c:pt idx="66">
                  <c:v>1.5991260277020405</c:v>
                </c:pt>
                <c:pt idx="67">
                  <c:v>1.5776430056676023</c:v>
                </c:pt>
                <c:pt idx="68">
                  <c:v>1.5563562973899845</c:v>
                </c:pt>
                <c:pt idx="69">
                  <c:v>1.5351661054413257</c:v>
                </c:pt>
                <c:pt idx="70">
                  <c:v>1.5152657026467513</c:v>
                </c:pt>
                <c:pt idx="71">
                  <c:v>1.4951765329575299</c:v>
                </c:pt>
                <c:pt idx="72">
                  <c:v>1.4721573055512711</c:v>
                </c:pt>
                <c:pt idx="73">
                  <c:v>1.4525552539833169</c:v>
                </c:pt>
                <c:pt idx="74">
                  <c:v>1.4321198800472623</c:v>
                </c:pt>
                <c:pt idx="75">
                  <c:v>1.4101740691962346</c:v>
                </c:pt>
                <c:pt idx="76">
                  <c:v>1.3890292876537189</c:v>
                </c:pt>
                <c:pt idx="77">
                  <c:v>1.3675225346322315</c:v>
                </c:pt>
                <c:pt idx="78">
                  <c:v>1.3459656861989058</c:v>
                </c:pt>
                <c:pt idx="79">
                  <c:v>1.3257501426861293</c:v>
                </c:pt>
                <c:pt idx="80">
                  <c:v>1.3051910354133338</c:v>
                </c:pt>
                <c:pt idx="81">
                  <c:v>1.2847067908970122</c:v>
                </c:pt>
                <c:pt idx="82">
                  <c:v>1.2617270452620954</c:v>
                </c:pt>
                <c:pt idx="83">
                  <c:v>1.2418932989521871</c:v>
                </c:pt>
                <c:pt idx="84">
                  <c:v>1.2223783631558125</c:v>
                </c:pt>
                <c:pt idx="85">
                  <c:v>1.2017894124865713</c:v>
                </c:pt>
                <c:pt idx="86">
                  <c:v>1.1800295043240081</c:v>
                </c:pt>
                <c:pt idx="87">
                  <c:v>1.1658444354209991</c:v>
                </c:pt>
                <c:pt idx="88">
                  <c:v>1.1438027112580298</c:v>
                </c:pt>
                <c:pt idx="89">
                  <c:v>1.1231266448172126</c:v>
                </c:pt>
              </c:numCache>
            </c:numRef>
          </c:xVal>
          <c:yVal>
            <c:numRef>
              <c:f>Plots!$BL$55:$BL$144</c:f>
              <c:numCache>
                <c:formatCode>General</c:formatCode>
                <c:ptCount val="90"/>
                <c:pt idx="1">
                  <c:v>2.4488396528948124</c:v>
                </c:pt>
                <c:pt idx="2">
                  <c:v>2.8241282468994231</c:v>
                </c:pt>
                <c:pt idx="3">
                  <c:v>1.8492811759183909</c:v>
                </c:pt>
                <c:pt idx="4">
                  <c:v>1.6244099471257181</c:v>
                </c:pt>
                <c:pt idx="5">
                  <c:v>1.5981760301666714</c:v>
                </c:pt>
                <c:pt idx="6">
                  <c:v>3.875838432476332</c:v>
                </c:pt>
                <c:pt idx="7">
                  <c:v>2.5090136334827631</c:v>
                </c:pt>
                <c:pt idx="8">
                  <c:v>2.5798579901722336</c:v>
                </c:pt>
                <c:pt idx="9">
                  <c:v>2.412180297791231</c:v>
                </c:pt>
                <c:pt idx="10">
                  <c:v>2.2329832100365108</c:v>
                </c:pt>
                <c:pt idx="11">
                  <c:v>1.6603022286591682</c:v>
                </c:pt>
                <c:pt idx="12">
                  <c:v>3.8766194498710522</c:v>
                </c:pt>
                <c:pt idx="13">
                  <c:v>2.5696173894704009</c:v>
                </c:pt>
                <c:pt idx="14">
                  <c:v>2.471709548170824</c:v>
                </c:pt>
                <c:pt idx="15">
                  <c:v>2.2648222436210497</c:v>
                </c:pt>
                <c:pt idx="16">
                  <c:v>1.6955608776319533</c:v>
                </c:pt>
                <c:pt idx="17">
                  <c:v>4.8137735593518389</c:v>
                </c:pt>
                <c:pt idx="18">
                  <c:v>2.6306238174440071</c:v>
                </c:pt>
                <c:pt idx="19">
                  <c:v>1.8834405551877043</c:v>
                </c:pt>
                <c:pt idx="20">
                  <c:v>2.066153019817675</c:v>
                </c:pt>
                <c:pt idx="21">
                  <c:v>1.8755405671891781</c:v>
                </c:pt>
                <c:pt idx="23">
                  <c:v>1.9987040892223098</c:v>
                </c:pt>
                <c:pt idx="24">
                  <c:v>2.0854468580534853</c:v>
                </c:pt>
                <c:pt idx="25">
                  <c:v>2.6223275717346604</c:v>
                </c:pt>
                <c:pt idx="27">
                  <c:v>3.0022490055545559</c:v>
                </c:pt>
                <c:pt idx="28">
                  <c:v>1.6593625441544424</c:v>
                </c:pt>
                <c:pt idx="29">
                  <c:v>1.5671439458434091</c:v>
                </c:pt>
                <c:pt idx="30">
                  <c:v>1.4895534092264633</c:v>
                </c:pt>
                <c:pt idx="31">
                  <c:v>1.571703238561184</c:v>
                </c:pt>
                <c:pt idx="32">
                  <c:v>1.250745385728202</c:v>
                </c:pt>
                <c:pt idx="33">
                  <c:v>1.464739505291748</c:v>
                </c:pt>
                <c:pt idx="34">
                  <c:v>2.083570124941847</c:v>
                </c:pt>
                <c:pt idx="35">
                  <c:v>1.0475136367000291</c:v>
                </c:pt>
                <c:pt idx="36">
                  <c:v>2.1283161418985697</c:v>
                </c:pt>
                <c:pt idx="37">
                  <c:v>2.3634660871940931</c:v>
                </c:pt>
                <c:pt idx="38">
                  <c:v>3.3083435945081701</c:v>
                </c:pt>
                <c:pt idx="39">
                  <c:v>0.8774975652972371</c:v>
                </c:pt>
                <c:pt idx="40">
                  <c:v>0.9228607880143378</c:v>
                </c:pt>
                <c:pt idx="41">
                  <c:v>1.1553708950288122</c:v>
                </c:pt>
                <c:pt idx="42">
                  <c:v>1.4177427230363291</c:v>
                </c:pt>
                <c:pt idx="43">
                  <c:v>1.2793825273344654</c:v>
                </c:pt>
                <c:pt idx="44">
                  <c:v>1.1568148417820987</c:v>
                </c:pt>
                <c:pt idx="45">
                  <c:v>-0.57189385084433941</c:v>
                </c:pt>
                <c:pt idx="46">
                  <c:v>1.3882029636103224</c:v>
                </c:pt>
                <c:pt idx="47">
                  <c:v>1.2934790995496357</c:v>
                </c:pt>
                <c:pt idx="48">
                  <c:v>1.0851877450868967</c:v>
                </c:pt>
                <c:pt idx="49">
                  <c:v>1.0816533384963765</c:v>
                </c:pt>
                <c:pt idx="50">
                  <c:v>0.76228500471372829</c:v>
                </c:pt>
                <c:pt idx="51">
                  <c:v>1.3792860779035478</c:v>
                </c:pt>
                <c:pt idx="52">
                  <c:v>1.3617671604882193</c:v>
                </c:pt>
                <c:pt idx="53">
                  <c:v>1.0413152667974677</c:v>
                </c:pt>
                <c:pt idx="54">
                  <c:v>1.0478500073616397</c:v>
                </c:pt>
                <c:pt idx="55">
                  <c:v>0.76953679561951072</c:v>
                </c:pt>
                <c:pt idx="56">
                  <c:v>0.58719608970827897</c:v>
                </c:pt>
                <c:pt idx="57">
                  <c:v>0.5861689221110451</c:v>
                </c:pt>
                <c:pt idx="58">
                  <c:v>0.61264924241331031</c:v>
                </c:pt>
                <c:pt idx="59">
                  <c:v>0.53937078584970277</c:v>
                </c:pt>
                <c:pt idx="60">
                  <c:v>1.1293620348458043E-2</c:v>
                </c:pt>
                <c:pt idx="61">
                  <c:v>0.35020825485241841</c:v>
                </c:pt>
                <c:pt idx="62">
                  <c:v>-0.47808</c:v>
                </c:pt>
                <c:pt idx="63">
                  <c:v>-0.15984000000000001</c:v>
                </c:pt>
                <c:pt idx="64">
                  <c:v>-0.41039999999999999</c:v>
                </c:pt>
                <c:pt idx="65">
                  <c:v>-0.24191999999999997</c:v>
                </c:pt>
                <c:pt idx="66">
                  <c:v>-0.23327999999999999</c:v>
                </c:pt>
                <c:pt idx="67">
                  <c:v>-7.1856000000000003E-2</c:v>
                </c:pt>
                <c:pt idx="68">
                  <c:v>-0.14371200000000001</c:v>
                </c:pt>
                <c:pt idx="69">
                  <c:v>-6.3072000000000003E-2</c:v>
                </c:pt>
                <c:pt idx="70">
                  <c:v>5.7312000000000002E-2</c:v>
                </c:pt>
                <c:pt idx="71">
                  <c:v>0.11203199999999999</c:v>
                </c:pt>
                <c:pt idx="72">
                  <c:v>-0.71279999999999999</c:v>
                </c:pt>
                <c:pt idx="73">
                  <c:v>-0.66527999999999998</c:v>
                </c:pt>
                <c:pt idx="74">
                  <c:v>-1.2369600000000001</c:v>
                </c:pt>
                <c:pt idx="75">
                  <c:v>-1.04112</c:v>
                </c:pt>
                <c:pt idx="76">
                  <c:v>-0.87696000000000007</c:v>
                </c:pt>
                <c:pt idx="77">
                  <c:v>-0.98352000000000006</c:v>
                </c:pt>
                <c:pt idx="78">
                  <c:v>-1.05264</c:v>
                </c:pt>
                <c:pt idx="79">
                  <c:v>-0.98063999999999996</c:v>
                </c:pt>
                <c:pt idx="80" formatCode="0.0000000">
                  <c:v>-8.524799999999999E-2</c:v>
                </c:pt>
                <c:pt idx="81">
                  <c:v>0.12196799999999999</c:v>
                </c:pt>
                <c:pt idx="82">
                  <c:v>0.74015999999999993</c:v>
                </c:pt>
                <c:pt idx="83">
                  <c:v>0.22320000000000001</c:v>
                </c:pt>
                <c:pt idx="84">
                  <c:v>0.19583999999999999</c:v>
                </c:pt>
                <c:pt idx="85">
                  <c:v>0.52127999999999997</c:v>
                </c:pt>
                <c:pt idx="86">
                  <c:v>7.6607999999999997E-3</c:v>
                </c:pt>
                <c:pt idx="87">
                  <c:v>-0.13852800000000001</c:v>
                </c:pt>
                <c:pt idx="88">
                  <c:v>3.0096000000000001E-2</c:v>
                </c:pt>
                <c:pt idx="89">
                  <c:v>0.16847999999999999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E-D143-92B0-8CC5C2EC110D}"/>
            </c:ext>
          </c:extLst>
        </c:ser>
        <c:ser>
          <c:idx val="2"/>
          <c:order val="0"/>
          <c:spPr>
            <a:ln w="47625">
              <a:noFill/>
            </a:ln>
          </c:spPr>
          <c:marker>
            <c:symbol val="diamond"/>
            <c:size val="12"/>
            <c:spPr>
              <a:solidFill>
                <a:schemeClr val="accent1"/>
              </a:solidFill>
              <a:ln>
                <a:solidFill>
                  <a:srgbClr val="008000"/>
                </a:solidFill>
              </a:ln>
            </c:spPr>
          </c:marker>
          <c:xVal>
            <c:numRef>
              <c:f>Plots!$BM$17:$BM$54</c:f>
              <c:numCache>
                <c:formatCode>General</c:formatCode>
                <c:ptCount val="38"/>
                <c:pt idx="0">
                  <c:v>3.402581022440164</c:v>
                </c:pt>
                <c:pt idx="1">
                  <c:v>3.5956143565567311</c:v>
                </c:pt>
                <c:pt idx="2">
                  <c:v>3.9735063881024368</c:v>
                </c:pt>
                <c:pt idx="3">
                  <c:v>4.0705503382091868</c:v>
                </c:pt>
                <c:pt idx="4">
                  <c:v>3.9363337677375876</c:v>
                </c:pt>
                <c:pt idx="5">
                  <c:v>3.8828229280280384</c:v>
                </c:pt>
                <c:pt idx="6">
                  <c:v>3.8284341775812392</c:v>
                </c:pt>
                <c:pt idx="7">
                  <c:v>3.5144710094669973</c:v>
                </c:pt>
                <c:pt idx="8">
                  <c:v>3.4474771477230091</c:v>
                </c:pt>
                <c:pt idx="9">
                  <c:v>3.4445194843017637</c:v>
                </c:pt>
                <c:pt idx="10">
                  <c:v>3.42052888955853</c:v>
                </c:pt>
                <c:pt idx="11">
                  <c:v>3.0834939113679729</c:v>
                </c:pt>
                <c:pt idx="12">
                  <c:v>3.0008783584564283</c:v>
                </c:pt>
                <c:pt idx="13">
                  <c:v>3.7856730516361816</c:v>
                </c:pt>
                <c:pt idx="14">
                  <c:v>3.6221720246773588</c:v>
                </c:pt>
                <c:pt idx="15">
                  <c:v>3.339745248059228</c:v>
                </c:pt>
                <c:pt idx="16">
                  <c:v>3.3122742858665228</c:v>
                </c:pt>
                <c:pt idx="17">
                  <c:v>3.2755507692000672</c:v>
                </c:pt>
                <c:pt idx="18">
                  <c:v>3.2615924910133449</c:v>
                </c:pt>
                <c:pt idx="19">
                  <c:v>2.9535202734430692</c:v>
                </c:pt>
                <c:pt idx="20">
                  <c:v>2.9459572820543505</c:v>
                </c:pt>
                <c:pt idx="21">
                  <c:v>3.7167159959313372</c:v>
                </c:pt>
                <c:pt idx="22">
                  <c:v>4.0373947052086629</c:v>
                </c:pt>
                <c:pt idx="23">
                  <c:v>3.9870924557679617</c:v>
                </c:pt>
                <c:pt idx="24">
                  <c:v>3.7887409376518049</c:v>
                </c:pt>
                <c:pt idx="25">
                  <c:v>3.4816802121516313</c:v>
                </c:pt>
                <c:pt idx="26">
                  <c:v>3.3864530186407693</c:v>
                </c:pt>
                <c:pt idx="27">
                  <c:v>3.0417266236699829</c:v>
                </c:pt>
                <c:pt idx="28">
                  <c:v>3.7786814440322791</c:v>
                </c:pt>
                <c:pt idx="29">
                  <c:v>3.5806231540970943</c:v>
                </c:pt>
                <c:pt idx="30">
                  <c:v>3.2337663033140762</c:v>
                </c:pt>
                <c:pt idx="31">
                  <c:v>2.9589521919043884</c:v>
                </c:pt>
                <c:pt idx="32">
                  <c:v>3.7360098576753265</c:v>
                </c:pt>
                <c:pt idx="33">
                  <c:v>3.3481487199818067</c:v>
                </c:pt>
                <c:pt idx="34">
                  <c:v>3.7410401297129612</c:v>
                </c:pt>
                <c:pt idx="35">
                  <c:v>3.5398139537621534</c:v>
                </c:pt>
                <c:pt idx="36">
                  <c:v>3.2027693677426976</c:v>
                </c:pt>
                <c:pt idx="37">
                  <c:v>2.9403162032028556</c:v>
                </c:pt>
              </c:numCache>
            </c:numRef>
          </c:xVal>
          <c:yVal>
            <c:numRef>
              <c:f>Plots!$BL$17:$BL$54</c:f>
              <c:numCache>
                <c:formatCode>General</c:formatCode>
                <c:ptCount val="38"/>
                <c:pt idx="7">
                  <c:v>2.4968238271798624</c:v>
                </c:pt>
                <c:pt idx="8">
                  <c:v>2.6144485453752178</c:v>
                </c:pt>
                <c:pt idx="9">
                  <c:v>2.4849697336963619</c:v>
                </c:pt>
                <c:pt idx="10">
                  <c:v>2.4427990299302671</c:v>
                </c:pt>
                <c:pt idx="11">
                  <c:v>2.5974172480089561</c:v>
                </c:pt>
                <c:pt idx="13">
                  <c:v>-3.71</c:v>
                </c:pt>
                <c:pt idx="14">
                  <c:v>2.609304577817432</c:v>
                </c:pt>
                <c:pt idx="15">
                  <c:v>1.7413050798229988</c:v>
                </c:pt>
                <c:pt idx="16">
                  <c:v>0.99414174912606978</c:v>
                </c:pt>
                <c:pt idx="17">
                  <c:v>-2.2578653552395642</c:v>
                </c:pt>
                <c:pt idx="18">
                  <c:v>-1.2488918376506521</c:v>
                </c:pt>
                <c:pt idx="19">
                  <c:v>2.2826679007830104</c:v>
                </c:pt>
                <c:pt idx="20">
                  <c:v>-6.9377187857936479E-3</c:v>
                </c:pt>
                <c:pt idx="25">
                  <c:v>2.9155353829811101</c:v>
                </c:pt>
                <c:pt idx="26">
                  <c:v>2.5020071347161839</c:v>
                </c:pt>
                <c:pt idx="27">
                  <c:v>2.5158057343657654</c:v>
                </c:pt>
                <c:pt idx="28">
                  <c:v>1.7147574073897422</c:v>
                </c:pt>
                <c:pt idx="29">
                  <c:v>2.9701925284258746</c:v>
                </c:pt>
                <c:pt idx="30">
                  <c:v>0.62515837733408564</c:v>
                </c:pt>
                <c:pt idx="31">
                  <c:v>-0.64131519526710967</c:v>
                </c:pt>
                <c:pt idx="33">
                  <c:v>2.6768296780128575</c:v>
                </c:pt>
                <c:pt idx="34">
                  <c:v>3.6013645854884548</c:v>
                </c:pt>
                <c:pt idx="35">
                  <c:v>2.582459148903713</c:v>
                </c:pt>
                <c:pt idx="36">
                  <c:v>1.2180204389017413</c:v>
                </c:pt>
                <c:pt idx="37">
                  <c:v>0.85900897058280878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5E-D143-92B0-8CC5C2EC1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383104"/>
        <c:axId val="-2035374656"/>
      </c:scatterChart>
      <c:valAx>
        <c:axId val="-2035383104"/>
        <c:scaling>
          <c:orientation val="minMax"/>
          <c:max val="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800"/>
                  <a:t>Water Level (m)</a:t>
                </a:r>
              </a:p>
            </c:rich>
          </c:tx>
          <c:layout>
            <c:manualLayout>
              <c:xMode val="edge"/>
              <c:yMode val="edge"/>
              <c:x val="0.40781462572376898"/>
              <c:y val="0.87753900554097397"/>
            </c:manualLayout>
          </c:layout>
          <c:overlay val="0"/>
        </c:title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374656"/>
        <c:crossesAt val="-4"/>
        <c:crossBetween val="midCat"/>
        <c:majorUnit val="1"/>
      </c:valAx>
      <c:valAx>
        <c:axId val="-2035374656"/>
        <c:scaling>
          <c:orientation val="minMax"/>
          <c:max val="6"/>
          <c:min val="-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Recharge</a:t>
                </a:r>
                <a:r>
                  <a:rPr lang="en-US" sz="1800" baseline="0"/>
                  <a:t> (cm/day)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2.63279401038953E-2"/>
              <c:y val="0.33722827371751701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383104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4: Recharge vs Days since Last Rainfall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2528318175729"/>
          <c:y val="0.147164374162773"/>
          <c:w val="0.84729217212687702"/>
          <c:h val="0.77348144759913295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xVal>
            <c:numRef>
              <c:f>[1]Sheet1!$G$44:$G$149</c:f>
              <c:numCache>
                <c:formatCode>General</c:formatCode>
                <c:ptCount val="106"/>
                <c:pt idx="0">
                  <c:v>-0.21</c:v>
                </c:pt>
                <c:pt idx="1">
                  <c:v>0.28899999999999998</c:v>
                </c:pt>
                <c:pt idx="2">
                  <c:v>1.0900000000000001</c:v>
                </c:pt>
                <c:pt idx="3">
                  <c:v>0.80600000000000005</c:v>
                </c:pt>
                <c:pt idx="4">
                  <c:v>1.46</c:v>
                </c:pt>
                <c:pt idx="5">
                  <c:v>-1.68</c:v>
                </c:pt>
                <c:pt idx="6">
                  <c:v>0.86899999999999999</c:v>
                </c:pt>
                <c:pt idx="7">
                  <c:v>0.60299999999999998</c:v>
                </c:pt>
                <c:pt idx="8">
                  <c:v>0.64700000000000002</c:v>
                </c:pt>
                <c:pt idx="9">
                  <c:v>-88.2</c:v>
                </c:pt>
                <c:pt idx="10">
                  <c:v>-1.43</c:v>
                </c:pt>
                <c:pt idx="11">
                  <c:v>-0.63200000000000001</c:v>
                </c:pt>
                <c:pt idx="12">
                  <c:v>-0.19</c:v>
                </c:pt>
                <c:pt idx="13">
                  <c:v>0.11</c:v>
                </c:pt>
                <c:pt idx="14">
                  <c:v>-9.2700000000000005E-2</c:v>
                </c:pt>
                <c:pt idx="15">
                  <c:v>-6.3100000000000003E-2</c:v>
                </c:pt>
                <c:pt idx="16">
                  <c:v>-0.30599999999999999</c:v>
                </c:pt>
                <c:pt idx="17">
                  <c:v>-0.318</c:v>
                </c:pt>
                <c:pt idx="18">
                  <c:v>-6.9000000000000006E-2</c:v>
                </c:pt>
                <c:pt idx="19">
                  <c:v>-0.14899999999999999</c:v>
                </c:pt>
                <c:pt idx="20">
                  <c:v>-5.3100000000000001E-2</c:v>
                </c:pt>
                <c:pt idx="21">
                  <c:v>0.23100000000000001</c:v>
                </c:pt>
                <c:pt idx="22">
                  <c:v>0.129</c:v>
                </c:pt>
                <c:pt idx="23">
                  <c:v>-1.2</c:v>
                </c:pt>
                <c:pt idx="24">
                  <c:v>0</c:v>
                </c:pt>
                <c:pt idx="25">
                  <c:v>-1.1499999999999999</c:v>
                </c:pt>
                <c:pt idx="26">
                  <c:v>0.46</c:v>
                </c:pt>
                <c:pt idx="27">
                  <c:v>-8.0399999999999999E-2</c:v>
                </c:pt>
                <c:pt idx="28">
                  <c:v>1.0900000000000001</c:v>
                </c:pt>
                <c:pt idx="29">
                  <c:v>1.42</c:v>
                </c:pt>
                <c:pt idx="30">
                  <c:v>1.35</c:v>
                </c:pt>
                <c:pt idx="31">
                  <c:v>1.18</c:v>
                </c:pt>
                <c:pt idx="32">
                  <c:v>1.24</c:v>
                </c:pt>
                <c:pt idx="33">
                  <c:v>2.34</c:v>
                </c:pt>
                <c:pt idx="34">
                  <c:v>1.57</c:v>
                </c:pt>
                <c:pt idx="35">
                  <c:v>-20.2</c:v>
                </c:pt>
                <c:pt idx="36">
                  <c:v>-0.29099999999999998</c:v>
                </c:pt>
                <c:pt idx="37">
                  <c:v>0.307</c:v>
                </c:pt>
                <c:pt idx="38">
                  <c:v>0.81799999999999995</c:v>
                </c:pt>
                <c:pt idx="39">
                  <c:v>0.68600000000000005</c:v>
                </c:pt>
                <c:pt idx="40">
                  <c:v>1.76</c:v>
                </c:pt>
                <c:pt idx="41">
                  <c:v>2.15</c:v>
                </c:pt>
                <c:pt idx="45">
                  <c:v>4.97</c:v>
                </c:pt>
                <c:pt idx="46">
                  <c:v>3.54</c:v>
                </c:pt>
                <c:pt idx="47">
                  <c:v>3.44</c:v>
                </c:pt>
                <c:pt idx="48">
                  <c:v>1.68</c:v>
                </c:pt>
                <c:pt idx="49">
                  <c:v>0.91900000000000004</c:v>
                </c:pt>
                <c:pt idx="50">
                  <c:v>0.97099999999999997</c:v>
                </c:pt>
                <c:pt idx="51">
                  <c:v>0.998</c:v>
                </c:pt>
                <c:pt idx="52">
                  <c:v>3.53</c:v>
                </c:pt>
                <c:pt idx="53">
                  <c:v>2.85</c:v>
                </c:pt>
                <c:pt idx="54">
                  <c:v>2.58</c:v>
                </c:pt>
                <c:pt idx="55">
                  <c:v>1.76</c:v>
                </c:pt>
                <c:pt idx="56">
                  <c:v>1.89</c:v>
                </c:pt>
                <c:pt idx="57">
                  <c:v>1.43</c:v>
                </c:pt>
                <c:pt idx="58">
                  <c:v>1.23</c:v>
                </c:pt>
                <c:pt idx="59">
                  <c:v>0.755</c:v>
                </c:pt>
                <c:pt idx="60">
                  <c:v>0.995</c:v>
                </c:pt>
                <c:pt idx="61">
                  <c:v>0</c:v>
                </c:pt>
                <c:pt idx="62">
                  <c:v>1.39</c:v>
                </c:pt>
                <c:pt idx="63">
                  <c:v>0.98599999999999999</c:v>
                </c:pt>
                <c:pt idx="64">
                  <c:v>0.63600000000000001</c:v>
                </c:pt>
                <c:pt idx="65">
                  <c:v>0.58599999999999997</c:v>
                </c:pt>
                <c:pt idx="66">
                  <c:v>0.78300000000000003</c:v>
                </c:pt>
                <c:pt idx="67">
                  <c:v>0.628</c:v>
                </c:pt>
                <c:pt idx="68">
                  <c:v>0.54100000000000004</c:v>
                </c:pt>
                <c:pt idx="69">
                  <c:v>0.64500000000000002</c:v>
                </c:pt>
                <c:pt idx="70">
                  <c:v>1.1100000000000001</c:v>
                </c:pt>
                <c:pt idx="71">
                  <c:v>0.93</c:v>
                </c:pt>
                <c:pt idx="72">
                  <c:v>0.71</c:v>
                </c:pt>
                <c:pt idx="73">
                  <c:v>0.60599999999999998</c:v>
                </c:pt>
                <c:pt idx="74">
                  <c:v>0.48499999999999999</c:v>
                </c:pt>
                <c:pt idx="75">
                  <c:v>0.36099999999999999</c:v>
                </c:pt>
                <c:pt idx="76">
                  <c:v>6.3100000000000003E-2</c:v>
                </c:pt>
                <c:pt idx="77">
                  <c:v>0.42599999999999999</c:v>
                </c:pt>
                <c:pt idx="78">
                  <c:v>1.04</c:v>
                </c:pt>
                <c:pt idx="79">
                  <c:v>-2.6800000000000001E-2</c:v>
                </c:pt>
                <c:pt idx="80">
                  <c:v>-1.2800000000000001E-2</c:v>
                </c:pt>
                <c:pt idx="81">
                  <c:v>9.6199999999999994E-2</c:v>
                </c:pt>
                <c:pt idx="82">
                  <c:v>0.184</c:v>
                </c:pt>
                <c:pt idx="83">
                  <c:v>-3.8699999999999998E-2</c:v>
                </c:pt>
                <c:pt idx="84">
                  <c:v>0.112</c:v>
                </c:pt>
                <c:pt idx="85">
                  <c:v>0.30499999999999999</c:v>
                </c:pt>
                <c:pt idx="86">
                  <c:v>-0.17699999999999999</c:v>
                </c:pt>
                <c:pt idx="87">
                  <c:v>-4.8500000000000001E-2</c:v>
                </c:pt>
                <c:pt idx="88">
                  <c:v>0.128</c:v>
                </c:pt>
                <c:pt idx="89">
                  <c:v>-0.223</c:v>
                </c:pt>
                <c:pt idx="90">
                  <c:v>-0.97799999999999998</c:v>
                </c:pt>
                <c:pt idx="91">
                  <c:v>-0.54600000000000004</c:v>
                </c:pt>
                <c:pt idx="92">
                  <c:v>-0.30499999999999999</c:v>
                </c:pt>
                <c:pt idx="93">
                  <c:v>-0.45400000000000001</c:v>
                </c:pt>
                <c:pt idx="94">
                  <c:v>-0.61199999999999999</c:v>
                </c:pt>
                <c:pt idx="95">
                  <c:v>-0.93500000000000005</c:v>
                </c:pt>
                <c:pt idx="96">
                  <c:v>-0.121</c:v>
                </c:pt>
                <c:pt idx="97">
                  <c:v>0.30399999999999999</c:v>
                </c:pt>
                <c:pt idx="98">
                  <c:v>1.7</c:v>
                </c:pt>
                <c:pt idx="99">
                  <c:v>-0.30199999999999999</c:v>
                </c:pt>
                <c:pt idx="100">
                  <c:v>-0.26500000000000001</c:v>
                </c:pt>
                <c:pt idx="101">
                  <c:v>0.71699999999999997</c:v>
                </c:pt>
                <c:pt idx="102">
                  <c:v>0.28199999999999997</c:v>
                </c:pt>
                <c:pt idx="103">
                  <c:v>-1.17</c:v>
                </c:pt>
                <c:pt idx="104">
                  <c:v>-6.6100000000000006E-2</c:v>
                </c:pt>
                <c:pt idx="105">
                  <c:v>-1.07</c:v>
                </c:pt>
              </c:numCache>
            </c:numRef>
          </c:xVal>
          <c:yVal>
            <c:numRef>
              <c:f>[1]Sheet1!$I$44:$I$149</c:f>
              <c:numCache>
                <c:formatCode>General</c:formatCode>
                <c:ptCount val="1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6</c:v>
                </c:pt>
                <c:pt idx="43">
                  <c:v>7</c:v>
                </c:pt>
                <c:pt idx="44">
                  <c:v>8</c:v>
                </c:pt>
                <c:pt idx="45">
                  <c:v>9</c:v>
                </c:pt>
                <c:pt idx="46">
                  <c:v>10</c:v>
                </c:pt>
                <c:pt idx="47">
                  <c:v>11</c:v>
                </c:pt>
                <c:pt idx="48">
                  <c:v>12</c:v>
                </c:pt>
                <c:pt idx="49">
                  <c:v>13</c:v>
                </c:pt>
                <c:pt idx="50">
                  <c:v>14</c:v>
                </c:pt>
                <c:pt idx="51">
                  <c:v>15</c:v>
                </c:pt>
                <c:pt idx="52">
                  <c:v>16</c:v>
                </c:pt>
                <c:pt idx="53">
                  <c:v>17</c:v>
                </c:pt>
                <c:pt idx="54">
                  <c:v>18</c:v>
                </c:pt>
                <c:pt idx="55">
                  <c:v>19</c:v>
                </c:pt>
                <c:pt idx="56">
                  <c:v>20</c:v>
                </c:pt>
                <c:pt idx="57">
                  <c:v>21</c:v>
                </c:pt>
                <c:pt idx="58">
                  <c:v>22</c:v>
                </c:pt>
                <c:pt idx="59">
                  <c:v>23</c:v>
                </c:pt>
                <c:pt idx="60">
                  <c:v>24</c:v>
                </c:pt>
                <c:pt idx="61">
                  <c:v>25</c:v>
                </c:pt>
                <c:pt idx="62">
                  <c:v>26</c:v>
                </c:pt>
                <c:pt idx="63">
                  <c:v>27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34</c:v>
                </c:pt>
                <c:pt idx="71">
                  <c:v>35</c:v>
                </c:pt>
                <c:pt idx="72">
                  <c:v>36</c:v>
                </c:pt>
                <c:pt idx="73">
                  <c:v>37</c:v>
                </c:pt>
                <c:pt idx="74">
                  <c:v>38</c:v>
                </c:pt>
                <c:pt idx="75">
                  <c:v>39</c:v>
                </c:pt>
                <c:pt idx="76">
                  <c:v>40</c:v>
                </c:pt>
                <c:pt idx="77">
                  <c:v>41</c:v>
                </c:pt>
                <c:pt idx="78">
                  <c:v>42</c:v>
                </c:pt>
                <c:pt idx="79">
                  <c:v>43</c:v>
                </c:pt>
                <c:pt idx="80">
                  <c:v>44</c:v>
                </c:pt>
                <c:pt idx="81">
                  <c:v>45</c:v>
                </c:pt>
                <c:pt idx="82">
                  <c:v>46</c:v>
                </c:pt>
                <c:pt idx="83">
                  <c:v>47</c:v>
                </c:pt>
                <c:pt idx="84">
                  <c:v>48</c:v>
                </c:pt>
                <c:pt idx="85">
                  <c:v>49</c:v>
                </c:pt>
                <c:pt idx="86">
                  <c:v>50</c:v>
                </c:pt>
                <c:pt idx="87">
                  <c:v>51</c:v>
                </c:pt>
                <c:pt idx="88">
                  <c:v>52</c:v>
                </c:pt>
                <c:pt idx="89">
                  <c:v>53</c:v>
                </c:pt>
                <c:pt idx="90">
                  <c:v>54</c:v>
                </c:pt>
                <c:pt idx="91">
                  <c:v>55</c:v>
                </c:pt>
                <c:pt idx="92">
                  <c:v>56</c:v>
                </c:pt>
                <c:pt idx="93">
                  <c:v>57</c:v>
                </c:pt>
                <c:pt idx="94">
                  <c:v>58</c:v>
                </c:pt>
                <c:pt idx="95">
                  <c:v>59</c:v>
                </c:pt>
                <c:pt idx="96">
                  <c:v>60</c:v>
                </c:pt>
                <c:pt idx="97">
                  <c:v>61</c:v>
                </c:pt>
                <c:pt idx="98">
                  <c:v>62</c:v>
                </c:pt>
                <c:pt idx="99">
                  <c:v>63</c:v>
                </c:pt>
                <c:pt idx="100">
                  <c:v>64</c:v>
                </c:pt>
                <c:pt idx="101">
                  <c:v>65</c:v>
                </c:pt>
                <c:pt idx="102">
                  <c:v>66</c:v>
                </c:pt>
                <c:pt idx="103">
                  <c:v>67</c:v>
                </c:pt>
                <c:pt idx="104">
                  <c:v>68</c:v>
                </c:pt>
                <c:pt idx="105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4B-4C43-A58E-99287EE7B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345808"/>
        <c:axId val="-2035342784"/>
      </c:scatterChart>
      <c:valAx>
        <c:axId val="-2035345808"/>
        <c:scaling>
          <c:orientation val="minMax"/>
          <c:min val="-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35342784"/>
        <c:crosses val="autoZero"/>
        <c:crossBetween val="midCat"/>
        <c:majorUnit val="1"/>
      </c:valAx>
      <c:valAx>
        <c:axId val="-2035342784"/>
        <c:scaling>
          <c:orientation val="minMax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35345808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4: Recharge vs Water Level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1"/>
          <c:order val="1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marker>
            <c:spPr>
              <a:solidFill>
                <a:srgbClr val="FFCC66"/>
              </a:solidFill>
              <a:ln>
                <a:solidFill>
                  <a:srgbClr val="804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6.8724528526561801E-2"/>
                  <c:y val="-6.8056045534723802E-2"/>
                </c:manualLayout>
              </c:layout>
              <c:numFmt formatCode="General" sourceLinked="0"/>
              <c:spPr>
                <a:solidFill>
                  <a:schemeClr val="bg1"/>
                </a:solidFill>
                <a:ln w="19050" cmpd="sng">
                  <a:solidFill>
                    <a:srgbClr val="000000"/>
                  </a:solidFill>
                </a:ln>
              </c:spPr>
              <c:txPr>
                <a:bodyPr/>
                <a:lstStyle/>
                <a:p>
                  <a:pPr>
                    <a:defRPr sz="1400"/>
                  </a:pPr>
                  <a:endParaRPr lang="en-US"/>
                </a:p>
              </c:txPr>
            </c:trendlineLbl>
          </c:trendline>
          <c:xVal>
            <c:numRef>
              <c:f>Plots!$AJ$89:$AJ$148</c:f>
              <c:numCache>
                <c:formatCode>General</c:formatCode>
                <c:ptCount val="60"/>
                <c:pt idx="0">
                  <c:v>2.0227156048852222</c:v>
                </c:pt>
                <c:pt idx="1">
                  <c:v>1.9766434202106367</c:v>
                </c:pt>
                <c:pt idx="2">
                  <c:v>1.9459010906809602</c:v>
                </c:pt>
                <c:pt idx="3">
                  <c:v>1.9260965847504816</c:v>
                </c:pt>
                <c:pt idx="4">
                  <c:v>1.9073867673003693</c:v>
                </c:pt>
                <c:pt idx="5">
                  <c:v>1.8889540455995912</c:v>
                </c:pt>
                <c:pt idx="6">
                  <c:v>1.8552609988435225</c:v>
                </c:pt>
                <c:pt idx="7">
                  <c:v>1.8162505713273176</c:v>
                </c:pt>
                <c:pt idx="8">
                  <c:v>1.7785331858677984</c:v>
                </c:pt>
                <c:pt idx="9">
                  <c:v>1.744879811706745</c:v>
                </c:pt>
                <c:pt idx="10">
                  <c:v>1.7175538406777657</c:v>
                </c:pt>
                <c:pt idx="11">
                  <c:v>1.6927980098044944</c:v>
                </c:pt>
                <c:pt idx="12">
                  <c:v>1.6738853257985116</c:v>
                </c:pt>
                <c:pt idx="13">
                  <c:v>1.6540399177420588</c:v>
                </c:pt>
                <c:pt idx="14">
                  <c:v>1.6342223344097913</c:v>
                </c:pt>
                <c:pt idx="15">
                  <c:v>1.6170466778126253</c:v>
                </c:pt>
                <c:pt idx="16">
                  <c:v>1.6136663127128439</c:v>
                </c:pt>
                <c:pt idx="17">
                  <c:v>1.5972505666279342</c:v>
                </c:pt>
                <c:pt idx="18">
                  <c:v>1.5800470923556609</c:v>
                </c:pt>
                <c:pt idx="19">
                  <c:v>1.5642311436986165</c:v>
                </c:pt>
                <c:pt idx="20" formatCode="0.00E+00">
                  <c:v>1.5474288942579135</c:v>
                </c:pt>
                <c:pt idx="21">
                  <c:v>1.5286434131615603</c:v>
                </c:pt>
                <c:pt idx="22">
                  <c:v>1.5106092617073847</c:v>
                </c:pt>
                <c:pt idx="23">
                  <c:v>1.4923460747956052</c:v>
                </c:pt>
                <c:pt idx="24">
                  <c:v>1.4737438253549064</c:v>
                </c:pt>
                <c:pt idx="25">
                  <c:v>1.4548272572329988</c:v>
                </c:pt>
                <c:pt idx="26">
                  <c:v>1.434738718757099</c:v>
                </c:pt>
                <c:pt idx="27">
                  <c:v>1.4139307456034245</c:v>
                </c:pt>
                <c:pt idx="28">
                  <c:v>1.3935712355360539</c:v>
                </c:pt>
                <c:pt idx="29">
                  <c:v>1.3718448476143439</c:v>
                </c:pt>
                <c:pt idx="30">
                  <c:v>1.3499583466082465</c:v>
                </c:pt>
                <c:pt idx="31">
                  <c:v>1.3276139702099985</c:v>
                </c:pt>
                <c:pt idx="32">
                  <c:v>1.305385945263374</c:v>
                </c:pt>
                <c:pt idx="33">
                  <c:v>1.2829575198718639</c:v>
                </c:pt>
                <c:pt idx="34">
                  <c:v>1.2593783796036564</c:v>
                </c:pt>
                <c:pt idx="35">
                  <c:v>1.2354814463819692</c:v>
                </c:pt>
                <c:pt idx="36">
                  <c:v>1.2124260277020418</c:v>
                </c:pt>
                <c:pt idx="37">
                  <c:v>1.1877430056676022</c:v>
                </c:pt>
                <c:pt idx="38">
                  <c:v>1.1624562973899848</c:v>
                </c:pt>
                <c:pt idx="39">
                  <c:v>1.1376661054413257</c:v>
                </c:pt>
                <c:pt idx="40">
                  <c:v>1.112165702646752</c:v>
                </c:pt>
                <c:pt idx="41">
                  <c:v>1.08927653295753</c:v>
                </c:pt>
                <c:pt idx="42">
                  <c:v>1.0646573055512696</c:v>
                </c:pt>
                <c:pt idx="43">
                  <c:v>1.0399552539833183</c:v>
                </c:pt>
                <c:pt idx="44">
                  <c:v>1.0165198800472619</c:v>
                </c:pt>
                <c:pt idx="45">
                  <c:v>0.99477406919623368</c:v>
                </c:pt>
                <c:pt idx="46">
                  <c:v>0.97102928765371876</c:v>
                </c:pt>
                <c:pt idx="47">
                  <c:v>0.94512253463223272</c:v>
                </c:pt>
                <c:pt idx="48">
                  <c:v>0.92076568619890642</c:v>
                </c:pt>
                <c:pt idx="49">
                  <c:v>0.89365014268613008</c:v>
                </c:pt>
                <c:pt idx="50">
                  <c:v>0.86809103541333377</c:v>
                </c:pt>
                <c:pt idx="51">
                  <c:v>0.84340679089701309</c:v>
                </c:pt>
                <c:pt idx="52">
                  <c:v>0.81532704526209576</c:v>
                </c:pt>
                <c:pt idx="53">
                  <c:v>0.78949329895218723</c:v>
                </c:pt>
                <c:pt idx="54">
                  <c:v>0.76517836315581134</c:v>
                </c:pt>
                <c:pt idx="55">
                  <c:v>0.74098941248656969</c:v>
                </c:pt>
                <c:pt idx="56">
                  <c:v>0.71552950432400797</c:v>
                </c:pt>
                <c:pt idx="57">
                  <c:v>0.69674443542099906</c:v>
                </c:pt>
                <c:pt idx="58">
                  <c:v>0.67210271125803045</c:v>
                </c:pt>
                <c:pt idx="59">
                  <c:v>0.52862664481721344</c:v>
                </c:pt>
              </c:numCache>
            </c:numRef>
          </c:xVal>
          <c:yVal>
            <c:numRef>
              <c:f>Plots!$AI$89:$AI$148</c:f>
              <c:numCache>
                <c:formatCode>General</c:formatCode>
                <c:ptCount val="60"/>
                <c:pt idx="0">
                  <c:v>3.5424000000000002</c:v>
                </c:pt>
                <c:pt idx="1">
                  <c:v>3.4416000000000002</c:v>
                </c:pt>
                <c:pt idx="2">
                  <c:v>1.6847999999999999</c:v>
                </c:pt>
                <c:pt idx="3">
                  <c:v>0.91871999999999998</c:v>
                </c:pt>
                <c:pt idx="4">
                  <c:v>0.97055999999999998</c:v>
                </c:pt>
                <c:pt idx="5">
                  <c:v>0.99791999999999992</c:v>
                </c:pt>
                <c:pt idx="6">
                  <c:v>3.528</c:v>
                </c:pt>
                <c:pt idx="7">
                  <c:v>2.8512</c:v>
                </c:pt>
                <c:pt idx="8">
                  <c:v>2.5775999999999999</c:v>
                </c:pt>
                <c:pt idx="9">
                  <c:v>1.7568000000000001</c:v>
                </c:pt>
                <c:pt idx="10">
                  <c:v>1.8863999999999999</c:v>
                </c:pt>
                <c:pt idx="11">
                  <c:v>1.4327999999999999</c:v>
                </c:pt>
                <c:pt idx="12">
                  <c:v>7.9200000000000007E-2</c:v>
                </c:pt>
                <c:pt idx="13">
                  <c:v>0.7545599999999999</c:v>
                </c:pt>
                <c:pt idx="14">
                  <c:v>0.99504000000000004</c:v>
                </c:pt>
                <c:pt idx="15">
                  <c:v>-1.2182400000000002</c:v>
                </c:pt>
                <c:pt idx="16">
                  <c:v>1.3881599999999998</c:v>
                </c:pt>
                <c:pt idx="17">
                  <c:v>0.98639999999999994</c:v>
                </c:pt>
                <c:pt idx="18">
                  <c:v>0.63648000000000005</c:v>
                </c:pt>
                <c:pt idx="19">
                  <c:v>0.58608000000000005</c:v>
                </c:pt>
                <c:pt idx="20" formatCode="0.00E+00">
                  <c:v>0.78335999999999995</c:v>
                </c:pt>
                <c:pt idx="21">
                  <c:v>0.62783999999999995</c:v>
                </c:pt>
                <c:pt idx="22">
                  <c:v>0.54143999999999992</c:v>
                </c:pt>
                <c:pt idx="23">
                  <c:v>0.64512000000000003</c:v>
                </c:pt>
                <c:pt idx="24">
                  <c:v>1.1059199999999998</c:v>
                </c:pt>
                <c:pt idx="25">
                  <c:v>0.93024000000000007</c:v>
                </c:pt>
                <c:pt idx="26">
                  <c:v>0.70992</c:v>
                </c:pt>
                <c:pt idx="27">
                  <c:v>0.60624000000000011</c:v>
                </c:pt>
                <c:pt idx="28">
                  <c:v>0.48527999999999999</c:v>
                </c:pt>
                <c:pt idx="29">
                  <c:v>0.36144000000000004</c:v>
                </c:pt>
                <c:pt idx="30">
                  <c:v>6.3072000000000003E-2</c:v>
                </c:pt>
                <c:pt idx="31">
                  <c:v>0.42624000000000006</c:v>
                </c:pt>
                <c:pt idx="32">
                  <c:v>1.0396800000000002</c:v>
                </c:pt>
                <c:pt idx="33">
                  <c:v>2.6783999999999999E-2</c:v>
                </c:pt>
                <c:pt idx="34">
                  <c:v>-1.2830399999999999E-2</c:v>
                </c:pt>
                <c:pt idx="35">
                  <c:v>9.6192E-2</c:v>
                </c:pt>
                <c:pt idx="36">
                  <c:v>0.18432000000000001</c:v>
                </c:pt>
                <c:pt idx="37">
                  <c:v>-3.8736E-2</c:v>
                </c:pt>
                <c:pt idx="38">
                  <c:v>0.11232</c:v>
                </c:pt>
                <c:pt idx="39">
                  <c:v>0.30528</c:v>
                </c:pt>
                <c:pt idx="40">
                  <c:v>-0.17712</c:v>
                </c:pt>
                <c:pt idx="41">
                  <c:v>-4.8528000000000002E-2</c:v>
                </c:pt>
                <c:pt idx="42">
                  <c:v>0.12844800000000001</c:v>
                </c:pt>
                <c:pt idx="43">
                  <c:v>0.22320000000000001</c:v>
                </c:pt>
                <c:pt idx="44">
                  <c:v>-0.97776000000000007</c:v>
                </c:pt>
                <c:pt idx="45">
                  <c:v>-0.54576000000000002</c:v>
                </c:pt>
                <c:pt idx="46">
                  <c:v>-0.30528</c:v>
                </c:pt>
                <c:pt idx="47">
                  <c:v>-0.4536</c:v>
                </c:pt>
                <c:pt idx="48">
                  <c:v>-0.61199999999999999</c:v>
                </c:pt>
                <c:pt idx="49">
                  <c:v>-0.93455999999999995</c:v>
                </c:pt>
                <c:pt idx="50">
                  <c:v>-0.12124800000000002</c:v>
                </c:pt>
                <c:pt idx="51">
                  <c:v>0.30384</c:v>
                </c:pt>
                <c:pt idx="52">
                  <c:v>1.6992</c:v>
                </c:pt>
                <c:pt idx="53">
                  <c:v>-0.3024</c:v>
                </c:pt>
                <c:pt idx="54">
                  <c:v>-0.26495999999999997</c:v>
                </c:pt>
                <c:pt idx="55">
                  <c:v>0.71711999999999998</c:v>
                </c:pt>
                <c:pt idx="56">
                  <c:v>0.28223999999999999</c:v>
                </c:pt>
                <c:pt idx="57">
                  <c:v>-1.1664000000000001</c:v>
                </c:pt>
                <c:pt idx="58">
                  <c:v>-6.6096000000000002E-2</c:v>
                </c:pt>
                <c:pt idx="59">
                  <c:v>-1.0728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5B-2B4A-BDB3-EE36491D1E91}"/>
            </c:ext>
          </c:extLst>
        </c:ser>
        <c:ser>
          <c:idx val="0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marker>
            <c:symbol val="diamond"/>
            <c:size val="11"/>
            <c:spPr>
              <a:ln>
                <a:solidFill>
                  <a:srgbClr val="008000"/>
                </a:solidFill>
              </a:ln>
            </c:spPr>
          </c:marker>
          <c:xVal>
            <c:numRef>
              <c:f>Plots!$AJ$21:$AJ$88</c:f>
              <c:numCache>
                <c:formatCode>General</c:formatCode>
                <c:ptCount val="68"/>
                <c:pt idx="0">
                  <c:v>3.1435810224401641</c:v>
                </c:pt>
                <c:pt idx="1">
                  <c:v>3.2043143565567305</c:v>
                </c:pt>
                <c:pt idx="2">
                  <c:v>3.3996063881024372</c:v>
                </c:pt>
                <c:pt idx="3">
                  <c:v>3.2055503382091852</c:v>
                </c:pt>
                <c:pt idx="4">
                  <c:v>3.1485337677375855</c:v>
                </c:pt>
                <c:pt idx="5">
                  <c:v>3.1297229280280372</c:v>
                </c:pt>
                <c:pt idx="6">
                  <c:v>3.1196341775812395</c:v>
                </c:pt>
                <c:pt idx="7">
                  <c:v>2.9733710094669976</c:v>
                </c:pt>
                <c:pt idx="8">
                  <c:v>2.9368771477230093</c:v>
                </c:pt>
                <c:pt idx="9">
                  <c:v>2.9495194843017631</c:v>
                </c:pt>
                <c:pt idx="10">
                  <c:v>2.9404288895585302</c:v>
                </c:pt>
                <c:pt idx="11">
                  <c:v>2.681026623669982</c:v>
                </c:pt>
                <c:pt idx="12">
                  <c:v>3.1592730516361818</c:v>
                </c:pt>
                <c:pt idx="13">
                  <c:v>3.1414814440322778</c:v>
                </c:pt>
                <c:pt idx="14">
                  <c:v>3.0159231540970928</c:v>
                </c:pt>
                <c:pt idx="15">
                  <c:v>2.8344742858665231</c:v>
                </c:pt>
                <c:pt idx="16">
                  <c:v>2.808250769200066</c:v>
                </c:pt>
                <c:pt idx="17">
                  <c:v>2.797992491013344</c:v>
                </c:pt>
                <c:pt idx="18">
                  <c:v>2.7761663033140755</c:v>
                </c:pt>
                <c:pt idx="19">
                  <c:v>2.4986572820543489</c:v>
                </c:pt>
                <c:pt idx="20">
                  <c:v>2.5224521919043883</c:v>
                </c:pt>
                <c:pt idx="21">
                  <c:v>3.2750159959313367</c:v>
                </c:pt>
                <c:pt idx="22">
                  <c:v>3.2147947052086621</c:v>
                </c:pt>
                <c:pt idx="23">
                  <c:v>3.0979409376518041</c:v>
                </c:pt>
                <c:pt idx="24">
                  <c:v>2.9555802121516304</c:v>
                </c:pt>
                <c:pt idx="25">
                  <c:v>2.9189530186407686</c:v>
                </c:pt>
                <c:pt idx="26">
                  <c:v>2.6427783584564284</c:v>
                </c:pt>
                <c:pt idx="27">
                  <c:v>3.1183401297129616</c:v>
                </c:pt>
                <c:pt idx="28">
                  <c:v>2.9912139537621534</c:v>
                </c:pt>
                <c:pt idx="29">
                  <c:v>2.7505693677426968</c:v>
                </c:pt>
                <c:pt idx="30">
                  <c:v>2.500216203202855</c:v>
                </c:pt>
                <c:pt idx="31">
                  <c:v>3.179992455767962</c:v>
                </c:pt>
                <c:pt idx="32">
                  <c:v>3.0740098576753261</c:v>
                </c:pt>
                <c:pt idx="33">
                  <c:v>2.8968487199818074</c:v>
                </c:pt>
                <c:pt idx="34">
                  <c:v>3.0934155743392249</c:v>
                </c:pt>
                <c:pt idx="35">
                  <c:v>2.9665722295991848</c:v>
                </c:pt>
                <c:pt idx="36">
                  <c:v>2.7202550443621063</c:v>
                </c:pt>
                <c:pt idx="37">
                  <c:v>2.4751452457095353</c:v>
                </c:pt>
                <c:pt idx="38">
                  <c:v>3.0483624191981504</c:v>
                </c:pt>
                <c:pt idx="39">
                  <c:v>2.8724953411213714</c:v>
                </c:pt>
                <c:pt idx="40">
                  <c:v>3.0679272337360763</c:v>
                </c:pt>
                <c:pt idx="41">
                  <c:v>2.9412587306052838</c:v>
                </c:pt>
                <c:pt idx="42">
                  <c:v>2.6826257992832949</c:v>
                </c:pt>
                <c:pt idx="43">
                  <c:v>2.4447566978348667</c:v>
                </c:pt>
                <c:pt idx="44">
                  <c:v>3.0304329762465883</c:v>
                </c:pt>
                <c:pt idx="45">
                  <c:v>2.8491184455944807</c:v>
                </c:pt>
                <c:pt idx="46">
                  <c:v>3.0416720246773585</c:v>
                </c:pt>
                <c:pt idx="47">
                  <c:v>2.9136634391078959</c:v>
                </c:pt>
                <c:pt idx="48">
                  <c:v>2.6472350043176198</c:v>
                </c:pt>
                <c:pt idx="49">
                  <c:v>2.4068575104730967</c:v>
                </c:pt>
                <c:pt idx="50">
                  <c:v>3.0117466778126238</c:v>
                </c:pt>
                <c:pt idx="51">
                  <c:v>2.8217004524185607</c:v>
                </c:pt>
                <c:pt idx="52">
                  <c:v>2.8870726488416056</c:v>
                </c:pt>
                <c:pt idx="53">
                  <c:v>2.6114703853027499</c:v>
                </c:pt>
                <c:pt idx="54">
                  <c:v>2.3701082253497936</c:v>
                </c:pt>
                <c:pt idx="55">
                  <c:v>2.9937524038752907</c:v>
                </c:pt>
                <c:pt idx="56">
                  <c:v>2.7828161938040874</c:v>
                </c:pt>
                <c:pt idx="57">
                  <c:v>2.8603452480592284</c:v>
                </c:pt>
                <c:pt idx="58">
                  <c:v>2.5763358193055388</c:v>
                </c:pt>
                <c:pt idx="59">
                  <c:v>2.3149875728895206</c:v>
                </c:pt>
                <c:pt idx="60">
                  <c:v>2.7604955413438126</c:v>
                </c:pt>
                <c:pt idx="61">
                  <c:v>2.539699628031872</c:v>
                </c:pt>
                <c:pt idx="62">
                  <c:v>2.2296288895585294</c:v>
                </c:pt>
                <c:pt idx="63">
                  <c:v>2.7414748912332292</c:v>
                </c:pt>
                <c:pt idx="64">
                  <c:v>2.5019202734430688</c:v>
                </c:pt>
                <c:pt idx="65">
                  <c:v>2.1447933107006487</c:v>
                </c:pt>
                <c:pt idx="66">
                  <c:v>2.7170939113679728</c:v>
                </c:pt>
                <c:pt idx="67">
                  <c:v>2.076373885421638</c:v>
                </c:pt>
              </c:numCache>
            </c:numRef>
          </c:xVal>
          <c:yVal>
            <c:numRef>
              <c:f>Plots!$AI$21:$AI$88</c:f>
              <c:numCache>
                <c:formatCode>General</c:formatCode>
                <c:ptCount val="68"/>
                <c:pt idx="4">
                  <c:v>5.7906656274811161E-2</c:v>
                </c:pt>
                <c:pt idx="5">
                  <c:v>-0.79545390828986051</c:v>
                </c:pt>
                <c:pt idx="6">
                  <c:v>0.23953170807214652</c:v>
                </c:pt>
                <c:pt idx="7">
                  <c:v>-1.0351261824847269</c:v>
                </c:pt>
                <c:pt idx="8">
                  <c:v>0.40960138061237988</c:v>
                </c:pt>
                <c:pt idx="9">
                  <c:v>-2.0403830948889263</c:v>
                </c:pt>
                <c:pt idx="10">
                  <c:v>-1.5695544001749746</c:v>
                </c:pt>
                <c:pt idx="11">
                  <c:v>0.16564679449580372</c:v>
                </c:pt>
                <c:pt idx="12">
                  <c:v>-1.5957342214388917</c:v>
                </c:pt>
                <c:pt idx="13">
                  <c:v>-0.80755960410805083</c:v>
                </c:pt>
                <c:pt idx="14">
                  <c:v>-0.56179775531487108</c:v>
                </c:pt>
                <c:pt idx="15">
                  <c:v>-1.5749025158820305</c:v>
                </c:pt>
                <c:pt idx="16">
                  <c:v>-1.2738120930003871</c:v>
                </c:pt>
                <c:pt idx="17">
                  <c:v>-1.556060318742158</c:v>
                </c:pt>
                <c:pt idx="18">
                  <c:v>4.1422390507913145E-2</c:v>
                </c:pt>
                <c:pt idx="19">
                  <c:v>-3.6344173030996401</c:v>
                </c:pt>
                <c:pt idx="20">
                  <c:v>-0.85800801115005854</c:v>
                </c:pt>
                <c:pt idx="23">
                  <c:v>0.10653296367176025</c:v>
                </c:pt>
                <c:pt idx="24">
                  <c:v>-1.0332019764012534</c:v>
                </c:pt>
                <c:pt idx="25">
                  <c:v>-1.4589227979861892</c:v>
                </c:pt>
                <c:pt idx="27">
                  <c:v>-0.37989048676427656</c:v>
                </c:pt>
                <c:pt idx="28">
                  <c:v>-0.58996450647456522</c:v>
                </c:pt>
                <c:pt idx="29">
                  <c:v>-0.51649129679547001</c:v>
                </c:pt>
                <c:pt idx="30">
                  <c:v>-0.26824852694965379</c:v>
                </c:pt>
                <c:pt idx="31">
                  <c:v>-0.81316758730067096</c:v>
                </c:pt>
                <c:pt idx="32">
                  <c:v>-0.18437699289918197</c:v>
                </c:pt>
                <c:pt idx="33">
                  <c:v>-2.2699938135866562</c:v>
                </c:pt>
                <c:pt idx="34">
                  <c:v>-9.5686504933702524E-2</c:v>
                </c:pt>
                <c:pt idx="35">
                  <c:v>-0.35767398137029927</c:v>
                </c:pt>
                <c:pt idx="36">
                  <c:v>0.63153638159846492</c:v>
                </c:pt>
                <c:pt idx="37">
                  <c:v>0.23573368904136854</c:v>
                </c:pt>
                <c:pt idx="38">
                  <c:v>-0.47444989878023047</c:v>
                </c:pt>
                <c:pt idx="39">
                  <c:v>-6.363185087767502E-2</c:v>
                </c:pt>
                <c:pt idx="40">
                  <c:v>-0.31456925909300187</c:v>
                </c:pt>
                <c:pt idx="41">
                  <c:v>-0.45512925890862677</c:v>
                </c:pt>
                <c:pt idx="42">
                  <c:v>0.94155290821139181</c:v>
                </c:pt>
                <c:pt idx="43">
                  <c:v>9.6746017342390703E-2</c:v>
                </c:pt>
                <c:pt idx="44">
                  <c:v>-1.3680144254648863</c:v>
                </c:pt>
                <c:pt idx="45">
                  <c:v>0.72275058579618356</c:v>
                </c:pt>
                <c:pt idx="46">
                  <c:v>-0.30200307620411071</c:v>
                </c:pt>
                <c:pt idx="47">
                  <c:v>-0.37774367011921411</c:v>
                </c:pt>
                <c:pt idx="48">
                  <c:v>0.85241886971706882</c:v>
                </c:pt>
                <c:pt idx="49">
                  <c:v>1.1696818889693983</c:v>
                </c:pt>
                <c:pt idx="50">
                  <c:v>-1.0369758377861031</c:v>
                </c:pt>
                <c:pt idx="51">
                  <c:v>0.4183905468843514</c:v>
                </c:pt>
                <c:pt idx="52">
                  <c:v>-0.11150776774200913</c:v>
                </c:pt>
                <c:pt idx="53">
                  <c:v>0.65526965992834463</c:v>
                </c:pt>
                <c:pt idx="54">
                  <c:v>1.5622743532361143</c:v>
                </c:pt>
                <c:pt idx="55">
                  <c:v>-1.4684863639916124</c:v>
                </c:pt>
                <c:pt idx="56">
                  <c:v>1.0451309710629426</c:v>
                </c:pt>
                <c:pt idx="57">
                  <c:v>-0.23206942474571016</c:v>
                </c:pt>
                <c:pt idx="58">
                  <c:v>0.6949683494215666</c:v>
                </c:pt>
                <c:pt idx="60">
                  <c:v>-2.6838063946914672</c:v>
                </c:pt>
                <c:pt idx="61">
                  <c:v>1.7822660783882269</c:v>
                </c:pt>
                <c:pt idx="63">
                  <c:v>0.42655682172897669</c:v>
                </c:pt>
                <c:pt idx="64">
                  <c:v>0.99522285914351061</c:v>
                </c:pt>
                <c:pt idx="66">
                  <c:v>0.14474981881563398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5B-2B4A-BDB3-EE36491D1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459328"/>
        <c:axId val="-2035498384"/>
      </c:scatterChart>
      <c:valAx>
        <c:axId val="-20354593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800"/>
                  <a:t>Water Level (m)</a:t>
                </a:r>
              </a:p>
            </c:rich>
          </c:tx>
          <c:layout>
            <c:manualLayout>
              <c:xMode val="edge"/>
              <c:yMode val="edge"/>
              <c:x val="0.42104713990146297"/>
              <c:y val="0.87065337964394196"/>
            </c:manualLayout>
          </c:layout>
          <c:overlay val="0"/>
        </c:title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498384"/>
        <c:crossesAt val="-4"/>
        <c:crossBetween val="midCat"/>
        <c:majorUnit val="1"/>
      </c:valAx>
      <c:valAx>
        <c:axId val="-2035498384"/>
        <c:scaling>
          <c:orientation val="minMax"/>
          <c:max val="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Recharge</a:t>
                </a:r>
                <a:r>
                  <a:rPr lang="en-US" sz="1800" baseline="0"/>
                  <a:t> (cm/day)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2.63279401038953E-2"/>
              <c:y val="0.33722827371751701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459328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4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1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marker>
            <c:symbol val="diamond"/>
            <c:size val="12"/>
            <c:spPr>
              <a:solidFill>
                <a:schemeClr val="tx2"/>
              </a:solidFill>
              <a:ln>
                <a:solidFill>
                  <a:srgbClr val="008000"/>
                </a:solidFill>
              </a:ln>
            </c:spPr>
          </c:marker>
          <c:xVal>
            <c:numRef>
              <c:f>Plots!$AK$42:$AK$88</c:f>
              <c:numCache>
                <c:formatCode>General</c:formatCode>
                <c:ptCount val="4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</c:numCache>
            </c:numRef>
          </c:xVal>
          <c:yVal>
            <c:numRef>
              <c:f>Plots!$AI$42:$AI$88</c:f>
              <c:numCache>
                <c:formatCode>General</c:formatCode>
                <c:ptCount val="47"/>
                <c:pt idx="2">
                  <c:v>0.10653296367176025</c:v>
                </c:pt>
                <c:pt idx="3">
                  <c:v>-1.0332019764012534</c:v>
                </c:pt>
                <c:pt idx="4">
                  <c:v>-1.4589227979861892</c:v>
                </c:pt>
                <c:pt idx="6">
                  <c:v>-0.37989048676427656</c:v>
                </c:pt>
                <c:pt idx="7">
                  <c:v>-0.58996450647456522</c:v>
                </c:pt>
                <c:pt idx="8">
                  <c:v>-0.51649129679547001</c:v>
                </c:pt>
                <c:pt idx="9">
                  <c:v>-0.26824852694965379</c:v>
                </c:pt>
                <c:pt idx="10">
                  <c:v>-0.81316758730067096</c:v>
                </c:pt>
                <c:pt idx="11">
                  <c:v>-0.18437699289918197</c:v>
                </c:pt>
                <c:pt idx="12">
                  <c:v>-2.2699938135866562</c:v>
                </c:pt>
                <c:pt idx="13">
                  <c:v>-9.5686504933702524E-2</c:v>
                </c:pt>
                <c:pt idx="14">
                  <c:v>-0.35767398137029927</c:v>
                </c:pt>
                <c:pt idx="15">
                  <c:v>0.63153638159846492</c:v>
                </c:pt>
                <c:pt idx="16">
                  <c:v>0.23573368904136854</c:v>
                </c:pt>
                <c:pt idx="17">
                  <c:v>-0.47444989878023047</c:v>
                </c:pt>
                <c:pt idx="18">
                  <c:v>-6.363185087767502E-2</c:v>
                </c:pt>
                <c:pt idx="19">
                  <c:v>-0.31456925909300187</c:v>
                </c:pt>
                <c:pt idx="20">
                  <c:v>-0.45512925890862677</c:v>
                </c:pt>
                <c:pt idx="21">
                  <c:v>0.94155290821139181</c:v>
                </c:pt>
                <c:pt idx="22">
                  <c:v>9.6746017342390703E-2</c:v>
                </c:pt>
                <c:pt idx="23">
                  <c:v>-1.3680144254648863</c:v>
                </c:pt>
                <c:pt idx="24">
                  <c:v>0.72275058579618356</c:v>
                </c:pt>
                <c:pt idx="25">
                  <c:v>-0.30200307620411071</c:v>
                </c:pt>
                <c:pt idx="26">
                  <c:v>-0.37774367011921411</c:v>
                </c:pt>
                <c:pt idx="27">
                  <c:v>0.85241886971706882</c:v>
                </c:pt>
                <c:pt idx="28">
                  <c:v>1.1696818889693983</c:v>
                </c:pt>
                <c:pt idx="29">
                  <c:v>-1.0369758377861031</c:v>
                </c:pt>
                <c:pt idx="30">
                  <c:v>0.4183905468843514</c:v>
                </c:pt>
                <c:pt idx="31">
                  <c:v>-0.11150776774200913</c:v>
                </c:pt>
                <c:pt idx="32">
                  <c:v>0.65526965992834463</c:v>
                </c:pt>
                <c:pt idx="33">
                  <c:v>1.5622743532361143</c:v>
                </c:pt>
                <c:pt idx="34">
                  <c:v>-1.4684863639916124</c:v>
                </c:pt>
                <c:pt idx="35">
                  <c:v>1.0451309710629426</c:v>
                </c:pt>
                <c:pt idx="36">
                  <c:v>-0.23206942474571016</c:v>
                </c:pt>
                <c:pt idx="37">
                  <c:v>0.6949683494215666</c:v>
                </c:pt>
                <c:pt idx="39">
                  <c:v>-2.6838063946914672</c:v>
                </c:pt>
                <c:pt idx="40">
                  <c:v>1.7822660783882269</c:v>
                </c:pt>
                <c:pt idx="42">
                  <c:v>0.42655682172897669</c:v>
                </c:pt>
                <c:pt idx="43">
                  <c:v>0.99522285914351061</c:v>
                </c:pt>
                <c:pt idx="45">
                  <c:v>0.14474981881563398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7-E649-98E0-922B2AB4A9A6}"/>
            </c:ext>
          </c:extLst>
        </c:ser>
        <c:ser>
          <c:idx val="0"/>
          <c:order val="1"/>
          <c:tx>
            <c:v>T4_RF_RCHG</c:v>
          </c:tx>
          <c:spPr>
            <a:ln w="47625">
              <a:noFill/>
            </a:ln>
          </c:spPr>
          <c:marker>
            <c:symbol val="square"/>
            <c:size val="11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2234791539526401E-2"/>
                  <c:y val="-0.236830208579586"/>
                </c:manualLayout>
              </c:layout>
              <c:tx>
                <c:rich>
                  <a:bodyPr/>
                  <a:lstStyle/>
                  <a:p>
                    <a:pPr>
                      <a:defRPr sz="1400"/>
                    </a:pPr>
                    <a:r>
                      <a:rPr lang="en-US" baseline="0"/>
                      <a:t>y = -0.04x + 2.30
R² = 0.50</a:t>
                    </a:r>
                    <a:endParaRPr lang="en-US"/>
                  </a:p>
                </c:rich>
              </c:tx>
              <c:numFmt formatCode="General" sourceLinked="0"/>
              <c:spPr>
                <a:solidFill>
                  <a:srgbClr val="FFFFFF"/>
                </a:solidFill>
                <a:ln w="19050" cmpd="sng">
                  <a:solidFill>
                    <a:srgbClr val="000000"/>
                  </a:solidFill>
                </a:ln>
              </c:spPr>
            </c:trendlineLbl>
          </c:trendline>
          <c:xVal>
            <c:numRef>
              <c:f>Plots!$AK$89:$AK$148</c:f>
              <c:numCache>
                <c:formatCode>General</c:formatCode>
                <c:ptCount val="60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 formatCode="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</c:numCache>
            </c:numRef>
          </c:xVal>
          <c:yVal>
            <c:numRef>
              <c:f>Plots!$AI$89:$AI$148</c:f>
              <c:numCache>
                <c:formatCode>General</c:formatCode>
                <c:ptCount val="60"/>
                <c:pt idx="0">
                  <c:v>3.5424000000000002</c:v>
                </c:pt>
                <c:pt idx="1">
                  <c:v>3.4416000000000002</c:v>
                </c:pt>
                <c:pt idx="2">
                  <c:v>1.6847999999999999</c:v>
                </c:pt>
                <c:pt idx="3">
                  <c:v>0.91871999999999998</c:v>
                </c:pt>
                <c:pt idx="4">
                  <c:v>0.97055999999999998</c:v>
                </c:pt>
                <c:pt idx="5">
                  <c:v>0.99791999999999992</c:v>
                </c:pt>
                <c:pt idx="6">
                  <c:v>3.528</c:v>
                </c:pt>
                <c:pt idx="7">
                  <c:v>2.8512</c:v>
                </c:pt>
                <c:pt idx="8">
                  <c:v>2.5775999999999999</c:v>
                </c:pt>
                <c:pt idx="9">
                  <c:v>1.7568000000000001</c:v>
                </c:pt>
                <c:pt idx="10">
                  <c:v>1.8863999999999999</c:v>
                </c:pt>
                <c:pt idx="11">
                  <c:v>1.4327999999999999</c:v>
                </c:pt>
                <c:pt idx="12">
                  <c:v>7.9200000000000007E-2</c:v>
                </c:pt>
                <c:pt idx="13">
                  <c:v>0.7545599999999999</c:v>
                </c:pt>
                <c:pt idx="14">
                  <c:v>0.99504000000000004</c:v>
                </c:pt>
                <c:pt idx="15">
                  <c:v>-1.2182400000000002</c:v>
                </c:pt>
                <c:pt idx="16">
                  <c:v>1.3881599999999998</c:v>
                </c:pt>
                <c:pt idx="17">
                  <c:v>0.98639999999999994</c:v>
                </c:pt>
                <c:pt idx="18">
                  <c:v>0.63648000000000005</c:v>
                </c:pt>
                <c:pt idx="19">
                  <c:v>0.58608000000000005</c:v>
                </c:pt>
                <c:pt idx="20" formatCode="0.00E+00">
                  <c:v>0.78335999999999995</c:v>
                </c:pt>
                <c:pt idx="21">
                  <c:v>0.62783999999999995</c:v>
                </c:pt>
                <c:pt idx="22">
                  <c:v>0.54143999999999992</c:v>
                </c:pt>
                <c:pt idx="23">
                  <c:v>0.64512000000000003</c:v>
                </c:pt>
                <c:pt idx="24">
                  <c:v>1.1059199999999998</c:v>
                </c:pt>
                <c:pt idx="25">
                  <c:v>0.93024000000000007</c:v>
                </c:pt>
                <c:pt idx="26">
                  <c:v>0.70992</c:v>
                </c:pt>
                <c:pt idx="27">
                  <c:v>0.60624000000000011</c:v>
                </c:pt>
                <c:pt idx="28">
                  <c:v>0.48527999999999999</c:v>
                </c:pt>
                <c:pt idx="29">
                  <c:v>0.36144000000000004</c:v>
                </c:pt>
                <c:pt idx="30">
                  <c:v>6.3072000000000003E-2</c:v>
                </c:pt>
                <c:pt idx="31">
                  <c:v>0.42624000000000006</c:v>
                </c:pt>
                <c:pt idx="32">
                  <c:v>1.0396800000000002</c:v>
                </c:pt>
                <c:pt idx="33">
                  <c:v>2.6783999999999999E-2</c:v>
                </c:pt>
                <c:pt idx="34">
                  <c:v>-1.2830399999999999E-2</c:v>
                </c:pt>
                <c:pt idx="35">
                  <c:v>9.6192E-2</c:v>
                </c:pt>
                <c:pt idx="36">
                  <c:v>0.18432000000000001</c:v>
                </c:pt>
                <c:pt idx="37">
                  <c:v>-3.8736E-2</c:v>
                </c:pt>
                <c:pt idx="38">
                  <c:v>0.11232</c:v>
                </c:pt>
                <c:pt idx="39">
                  <c:v>0.30528</c:v>
                </c:pt>
                <c:pt idx="40">
                  <c:v>-0.17712</c:v>
                </c:pt>
                <c:pt idx="41">
                  <c:v>-4.8528000000000002E-2</c:v>
                </c:pt>
                <c:pt idx="42">
                  <c:v>0.12844800000000001</c:v>
                </c:pt>
                <c:pt idx="43">
                  <c:v>0.22320000000000001</c:v>
                </c:pt>
                <c:pt idx="44">
                  <c:v>-0.97776000000000007</c:v>
                </c:pt>
                <c:pt idx="45">
                  <c:v>-0.54576000000000002</c:v>
                </c:pt>
                <c:pt idx="46">
                  <c:v>-0.30528</c:v>
                </c:pt>
                <c:pt idx="47">
                  <c:v>-0.4536</c:v>
                </c:pt>
                <c:pt idx="48">
                  <c:v>-0.61199999999999999</c:v>
                </c:pt>
                <c:pt idx="49">
                  <c:v>-0.93455999999999995</c:v>
                </c:pt>
                <c:pt idx="50">
                  <c:v>-0.12124800000000002</c:v>
                </c:pt>
                <c:pt idx="51">
                  <c:v>0.30384</c:v>
                </c:pt>
                <c:pt idx="52">
                  <c:v>1.6992</c:v>
                </c:pt>
                <c:pt idx="53">
                  <c:v>-0.3024</c:v>
                </c:pt>
                <c:pt idx="54">
                  <c:v>-0.26495999999999997</c:v>
                </c:pt>
                <c:pt idx="55">
                  <c:v>0.71711999999999998</c:v>
                </c:pt>
                <c:pt idx="56">
                  <c:v>0.28223999999999999</c:v>
                </c:pt>
                <c:pt idx="57">
                  <c:v>-1.1664000000000001</c:v>
                </c:pt>
                <c:pt idx="58">
                  <c:v>-6.6096000000000002E-2</c:v>
                </c:pt>
                <c:pt idx="59">
                  <c:v>-1.0728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47-E649-98E0-922B2AB4A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146960"/>
        <c:axId val="-2045029872"/>
      </c:scatterChart>
      <c:valAx>
        <c:axId val="-2029146960"/>
        <c:scaling>
          <c:orientation val="minMax"/>
          <c:max val="8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Days Since Last Rainfall</a:t>
                </a:r>
              </a:p>
            </c:rich>
          </c:tx>
          <c:layout>
            <c:manualLayout>
              <c:xMode val="edge"/>
              <c:yMode val="edge"/>
              <c:x val="0.36815116919458801"/>
              <c:y val="0.86983760979069302"/>
            </c:manualLayout>
          </c:layout>
          <c:overlay val="0"/>
        </c:title>
        <c:numFmt formatCode="#,##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45029872"/>
        <c:crossesAt val="-4"/>
        <c:crossBetween val="midCat"/>
      </c:valAx>
      <c:valAx>
        <c:axId val="-2045029872"/>
        <c:scaling>
          <c:orientation val="minMax"/>
          <c:max val="6"/>
          <c:min val="-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000"/>
                  <a:t>Groundwater Exchange (cm/day)</a:t>
                </a:r>
              </a:p>
            </c:rich>
          </c:tx>
          <c:layout>
            <c:manualLayout>
              <c:xMode val="edge"/>
              <c:yMode val="edge"/>
              <c:x val="1.8332167363767599E-2"/>
              <c:y val="0.182592969758688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9146960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1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6"/>
          <c:order val="0"/>
          <c:spPr>
            <a:ln w="47625">
              <a:noFill/>
            </a:ln>
          </c:spP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262-9345-9346-E3990C5B9843}"/>
            </c:ext>
          </c:extLst>
        </c:ser>
        <c:ser>
          <c:idx val="7"/>
          <c:order val="1"/>
          <c:spPr>
            <a:ln w="47625">
              <a:noFill/>
            </a:ln>
          </c:spPr>
          <c:marker>
            <c:symbol val="square"/>
            <c:size val="11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7.8257743774466801E-2"/>
                  <c:y val="-0.13122874652215799"/>
                </c:manualLayout>
              </c:layout>
              <c:tx>
                <c:rich>
                  <a:bodyPr/>
                  <a:lstStyle/>
                  <a:p>
                    <a:pPr>
                      <a:defRPr sz="1400"/>
                    </a:pPr>
                    <a:r>
                      <a:rPr lang="en-US" baseline="0"/>
                      <a:t>y = 0.34x + 1.34
R² = 0.14</a:t>
                    </a:r>
                    <a:endParaRPr lang="en-US"/>
                  </a:p>
                </c:rich>
              </c:tx>
              <c:numFmt formatCode="General" sourceLinked="0"/>
              <c:spPr>
                <a:solidFill>
                  <a:srgbClr val="FFFFFF"/>
                </a:solidFill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Plots!$AW$23:$AW$117</c:f>
              <c:numCache>
                <c:formatCode>General</c:formatCode>
                <c:ptCount val="95"/>
                <c:pt idx="7">
                  <c:v>1.2391627813077115</c:v>
                </c:pt>
                <c:pt idx="8">
                  <c:v>1.3690966106416618</c:v>
                </c:pt>
                <c:pt idx="9">
                  <c:v>0.23723239823112835</c:v>
                </c:pt>
                <c:pt idx="10">
                  <c:v>-9.0125096165409244E-2</c:v>
                </c:pt>
                <c:pt idx="11">
                  <c:v>1.6406077059297679</c:v>
                </c:pt>
                <c:pt idx="12">
                  <c:v>1.3412505342622234</c:v>
                </c:pt>
                <c:pt idx="13">
                  <c:v>1.4975622033645566</c:v>
                </c:pt>
                <c:pt idx="14">
                  <c:v>1.8517498878099174</c:v>
                </c:pt>
                <c:pt idx="15">
                  <c:v>-0.50943277788117691</c:v>
                </c:pt>
                <c:pt idx="17">
                  <c:v>0.65296018157465396</c:v>
                </c:pt>
                <c:pt idx="18">
                  <c:v>0.7389882085370294</c:v>
                </c:pt>
                <c:pt idx="19">
                  <c:v>0.10292249308495628</c:v>
                </c:pt>
                <c:pt idx="20">
                  <c:v>0.39759845246897624</c:v>
                </c:pt>
                <c:pt idx="24">
                  <c:v>1.2390506869590545</c:v>
                </c:pt>
                <c:pt idx="25">
                  <c:v>9.4013346896085551E-2</c:v>
                </c:pt>
                <c:pt idx="27">
                  <c:v>1.699573283312289</c:v>
                </c:pt>
                <c:pt idx="28">
                  <c:v>2.2683063199733988</c:v>
                </c:pt>
                <c:pt idx="29">
                  <c:v>0.89740077424436304</c:v>
                </c:pt>
                <c:pt idx="30">
                  <c:v>0.75627580459359456</c:v>
                </c:pt>
                <c:pt idx="33">
                  <c:v>0.88996141782315863</c:v>
                </c:pt>
                <c:pt idx="34">
                  <c:v>1.3411488375636851</c:v>
                </c:pt>
                <c:pt idx="35">
                  <c:v>0.94191037495527274</c:v>
                </c:pt>
                <c:pt idx="36">
                  <c:v>0.5269791818641737</c:v>
                </c:pt>
                <c:pt idx="37">
                  <c:v>0.78827700599976136</c:v>
                </c:pt>
                <c:pt idx="39">
                  <c:v>1.1083365594786558</c:v>
                </c:pt>
                <c:pt idx="40">
                  <c:v>3.3967990088736091</c:v>
                </c:pt>
                <c:pt idx="41">
                  <c:v>1.2228849109255437</c:v>
                </c:pt>
                <c:pt idx="42">
                  <c:v>8.5626331654542129E-2</c:v>
                </c:pt>
                <c:pt idx="43">
                  <c:v>0.6069912813119116</c:v>
                </c:pt>
                <c:pt idx="45">
                  <c:v>1.3275593681271378</c:v>
                </c:pt>
                <c:pt idx="46">
                  <c:v>1.7116026072613704</c:v>
                </c:pt>
                <c:pt idx="47">
                  <c:v>0.61289056413976128</c:v>
                </c:pt>
                <c:pt idx="48">
                  <c:v>0.5044529139287639</c:v>
                </c:pt>
                <c:pt idx="49">
                  <c:v>0.74277938754755812</c:v>
                </c:pt>
                <c:pt idx="50">
                  <c:v>0.24881118929884136</c:v>
                </c:pt>
                <c:pt idx="51">
                  <c:v>0.84297528289486756</c:v>
                </c:pt>
                <c:pt idx="52">
                  <c:v>0.85315976464860199</c:v>
                </c:pt>
                <c:pt idx="53">
                  <c:v>0.19110687114638031</c:v>
                </c:pt>
                <c:pt idx="54">
                  <c:v>0.51025256102702321</c:v>
                </c:pt>
                <c:pt idx="55">
                  <c:v>2.8930434227503882E-2</c:v>
                </c:pt>
                <c:pt idx="56">
                  <c:v>0.9055837296409921</c:v>
                </c:pt>
                <c:pt idx="57">
                  <c:v>1.8725532979813202</c:v>
                </c:pt>
                <c:pt idx="58">
                  <c:v>0.16616863489916991</c:v>
                </c:pt>
                <c:pt idx="59">
                  <c:v>0.48779815138875576</c:v>
                </c:pt>
                <c:pt idx="61">
                  <c:v>0.6332647426895861</c:v>
                </c:pt>
                <c:pt idx="62">
                  <c:v>0.53833640298860119</c:v>
                </c:pt>
                <c:pt idx="63">
                  <c:v>1.0564485090813018</c:v>
                </c:pt>
                <c:pt idx="64">
                  <c:v>-7.3245941647176627E-2</c:v>
                </c:pt>
                <c:pt idx="65">
                  <c:v>1.0346279026653047</c:v>
                </c:pt>
                <c:pt idx="66">
                  <c:v>1.440537730474329</c:v>
                </c:pt>
                <c:pt idx="67">
                  <c:v>0.50575015825164782</c:v>
                </c:pt>
                <c:pt idx="68">
                  <c:v>0.33267904186875269</c:v>
                </c:pt>
                <c:pt idx="69">
                  <c:v>0.44862994717123472</c:v>
                </c:pt>
                <c:pt idx="70">
                  <c:v>1.582252434935534</c:v>
                </c:pt>
                <c:pt idx="71">
                  <c:v>0.82899079097128558</c:v>
                </c:pt>
                <c:pt idx="72">
                  <c:v>0.72421991112869977</c:v>
                </c:pt>
                <c:pt idx="73">
                  <c:v>0.12269001496789197</c:v>
                </c:pt>
                <c:pt idx="74">
                  <c:v>0.2350479561699633</c:v>
                </c:pt>
                <c:pt idx="75">
                  <c:v>-0.32102080393363697</c:v>
                </c:pt>
                <c:pt idx="76">
                  <c:v>-0.35769454551226437</c:v>
                </c:pt>
                <c:pt idx="77">
                  <c:v>-0.51292833901464729</c:v>
                </c:pt>
                <c:pt idx="78">
                  <c:v>-2.413703658778895E-2</c:v>
                </c:pt>
                <c:pt idx="79">
                  <c:v>0.2474048500651774</c:v>
                </c:pt>
                <c:pt idx="80">
                  <c:v>0.82554398491245951</c:v>
                </c:pt>
                <c:pt idx="81">
                  <c:v>1.33632</c:v>
                </c:pt>
                <c:pt idx="82">
                  <c:v>0.10900799999999999</c:v>
                </c:pt>
                <c:pt idx="83">
                  <c:v>-0.57599999999999996</c:v>
                </c:pt>
                <c:pt idx="84">
                  <c:v>1.3449600000000002</c:v>
                </c:pt>
                <c:pt idx="85">
                  <c:v>1.3204800000000001</c:v>
                </c:pt>
                <c:pt idx="86">
                  <c:v>0.57599999999999996</c:v>
                </c:pt>
                <c:pt idx="87">
                  <c:v>0.28799999999999998</c:v>
                </c:pt>
                <c:pt idx="90">
                  <c:v>-0.72000000000000008</c:v>
                </c:pt>
              </c:numCache>
            </c:numRef>
          </c:xVal>
          <c:yVal>
            <c:numRef>
              <c:f>Plots!$AX$23:$AX$117</c:f>
              <c:numCache>
                <c:formatCode>0.00E+00</c:formatCode>
                <c:ptCount val="95"/>
                <c:pt idx="0">
                  <c:v>3.001481022440164</c:v>
                </c:pt>
                <c:pt idx="1">
                  <c:v>3.0295143565567302</c:v>
                </c:pt>
                <c:pt idx="2">
                  <c:v>3.1727063881024375</c:v>
                </c:pt>
                <c:pt idx="3">
                  <c:v>3.1319503382091853</c:v>
                </c:pt>
                <c:pt idx="4">
                  <c:v>2.9996337677375871</c:v>
                </c:pt>
                <c:pt idx="5">
                  <c:v>2.9609229280280371</c:v>
                </c:pt>
                <c:pt idx="6">
                  <c:v>2.9154341775812385</c:v>
                </c:pt>
                <c:pt idx="7">
                  <c:v>2.6588710094669961</c:v>
                </c:pt>
                <c:pt idx="8">
                  <c:v>2.5902771477230098</c:v>
                </c:pt>
                <c:pt idx="9">
                  <c:v>2.6102194843017643</c:v>
                </c:pt>
                <c:pt idx="10">
                  <c:v>2.6013288895585291</c:v>
                </c:pt>
                <c:pt idx="11">
                  <c:v>2.2373266236699831</c:v>
                </c:pt>
                <c:pt idx="12">
                  <c:v>2.2556730516361818</c:v>
                </c:pt>
                <c:pt idx="13">
                  <c:v>2.2130814440322788</c:v>
                </c:pt>
                <c:pt idx="14">
                  <c:v>1.9673231540970932</c:v>
                </c:pt>
                <c:pt idx="15">
                  <c:v>1.6719742858665225</c:v>
                </c:pt>
                <c:pt idx="16">
                  <c:v>1.638650769200066</c:v>
                </c:pt>
                <c:pt idx="17">
                  <c:v>1.6298924910133441</c:v>
                </c:pt>
                <c:pt idx="18">
                  <c:v>1.5979663033140761</c:v>
                </c:pt>
                <c:pt idx="19">
                  <c:v>1.3670572820543492</c:v>
                </c:pt>
                <c:pt idx="20">
                  <c:v>1.3745521919043875</c:v>
                </c:pt>
                <c:pt idx="21">
                  <c:v>3.1842159959313361</c:v>
                </c:pt>
                <c:pt idx="22">
                  <c:v>3.0868947052086626</c:v>
                </c:pt>
                <c:pt idx="23">
                  <c:v>2.8776409376518033</c:v>
                </c:pt>
                <c:pt idx="24">
                  <c:v>2.6246802121516297</c:v>
                </c:pt>
                <c:pt idx="25">
                  <c:v>2.56585301864077</c:v>
                </c:pt>
                <c:pt idx="26">
                  <c:v>2.1916783584564272</c:v>
                </c:pt>
                <c:pt idx="27">
                  <c:v>2.1686401297129607</c:v>
                </c:pt>
                <c:pt idx="28">
                  <c:v>1.919013953762152</c:v>
                </c:pt>
                <c:pt idx="29">
                  <c:v>1.567169367742697</c:v>
                </c:pt>
                <c:pt idx="30">
                  <c:v>1.3461162032028562</c:v>
                </c:pt>
                <c:pt idx="31">
                  <c:v>3.0421924557679625</c:v>
                </c:pt>
                <c:pt idx="32">
                  <c:v>2.8401098576753268</c:v>
                </c:pt>
                <c:pt idx="33">
                  <c:v>2.531948719981806</c:v>
                </c:pt>
                <c:pt idx="34">
                  <c:v>2.1246155743392241</c:v>
                </c:pt>
                <c:pt idx="35">
                  <c:v>1.8739722295991847</c:v>
                </c:pt>
                <c:pt idx="36">
                  <c:v>1.5350550443621054</c:v>
                </c:pt>
                <c:pt idx="37">
                  <c:v>1.3168452457095339</c:v>
                </c:pt>
                <c:pt idx="38">
                  <c:v>2.7989624191981517</c:v>
                </c:pt>
                <c:pt idx="39">
                  <c:v>2.4993953411213714</c:v>
                </c:pt>
                <c:pt idx="40">
                  <c:v>2.0702272337360754</c:v>
                </c:pt>
                <c:pt idx="41">
                  <c:v>1.8367587306052831</c:v>
                </c:pt>
                <c:pt idx="42">
                  <c:v>1.5037257992832953</c:v>
                </c:pt>
                <c:pt idx="43">
                  <c:v>1.2877566978348676</c:v>
                </c:pt>
                <c:pt idx="44">
                  <c:v>2.7607329762465871</c:v>
                </c:pt>
                <c:pt idx="45">
                  <c:v>2.4632184455944803</c:v>
                </c:pt>
                <c:pt idx="46">
                  <c:v>2.0150720246773575</c:v>
                </c:pt>
                <c:pt idx="47">
                  <c:v>1.7994634391078965</c:v>
                </c:pt>
                <c:pt idx="48">
                  <c:v>1.4761350043176198</c:v>
                </c:pt>
                <c:pt idx="49">
                  <c:v>1.2599575104730953</c:v>
                </c:pt>
                <c:pt idx="50">
                  <c:v>2.7228466778126248</c:v>
                </c:pt>
                <c:pt idx="51">
                  <c:v>2.4248004524185611</c:v>
                </c:pt>
                <c:pt idx="52">
                  <c:v>1.7632726488416055</c:v>
                </c:pt>
                <c:pt idx="53">
                  <c:v>1.4483703853027508</c:v>
                </c:pt>
                <c:pt idx="54">
                  <c:v>1.2310082253497936</c:v>
                </c:pt>
                <c:pt idx="55">
                  <c:v>2.6960524038752909</c:v>
                </c:pt>
                <c:pt idx="56">
                  <c:v>2.3878161938040869</c:v>
                </c:pt>
                <c:pt idx="57">
                  <c:v>1.7149452480592271</c:v>
                </c:pt>
                <c:pt idx="58">
                  <c:v>1.4215358193055381</c:v>
                </c:pt>
                <c:pt idx="59">
                  <c:v>1.2057875728895202</c:v>
                </c:pt>
                <c:pt idx="60">
                  <c:v>2.3528955413438131</c:v>
                </c:pt>
                <c:pt idx="61">
                  <c:v>1.394499628031872</c:v>
                </c:pt>
                <c:pt idx="62">
                  <c:v>1.1813288895585292</c:v>
                </c:pt>
                <c:pt idx="63">
                  <c:v>2.3232748912332295</c:v>
                </c:pt>
                <c:pt idx="64">
                  <c:v>1.3708202734430697</c:v>
                </c:pt>
                <c:pt idx="65">
                  <c:v>1.1558933107006486</c:v>
                </c:pt>
                <c:pt idx="66">
                  <c:v>2.2819939113679717</c:v>
                </c:pt>
                <c:pt idx="67">
                  <c:v>1.1294738854216377</c:v>
                </c:pt>
                <c:pt idx="68">
                  <c:v>1.1028156048852229</c:v>
                </c:pt>
                <c:pt idx="69">
                  <c:v>1.0784434202106383</c:v>
                </c:pt>
                <c:pt idx="70">
                  <c:v>1.0514010906809603</c:v>
                </c:pt>
                <c:pt idx="71">
                  <c:v>1.0209965847504816</c:v>
                </c:pt>
                <c:pt idx="72">
                  <c:v>0.99228676730036958</c:v>
                </c:pt>
                <c:pt idx="73">
                  <c:v>0.96585404559959065</c:v>
                </c:pt>
                <c:pt idx="74">
                  <c:v>0.94686099884352315</c:v>
                </c:pt>
                <c:pt idx="75">
                  <c:v>0.92725057132731747</c:v>
                </c:pt>
                <c:pt idx="76">
                  <c:v>0.90683318586779882</c:v>
                </c:pt>
                <c:pt idx="77">
                  <c:v>0.88597981170674578</c:v>
                </c:pt>
                <c:pt idx="78" formatCode="General">
                  <c:v>0.85625384067776678</c:v>
                </c:pt>
                <c:pt idx="79" formatCode="General">
                  <c:v>0.82819800980449421</c:v>
                </c:pt>
                <c:pt idx="80" formatCode="General">
                  <c:v>0.79448532579851039</c:v>
                </c:pt>
                <c:pt idx="81" formatCode="General">
                  <c:v>0.76523991774205824</c:v>
                </c:pt>
                <c:pt idx="82" formatCode="General">
                  <c:v>0.74332233440979012</c:v>
                </c:pt>
                <c:pt idx="83" formatCode="General">
                  <c:v>0.72644667781262529</c:v>
                </c:pt>
                <c:pt idx="84" formatCode="General">
                  <c:v>0.72156631271284555</c:v>
                </c:pt>
                <c:pt idx="85" formatCode="General">
                  <c:v>0.70435056662793416</c:v>
                </c:pt>
                <c:pt idx="86" formatCode="General">
                  <c:v>0.681747092355661</c:v>
                </c:pt>
                <c:pt idx="87" formatCode="General">
                  <c:v>0.65773114369861618</c:v>
                </c:pt>
                <c:pt idx="88" formatCode="General">
                  <c:v>0.61232889425791415</c:v>
                </c:pt>
                <c:pt idx="89" formatCode="General">
                  <c:v>0.53664341316156028</c:v>
                </c:pt>
                <c:pt idx="90" formatCode="General">
                  <c:v>0.45490926170738405</c:v>
                </c:pt>
                <c:pt idx="91" formatCode="General">
                  <c:v>0.40644607479560563</c:v>
                </c:pt>
                <c:pt idx="92" formatCode="General">
                  <c:v>0.30954382535490638</c:v>
                </c:pt>
                <c:pt idx="93" formatCode="General">
                  <c:v>0.21282725723299883</c:v>
                </c:pt>
                <c:pt idx="94" formatCode="General">
                  <c:v>0.21143871875709991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62-9345-9346-E3990C5B9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923600"/>
        <c:axId val="-2024934832"/>
      </c:scatterChart>
      <c:valAx>
        <c:axId val="-2024923600"/>
        <c:scaling>
          <c:orientation val="minMax"/>
          <c:max val="6"/>
          <c:min val="-4"/>
        </c:scaling>
        <c:delete val="0"/>
        <c:axPos val="b"/>
        <c:majorGridlines/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4934832"/>
        <c:crosses val="autoZero"/>
        <c:crossBetween val="midCat"/>
        <c:majorUnit val="1"/>
      </c:valAx>
      <c:valAx>
        <c:axId val="-2024934832"/>
        <c:scaling>
          <c:orientation val="minMax"/>
          <c:max val="4.5"/>
        </c:scaling>
        <c:delete val="0"/>
        <c:axPos val="l"/>
        <c:majorGridlines/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4923600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3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5"/>
          <c:order val="1"/>
          <c:spPr>
            <a:ln w="47625">
              <a:noFill/>
            </a:ln>
          </c:spPr>
          <c:marker>
            <c:symbol val="square"/>
            <c:size val="11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60516797404105E-2"/>
                  <c:y val="0.41634594751868498"/>
                </c:manualLayout>
              </c:layout>
              <c:tx>
                <c:rich>
                  <a:bodyPr/>
                  <a:lstStyle/>
                  <a:p>
                    <a:pPr>
                      <a:defRPr sz="1400"/>
                    </a:pPr>
                    <a:r>
                      <a:rPr lang="en-US" sz="1400" baseline="0"/>
                      <a:t>y = 0.52x + 1.65
R² = 0.75</a:t>
                    </a:r>
                    <a:endParaRPr lang="en-US" sz="1400"/>
                  </a:p>
                </c:rich>
              </c:tx>
              <c:numFmt formatCode="General" sourceLinked="0"/>
              <c:spPr>
                <a:solidFill>
                  <a:srgbClr val="FFFFFF"/>
                </a:solidFill>
                <a:ln w="19050" cmpd="sng">
                  <a:solidFill>
                    <a:srgbClr val="000000"/>
                  </a:solidFill>
                </a:ln>
              </c:spPr>
            </c:trendlineLbl>
          </c:trendline>
          <c:xVal>
            <c:numRef>
              <c:f>Plots!$BL$55:$BL$144</c:f>
              <c:numCache>
                <c:formatCode>General</c:formatCode>
                <c:ptCount val="90"/>
                <c:pt idx="1">
                  <c:v>2.4488396528948124</c:v>
                </c:pt>
                <c:pt idx="2">
                  <c:v>2.8241282468994231</c:v>
                </c:pt>
                <c:pt idx="3">
                  <c:v>1.8492811759183909</c:v>
                </c:pt>
                <c:pt idx="4">
                  <c:v>1.6244099471257181</c:v>
                </c:pt>
                <c:pt idx="5">
                  <c:v>1.5981760301666714</c:v>
                </c:pt>
                <c:pt idx="6">
                  <c:v>3.875838432476332</c:v>
                </c:pt>
                <c:pt idx="7">
                  <c:v>2.5090136334827631</c:v>
                </c:pt>
                <c:pt idx="8">
                  <c:v>2.5798579901722336</c:v>
                </c:pt>
                <c:pt idx="9">
                  <c:v>2.412180297791231</c:v>
                </c:pt>
                <c:pt idx="10">
                  <c:v>2.2329832100365108</c:v>
                </c:pt>
                <c:pt idx="11">
                  <c:v>1.6603022286591682</c:v>
                </c:pt>
                <c:pt idx="12">
                  <c:v>3.8766194498710522</c:v>
                </c:pt>
                <c:pt idx="13">
                  <c:v>2.5696173894704009</c:v>
                </c:pt>
                <c:pt idx="14">
                  <c:v>2.471709548170824</c:v>
                </c:pt>
                <c:pt idx="15">
                  <c:v>2.2648222436210497</c:v>
                </c:pt>
                <c:pt idx="16">
                  <c:v>1.6955608776319533</c:v>
                </c:pt>
                <c:pt idx="17">
                  <c:v>4.8137735593518389</c:v>
                </c:pt>
                <c:pt idx="18">
                  <c:v>2.6306238174440071</c:v>
                </c:pt>
                <c:pt idx="19">
                  <c:v>1.8834405551877043</c:v>
                </c:pt>
                <c:pt idx="20">
                  <c:v>2.066153019817675</c:v>
                </c:pt>
                <c:pt idx="21">
                  <c:v>1.8755405671891781</c:v>
                </c:pt>
                <c:pt idx="23">
                  <c:v>1.9987040892223098</c:v>
                </c:pt>
                <c:pt idx="24">
                  <c:v>2.0854468580534853</c:v>
                </c:pt>
                <c:pt idx="25">
                  <c:v>2.6223275717346604</c:v>
                </c:pt>
                <c:pt idx="27">
                  <c:v>3.0022490055545559</c:v>
                </c:pt>
                <c:pt idx="28">
                  <c:v>1.6593625441544424</c:v>
                </c:pt>
                <c:pt idx="29">
                  <c:v>1.5671439458434091</c:v>
                </c:pt>
                <c:pt idx="30">
                  <c:v>1.4895534092264633</c:v>
                </c:pt>
                <c:pt idx="31">
                  <c:v>1.571703238561184</c:v>
                </c:pt>
                <c:pt idx="32">
                  <c:v>1.250745385728202</c:v>
                </c:pt>
                <c:pt idx="33">
                  <c:v>1.464739505291748</c:v>
                </c:pt>
                <c:pt idx="34">
                  <c:v>2.083570124941847</c:v>
                </c:pt>
                <c:pt idx="35">
                  <c:v>1.0475136367000291</c:v>
                </c:pt>
                <c:pt idx="36">
                  <c:v>2.1283161418985697</c:v>
                </c:pt>
                <c:pt idx="37">
                  <c:v>2.3634660871940931</c:v>
                </c:pt>
                <c:pt idx="38">
                  <c:v>3.3083435945081701</c:v>
                </c:pt>
                <c:pt idx="39">
                  <c:v>0.8774975652972371</c:v>
                </c:pt>
                <c:pt idx="40">
                  <c:v>0.9228607880143378</c:v>
                </c:pt>
                <c:pt idx="41">
                  <c:v>1.1553708950288122</c:v>
                </c:pt>
                <c:pt idx="42">
                  <c:v>1.4177427230363291</c:v>
                </c:pt>
                <c:pt idx="43">
                  <c:v>1.2793825273344654</c:v>
                </c:pt>
                <c:pt idx="44">
                  <c:v>1.1568148417820987</c:v>
                </c:pt>
                <c:pt idx="45">
                  <c:v>-0.57189385084433941</c:v>
                </c:pt>
                <c:pt idx="46">
                  <c:v>1.3882029636103224</c:v>
                </c:pt>
                <c:pt idx="47">
                  <c:v>1.2934790995496357</c:v>
                </c:pt>
                <c:pt idx="48">
                  <c:v>1.0851877450868967</c:v>
                </c:pt>
                <c:pt idx="49">
                  <c:v>1.0816533384963765</c:v>
                </c:pt>
                <c:pt idx="50">
                  <c:v>0.76228500471372829</c:v>
                </c:pt>
                <c:pt idx="51">
                  <c:v>1.3792860779035478</c:v>
                </c:pt>
                <c:pt idx="52">
                  <c:v>1.3617671604882193</c:v>
                </c:pt>
                <c:pt idx="53">
                  <c:v>1.0413152667974677</c:v>
                </c:pt>
                <c:pt idx="54">
                  <c:v>1.0478500073616397</c:v>
                </c:pt>
                <c:pt idx="55">
                  <c:v>0.76953679561951072</c:v>
                </c:pt>
                <c:pt idx="56">
                  <c:v>0.58719608970827897</c:v>
                </c:pt>
                <c:pt idx="57">
                  <c:v>0.5861689221110451</c:v>
                </c:pt>
                <c:pt idx="58">
                  <c:v>0.61264924241331031</c:v>
                </c:pt>
                <c:pt idx="59">
                  <c:v>0.53937078584970277</c:v>
                </c:pt>
                <c:pt idx="60">
                  <c:v>1.1293620348458043E-2</c:v>
                </c:pt>
                <c:pt idx="61">
                  <c:v>0.35020825485241841</c:v>
                </c:pt>
                <c:pt idx="62">
                  <c:v>-0.47808</c:v>
                </c:pt>
                <c:pt idx="63">
                  <c:v>-0.15984000000000001</c:v>
                </c:pt>
                <c:pt idx="64">
                  <c:v>-0.41039999999999999</c:v>
                </c:pt>
                <c:pt idx="65">
                  <c:v>-0.24191999999999997</c:v>
                </c:pt>
                <c:pt idx="66">
                  <c:v>-0.23327999999999999</c:v>
                </c:pt>
                <c:pt idx="67">
                  <c:v>-7.1856000000000003E-2</c:v>
                </c:pt>
                <c:pt idx="68">
                  <c:v>-0.14371200000000001</c:v>
                </c:pt>
                <c:pt idx="69">
                  <c:v>-6.3072000000000003E-2</c:v>
                </c:pt>
                <c:pt idx="70">
                  <c:v>5.7312000000000002E-2</c:v>
                </c:pt>
                <c:pt idx="71">
                  <c:v>0.11203199999999999</c:v>
                </c:pt>
                <c:pt idx="72">
                  <c:v>-0.71279999999999999</c:v>
                </c:pt>
                <c:pt idx="73">
                  <c:v>-0.66527999999999998</c:v>
                </c:pt>
                <c:pt idx="74">
                  <c:v>-1.2369600000000001</c:v>
                </c:pt>
                <c:pt idx="75">
                  <c:v>-1.04112</c:v>
                </c:pt>
                <c:pt idx="76">
                  <c:v>-0.87696000000000007</c:v>
                </c:pt>
                <c:pt idx="77">
                  <c:v>-0.98352000000000006</c:v>
                </c:pt>
                <c:pt idx="78">
                  <c:v>-1.05264</c:v>
                </c:pt>
                <c:pt idx="79">
                  <c:v>-0.98063999999999996</c:v>
                </c:pt>
                <c:pt idx="80" formatCode="0.0000000">
                  <c:v>-8.524799999999999E-2</c:v>
                </c:pt>
                <c:pt idx="81">
                  <c:v>0.12196799999999999</c:v>
                </c:pt>
                <c:pt idx="82">
                  <c:v>0.74015999999999993</c:v>
                </c:pt>
                <c:pt idx="83">
                  <c:v>0.22320000000000001</c:v>
                </c:pt>
                <c:pt idx="84">
                  <c:v>0.19583999999999999</c:v>
                </c:pt>
                <c:pt idx="85">
                  <c:v>0.52127999999999997</c:v>
                </c:pt>
                <c:pt idx="86">
                  <c:v>7.6607999999999997E-3</c:v>
                </c:pt>
                <c:pt idx="87">
                  <c:v>-0.13852800000000001</c:v>
                </c:pt>
                <c:pt idx="88">
                  <c:v>3.0096000000000001E-2</c:v>
                </c:pt>
                <c:pt idx="89">
                  <c:v>0.16847999999999999</c:v>
                </c:pt>
              </c:numCache>
            </c:numRef>
          </c:xVal>
          <c:yVal>
            <c:numRef>
              <c:f>Plots!$BM$55:$BM$144</c:f>
              <c:numCache>
                <c:formatCode>General</c:formatCode>
                <c:ptCount val="90"/>
                <c:pt idx="0">
                  <c:v>3.6890624191981507</c:v>
                </c:pt>
                <c:pt idx="1">
                  <c:v>3.3074953411213714</c:v>
                </c:pt>
                <c:pt idx="2">
                  <c:v>3.7009155743392244</c:v>
                </c:pt>
                <c:pt idx="3">
                  <c:v>3.5004722295991852</c:v>
                </c:pt>
                <c:pt idx="4">
                  <c:v>3.1658550443621065</c:v>
                </c:pt>
                <c:pt idx="5">
                  <c:v>2.9093452457095355</c:v>
                </c:pt>
                <c:pt idx="6">
                  <c:v>3.661432976246588</c:v>
                </c:pt>
                <c:pt idx="7">
                  <c:v>3.2686184455944813</c:v>
                </c:pt>
                <c:pt idx="8">
                  <c:v>3.660127233736076</c:v>
                </c:pt>
                <c:pt idx="9">
                  <c:v>3.4643587306052828</c:v>
                </c:pt>
                <c:pt idx="10">
                  <c:v>3.1260257992832949</c:v>
                </c:pt>
                <c:pt idx="11">
                  <c:v>2.8816566978348677</c:v>
                </c:pt>
                <c:pt idx="12">
                  <c:v>3.616246677812625</c:v>
                </c:pt>
                <c:pt idx="13">
                  <c:v>3.2278004524185606</c:v>
                </c:pt>
                <c:pt idx="14">
                  <c:v>3.4180634391078977</c:v>
                </c:pt>
                <c:pt idx="15">
                  <c:v>3.0964350043176188</c:v>
                </c:pt>
                <c:pt idx="16">
                  <c:v>2.8446575104730956</c:v>
                </c:pt>
                <c:pt idx="17">
                  <c:v>3.5651524038752909</c:v>
                </c:pt>
                <c:pt idx="18">
                  <c:v>3.1861161938040867</c:v>
                </c:pt>
                <c:pt idx="19">
                  <c:v>3.3739726488416055</c:v>
                </c:pt>
                <c:pt idx="20">
                  <c:v>3.0696703853027509</c:v>
                </c:pt>
                <c:pt idx="21">
                  <c:v>2.8065082253497939</c:v>
                </c:pt>
                <c:pt idx="22">
                  <c:v>3.1516955413438135</c:v>
                </c:pt>
                <c:pt idx="23">
                  <c:v>3.0310358193055391</c:v>
                </c:pt>
                <c:pt idx="24">
                  <c:v>2.7656875728895214</c:v>
                </c:pt>
                <c:pt idx="25">
                  <c:v>3.1205748912332298</c:v>
                </c:pt>
                <c:pt idx="26">
                  <c:v>2.9960996280318719</c:v>
                </c:pt>
                <c:pt idx="27">
                  <c:v>2.7222288895585303</c:v>
                </c:pt>
                <c:pt idx="28">
                  <c:v>2.677693310700648</c:v>
                </c:pt>
                <c:pt idx="29">
                  <c:v>2.6445738854216385</c:v>
                </c:pt>
                <c:pt idx="30">
                  <c:v>2.6126156048852236</c:v>
                </c:pt>
                <c:pt idx="31">
                  <c:v>2.5780434202106379</c:v>
                </c:pt>
                <c:pt idx="32">
                  <c:v>2.5453010906809608</c:v>
                </c:pt>
                <c:pt idx="33">
                  <c:v>2.5081965847504817</c:v>
                </c:pt>
                <c:pt idx="34">
                  <c:v>2.4690867673003689</c:v>
                </c:pt>
                <c:pt idx="35">
                  <c:v>2.4298540455995914</c:v>
                </c:pt>
                <c:pt idx="36">
                  <c:v>2.3931609988435225</c:v>
                </c:pt>
                <c:pt idx="37">
                  <c:v>2.3502505713273179</c:v>
                </c:pt>
                <c:pt idx="38">
                  <c:v>2.3023331858677993</c:v>
                </c:pt>
                <c:pt idx="39">
                  <c:v>2.2695798117067456</c:v>
                </c:pt>
                <c:pt idx="40">
                  <c:v>2.2397538406777668</c:v>
                </c:pt>
                <c:pt idx="41">
                  <c:v>2.2115980098044945</c:v>
                </c:pt>
                <c:pt idx="42">
                  <c:v>2.1831853257985108</c:v>
                </c:pt>
                <c:pt idx="43">
                  <c:v>2.1525399177420583</c:v>
                </c:pt>
                <c:pt idx="44">
                  <c:v>2.1216223344097918</c:v>
                </c:pt>
                <c:pt idx="45">
                  <c:v>2.0977466778126255</c:v>
                </c:pt>
                <c:pt idx="46">
                  <c:v>2.0814663127128457</c:v>
                </c:pt>
                <c:pt idx="47">
                  <c:v>2.055550566627935</c:v>
                </c:pt>
                <c:pt idx="48">
                  <c:v>2.0289470923556623</c:v>
                </c:pt>
                <c:pt idx="49">
                  <c:v>2.0001311436986162</c:v>
                </c:pt>
                <c:pt idx="50">
                  <c:v>1.9718288942579132</c:v>
                </c:pt>
                <c:pt idx="51">
                  <c:v>1.94464341316156</c:v>
                </c:pt>
                <c:pt idx="52">
                  <c:v>1.9197092617073845</c:v>
                </c:pt>
                <c:pt idx="53">
                  <c:v>1.8912460747956057</c:v>
                </c:pt>
                <c:pt idx="54">
                  <c:v>1.8654438253549059</c:v>
                </c:pt>
                <c:pt idx="55">
                  <c:v>1.8430272572329993</c:v>
                </c:pt>
                <c:pt idx="56">
                  <c:v>1.8197387187570999</c:v>
                </c:pt>
                <c:pt idx="57">
                  <c:v>1.7965307456034256</c:v>
                </c:pt>
                <c:pt idx="58">
                  <c:v>1.7742712355360541</c:v>
                </c:pt>
                <c:pt idx="59">
                  <c:v>1.7503448476143439</c:v>
                </c:pt>
                <c:pt idx="60">
                  <c:v>1.7278583466082462</c:v>
                </c:pt>
                <c:pt idx="61">
                  <c:v>1.7063139702099981</c:v>
                </c:pt>
                <c:pt idx="62">
                  <c:v>1.6838859452633741</c:v>
                </c:pt>
                <c:pt idx="63">
                  <c:v>1.6634575198718646</c:v>
                </c:pt>
                <c:pt idx="64">
                  <c:v>1.6420783796036555</c:v>
                </c:pt>
                <c:pt idx="65">
                  <c:v>1.6201814463819708</c:v>
                </c:pt>
                <c:pt idx="66">
                  <c:v>1.5991260277020405</c:v>
                </c:pt>
                <c:pt idx="67">
                  <c:v>1.5776430056676023</c:v>
                </c:pt>
                <c:pt idx="68">
                  <c:v>1.5563562973899845</c:v>
                </c:pt>
                <c:pt idx="69">
                  <c:v>1.5351661054413257</c:v>
                </c:pt>
                <c:pt idx="70">
                  <c:v>1.5152657026467513</c:v>
                </c:pt>
                <c:pt idx="71">
                  <c:v>1.4951765329575299</c:v>
                </c:pt>
                <c:pt idx="72">
                  <c:v>1.4721573055512711</c:v>
                </c:pt>
                <c:pt idx="73">
                  <c:v>1.4525552539833169</c:v>
                </c:pt>
                <c:pt idx="74">
                  <c:v>1.4321198800472623</c:v>
                </c:pt>
                <c:pt idx="75">
                  <c:v>1.4101740691962346</c:v>
                </c:pt>
                <c:pt idx="76">
                  <c:v>1.3890292876537189</c:v>
                </c:pt>
                <c:pt idx="77">
                  <c:v>1.3675225346322315</c:v>
                </c:pt>
                <c:pt idx="78">
                  <c:v>1.3459656861989058</c:v>
                </c:pt>
                <c:pt idx="79">
                  <c:v>1.3257501426861293</c:v>
                </c:pt>
                <c:pt idx="80">
                  <c:v>1.3051910354133338</c:v>
                </c:pt>
                <c:pt idx="81">
                  <c:v>1.2847067908970122</c:v>
                </c:pt>
                <c:pt idx="82">
                  <c:v>1.2617270452620954</c:v>
                </c:pt>
                <c:pt idx="83">
                  <c:v>1.2418932989521871</c:v>
                </c:pt>
                <c:pt idx="84">
                  <c:v>1.2223783631558125</c:v>
                </c:pt>
                <c:pt idx="85">
                  <c:v>1.2017894124865713</c:v>
                </c:pt>
                <c:pt idx="86">
                  <c:v>1.1800295043240081</c:v>
                </c:pt>
                <c:pt idx="87">
                  <c:v>1.1658444354209991</c:v>
                </c:pt>
                <c:pt idx="88">
                  <c:v>1.1438027112580298</c:v>
                </c:pt>
                <c:pt idx="89">
                  <c:v>1.1231266448172126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B5-3842-B8EB-D35C78A7BEFF}"/>
            </c:ext>
          </c:extLst>
        </c:ser>
        <c:ser>
          <c:idx val="2"/>
          <c:order val="0"/>
          <c:spPr>
            <a:ln w="47625">
              <a:noFill/>
            </a:ln>
          </c:spPr>
          <c:marker>
            <c:symbol val="diamond"/>
            <c:size val="12"/>
            <c:spPr>
              <a:solidFill>
                <a:schemeClr val="accent1"/>
              </a:solidFill>
              <a:ln>
                <a:solidFill>
                  <a:srgbClr val="008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36239495110370201"/>
                  <c:y val="0.13504429133858301"/>
                </c:manualLayout>
              </c:layout>
              <c:tx>
                <c:rich>
                  <a:bodyPr/>
                  <a:lstStyle/>
                  <a:p>
                    <a:pPr>
                      <a:defRPr sz="1400"/>
                    </a:pPr>
                    <a:r>
                      <a:rPr lang="en-US" sz="1400" baseline="0"/>
                      <a:t>y = 0.07x + 3.22
R² = 0.20</a:t>
                    </a:r>
                    <a:endParaRPr lang="en-US" sz="1400"/>
                  </a:p>
                </c:rich>
              </c:tx>
              <c:numFmt formatCode="General" sourceLinked="0"/>
              <c:spPr>
                <a:solidFill>
                  <a:srgbClr val="FFFFFF"/>
                </a:solidFill>
                <a:ln w="19050" cmpd="sng">
                  <a:solidFill>
                    <a:schemeClr val="tx1"/>
                  </a:solidFill>
                </a:ln>
              </c:spPr>
            </c:trendlineLbl>
          </c:trendline>
          <c:xVal>
            <c:numRef>
              <c:f>Plots!$BL$17:$BL$54</c:f>
              <c:numCache>
                <c:formatCode>General</c:formatCode>
                <c:ptCount val="38"/>
                <c:pt idx="7">
                  <c:v>2.4968238271798624</c:v>
                </c:pt>
                <c:pt idx="8">
                  <c:v>2.6144485453752178</c:v>
                </c:pt>
                <c:pt idx="9">
                  <c:v>2.4849697336963619</c:v>
                </c:pt>
                <c:pt idx="10">
                  <c:v>2.4427990299302671</c:v>
                </c:pt>
                <c:pt idx="11">
                  <c:v>2.5974172480089561</c:v>
                </c:pt>
                <c:pt idx="13">
                  <c:v>-3.71</c:v>
                </c:pt>
                <c:pt idx="14">
                  <c:v>2.609304577817432</c:v>
                </c:pt>
                <c:pt idx="15">
                  <c:v>1.7413050798229988</c:v>
                </c:pt>
                <c:pt idx="16">
                  <c:v>0.99414174912606978</c:v>
                </c:pt>
                <c:pt idx="17">
                  <c:v>-2.2578653552395642</c:v>
                </c:pt>
                <c:pt idx="18">
                  <c:v>-1.2488918376506521</c:v>
                </c:pt>
                <c:pt idx="19">
                  <c:v>2.2826679007830104</c:v>
                </c:pt>
                <c:pt idx="20">
                  <c:v>-6.9377187857936479E-3</c:v>
                </c:pt>
                <c:pt idx="25">
                  <c:v>2.9155353829811101</c:v>
                </c:pt>
                <c:pt idx="26">
                  <c:v>2.5020071347161839</c:v>
                </c:pt>
                <c:pt idx="27">
                  <c:v>2.5158057343657654</c:v>
                </c:pt>
                <c:pt idx="28">
                  <c:v>1.7147574073897422</c:v>
                </c:pt>
                <c:pt idx="29">
                  <c:v>2.9701925284258746</c:v>
                </c:pt>
                <c:pt idx="30">
                  <c:v>0.62515837733408564</c:v>
                </c:pt>
                <c:pt idx="31">
                  <c:v>-0.64131519526710967</c:v>
                </c:pt>
                <c:pt idx="33">
                  <c:v>2.6768296780128575</c:v>
                </c:pt>
                <c:pt idx="34">
                  <c:v>3.6013645854884548</c:v>
                </c:pt>
                <c:pt idx="35">
                  <c:v>2.582459148903713</c:v>
                </c:pt>
                <c:pt idx="36">
                  <c:v>1.2180204389017413</c:v>
                </c:pt>
                <c:pt idx="37">
                  <c:v>0.85900897058280878</c:v>
                </c:pt>
              </c:numCache>
            </c:numRef>
          </c:xVal>
          <c:yVal>
            <c:numRef>
              <c:f>Plots!$BM$17:$BM$54</c:f>
              <c:numCache>
                <c:formatCode>General</c:formatCode>
                <c:ptCount val="38"/>
                <c:pt idx="0">
                  <c:v>3.402581022440164</c:v>
                </c:pt>
                <c:pt idx="1">
                  <c:v>3.5956143565567311</c:v>
                </c:pt>
                <c:pt idx="2">
                  <c:v>3.9735063881024368</c:v>
                </c:pt>
                <c:pt idx="3">
                  <c:v>4.0705503382091868</c:v>
                </c:pt>
                <c:pt idx="4">
                  <c:v>3.9363337677375876</c:v>
                </c:pt>
                <c:pt idx="5">
                  <c:v>3.8828229280280384</c:v>
                </c:pt>
                <c:pt idx="6">
                  <c:v>3.8284341775812392</c:v>
                </c:pt>
                <c:pt idx="7">
                  <c:v>3.5144710094669973</c:v>
                </c:pt>
                <c:pt idx="8">
                  <c:v>3.4474771477230091</c:v>
                </c:pt>
                <c:pt idx="9">
                  <c:v>3.4445194843017637</c:v>
                </c:pt>
                <c:pt idx="10">
                  <c:v>3.42052888955853</c:v>
                </c:pt>
                <c:pt idx="11">
                  <c:v>3.0834939113679729</c:v>
                </c:pt>
                <c:pt idx="12">
                  <c:v>3.0008783584564283</c:v>
                </c:pt>
                <c:pt idx="13">
                  <c:v>3.7856730516361816</c:v>
                </c:pt>
                <c:pt idx="14">
                  <c:v>3.6221720246773588</c:v>
                </c:pt>
                <c:pt idx="15">
                  <c:v>3.339745248059228</c:v>
                </c:pt>
                <c:pt idx="16">
                  <c:v>3.3122742858665228</c:v>
                </c:pt>
                <c:pt idx="17">
                  <c:v>3.2755507692000672</c:v>
                </c:pt>
                <c:pt idx="18">
                  <c:v>3.2615924910133449</c:v>
                </c:pt>
                <c:pt idx="19">
                  <c:v>2.9535202734430692</c:v>
                </c:pt>
                <c:pt idx="20">
                  <c:v>2.9459572820543505</c:v>
                </c:pt>
                <c:pt idx="21">
                  <c:v>3.7167159959313372</c:v>
                </c:pt>
                <c:pt idx="22">
                  <c:v>4.0373947052086629</c:v>
                </c:pt>
                <c:pt idx="23">
                  <c:v>3.9870924557679617</c:v>
                </c:pt>
                <c:pt idx="24">
                  <c:v>3.7887409376518049</c:v>
                </c:pt>
                <c:pt idx="25">
                  <c:v>3.4816802121516313</c:v>
                </c:pt>
                <c:pt idx="26">
                  <c:v>3.3864530186407693</c:v>
                </c:pt>
                <c:pt idx="27">
                  <c:v>3.0417266236699829</c:v>
                </c:pt>
                <c:pt idx="28">
                  <c:v>3.7786814440322791</c:v>
                </c:pt>
                <c:pt idx="29">
                  <c:v>3.5806231540970943</c:v>
                </c:pt>
                <c:pt idx="30">
                  <c:v>3.2337663033140762</c:v>
                </c:pt>
                <c:pt idx="31">
                  <c:v>2.9589521919043884</c:v>
                </c:pt>
                <c:pt idx="32">
                  <c:v>3.7360098576753265</c:v>
                </c:pt>
                <c:pt idx="33">
                  <c:v>3.3481487199818067</c:v>
                </c:pt>
                <c:pt idx="34">
                  <c:v>3.7410401297129612</c:v>
                </c:pt>
                <c:pt idx="35">
                  <c:v>3.5398139537621534</c:v>
                </c:pt>
                <c:pt idx="36">
                  <c:v>3.2027693677426976</c:v>
                </c:pt>
                <c:pt idx="37">
                  <c:v>2.9403162032028556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B5-3842-B8EB-D35C78A7B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7407360"/>
        <c:axId val="-2027128704"/>
      </c:scatterChart>
      <c:valAx>
        <c:axId val="-2027407360"/>
        <c:scaling>
          <c:orientation val="minMax"/>
          <c:min val="-4"/>
        </c:scaling>
        <c:delete val="0"/>
        <c:axPos val="b"/>
        <c:majorGridlines/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7128704"/>
        <c:crosses val="autoZero"/>
        <c:crossBetween val="midCat"/>
        <c:majorUnit val="1"/>
      </c:valAx>
      <c:valAx>
        <c:axId val="-2027128704"/>
        <c:scaling>
          <c:orientation val="minMax"/>
        </c:scaling>
        <c:delete val="0"/>
        <c:axPos val="l"/>
        <c:majorGridlines/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7407360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All Tanks: Recharge vs Water Level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62672271315430494"/>
          <c:h val="0.64184175592369697"/>
        </c:manualLayout>
      </c:layout>
      <c:scatterChart>
        <c:scatterStyle val="lineMarker"/>
        <c:varyColors val="0"/>
        <c:ser>
          <c:idx val="2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marker>
            <c:symbol val="diamond"/>
            <c:size val="12"/>
            <c:spPr>
              <a:solidFill>
                <a:schemeClr val="accent1"/>
              </a:solidFill>
              <a:ln>
                <a:solidFill>
                  <a:srgbClr val="008000"/>
                </a:solidFill>
              </a:ln>
            </c:spPr>
          </c:marker>
          <c:xVal>
            <c:numRef>
              <c:f>Plots!$CP$4:$CP$172</c:f>
              <c:numCache>
                <c:formatCode>General</c:formatCode>
                <c:ptCount val="169"/>
                <c:pt idx="0">
                  <c:v>3.1435810224401641</c:v>
                </c:pt>
                <c:pt idx="1">
                  <c:v>3.2043143565567305</c:v>
                </c:pt>
                <c:pt idx="2">
                  <c:v>3.3996063881024372</c:v>
                </c:pt>
                <c:pt idx="3">
                  <c:v>3.2055503382091852</c:v>
                </c:pt>
                <c:pt idx="4">
                  <c:v>3.1485337677375855</c:v>
                </c:pt>
                <c:pt idx="5">
                  <c:v>3.1297229280280372</c:v>
                </c:pt>
                <c:pt idx="6">
                  <c:v>3.1196341775812395</c:v>
                </c:pt>
                <c:pt idx="7">
                  <c:v>2.9733710094669976</c:v>
                </c:pt>
                <c:pt idx="8">
                  <c:v>2.9368771477230093</c:v>
                </c:pt>
                <c:pt idx="9">
                  <c:v>2.9495194843017631</c:v>
                </c:pt>
                <c:pt idx="10">
                  <c:v>2.9404288895585302</c:v>
                </c:pt>
                <c:pt idx="11">
                  <c:v>2.681026623669982</c:v>
                </c:pt>
                <c:pt idx="12">
                  <c:v>3.1592730516361818</c:v>
                </c:pt>
                <c:pt idx="13">
                  <c:v>3.1414814440322778</c:v>
                </c:pt>
                <c:pt idx="14">
                  <c:v>3.0159231540970928</c:v>
                </c:pt>
                <c:pt idx="15">
                  <c:v>2.8344742858665231</c:v>
                </c:pt>
                <c:pt idx="16">
                  <c:v>2.808250769200066</c:v>
                </c:pt>
                <c:pt idx="17">
                  <c:v>2.797992491013344</c:v>
                </c:pt>
                <c:pt idx="18">
                  <c:v>2.7761663033140755</c:v>
                </c:pt>
                <c:pt idx="19">
                  <c:v>2.4986572820543489</c:v>
                </c:pt>
                <c:pt idx="20">
                  <c:v>2.5224521919043883</c:v>
                </c:pt>
                <c:pt idx="21">
                  <c:v>3.2750159959313367</c:v>
                </c:pt>
                <c:pt idx="22">
                  <c:v>3.2147947052086621</c:v>
                </c:pt>
                <c:pt idx="23">
                  <c:v>3.0979409376518041</c:v>
                </c:pt>
                <c:pt idx="24">
                  <c:v>2.9555802121516304</c:v>
                </c:pt>
                <c:pt idx="25">
                  <c:v>2.9189530186407686</c:v>
                </c:pt>
                <c:pt idx="26">
                  <c:v>2.6427783584564284</c:v>
                </c:pt>
                <c:pt idx="27">
                  <c:v>3.1183401297129616</c:v>
                </c:pt>
                <c:pt idx="28">
                  <c:v>2.9912139537621534</c:v>
                </c:pt>
                <c:pt idx="29">
                  <c:v>2.7505693677426968</c:v>
                </c:pt>
                <c:pt idx="30">
                  <c:v>2.500216203202855</c:v>
                </c:pt>
                <c:pt idx="31">
                  <c:v>3.179992455767962</c:v>
                </c:pt>
                <c:pt idx="32">
                  <c:v>3.0740098576753261</c:v>
                </c:pt>
                <c:pt idx="33">
                  <c:v>2.8968487199818074</c:v>
                </c:pt>
                <c:pt idx="34">
                  <c:v>3.0934155743392249</c:v>
                </c:pt>
                <c:pt idx="35">
                  <c:v>2.9665722295991848</c:v>
                </c:pt>
                <c:pt idx="36">
                  <c:v>2.7202550443621063</c:v>
                </c:pt>
                <c:pt idx="37">
                  <c:v>2.4751452457095353</c:v>
                </c:pt>
                <c:pt idx="38">
                  <c:v>3.0483624191981504</c:v>
                </c:pt>
                <c:pt idx="39">
                  <c:v>2.8724953411213714</c:v>
                </c:pt>
                <c:pt idx="40">
                  <c:v>3.0679272337360763</c:v>
                </c:pt>
                <c:pt idx="41">
                  <c:v>2.9412587306052838</c:v>
                </c:pt>
                <c:pt idx="42">
                  <c:v>2.6826257992832949</c:v>
                </c:pt>
                <c:pt idx="43">
                  <c:v>2.4447566978348667</c:v>
                </c:pt>
                <c:pt idx="44">
                  <c:v>3.0304329762465883</c:v>
                </c:pt>
                <c:pt idx="45">
                  <c:v>2.8491184455944807</c:v>
                </c:pt>
                <c:pt idx="46">
                  <c:v>3.0416720246773585</c:v>
                </c:pt>
                <c:pt idx="47">
                  <c:v>2.9136634391078959</c:v>
                </c:pt>
                <c:pt idx="48">
                  <c:v>2.6472350043176198</c:v>
                </c:pt>
                <c:pt idx="49">
                  <c:v>2.4068575104730967</c:v>
                </c:pt>
                <c:pt idx="50">
                  <c:v>3.0117466778126238</c:v>
                </c:pt>
                <c:pt idx="51">
                  <c:v>2.8217004524185607</c:v>
                </c:pt>
                <c:pt idx="52">
                  <c:v>2.8870726488416056</c:v>
                </c:pt>
                <c:pt idx="53">
                  <c:v>2.6114703853027499</c:v>
                </c:pt>
                <c:pt idx="54">
                  <c:v>2.3701082253497936</c:v>
                </c:pt>
                <c:pt idx="55">
                  <c:v>2.9937524038752907</c:v>
                </c:pt>
                <c:pt idx="56">
                  <c:v>2.7828161938040874</c:v>
                </c:pt>
                <c:pt idx="57">
                  <c:v>2.8603452480592284</c:v>
                </c:pt>
                <c:pt idx="58">
                  <c:v>2.5763358193055388</c:v>
                </c:pt>
                <c:pt idx="59">
                  <c:v>2.3149875728895206</c:v>
                </c:pt>
                <c:pt idx="60">
                  <c:v>2.7604955413438126</c:v>
                </c:pt>
                <c:pt idx="61">
                  <c:v>2.539699628031872</c:v>
                </c:pt>
                <c:pt idx="62">
                  <c:v>2.2296288895585294</c:v>
                </c:pt>
                <c:pt idx="63">
                  <c:v>2.7414748912332292</c:v>
                </c:pt>
                <c:pt idx="64">
                  <c:v>2.5019202734430688</c:v>
                </c:pt>
                <c:pt idx="65">
                  <c:v>2.1447933107006487</c:v>
                </c:pt>
                <c:pt idx="66">
                  <c:v>2.7170939113679728</c:v>
                </c:pt>
                <c:pt idx="67">
                  <c:v>2.076373885421638</c:v>
                </c:pt>
                <c:pt idx="68">
                  <c:v>3.402581022440164</c:v>
                </c:pt>
                <c:pt idx="69">
                  <c:v>3.5956143565567311</c:v>
                </c:pt>
                <c:pt idx="70">
                  <c:v>3.9735063881024368</c:v>
                </c:pt>
                <c:pt idx="71">
                  <c:v>4.0705503382091868</c:v>
                </c:pt>
                <c:pt idx="72">
                  <c:v>3.9363337677375876</c:v>
                </c:pt>
                <c:pt idx="73">
                  <c:v>3.8828229280280384</c:v>
                </c:pt>
                <c:pt idx="74">
                  <c:v>3.8284341775812392</c:v>
                </c:pt>
                <c:pt idx="75">
                  <c:v>3.5144710094669973</c:v>
                </c:pt>
                <c:pt idx="76">
                  <c:v>3.4474771477230091</c:v>
                </c:pt>
                <c:pt idx="77">
                  <c:v>3.4445194843017637</c:v>
                </c:pt>
                <c:pt idx="78">
                  <c:v>3.42052888955853</c:v>
                </c:pt>
                <c:pt idx="79">
                  <c:v>3.0834939113679729</c:v>
                </c:pt>
                <c:pt idx="80">
                  <c:v>3.0008783584564283</c:v>
                </c:pt>
                <c:pt idx="81">
                  <c:v>3.7856730516361816</c:v>
                </c:pt>
                <c:pt idx="82">
                  <c:v>3.6221720246773588</c:v>
                </c:pt>
                <c:pt idx="83">
                  <c:v>3.339745248059228</c:v>
                </c:pt>
                <c:pt idx="84">
                  <c:v>3.3122742858665228</c:v>
                </c:pt>
                <c:pt idx="85">
                  <c:v>3.2755507692000672</c:v>
                </c:pt>
                <c:pt idx="86">
                  <c:v>3.2615924910133449</c:v>
                </c:pt>
                <c:pt idx="87">
                  <c:v>2.9535202734430692</c:v>
                </c:pt>
                <c:pt idx="88">
                  <c:v>2.9459572820543505</c:v>
                </c:pt>
                <c:pt idx="89">
                  <c:v>3.7167159959313372</c:v>
                </c:pt>
                <c:pt idx="90">
                  <c:v>4.0373947052086629</c:v>
                </c:pt>
                <c:pt idx="91">
                  <c:v>3.9870924557679617</c:v>
                </c:pt>
                <c:pt idx="92">
                  <c:v>3.7887409376518049</c:v>
                </c:pt>
                <c:pt idx="93">
                  <c:v>3.4816802121516313</c:v>
                </c:pt>
                <c:pt idx="94">
                  <c:v>3.3864530186407693</c:v>
                </c:pt>
                <c:pt idx="95">
                  <c:v>3.0417266236699829</c:v>
                </c:pt>
                <c:pt idx="96">
                  <c:v>3.7786814440322791</c:v>
                </c:pt>
                <c:pt idx="97">
                  <c:v>3.5806231540970943</c:v>
                </c:pt>
                <c:pt idx="98">
                  <c:v>3.2337663033140762</c:v>
                </c:pt>
                <c:pt idx="99">
                  <c:v>2.9589521919043884</c:v>
                </c:pt>
                <c:pt idx="100">
                  <c:v>3.7360098576753265</c:v>
                </c:pt>
                <c:pt idx="101">
                  <c:v>3.3481487199818067</c:v>
                </c:pt>
                <c:pt idx="102">
                  <c:v>3.7410401297129612</c:v>
                </c:pt>
                <c:pt idx="103">
                  <c:v>3.5398139537621534</c:v>
                </c:pt>
                <c:pt idx="104">
                  <c:v>3.2027693677426976</c:v>
                </c:pt>
                <c:pt idx="105">
                  <c:v>2.9403162032028556</c:v>
                </c:pt>
                <c:pt idx="106">
                  <c:v>3.1793810224401646</c:v>
                </c:pt>
                <c:pt idx="107">
                  <c:v>3.2773143565567313</c:v>
                </c:pt>
                <c:pt idx="108">
                  <c:v>3.4026063881024378</c:v>
                </c:pt>
                <c:pt idx="109">
                  <c:v>3.4228503382091855</c:v>
                </c:pt>
                <c:pt idx="110">
                  <c:v>3.371833767737586</c:v>
                </c:pt>
                <c:pt idx="111">
                  <c:v>3.3511229280280386</c:v>
                </c:pt>
                <c:pt idx="112">
                  <c:v>3.3322341775812401</c:v>
                </c:pt>
                <c:pt idx="113">
                  <c:v>3.1945710094669977</c:v>
                </c:pt>
                <c:pt idx="114">
                  <c:v>3.1596771477230092</c:v>
                </c:pt>
                <c:pt idx="115">
                  <c:v>3.1680194843017642</c:v>
                </c:pt>
                <c:pt idx="116">
                  <c:v>3.1691288895585306</c:v>
                </c:pt>
                <c:pt idx="117">
                  <c:v>2.9560266236699828</c:v>
                </c:pt>
                <c:pt idx="118">
                  <c:v>3.230673051636181</c:v>
                </c:pt>
                <c:pt idx="119">
                  <c:v>3.2119814440322791</c:v>
                </c:pt>
                <c:pt idx="120">
                  <c:v>3.1047231540970941</c:v>
                </c:pt>
                <c:pt idx="121">
                  <c:v>2.9242742858665238</c:v>
                </c:pt>
                <c:pt idx="122">
                  <c:v>2.9012507692000664</c:v>
                </c:pt>
                <c:pt idx="123">
                  <c:v>2.8964924910133441</c:v>
                </c:pt>
                <c:pt idx="124">
                  <c:v>2.8756663033140768</c:v>
                </c:pt>
                <c:pt idx="125">
                  <c:v>2.588757282054349</c:v>
                </c:pt>
                <c:pt idx="126">
                  <c:v>2.6219521919043878</c:v>
                </c:pt>
                <c:pt idx="127">
                  <c:v>3.3345159959313371</c:v>
                </c:pt>
                <c:pt idx="128">
                  <c:v>3.4088947052086631</c:v>
                </c:pt>
                <c:pt idx="129">
                  <c:v>3.3132409376518037</c:v>
                </c:pt>
                <c:pt idx="130">
                  <c:v>3.1776802121516301</c:v>
                </c:pt>
                <c:pt idx="131">
                  <c:v>3.1474530186407694</c:v>
                </c:pt>
                <c:pt idx="132">
                  <c:v>2.928978358456428</c:v>
                </c:pt>
                <c:pt idx="133">
                  <c:v>3.1923401297129619</c:v>
                </c:pt>
                <c:pt idx="134">
                  <c:v>3.081513953762153</c:v>
                </c:pt>
                <c:pt idx="135">
                  <c:v>2.8481693677426971</c:v>
                </c:pt>
                <c:pt idx="136">
                  <c:v>2.5973162032028565</c:v>
                </c:pt>
                <c:pt idx="137">
                  <c:v>3.3914924557679615</c:v>
                </c:pt>
                <c:pt idx="138">
                  <c:v>3.292209857675326</c:v>
                </c:pt>
                <c:pt idx="139">
                  <c:v>3.1306487199818065</c:v>
                </c:pt>
                <c:pt idx="140">
                  <c:v>3.1712155743392252</c:v>
                </c:pt>
                <c:pt idx="141">
                  <c:v>3.0538722295991843</c:v>
                </c:pt>
                <c:pt idx="142">
                  <c:v>2.8178550443621067</c:v>
                </c:pt>
                <c:pt idx="143">
                  <c:v>2.5751452457095354</c:v>
                </c:pt>
                <c:pt idx="144">
                  <c:v>3.2727624191981519</c:v>
                </c:pt>
                <c:pt idx="145">
                  <c:v>3.1099953411213708</c:v>
                </c:pt>
                <c:pt idx="146">
                  <c:v>3.1489272337360763</c:v>
                </c:pt>
                <c:pt idx="147">
                  <c:v>3.0250587306052825</c:v>
                </c:pt>
                <c:pt idx="148">
                  <c:v>2.7797257992832947</c:v>
                </c:pt>
                <c:pt idx="149">
                  <c:v>2.5535566978348676</c:v>
                </c:pt>
                <c:pt idx="150">
                  <c:v>3.2534329762465877</c:v>
                </c:pt>
                <c:pt idx="151">
                  <c:v>3.0919184455944819</c:v>
                </c:pt>
                <c:pt idx="152">
                  <c:v>3.125172024677358</c:v>
                </c:pt>
                <c:pt idx="153">
                  <c:v>2.9966634391078966</c:v>
                </c:pt>
                <c:pt idx="154">
                  <c:v>2.7452350043176192</c:v>
                </c:pt>
                <c:pt idx="155">
                  <c:v>2.5267575104730966</c:v>
                </c:pt>
                <c:pt idx="156">
                  <c:v>3.2334466778126245</c:v>
                </c:pt>
                <c:pt idx="157">
                  <c:v>3.0709004524185612</c:v>
                </c:pt>
                <c:pt idx="158">
                  <c:v>2.9721726488416049</c:v>
                </c:pt>
                <c:pt idx="159">
                  <c:v>2.7107703853027498</c:v>
                </c:pt>
                <c:pt idx="160">
                  <c:v>2.4946082253497934</c:v>
                </c:pt>
                <c:pt idx="161">
                  <c:v>3.2137524038752918</c:v>
                </c:pt>
                <c:pt idx="162">
                  <c:v>3.0501161938040884</c:v>
                </c:pt>
                <c:pt idx="163">
                  <c:v>2.9501452480592274</c:v>
                </c:pt>
                <c:pt idx="164">
                  <c:v>2.6747358193055391</c:v>
                </c:pt>
                <c:pt idx="165">
                  <c:v>2.456787572889521</c:v>
                </c:pt>
                <c:pt idx="166">
                  <c:v>3.0268955413438121</c:v>
                </c:pt>
                <c:pt idx="167">
                  <c:v>2.6353996280318732</c:v>
                </c:pt>
                <c:pt idx="168">
                  <c:v>2.42622888955853</c:v>
                </c:pt>
              </c:numCache>
            </c:numRef>
          </c:xVal>
          <c:yVal>
            <c:numRef>
              <c:f>Plots!$CO$4:$CO$172</c:f>
              <c:numCache>
                <c:formatCode>General</c:formatCode>
                <c:ptCount val="169"/>
                <c:pt idx="4">
                  <c:v>5.7906656274811161E-2</c:v>
                </c:pt>
                <c:pt idx="5">
                  <c:v>-0.79545390828986051</c:v>
                </c:pt>
                <c:pt idx="6">
                  <c:v>0.23953170807214652</c:v>
                </c:pt>
                <c:pt idx="7">
                  <c:v>-1.0351261824847269</c:v>
                </c:pt>
                <c:pt idx="8">
                  <c:v>0.40960138061237988</c:v>
                </c:pt>
                <c:pt idx="9">
                  <c:v>-2.0403830948889263</c:v>
                </c:pt>
                <c:pt idx="10">
                  <c:v>-1.5695544001749746</c:v>
                </c:pt>
                <c:pt idx="11">
                  <c:v>0.16564679449580372</c:v>
                </c:pt>
                <c:pt idx="12">
                  <c:v>-1.5957342214388917</c:v>
                </c:pt>
                <c:pt idx="13">
                  <c:v>-0.80755960410805083</c:v>
                </c:pt>
                <c:pt idx="14">
                  <c:v>-0.56179775531487108</c:v>
                </c:pt>
                <c:pt idx="15">
                  <c:v>-1.5749025158820305</c:v>
                </c:pt>
                <c:pt idx="16">
                  <c:v>-1.2738120930003871</c:v>
                </c:pt>
                <c:pt idx="17">
                  <c:v>-1.556060318742158</c:v>
                </c:pt>
                <c:pt idx="18">
                  <c:v>4.1422390507913145E-2</c:v>
                </c:pt>
                <c:pt idx="19">
                  <c:v>-3.6344173030996401</c:v>
                </c:pt>
                <c:pt idx="20">
                  <c:v>-0.85800801115005854</c:v>
                </c:pt>
                <c:pt idx="23">
                  <c:v>0.10653296367176025</c:v>
                </c:pt>
                <c:pt idx="24">
                  <c:v>-1.0332019764012534</c:v>
                </c:pt>
                <c:pt idx="25">
                  <c:v>-1.4589227979861892</c:v>
                </c:pt>
                <c:pt idx="27">
                  <c:v>-0.37989048676427656</c:v>
                </c:pt>
                <c:pt idx="28">
                  <c:v>-0.58996450647456522</c:v>
                </c:pt>
                <c:pt idx="29">
                  <c:v>-0.51649129679547001</c:v>
                </c:pt>
                <c:pt idx="30">
                  <c:v>-0.26824852694965379</c:v>
                </c:pt>
                <c:pt idx="31">
                  <c:v>-0.81316758730067096</c:v>
                </c:pt>
                <c:pt idx="32">
                  <c:v>-0.18437699289918197</c:v>
                </c:pt>
                <c:pt idx="33">
                  <c:v>-2.2699938135866562</c:v>
                </c:pt>
                <c:pt idx="34">
                  <c:v>-9.5686504933702524E-2</c:v>
                </c:pt>
                <c:pt idx="35">
                  <c:v>-0.35767398137029927</c:v>
                </c:pt>
                <c:pt idx="36">
                  <c:v>0.63153638159846492</c:v>
                </c:pt>
                <c:pt idx="37">
                  <c:v>0.23573368904136854</c:v>
                </c:pt>
                <c:pt idx="38">
                  <c:v>-0.47444989878023047</c:v>
                </c:pt>
                <c:pt idx="39">
                  <c:v>-6.363185087767502E-2</c:v>
                </c:pt>
                <c:pt idx="40">
                  <c:v>-0.31456925909300187</c:v>
                </c:pt>
                <c:pt idx="41">
                  <c:v>-0.45512925890862677</c:v>
                </c:pt>
                <c:pt idx="42">
                  <c:v>0.94155290821139181</c:v>
                </c:pt>
                <c:pt idx="43">
                  <c:v>9.6746017342390703E-2</c:v>
                </c:pt>
                <c:pt idx="44">
                  <c:v>-1.3680144254648863</c:v>
                </c:pt>
                <c:pt idx="45">
                  <c:v>0.72275058579618356</c:v>
                </c:pt>
                <c:pt idx="46">
                  <c:v>-0.30200307620411071</c:v>
                </c:pt>
                <c:pt idx="47">
                  <c:v>-0.37774367011921411</c:v>
                </c:pt>
                <c:pt idx="48">
                  <c:v>0.85241886971706882</c:v>
                </c:pt>
                <c:pt idx="49">
                  <c:v>1.1696818889693983</c:v>
                </c:pt>
                <c:pt idx="50">
                  <c:v>-1.0369758377861031</c:v>
                </c:pt>
                <c:pt idx="51">
                  <c:v>0.4183905468843514</c:v>
                </c:pt>
                <c:pt idx="52">
                  <c:v>-0.11150776774200913</c:v>
                </c:pt>
                <c:pt idx="53">
                  <c:v>0.65526965992834463</c:v>
                </c:pt>
                <c:pt idx="54">
                  <c:v>1.5622743532361143</c:v>
                </c:pt>
                <c:pt idx="55">
                  <c:v>-1.4684863639916124</c:v>
                </c:pt>
                <c:pt idx="56">
                  <c:v>1.0451309710629426</c:v>
                </c:pt>
                <c:pt idx="57">
                  <c:v>-0.23206942474571016</c:v>
                </c:pt>
                <c:pt idx="58">
                  <c:v>0.6949683494215666</c:v>
                </c:pt>
                <c:pt idx="60">
                  <c:v>-2.6838063946914672</c:v>
                </c:pt>
                <c:pt idx="61">
                  <c:v>1.7822660783882269</c:v>
                </c:pt>
                <c:pt idx="63">
                  <c:v>0.42655682172897669</c:v>
                </c:pt>
                <c:pt idx="64">
                  <c:v>0.99522285914351061</c:v>
                </c:pt>
                <c:pt idx="66">
                  <c:v>0.14474981881563398</c:v>
                </c:pt>
                <c:pt idx="75">
                  <c:v>2.4968238271798624</c:v>
                </c:pt>
                <c:pt idx="76">
                  <c:v>2.6144485453752178</c:v>
                </c:pt>
                <c:pt idx="77">
                  <c:v>2.4849697336963619</c:v>
                </c:pt>
                <c:pt idx="78">
                  <c:v>2.4427990299302671</c:v>
                </c:pt>
                <c:pt idx="79">
                  <c:v>2.5974172480089561</c:v>
                </c:pt>
                <c:pt idx="81">
                  <c:v>-3.71</c:v>
                </c:pt>
                <c:pt idx="82">
                  <c:v>2.609304577817432</c:v>
                </c:pt>
                <c:pt idx="83">
                  <c:v>1.7413050798229988</c:v>
                </c:pt>
                <c:pt idx="84">
                  <c:v>0.99414174912606978</c:v>
                </c:pt>
                <c:pt idx="85">
                  <c:v>-2.2578653552395642</c:v>
                </c:pt>
                <c:pt idx="86">
                  <c:v>-1.2488918376506521</c:v>
                </c:pt>
                <c:pt idx="87">
                  <c:v>2.2826679007830104</c:v>
                </c:pt>
                <c:pt idx="88">
                  <c:v>-6.9377187857936479E-3</c:v>
                </c:pt>
                <c:pt idx="93">
                  <c:v>2.9155353829811101</c:v>
                </c:pt>
                <c:pt idx="94">
                  <c:v>2.5020071347161839</c:v>
                </c:pt>
                <c:pt idx="95">
                  <c:v>2.5158057343657654</c:v>
                </c:pt>
                <c:pt idx="96">
                  <c:v>1.7147574073897422</c:v>
                </c:pt>
                <c:pt idx="97">
                  <c:v>2.9701925284258746</c:v>
                </c:pt>
                <c:pt idx="98">
                  <c:v>0.62515837733408564</c:v>
                </c:pt>
                <c:pt idx="99">
                  <c:v>-0.64131519526710967</c:v>
                </c:pt>
                <c:pt idx="101">
                  <c:v>2.6768296780128575</c:v>
                </c:pt>
                <c:pt idx="102">
                  <c:v>3.6013645854884548</c:v>
                </c:pt>
                <c:pt idx="103">
                  <c:v>2.582459148903713</c:v>
                </c:pt>
                <c:pt idx="104">
                  <c:v>1.2180204389017413</c:v>
                </c:pt>
                <c:pt idx="105">
                  <c:v>0.85900897058280878</c:v>
                </c:pt>
                <c:pt idx="113">
                  <c:v>0.50279075182196653</c:v>
                </c:pt>
                <c:pt idx="114">
                  <c:v>1.4949716434717337</c:v>
                </c:pt>
                <c:pt idx="115">
                  <c:v>0.42338980618710281</c:v>
                </c:pt>
                <c:pt idx="116">
                  <c:v>-1.3908210673903559E-2</c:v>
                </c:pt>
                <c:pt idx="117">
                  <c:v>0.50772944608594051</c:v>
                </c:pt>
                <c:pt idx="118">
                  <c:v>0.65789852459403453</c:v>
                </c:pt>
                <c:pt idx="119">
                  <c:v>-1.6312359796333313</c:v>
                </c:pt>
                <c:pt idx="120">
                  <c:v>2.4109397683936313</c:v>
                </c:pt>
                <c:pt idx="121">
                  <c:v>-0.31362669262713816</c:v>
                </c:pt>
                <c:pt idx="122">
                  <c:v>-1.2892189741377256</c:v>
                </c:pt>
                <c:pt idx="123">
                  <c:v>1.3637236714245365E-2</c:v>
                </c:pt>
                <c:pt idx="124">
                  <c:v>1.4266914446650907</c:v>
                </c:pt>
                <c:pt idx="125">
                  <c:v>-3.8487165118392443</c:v>
                </c:pt>
                <c:pt idx="126">
                  <c:v>1.79830026085901</c:v>
                </c:pt>
                <c:pt idx="130">
                  <c:v>1.6519032736952086</c:v>
                </c:pt>
                <c:pt idx="131">
                  <c:v>0.72846457203397852</c:v>
                </c:pt>
                <c:pt idx="133">
                  <c:v>0.68898463782179731</c:v>
                </c:pt>
                <c:pt idx="134">
                  <c:v>1.9593647523468638</c:v>
                </c:pt>
                <c:pt idx="135">
                  <c:v>1.9871863646742542</c:v>
                </c:pt>
                <c:pt idx="136">
                  <c:v>1.3</c:v>
                </c:pt>
                <c:pt idx="139">
                  <c:v>0.74414422672680225</c:v>
                </c:pt>
                <c:pt idx="140">
                  <c:v>1.5567379084738564</c:v>
                </c:pt>
                <c:pt idx="141">
                  <c:v>1.5712702284108773</c:v>
                </c:pt>
                <c:pt idx="142">
                  <c:v>1.9061340824203516</c:v>
                </c:pt>
                <c:pt idx="143">
                  <c:v>0.92011709713573064</c:v>
                </c:pt>
                <c:pt idx="145">
                  <c:v>0.89371537531801359</c:v>
                </c:pt>
                <c:pt idx="146">
                  <c:v>1.5047129258102911</c:v>
                </c:pt>
                <c:pt idx="147">
                  <c:v>2.6404716046717125</c:v>
                </c:pt>
                <c:pt idx="148">
                  <c:v>2.2438871846158799</c:v>
                </c:pt>
                <c:pt idx="149">
                  <c:v>1.2111596288873414</c:v>
                </c:pt>
                <c:pt idx="150">
                  <c:v>0.51380529982026912</c:v>
                </c:pt>
                <c:pt idx="151">
                  <c:v>1.4014465393149891</c:v>
                </c:pt>
                <c:pt idx="152">
                  <c:v>1.584563958071205</c:v>
                </c:pt>
                <c:pt idx="153">
                  <c:v>2.3285108207370135</c:v>
                </c:pt>
                <c:pt idx="154">
                  <c:v>2.4341461905421689</c:v>
                </c:pt>
                <c:pt idx="155">
                  <c:v>1.6837415385962864</c:v>
                </c:pt>
                <c:pt idx="156">
                  <c:v>0.84293906513104155</c:v>
                </c:pt>
                <c:pt idx="157">
                  <c:v>0.80411502232914134</c:v>
                </c:pt>
                <c:pt idx="158">
                  <c:v>1.9989357774816381</c:v>
                </c:pt>
                <c:pt idx="159">
                  <c:v>2.6689105851279873</c:v>
                </c:pt>
                <c:pt idx="160">
                  <c:v>5.0999999999999996</c:v>
                </c:pt>
                <c:pt idx="161">
                  <c:v>0.51149196568268729</c:v>
                </c:pt>
                <c:pt idx="162">
                  <c:v>0.82659738260706006</c:v>
                </c:pt>
                <c:pt idx="163">
                  <c:v>1.8834516113750797</c:v>
                </c:pt>
                <c:pt idx="164">
                  <c:v>2.2302539133568398</c:v>
                </c:pt>
                <c:pt idx="165">
                  <c:v>2.0591776777834614</c:v>
                </c:pt>
                <c:pt idx="166">
                  <c:v>2.2927546764752416</c:v>
                </c:pt>
                <c:pt idx="167">
                  <c:v>2.9214696641984412</c:v>
                </c:pt>
                <c:pt idx="168">
                  <c:v>2.3478108219588796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C4-E746-9345-7F2B09EC4E20}"/>
            </c:ext>
          </c:extLst>
        </c:ser>
        <c:ser>
          <c:idx val="6"/>
          <c:order val="1"/>
          <c:tx>
            <c:v>T3_1</c:v>
          </c:tx>
          <c:spPr>
            <a:ln w="47625">
              <a:noFill/>
            </a:ln>
          </c:spPr>
          <c:marker>
            <c:symbol val="square"/>
            <c:size val="11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27587387821063902"/>
                  <c:y val="-0.12685293957193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sz="1400" baseline="0"/>
                      <a:t>y = 0.989x - 0.888
R² = 0.41957</a:t>
                    </a:r>
                    <a:endParaRPr lang="en-US" sz="1400"/>
                  </a:p>
                </c:rich>
              </c:tx>
              <c:numFmt formatCode="General" sourceLinked="0"/>
              <c:spPr>
                <a:solidFill>
                  <a:srgbClr val="FFFFFF"/>
                </a:solidFill>
                <a:ln w="19050" cmpd="sng">
                  <a:solidFill>
                    <a:srgbClr val="000000"/>
                  </a:solidFill>
                </a:ln>
              </c:spPr>
            </c:trendlineLbl>
          </c:trendline>
          <c:xVal>
            <c:numRef>
              <c:f>Plots!$CT$4:$CT$269</c:f>
              <c:numCache>
                <c:formatCode>General</c:formatCode>
                <c:ptCount val="266"/>
                <c:pt idx="0">
                  <c:v>2.0227156048852222</c:v>
                </c:pt>
                <c:pt idx="1">
                  <c:v>1.9766434202106367</c:v>
                </c:pt>
                <c:pt idx="2">
                  <c:v>1.9459010906809602</c:v>
                </c:pt>
                <c:pt idx="3">
                  <c:v>1.9260965847504816</c:v>
                </c:pt>
                <c:pt idx="4">
                  <c:v>1.9073867673003693</c:v>
                </c:pt>
                <c:pt idx="5">
                  <c:v>1.8889540455995912</c:v>
                </c:pt>
                <c:pt idx="6">
                  <c:v>1.8552609988435225</c:v>
                </c:pt>
                <c:pt idx="7">
                  <c:v>1.8162505713273176</c:v>
                </c:pt>
                <c:pt idx="8">
                  <c:v>1.7785331858677984</c:v>
                </c:pt>
                <c:pt idx="9">
                  <c:v>1.744879811706745</c:v>
                </c:pt>
                <c:pt idx="10">
                  <c:v>1.7175538406777657</c:v>
                </c:pt>
                <c:pt idx="11">
                  <c:v>1.6927980098044944</c:v>
                </c:pt>
                <c:pt idx="12">
                  <c:v>1.6738853257985116</c:v>
                </c:pt>
                <c:pt idx="13">
                  <c:v>1.6540399177420588</c:v>
                </c:pt>
                <c:pt idx="14">
                  <c:v>1.6342223344097913</c:v>
                </c:pt>
                <c:pt idx="15">
                  <c:v>1.6170466778126253</c:v>
                </c:pt>
                <c:pt idx="16">
                  <c:v>1.6136663127128439</c:v>
                </c:pt>
                <c:pt idx="17">
                  <c:v>1.5972505666279342</c:v>
                </c:pt>
                <c:pt idx="18">
                  <c:v>1.5800470923556609</c:v>
                </c:pt>
                <c:pt idx="19">
                  <c:v>1.5642311436986165</c:v>
                </c:pt>
                <c:pt idx="20" formatCode="0.00E+00">
                  <c:v>1.5474288942579135</c:v>
                </c:pt>
                <c:pt idx="21">
                  <c:v>1.5286434131615603</c:v>
                </c:pt>
                <c:pt idx="22">
                  <c:v>1.5106092617073847</c:v>
                </c:pt>
                <c:pt idx="23">
                  <c:v>1.4923460747956052</c:v>
                </c:pt>
                <c:pt idx="24">
                  <c:v>1.4737438253549064</c:v>
                </c:pt>
                <c:pt idx="25">
                  <c:v>1.4548272572329988</c:v>
                </c:pt>
                <c:pt idx="26">
                  <c:v>1.434738718757099</c:v>
                </c:pt>
                <c:pt idx="27">
                  <c:v>1.4139307456034245</c:v>
                </c:pt>
                <c:pt idx="28">
                  <c:v>1.3935712355360539</c:v>
                </c:pt>
                <c:pt idx="29">
                  <c:v>1.3718448476143439</c:v>
                </c:pt>
                <c:pt idx="30">
                  <c:v>1.3499583466082465</c:v>
                </c:pt>
                <c:pt idx="31">
                  <c:v>1.3276139702099985</c:v>
                </c:pt>
                <c:pt idx="32">
                  <c:v>1.305385945263374</c:v>
                </c:pt>
                <c:pt idx="33">
                  <c:v>1.2829575198718639</c:v>
                </c:pt>
                <c:pt idx="34">
                  <c:v>1.2593783796036564</c:v>
                </c:pt>
                <c:pt idx="35">
                  <c:v>1.2354814463819692</c:v>
                </c:pt>
                <c:pt idx="36">
                  <c:v>1.2124260277020418</c:v>
                </c:pt>
                <c:pt idx="37">
                  <c:v>1.1877430056676022</c:v>
                </c:pt>
                <c:pt idx="38">
                  <c:v>1.1624562973899848</c:v>
                </c:pt>
                <c:pt idx="39">
                  <c:v>1.1376661054413257</c:v>
                </c:pt>
                <c:pt idx="40">
                  <c:v>1.112165702646752</c:v>
                </c:pt>
                <c:pt idx="41">
                  <c:v>1.08927653295753</c:v>
                </c:pt>
                <c:pt idx="42">
                  <c:v>1.0646573055512696</c:v>
                </c:pt>
                <c:pt idx="43">
                  <c:v>1.0399552539833183</c:v>
                </c:pt>
                <c:pt idx="44">
                  <c:v>1.0165198800472619</c:v>
                </c:pt>
                <c:pt idx="45">
                  <c:v>0.99477406919623368</c:v>
                </c:pt>
                <c:pt idx="46">
                  <c:v>0.97102928765371876</c:v>
                </c:pt>
                <c:pt idx="47">
                  <c:v>0.94512253463223272</c:v>
                </c:pt>
                <c:pt idx="48">
                  <c:v>0.92076568619890642</c:v>
                </c:pt>
                <c:pt idx="49">
                  <c:v>0.89365014268613008</c:v>
                </c:pt>
                <c:pt idx="50">
                  <c:v>0.86809103541333377</c:v>
                </c:pt>
                <c:pt idx="51">
                  <c:v>0.84340679089701309</c:v>
                </c:pt>
                <c:pt idx="52">
                  <c:v>0.81532704526209576</c:v>
                </c:pt>
                <c:pt idx="53">
                  <c:v>0.78949329895218723</c:v>
                </c:pt>
                <c:pt idx="54">
                  <c:v>0.76517836315581134</c:v>
                </c:pt>
                <c:pt idx="55">
                  <c:v>0.74098941248656969</c:v>
                </c:pt>
                <c:pt idx="56">
                  <c:v>0.71552950432400797</c:v>
                </c:pt>
                <c:pt idx="57">
                  <c:v>0.69674443542099906</c:v>
                </c:pt>
                <c:pt idx="58">
                  <c:v>0.67210271125803045</c:v>
                </c:pt>
                <c:pt idx="59">
                  <c:v>0.52862664481721344</c:v>
                </c:pt>
                <c:pt idx="60" formatCode="0.00E+00">
                  <c:v>3.001481022440164</c:v>
                </c:pt>
                <c:pt idx="61" formatCode="0.00E+00">
                  <c:v>3.0295143565567302</c:v>
                </c:pt>
                <c:pt idx="62" formatCode="0.00E+00">
                  <c:v>3.1727063881024375</c:v>
                </c:pt>
                <c:pt idx="63" formatCode="0.00E+00">
                  <c:v>3.1319503382091853</c:v>
                </c:pt>
                <c:pt idx="64" formatCode="0.00E+00">
                  <c:v>2.9996337677375871</c:v>
                </c:pt>
                <c:pt idx="65" formatCode="0.00E+00">
                  <c:v>2.9609229280280371</c:v>
                </c:pt>
                <c:pt idx="66" formatCode="0.00E+00">
                  <c:v>2.9154341775812385</c:v>
                </c:pt>
                <c:pt idx="67" formatCode="0.00E+00">
                  <c:v>2.6588710094669961</c:v>
                </c:pt>
                <c:pt idx="68" formatCode="0.00E+00">
                  <c:v>2.5902771477230098</c:v>
                </c:pt>
                <c:pt idx="69" formatCode="0.00E+00">
                  <c:v>2.6102194843017643</c:v>
                </c:pt>
                <c:pt idx="70" formatCode="0.00E+00">
                  <c:v>2.6013288895585291</c:v>
                </c:pt>
                <c:pt idx="71" formatCode="0.00E+00">
                  <c:v>2.2373266236699831</c:v>
                </c:pt>
                <c:pt idx="72" formatCode="0.00E+00">
                  <c:v>2.2556730516361818</c:v>
                </c:pt>
                <c:pt idx="73" formatCode="0.00E+00">
                  <c:v>2.2130814440322788</c:v>
                </c:pt>
                <c:pt idx="74" formatCode="0.00E+00">
                  <c:v>1.9673231540970932</c:v>
                </c:pt>
                <c:pt idx="75" formatCode="0.00E+00">
                  <c:v>1.6719742858665225</c:v>
                </c:pt>
                <c:pt idx="76" formatCode="0.00E+00">
                  <c:v>1.638650769200066</c:v>
                </c:pt>
                <c:pt idx="77" formatCode="0.00E+00">
                  <c:v>1.6298924910133441</c:v>
                </c:pt>
                <c:pt idx="78" formatCode="0.00E+00">
                  <c:v>1.5979663033140761</c:v>
                </c:pt>
                <c:pt idx="79" formatCode="0.00E+00">
                  <c:v>1.3670572820543492</c:v>
                </c:pt>
                <c:pt idx="80" formatCode="0.00E+00">
                  <c:v>1.3745521919043875</c:v>
                </c:pt>
                <c:pt idx="81" formatCode="0.00E+00">
                  <c:v>3.1842159959313361</c:v>
                </c:pt>
                <c:pt idx="82" formatCode="0.00E+00">
                  <c:v>3.0868947052086626</c:v>
                </c:pt>
                <c:pt idx="83" formatCode="0.00E+00">
                  <c:v>2.8776409376518033</c:v>
                </c:pt>
                <c:pt idx="84" formatCode="0.00E+00">
                  <c:v>2.6246802121516297</c:v>
                </c:pt>
                <c:pt idx="85" formatCode="0.00E+00">
                  <c:v>2.56585301864077</c:v>
                </c:pt>
                <c:pt idx="86" formatCode="0.00E+00">
                  <c:v>2.1916783584564272</c:v>
                </c:pt>
                <c:pt idx="87" formatCode="0.00E+00">
                  <c:v>2.1686401297129607</c:v>
                </c:pt>
                <c:pt idx="88" formatCode="0.00E+00">
                  <c:v>1.919013953762152</c:v>
                </c:pt>
                <c:pt idx="89" formatCode="0.00E+00">
                  <c:v>1.567169367742697</c:v>
                </c:pt>
                <c:pt idx="90" formatCode="0.00E+00">
                  <c:v>1.3461162032028562</c:v>
                </c:pt>
                <c:pt idx="91" formatCode="0.00E+00">
                  <c:v>3.0421924557679625</c:v>
                </c:pt>
                <c:pt idx="92" formatCode="0.00E+00">
                  <c:v>2.8401098576753268</c:v>
                </c:pt>
                <c:pt idx="93" formatCode="0.00E+00">
                  <c:v>2.531948719981806</c:v>
                </c:pt>
                <c:pt idx="94" formatCode="0.00E+00">
                  <c:v>2.1246155743392241</c:v>
                </c:pt>
                <c:pt idx="95" formatCode="0.00E+00">
                  <c:v>1.8739722295991847</c:v>
                </c:pt>
                <c:pt idx="96" formatCode="0.00E+00">
                  <c:v>1.5350550443621054</c:v>
                </c:pt>
                <c:pt idx="97" formatCode="0.00E+00">
                  <c:v>1.3168452457095339</c:v>
                </c:pt>
                <c:pt idx="98" formatCode="0.00E+00">
                  <c:v>2.7989624191981517</c:v>
                </c:pt>
                <c:pt idx="99" formatCode="0.00E+00">
                  <c:v>2.4993953411213714</c:v>
                </c:pt>
                <c:pt idx="100" formatCode="0.00E+00">
                  <c:v>2.0702272337360754</c:v>
                </c:pt>
                <c:pt idx="101" formatCode="0.00E+00">
                  <c:v>1.8367587306052831</c:v>
                </c:pt>
                <c:pt idx="102" formatCode="0.00E+00">
                  <c:v>1.5037257992832953</c:v>
                </c:pt>
                <c:pt idx="103" formatCode="0.00E+00">
                  <c:v>1.2877566978348676</c:v>
                </c:pt>
                <c:pt idx="104" formatCode="0.00E+00">
                  <c:v>2.7607329762465871</c:v>
                </c:pt>
                <c:pt idx="105" formatCode="0.00E+00">
                  <c:v>2.4632184455944803</c:v>
                </c:pt>
                <c:pt idx="106" formatCode="0.00E+00">
                  <c:v>2.0150720246773575</c:v>
                </c:pt>
                <c:pt idx="107" formatCode="0.00E+00">
                  <c:v>1.7994634391078965</c:v>
                </c:pt>
                <c:pt idx="108" formatCode="0.00E+00">
                  <c:v>1.4761350043176198</c:v>
                </c:pt>
                <c:pt idx="109" formatCode="0.00E+00">
                  <c:v>1.2599575104730953</c:v>
                </c:pt>
                <c:pt idx="110" formatCode="0.00E+00">
                  <c:v>2.7228466778126248</c:v>
                </c:pt>
                <c:pt idx="111" formatCode="0.00E+00">
                  <c:v>2.4248004524185611</c:v>
                </c:pt>
                <c:pt idx="112" formatCode="0.00E+00">
                  <c:v>1.7632726488416055</c:v>
                </c:pt>
                <c:pt idx="113" formatCode="0.00E+00">
                  <c:v>1.4483703853027508</c:v>
                </c:pt>
                <c:pt idx="114" formatCode="0.00E+00">
                  <c:v>1.2310082253497936</c:v>
                </c:pt>
                <c:pt idx="115" formatCode="0.00E+00">
                  <c:v>2.6960524038752909</c:v>
                </c:pt>
                <c:pt idx="116" formatCode="0.00E+00">
                  <c:v>2.3878161938040869</c:v>
                </c:pt>
                <c:pt idx="117" formatCode="0.00E+00">
                  <c:v>1.7149452480592271</c:v>
                </c:pt>
                <c:pt idx="118" formatCode="0.00E+00">
                  <c:v>1.4215358193055381</c:v>
                </c:pt>
                <c:pt idx="119" formatCode="0.00E+00">
                  <c:v>1.2057875728895202</c:v>
                </c:pt>
                <c:pt idx="120" formatCode="0.00E+00">
                  <c:v>2.3528955413438131</c:v>
                </c:pt>
                <c:pt idx="121" formatCode="0.00E+00">
                  <c:v>1.394499628031872</c:v>
                </c:pt>
                <c:pt idx="122" formatCode="0.00E+00">
                  <c:v>1.1813288895585292</c:v>
                </c:pt>
                <c:pt idx="123" formatCode="0.00E+00">
                  <c:v>2.3232748912332295</c:v>
                </c:pt>
                <c:pt idx="124" formatCode="0.00E+00">
                  <c:v>1.3708202734430697</c:v>
                </c:pt>
                <c:pt idx="125" formatCode="0.00E+00">
                  <c:v>1.1558933107006486</c:v>
                </c:pt>
                <c:pt idx="126" formatCode="0.00E+00">
                  <c:v>2.2819939113679717</c:v>
                </c:pt>
                <c:pt idx="127" formatCode="0.00E+00">
                  <c:v>1.1294738854216377</c:v>
                </c:pt>
                <c:pt idx="128" formatCode="0.00E+00">
                  <c:v>1.1028156048852229</c:v>
                </c:pt>
                <c:pt idx="129" formatCode="0.00E+00">
                  <c:v>1.0784434202106383</c:v>
                </c:pt>
                <c:pt idx="130" formatCode="0.00E+00">
                  <c:v>1.0514010906809603</c:v>
                </c:pt>
                <c:pt idx="131" formatCode="0.00E+00">
                  <c:v>1.0209965847504816</c:v>
                </c:pt>
                <c:pt idx="132" formatCode="0.00E+00">
                  <c:v>0.99228676730036958</c:v>
                </c:pt>
                <c:pt idx="133" formatCode="0.00E+00">
                  <c:v>0.96585404559959065</c:v>
                </c:pt>
                <c:pt idx="134" formatCode="0.00E+00">
                  <c:v>0.94686099884352315</c:v>
                </c:pt>
                <c:pt idx="135" formatCode="0.00E+00">
                  <c:v>0.92725057132731747</c:v>
                </c:pt>
                <c:pt idx="136" formatCode="0.00E+00">
                  <c:v>0.90683318586779882</c:v>
                </c:pt>
                <c:pt idx="137" formatCode="0.00E+00">
                  <c:v>0.88597981170674578</c:v>
                </c:pt>
                <c:pt idx="138">
                  <c:v>0.85625384067776678</c:v>
                </c:pt>
                <c:pt idx="139">
                  <c:v>0.82819800980449421</c:v>
                </c:pt>
                <c:pt idx="140">
                  <c:v>0.79448532579851039</c:v>
                </c:pt>
                <c:pt idx="141">
                  <c:v>0.76523991774205824</c:v>
                </c:pt>
                <c:pt idx="142">
                  <c:v>0.74332233440979012</c:v>
                </c:pt>
                <c:pt idx="143">
                  <c:v>0.72644667781262529</c:v>
                </c:pt>
                <c:pt idx="144">
                  <c:v>0.72156631271284555</c:v>
                </c:pt>
                <c:pt idx="145">
                  <c:v>0.70435056662793416</c:v>
                </c:pt>
                <c:pt idx="146">
                  <c:v>0.681747092355661</c:v>
                </c:pt>
                <c:pt idx="147">
                  <c:v>0.65773114369861618</c:v>
                </c:pt>
                <c:pt idx="148">
                  <c:v>0.61232889425791415</c:v>
                </c:pt>
                <c:pt idx="149">
                  <c:v>0.53664341316156028</c:v>
                </c:pt>
                <c:pt idx="150">
                  <c:v>0.45490926170738405</c:v>
                </c:pt>
                <c:pt idx="151">
                  <c:v>0.40644607479560563</c:v>
                </c:pt>
                <c:pt idx="152">
                  <c:v>0.30954382535490638</c:v>
                </c:pt>
                <c:pt idx="153">
                  <c:v>0.21282725723299883</c:v>
                </c:pt>
                <c:pt idx="154">
                  <c:v>0.21143871875709991</c:v>
                </c:pt>
                <c:pt idx="155">
                  <c:v>3.6890624191981507</c:v>
                </c:pt>
                <c:pt idx="156">
                  <c:v>3.3074953411213714</c:v>
                </c:pt>
                <c:pt idx="157">
                  <c:v>3.7009155743392244</c:v>
                </c:pt>
                <c:pt idx="158">
                  <c:v>3.5004722295991852</c:v>
                </c:pt>
                <c:pt idx="159">
                  <c:v>3.1658550443621065</c:v>
                </c:pt>
                <c:pt idx="160">
                  <c:v>2.9093452457095355</c:v>
                </c:pt>
                <c:pt idx="161">
                  <c:v>3.661432976246588</c:v>
                </c:pt>
                <c:pt idx="162">
                  <c:v>3.2686184455944813</c:v>
                </c:pt>
                <c:pt idx="163">
                  <c:v>3.660127233736076</c:v>
                </c:pt>
                <c:pt idx="164">
                  <c:v>3.4643587306052828</c:v>
                </c:pt>
                <c:pt idx="165">
                  <c:v>3.1260257992832949</c:v>
                </c:pt>
                <c:pt idx="166">
                  <c:v>2.8816566978348677</c:v>
                </c:pt>
                <c:pt idx="167">
                  <c:v>3.616246677812625</c:v>
                </c:pt>
                <c:pt idx="168">
                  <c:v>3.2278004524185606</c:v>
                </c:pt>
                <c:pt idx="169">
                  <c:v>3.4180634391078977</c:v>
                </c:pt>
                <c:pt idx="170">
                  <c:v>3.0964350043176188</c:v>
                </c:pt>
                <c:pt idx="171">
                  <c:v>2.8446575104730956</c:v>
                </c:pt>
                <c:pt idx="172">
                  <c:v>3.5651524038752909</c:v>
                </c:pt>
                <c:pt idx="173">
                  <c:v>3.1861161938040867</c:v>
                </c:pt>
                <c:pt idx="174">
                  <c:v>3.3739726488416055</c:v>
                </c:pt>
                <c:pt idx="175">
                  <c:v>3.0696703853027509</c:v>
                </c:pt>
                <c:pt idx="176">
                  <c:v>2.8065082253497939</c:v>
                </c:pt>
                <c:pt idx="177">
                  <c:v>3.1516955413438135</c:v>
                </c:pt>
                <c:pt idx="178">
                  <c:v>3.0310358193055391</c:v>
                </c:pt>
                <c:pt idx="179">
                  <c:v>2.7656875728895214</c:v>
                </c:pt>
                <c:pt idx="180">
                  <c:v>3.1205748912332298</c:v>
                </c:pt>
                <c:pt idx="181">
                  <c:v>2.9960996280318719</c:v>
                </c:pt>
                <c:pt idx="182">
                  <c:v>2.7222288895585303</c:v>
                </c:pt>
                <c:pt idx="183">
                  <c:v>2.677693310700648</c:v>
                </c:pt>
                <c:pt idx="184">
                  <c:v>2.6445738854216385</c:v>
                </c:pt>
                <c:pt idx="185">
                  <c:v>2.6126156048852236</c:v>
                </c:pt>
                <c:pt idx="186">
                  <c:v>2.5780434202106379</c:v>
                </c:pt>
                <c:pt idx="187">
                  <c:v>2.5453010906809608</c:v>
                </c:pt>
                <c:pt idx="188">
                  <c:v>2.5081965847504817</c:v>
                </c:pt>
                <c:pt idx="189">
                  <c:v>2.4690867673003689</c:v>
                </c:pt>
                <c:pt idx="190">
                  <c:v>2.4298540455995914</c:v>
                </c:pt>
                <c:pt idx="191">
                  <c:v>2.3931609988435225</c:v>
                </c:pt>
                <c:pt idx="192">
                  <c:v>2.3502505713273179</c:v>
                </c:pt>
                <c:pt idx="193">
                  <c:v>2.3023331858677993</c:v>
                </c:pt>
                <c:pt idx="194">
                  <c:v>2.2695798117067456</c:v>
                </c:pt>
                <c:pt idx="195">
                  <c:v>2.2397538406777668</c:v>
                </c:pt>
                <c:pt idx="196">
                  <c:v>2.2115980098044945</c:v>
                </c:pt>
                <c:pt idx="197">
                  <c:v>2.1831853257985108</c:v>
                </c:pt>
                <c:pt idx="198">
                  <c:v>2.1525399177420583</c:v>
                </c:pt>
                <c:pt idx="199">
                  <c:v>2.1216223344097918</c:v>
                </c:pt>
                <c:pt idx="200">
                  <c:v>2.0977466778126255</c:v>
                </c:pt>
                <c:pt idx="201">
                  <c:v>2.0814663127128457</c:v>
                </c:pt>
                <c:pt idx="202">
                  <c:v>2.055550566627935</c:v>
                </c:pt>
                <c:pt idx="203">
                  <c:v>2.0289470923556623</c:v>
                </c:pt>
                <c:pt idx="204">
                  <c:v>2.0001311436986162</c:v>
                </c:pt>
                <c:pt idx="205">
                  <c:v>1.9718288942579132</c:v>
                </c:pt>
                <c:pt idx="206">
                  <c:v>1.94464341316156</c:v>
                </c:pt>
                <c:pt idx="207">
                  <c:v>1.9197092617073845</c:v>
                </c:pt>
                <c:pt idx="208">
                  <c:v>1.8912460747956057</c:v>
                </c:pt>
                <c:pt idx="209">
                  <c:v>1.8654438253549059</c:v>
                </c:pt>
                <c:pt idx="210">
                  <c:v>1.8430272572329993</c:v>
                </c:pt>
                <c:pt idx="211">
                  <c:v>1.8197387187570999</c:v>
                </c:pt>
                <c:pt idx="212">
                  <c:v>1.7965307456034256</c:v>
                </c:pt>
                <c:pt idx="213">
                  <c:v>1.7742712355360541</c:v>
                </c:pt>
                <c:pt idx="214">
                  <c:v>1.7503448476143439</c:v>
                </c:pt>
                <c:pt idx="215">
                  <c:v>1.7278583466082462</c:v>
                </c:pt>
                <c:pt idx="216">
                  <c:v>1.7063139702099981</c:v>
                </c:pt>
                <c:pt idx="217">
                  <c:v>1.6838859452633741</c:v>
                </c:pt>
                <c:pt idx="218">
                  <c:v>1.6634575198718646</c:v>
                </c:pt>
                <c:pt idx="219">
                  <c:v>1.6420783796036555</c:v>
                </c:pt>
                <c:pt idx="220">
                  <c:v>1.6201814463819708</c:v>
                </c:pt>
                <c:pt idx="221">
                  <c:v>1.5991260277020405</c:v>
                </c:pt>
                <c:pt idx="222">
                  <c:v>1.5776430056676023</c:v>
                </c:pt>
                <c:pt idx="223">
                  <c:v>1.5563562973899845</c:v>
                </c:pt>
                <c:pt idx="224">
                  <c:v>1.5351661054413257</c:v>
                </c:pt>
                <c:pt idx="225">
                  <c:v>1.5152657026467513</c:v>
                </c:pt>
                <c:pt idx="226">
                  <c:v>1.4951765329575299</c:v>
                </c:pt>
                <c:pt idx="227">
                  <c:v>1.4721573055512711</c:v>
                </c:pt>
                <c:pt idx="228">
                  <c:v>1.4525552539833169</c:v>
                </c:pt>
                <c:pt idx="229">
                  <c:v>1.4321198800472623</c:v>
                </c:pt>
                <c:pt idx="230">
                  <c:v>1.4101740691962346</c:v>
                </c:pt>
                <c:pt idx="231">
                  <c:v>1.3890292876537189</c:v>
                </c:pt>
                <c:pt idx="232">
                  <c:v>1.3675225346322315</c:v>
                </c:pt>
                <c:pt idx="233">
                  <c:v>1.3459656861989058</c:v>
                </c:pt>
                <c:pt idx="234">
                  <c:v>1.3257501426861293</c:v>
                </c:pt>
                <c:pt idx="235">
                  <c:v>1.3051910354133338</c:v>
                </c:pt>
                <c:pt idx="236">
                  <c:v>1.2847067908970122</c:v>
                </c:pt>
                <c:pt idx="237">
                  <c:v>1.2617270452620954</c:v>
                </c:pt>
                <c:pt idx="238">
                  <c:v>1.2418932989521871</c:v>
                </c:pt>
                <c:pt idx="239">
                  <c:v>1.2223783631558125</c:v>
                </c:pt>
                <c:pt idx="240">
                  <c:v>1.2017894124865713</c:v>
                </c:pt>
                <c:pt idx="241">
                  <c:v>1.1800295043240081</c:v>
                </c:pt>
                <c:pt idx="242">
                  <c:v>1.1658444354209991</c:v>
                </c:pt>
                <c:pt idx="243">
                  <c:v>1.1438027112580298</c:v>
                </c:pt>
                <c:pt idx="244">
                  <c:v>1.1231266448172126</c:v>
                </c:pt>
                <c:pt idx="245">
                  <c:v>2.3118156048852239</c:v>
                </c:pt>
                <c:pt idx="246">
                  <c:v>2.2767434202106376</c:v>
                </c:pt>
                <c:pt idx="247">
                  <c:v>2.2421010906809613</c:v>
                </c:pt>
                <c:pt idx="248">
                  <c:v>2.2058965847504819</c:v>
                </c:pt>
                <c:pt idx="249">
                  <c:v>2.1696867673003695</c:v>
                </c:pt>
                <c:pt idx="250">
                  <c:v>2.1281540455995902</c:v>
                </c:pt>
                <c:pt idx="251">
                  <c:v>2.0889609988435236</c:v>
                </c:pt>
                <c:pt idx="252">
                  <c:v>2.0485505713273184</c:v>
                </c:pt>
                <c:pt idx="253">
                  <c:v>2.0045331858677997</c:v>
                </c:pt>
                <c:pt idx="254">
                  <c:v>1.9808798117067459</c:v>
                </c:pt>
                <c:pt idx="255">
                  <c:v>1.9578538406777672</c:v>
                </c:pt>
                <c:pt idx="256">
                  <c:v>1.9360980098044942</c:v>
                </c:pt>
                <c:pt idx="257">
                  <c:v>1.9113853257985107</c:v>
                </c:pt>
                <c:pt idx="258">
                  <c:v>1.887739917742058</c:v>
                </c:pt>
                <c:pt idx="259">
                  <c:v>1.8694223344097904</c:v>
                </c:pt>
                <c:pt idx="260">
                  <c:v>1.6491466778126254</c:v>
                </c:pt>
                <c:pt idx="261">
                  <c:v>1.8071663127128443</c:v>
                </c:pt>
                <c:pt idx="262">
                  <c:v>1.8004505666279333</c:v>
                </c:pt>
                <c:pt idx="263">
                  <c:v>1.7729470923556627</c:v>
                </c:pt>
                <c:pt idx="264">
                  <c:v>1.1646311436986172</c:v>
                </c:pt>
                <c:pt idx="265">
                  <c:v>1.1184288942579135</c:v>
                </c:pt>
              </c:numCache>
            </c:numRef>
          </c:xVal>
          <c:yVal>
            <c:numRef>
              <c:f>Plots!$CS$4:$CS$269</c:f>
              <c:numCache>
                <c:formatCode>General</c:formatCode>
                <c:ptCount val="266"/>
                <c:pt idx="0">
                  <c:v>3.5424000000000002</c:v>
                </c:pt>
                <c:pt idx="1">
                  <c:v>3.4416000000000002</c:v>
                </c:pt>
                <c:pt idx="2">
                  <c:v>1.6847999999999999</c:v>
                </c:pt>
                <c:pt idx="3">
                  <c:v>0.91871999999999998</c:v>
                </c:pt>
                <c:pt idx="4">
                  <c:v>0.97055999999999998</c:v>
                </c:pt>
                <c:pt idx="5">
                  <c:v>0.99791999999999992</c:v>
                </c:pt>
                <c:pt idx="6">
                  <c:v>3.528</c:v>
                </c:pt>
                <c:pt idx="7">
                  <c:v>2.8512</c:v>
                </c:pt>
                <c:pt idx="8">
                  <c:v>2.5775999999999999</c:v>
                </c:pt>
                <c:pt idx="9">
                  <c:v>1.7568000000000001</c:v>
                </c:pt>
                <c:pt idx="10">
                  <c:v>1.8863999999999999</c:v>
                </c:pt>
                <c:pt idx="11">
                  <c:v>1.4327999999999999</c:v>
                </c:pt>
                <c:pt idx="12">
                  <c:v>7.9200000000000007E-2</c:v>
                </c:pt>
                <c:pt idx="13">
                  <c:v>0.7545599999999999</c:v>
                </c:pt>
                <c:pt idx="14">
                  <c:v>0.99504000000000004</c:v>
                </c:pt>
                <c:pt idx="15">
                  <c:v>-1.2182400000000002</c:v>
                </c:pt>
                <c:pt idx="16">
                  <c:v>1.3881599999999998</c:v>
                </c:pt>
                <c:pt idx="17">
                  <c:v>0.98639999999999994</c:v>
                </c:pt>
                <c:pt idx="18">
                  <c:v>0.63648000000000005</c:v>
                </c:pt>
                <c:pt idx="19">
                  <c:v>0.58608000000000005</c:v>
                </c:pt>
                <c:pt idx="20" formatCode="0.00E+00">
                  <c:v>0.78335999999999995</c:v>
                </c:pt>
                <c:pt idx="21">
                  <c:v>0.62783999999999995</c:v>
                </c:pt>
                <c:pt idx="22">
                  <c:v>0.54143999999999992</c:v>
                </c:pt>
                <c:pt idx="23">
                  <c:v>0.64512000000000003</c:v>
                </c:pt>
                <c:pt idx="24">
                  <c:v>1.1059199999999998</c:v>
                </c:pt>
                <c:pt idx="25">
                  <c:v>0.93024000000000007</c:v>
                </c:pt>
                <c:pt idx="26">
                  <c:v>0.70992</c:v>
                </c:pt>
                <c:pt idx="27">
                  <c:v>0.60624000000000011</c:v>
                </c:pt>
                <c:pt idx="28">
                  <c:v>0.48527999999999999</c:v>
                </c:pt>
                <c:pt idx="29">
                  <c:v>0.36144000000000004</c:v>
                </c:pt>
                <c:pt idx="30">
                  <c:v>6.3072000000000003E-2</c:v>
                </c:pt>
                <c:pt idx="31">
                  <c:v>0.42624000000000006</c:v>
                </c:pt>
                <c:pt idx="32">
                  <c:v>1.0396800000000002</c:v>
                </c:pt>
                <c:pt idx="33">
                  <c:v>2.6783999999999999E-2</c:v>
                </c:pt>
                <c:pt idx="34">
                  <c:v>-1.2830399999999999E-2</c:v>
                </c:pt>
                <c:pt idx="35">
                  <c:v>9.6192E-2</c:v>
                </c:pt>
                <c:pt idx="36">
                  <c:v>0.18432000000000001</c:v>
                </c:pt>
                <c:pt idx="37">
                  <c:v>-3.8736E-2</c:v>
                </c:pt>
                <c:pt idx="38">
                  <c:v>0.11232</c:v>
                </c:pt>
                <c:pt idx="39">
                  <c:v>0.30528</c:v>
                </c:pt>
                <c:pt idx="40">
                  <c:v>-0.17712</c:v>
                </c:pt>
                <c:pt idx="41">
                  <c:v>-4.8528000000000002E-2</c:v>
                </c:pt>
                <c:pt idx="42">
                  <c:v>0.12844800000000001</c:v>
                </c:pt>
                <c:pt idx="43">
                  <c:v>0.22320000000000001</c:v>
                </c:pt>
                <c:pt idx="44">
                  <c:v>-0.97776000000000007</c:v>
                </c:pt>
                <c:pt idx="45">
                  <c:v>-0.54576000000000002</c:v>
                </c:pt>
                <c:pt idx="46">
                  <c:v>-0.30528</c:v>
                </c:pt>
                <c:pt idx="47">
                  <c:v>-0.4536</c:v>
                </c:pt>
                <c:pt idx="48">
                  <c:v>-0.61199999999999999</c:v>
                </c:pt>
                <c:pt idx="49">
                  <c:v>-0.93455999999999995</c:v>
                </c:pt>
                <c:pt idx="50">
                  <c:v>-0.12124800000000002</c:v>
                </c:pt>
                <c:pt idx="51">
                  <c:v>0.30384</c:v>
                </c:pt>
                <c:pt idx="52">
                  <c:v>1.6992</c:v>
                </c:pt>
                <c:pt idx="53">
                  <c:v>-0.3024</c:v>
                </c:pt>
                <c:pt idx="54">
                  <c:v>-0.26495999999999997</c:v>
                </c:pt>
                <c:pt idx="55">
                  <c:v>0.71711999999999998</c:v>
                </c:pt>
                <c:pt idx="56">
                  <c:v>0.28223999999999999</c:v>
                </c:pt>
                <c:pt idx="57">
                  <c:v>-1.1664000000000001</c:v>
                </c:pt>
                <c:pt idx="58">
                  <c:v>-6.6096000000000002E-2</c:v>
                </c:pt>
                <c:pt idx="59">
                  <c:v>-1.0728</c:v>
                </c:pt>
                <c:pt idx="67">
                  <c:v>1.2391627813077115</c:v>
                </c:pt>
                <c:pt idx="68">
                  <c:v>1.3690966106416618</c:v>
                </c:pt>
                <c:pt idx="69">
                  <c:v>0.23723239823112835</c:v>
                </c:pt>
                <c:pt idx="70">
                  <c:v>-9.0125096165409244E-2</c:v>
                </c:pt>
                <c:pt idx="71">
                  <c:v>1.6406077059297679</c:v>
                </c:pt>
                <c:pt idx="72">
                  <c:v>1.3412505342622234</c:v>
                </c:pt>
                <c:pt idx="73">
                  <c:v>1.4975622033645566</c:v>
                </c:pt>
                <c:pt idx="74">
                  <c:v>1.8517498878099174</c:v>
                </c:pt>
                <c:pt idx="75">
                  <c:v>-0.50943277788117691</c:v>
                </c:pt>
                <c:pt idx="77">
                  <c:v>0.65296018157465396</c:v>
                </c:pt>
                <c:pt idx="78">
                  <c:v>0.7389882085370294</c:v>
                </c:pt>
                <c:pt idx="79">
                  <c:v>0.10292249308495628</c:v>
                </c:pt>
                <c:pt idx="80">
                  <c:v>0.39759845246897624</c:v>
                </c:pt>
                <c:pt idx="84">
                  <c:v>1.2390506869590545</c:v>
                </c:pt>
                <c:pt idx="85">
                  <c:v>9.4013346896085551E-2</c:v>
                </c:pt>
                <c:pt idx="87">
                  <c:v>1.699573283312289</c:v>
                </c:pt>
                <c:pt idx="88">
                  <c:v>2.2683063199733988</c:v>
                </c:pt>
                <c:pt idx="89">
                  <c:v>0.89740077424436304</c:v>
                </c:pt>
                <c:pt idx="90">
                  <c:v>0.75627580459359456</c:v>
                </c:pt>
                <c:pt idx="93">
                  <c:v>0.88996141782315863</c:v>
                </c:pt>
                <c:pt idx="94">
                  <c:v>1.3411488375636851</c:v>
                </c:pt>
                <c:pt idx="95">
                  <c:v>0.94191037495527274</c:v>
                </c:pt>
                <c:pt idx="96">
                  <c:v>0.5269791818641737</c:v>
                </c:pt>
                <c:pt idx="97">
                  <c:v>0.78827700599976136</c:v>
                </c:pt>
                <c:pt idx="99">
                  <c:v>1.1083365594786558</c:v>
                </c:pt>
                <c:pt idx="100">
                  <c:v>3.3967990088736091</c:v>
                </c:pt>
                <c:pt idx="101">
                  <c:v>1.2228849109255437</c:v>
                </c:pt>
                <c:pt idx="102">
                  <c:v>8.5626331654542129E-2</c:v>
                </c:pt>
                <c:pt idx="103">
                  <c:v>0.6069912813119116</c:v>
                </c:pt>
                <c:pt idx="105">
                  <c:v>1.3275593681271378</c:v>
                </c:pt>
                <c:pt idx="106">
                  <c:v>1.7116026072613704</c:v>
                </c:pt>
                <c:pt idx="107">
                  <c:v>0.61289056413976128</c:v>
                </c:pt>
                <c:pt idx="108">
                  <c:v>0.5044529139287639</c:v>
                </c:pt>
                <c:pt idx="109">
                  <c:v>0.74277938754755812</c:v>
                </c:pt>
                <c:pt idx="110">
                  <c:v>0.24881118929884136</c:v>
                </c:pt>
                <c:pt idx="111">
                  <c:v>0.84297528289486756</c:v>
                </c:pt>
                <c:pt idx="112">
                  <c:v>0.85315976464860199</c:v>
                </c:pt>
                <c:pt idx="113">
                  <c:v>0.19110687114638031</c:v>
                </c:pt>
                <c:pt idx="114">
                  <c:v>0.51025256102702321</c:v>
                </c:pt>
                <c:pt idx="115">
                  <c:v>2.8930434227503882E-2</c:v>
                </c:pt>
                <c:pt idx="116">
                  <c:v>0.9055837296409921</c:v>
                </c:pt>
                <c:pt idx="117">
                  <c:v>1.8725532979813202</c:v>
                </c:pt>
                <c:pt idx="118">
                  <c:v>0.16616863489916991</c:v>
                </c:pt>
                <c:pt idx="119">
                  <c:v>0.48779815138875576</c:v>
                </c:pt>
                <c:pt idx="121">
                  <c:v>0.6332647426895861</c:v>
                </c:pt>
                <c:pt idx="122">
                  <c:v>0.53833640298860119</c:v>
                </c:pt>
                <c:pt idx="123">
                  <c:v>1.0564485090813018</c:v>
                </c:pt>
                <c:pt idx="124">
                  <c:v>-7.3245941647176627E-2</c:v>
                </c:pt>
                <c:pt idx="125">
                  <c:v>1.0346279026653047</c:v>
                </c:pt>
                <c:pt idx="126">
                  <c:v>1.440537730474329</c:v>
                </c:pt>
                <c:pt idx="127">
                  <c:v>0.50575015825164782</c:v>
                </c:pt>
                <c:pt idx="128">
                  <c:v>0.33267904186875269</c:v>
                </c:pt>
                <c:pt idx="129">
                  <c:v>0.44862994717123472</c:v>
                </c:pt>
                <c:pt idx="130">
                  <c:v>1.582252434935534</c:v>
                </c:pt>
                <c:pt idx="131">
                  <c:v>0.82899079097128558</c:v>
                </c:pt>
                <c:pt idx="132">
                  <c:v>0.72421991112869977</c:v>
                </c:pt>
                <c:pt idx="133">
                  <c:v>0.12269001496789197</c:v>
                </c:pt>
                <c:pt idx="134">
                  <c:v>0.2350479561699633</c:v>
                </c:pt>
                <c:pt idx="135">
                  <c:v>-0.32102080393363697</c:v>
                </c:pt>
                <c:pt idx="136">
                  <c:v>-0.35769454551226437</c:v>
                </c:pt>
                <c:pt idx="137">
                  <c:v>-0.51292833901464729</c:v>
                </c:pt>
                <c:pt idx="138">
                  <c:v>-2.413703658778895E-2</c:v>
                </c:pt>
                <c:pt idx="139">
                  <c:v>0.2474048500651774</c:v>
                </c:pt>
                <c:pt idx="140">
                  <c:v>0.82554398491245951</c:v>
                </c:pt>
                <c:pt idx="141">
                  <c:v>1.33632</c:v>
                </c:pt>
                <c:pt idx="142">
                  <c:v>0.10900799999999999</c:v>
                </c:pt>
                <c:pt idx="143">
                  <c:v>-0.57599999999999996</c:v>
                </c:pt>
                <c:pt idx="144">
                  <c:v>1.3449600000000002</c:v>
                </c:pt>
                <c:pt idx="145">
                  <c:v>1.3204800000000001</c:v>
                </c:pt>
                <c:pt idx="146">
                  <c:v>0.57599999999999996</c:v>
                </c:pt>
                <c:pt idx="147">
                  <c:v>0.28799999999999998</c:v>
                </c:pt>
                <c:pt idx="150">
                  <c:v>-0.72000000000000008</c:v>
                </c:pt>
                <c:pt idx="156">
                  <c:v>2.4488396528948124</c:v>
                </c:pt>
                <c:pt idx="157">
                  <c:v>2.8241282468994231</c:v>
                </c:pt>
                <c:pt idx="158">
                  <c:v>1.8492811759183909</c:v>
                </c:pt>
                <c:pt idx="159">
                  <c:v>1.6244099471257181</c:v>
                </c:pt>
                <c:pt idx="160">
                  <c:v>1.5981760301666714</c:v>
                </c:pt>
                <c:pt idx="161">
                  <c:v>3.875838432476332</c:v>
                </c:pt>
                <c:pt idx="162">
                  <c:v>2.5090136334827631</c:v>
                </c:pt>
                <c:pt idx="163">
                  <c:v>2.5798579901722336</c:v>
                </c:pt>
                <c:pt idx="164">
                  <c:v>2.412180297791231</c:v>
                </c:pt>
                <c:pt idx="165">
                  <c:v>2.2329832100365108</c:v>
                </c:pt>
                <c:pt idx="166">
                  <c:v>1.6603022286591682</c:v>
                </c:pt>
                <c:pt idx="167">
                  <c:v>3.8766194498710522</c:v>
                </c:pt>
                <c:pt idx="168">
                  <c:v>2.5696173894704009</c:v>
                </c:pt>
                <c:pt idx="169">
                  <c:v>2.471709548170824</c:v>
                </c:pt>
                <c:pt idx="170">
                  <c:v>2.2648222436210497</c:v>
                </c:pt>
                <c:pt idx="171">
                  <c:v>1.6955608776319533</c:v>
                </c:pt>
                <c:pt idx="172">
                  <c:v>4.8137735593518389</c:v>
                </c:pt>
                <c:pt idx="173">
                  <c:v>2.6306238174440071</c:v>
                </c:pt>
                <c:pt idx="174">
                  <c:v>1.8834405551877043</c:v>
                </c:pt>
                <c:pt idx="175">
                  <c:v>2.066153019817675</c:v>
                </c:pt>
                <c:pt idx="176">
                  <c:v>1.8755405671891781</c:v>
                </c:pt>
                <c:pt idx="178">
                  <c:v>1.9987040892223098</c:v>
                </c:pt>
                <c:pt idx="179">
                  <c:v>2.0854468580534853</c:v>
                </c:pt>
                <c:pt idx="180">
                  <c:v>2.6223275717346604</c:v>
                </c:pt>
                <c:pt idx="182">
                  <c:v>3.0022490055545559</c:v>
                </c:pt>
                <c:pt idx="183">
                  <c:v>1.6593625441544424</c:v>
                </c:pt>
                <c:pt idx="184">
                  <c:v>1.5671439458434091</c:v>
                </c:pt>
                <c:pt idx="185">
                  <c:v>1.4895534092264633</c:v>
                </c:pt>
                <c:pt idx="186">
                  <c:v>1.571703238561184</c:v>
                </c:pt>
                <c:pt idx="187">
                  <c:v>1.250745385728202</c:v>
                </c:pt>
                <c:pt idx="188">
                  <c:v>1.464739505291748</c:v>
                </c:pt>
                <c:pt idx="189">
                  <c:v>2.083570124941847</c:v>
                </c:pt>
                <c:pt idx="190">
                  <c:v>1.0475136367000291</c:v>
                </c:pt>
                <c:pt idx="191">
                  <c:v>2.1283161418985697</c:v>
                </c:pt>
                <c:pt idx="192">
                  <c:v>2.3634660871940931</c:v>
                </c:pt>
                <c:pt idx="193">
                  <c:v>3.3083435945081701</c:v>
                </c:pt>
                <c:pt idx="194">
                  <c:v>0.8774975652972371</c:v>
                </c:pt>
                <c:pt idx="195">
                  <c:v>0.9228607880143378</c:v>
                </c:pt>
                <c:pt idx="196">
                  <c:v>1.1553708950288122</c:v>
                </c:pt>
                <c:pt idx="197">
                  <c:v>1.4177427230363291</c:v>
                </c:pt>
                <c:pt idx="198">
                  <c:v>1.2793825273344654</c:v>
                </c:pt>
                <c:pt idx="199">
                  <c:v>1.1568148417820987</c:v>
                </c:pt>
                <c:pt idx="200">
                  <c:v>-0.57189385084433941</c:v>
                </c:pt>
                <c:pt idx="201">
                  <c:v>1.3882029636103224</c:v>
                </c:pt>
                <c:pt idx="202">
                  <c:v>1.2934790995496357</c:v>
                </c:pt>
                <c:pt idx="203">
                  <c:v>1.0851877450868967</c:v>
                </c:pt>
                <c:pt idx="204">
                  <c:v>1.0816533384963765</c:v>
                </c:pt>
                <c:pt idx="205">
                  <c:v>0.76228500471372829</c:v>
                </c:pt>
                <c:pt idx="206">
                  <c:v>1.3792860779035478</c:v>
                </c:pt>
                <c:pt idx="207">
                  <c:v>1.3617671604882193</c:v>
                </c:pt>
                <c:pt idx="208">
                  <c:v>1.0413152667974677</c:v>
                </c:pt>
                <c:pt idx="209">
                  <c:v>1.0478500073616397</c:v>
                </c:pt>
                <c:pt idx="210">
                  <c:v>0.76953679561951072</c:v>
                </c:pt>
                <c:pt idx="211">
                  <c:v>0.58719608970827897</c:v>
                </c:pt>
                <c:pt idx="212">
                  <c:v>0.5861689221110451</c:v>
                </c:pt>
                <c:pt idx="213">
                  <c:v>0.61264924241331031</c:v>
                </c:pt>
                <c:pt idx="214">
                  <c:v>0.53937078584970277</c:v>
                </c:pt>
                <c:pt idx="215">
                  <c:v>1.1293620348458043E-2</c:v>
                </c:pt>
                <c:pt idx="216">
                  <c:v>0.35020825485241841</c:v>
                </c:pt>
                <c:pt idx="217">
                  <c:v>-0.47808</c:v>
                </c:pt>
                <c:pt idx="218">
                  <c:v>-0.15984000000000001</c:v>
                </c:pt>
                <c:pt idx="219">
                  <c:v>-0.41039999999999999</c:v>
                </c:pt>
                <c:pt idx="220">
                  <c:v>-0.24191999999999997</c:v>
                </c:pt>
                <c:pt idx="221">
                  <c:v>-0.23327999999999999</c:v>
                </c:pt>
                <c:pt idx="222">
                  <c:v>-7.1856000000000003E-2</c:v>
                </c:pt>
                <c:pt idx="223">
                  <c:v>-0.14371200000000001</c:v>
                </c:pt>
                <c:pt idx="224">
                  <c:v>-6.3072000000000003E-2</c:v>
                </c:pt>
                <c:pt idx="225">
                  <c:v>5.7312000000000002E-2</c:v>
                </c:pt>
                <c:pt idx="226">
                  <c:v>0.11203199999999999</c:v>
                </c:pt>
                <c:pt idx="227">
                  <c:v>-0.71279999999999999</c:v>
                </c:pt>
                <c:pt idx="228">
                  <c:v>-0.66527999999999998</c:v>
                </c:pt>
                <c:pt idx="229">
                  <c:v>-1.2369600000000001</c:v>
                </c:pt>
                <c:pt idx="230">
                  <c:v>-1.04112</c:v>
                </c:pt>
                <c:pt idx="231">
                  <c:v>-0.87696000000000007</c:v>
                </c:pt>
                <c:pt idx="232">
                  <c:v>-0.98352000000000006</c:v>
                </c:pt>
                <c:pt idx="233">
                  <c:v>-1.05264</c:v>
                </c:pt>
                <c:pt idx="234">
                  <c:v>-0.98063999999999996</c:v>
                </c:pt>
                <c:pt idx="235" formatCode="0.0000000">
                  <c:v>-8.524799999999999E-2</c:v>
                </c:pt>
                <c:pt idx="236">
                  <c:v>0.12196799999999999</c:v>
                </c:pt>
                <c:pt idx="237">
                  <c:v>0.74015999999999993</c:v>
                </c:pt>
                <c:pt idx="238">
                  <c:v>0.22320000000000001</c:v>
                </c:pt>
                <c:pt idx="239">
                  <c:v>0.19583999999999999</c:v>
                </c:pt>
                <c:pt idx="240">
                  <c:v>0.52127999999999997</c:v>
                </c:pt>
                <c:pt idx="241">
                  <c:v>7.6607999999999997E-3</c:v>
                </c:pt>
                <c:pt idx="242">
                  <c:v>-0.13852800000000001</c:v>
                </c:pt>
                <c:pt idx="243">
                  <c:v>3.0096000000000001E-2</c:v>
                </c:pt>
                <c:pt idx="244">
                  <c:v>0.16847999999999999</c:v>
                </c:pt>
                <c:pt idx="245">
                  <c:v>2.0489826084066736</c:v>
                </c:pt>
                <c:pt idx="246">
                  <c:v>2.8425290510197669</c:v>
                </c:pt>
                <c:pt idx="247">
                  <c:v>2.2107042221066235</c:v>
                </c:pt>
                <c:pt idx="248">
                  <c:v>1.8384510459079579</c:v>
                </c:pt>
                <c:pt idx="249">
                  <c:v>1.6537291770201885</c:v>
                </c:pt>
                <c:pt idx="250">
                  <c:v>3.4714275734752733</c:v>
                </c:pt>
                <c:pt idx="251">
                  <c:v>0.89456185607044503</c:v>
                </c:pt>
                <c:pt idx="252">
                  <c:v>1.5641440361088665</c:v>
                </c:pt>
                <c:pt idx="253">
                  <c:v>1.9583835563531857</c:v>
                </c:pt>
                <c:pt idx="254">
                  <c:v>0.98534853979044112</c:v>
                </c:pt>
                <c:pt idx="255">
                  <c:v>0.52513301210067431</c:v>
                </c:pt>
                <c:pt idx="256">
                  <c:v>0.95058575030211956</c:v>
                </c:pt>
                <c:pt idx="257">
                  <c:v>1.0024472690521109</c:v>
                </c:pt>
                <c:pt idx="258">
                  <c:v>-0.18248652849055946</c:v>
                </c:pt>
                <c:pt idx="259">
                  <c:v>-2.7541708904315829E-2</c:v>
                </c:pt>
                <c:pt idx="261">
                  <c:v>-2.2233600174556685</c:v>
                </c:pt>
                <c:pt idx="262">
                  <c:v>1.4936009646687103</c:v>
                </c:pt>
                <c:pt idx="263">
                  <c:v>0.85323665789927616</c:v>
                </c:pt>
                <c:pt idx="264">
                  <c:v>1.904436657899276</c:v>
                </c:pt>
                <c:pt idx="265">
                  <c:v>3.1572366578992761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C4-E746-9345-7F2B09EC4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518144"/>
        <c:axId val="-2035523808"/>
      </c:scatterChart>
      <c:valAx>
        <c:axId val="-2035518144"/>
        <c:scaling>
          <c:orientation val="minMax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800"/>
                  <a:t>Water Level</a:t>
                </a:r>
                <a:r>
                  <a:rPr lang="en-US" sz="1800" baseline="0"/>
                  <a:t> (m)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40214354821904402"/>
              <c:y val="0.89605753668782195"/>
            </c:manualLayout>
          </c:layout>
          <c:overlay val="0"/>
        </c:title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523808"/>
        <c:crossesAt val="-4"/>
        <c:crossBetween val="midCat"/>
        <c:majorUnit val="1"/>
      </c:valAx>
      <c:valAx>
        <c:axId val="-2035523808"/>
        <c:scaling>
          <c:orientation val="minMax"/>
          <c:min val="-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Recharge (cm/day)</a:t>
                </a:r>
              </a:p>
            </c:rich>
          </c:tx>
          <c:layout>
            <c:manualLayout>
              <c:xMode val="edge"/>
              <c:yMode val="edge"/>
              <c:x val="2.63279401038953E-2"/>
              <c:y val="0.33722827371751701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518144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1: Recharge vs Days Since</a:t>
            </a:r>
            <a:r>
              <a:rPr lang="en-US" sz="2400" baseline="0"/>
              <a:t> </a:t>
            </a:r>
          </a:p>
          <a:p>
            <a:pPr>
              <a:defRPr sz="2400"/>
            </a:pPr>
            <a:r>
              <a:rPr lang="en-US" sz="2400" baseline="0"/>
              <a:t>Last Rainfall</a:t>
            </a:r>
            <a:endParaRPr lang="en-US" sz="2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square"/>
            <c:size val="11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20157465430242799"/>
                  <c:y val="-0.21455074466730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Plots!$AY$23:$AY$117</c:f>
              <c:numCache>
                <c:formatCode>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11</c:v>
                </c:pt>
                <c:pt idx="70">
                  <c:v>12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16</c:v>
                </c:pt>
                <c:pt idx="75">
                  <c:v>17</c:v>
                </c:pt>
                <c:pt idx="76">
                  <c:v>18</c:v>
                </c:pt>
                <c:pt idx="77">
                  <c:v>19</c:v>
                </c:pt>
                <c:pt idx="78">
                  <c:v>20</c:v>
                </c:pt>
                <c:pt idx="79">
                  <c:v>21</c:v>
                </c:pt>
                <c:pt idx="80">
                  <c:v>22</c:v>
                </c:pt>
                <c:pt idx="81">
                  <c:v>23</c:v>
                </c:pt>
                <c:pt idx="82">
                  <c:v>24</c:v>
                </c:pt>
                <c:pt idx="83">
                  <c:v>25</c:v>
                </c:pt>
                <c:pt idx="84">
                  <c:v>26</c:v>
                </c:pt>
                <c:pt idx="85">
                  <c:v>27</c:v>
                </c:pt>
                <c:pt idx="86">
                  <c:v>28</c:v>
                </c:pt>
                <c:pt idx="87">
                  <c:v>29</c:v>
                </c:pt>
                <c:pt idx="88">
                  <c:v>30</c:v>
                </c:pt>
                <c:pt idx="89">
                  <c:v>31</c:v>
                </c:pt>
                <c:pt idx="90">
                  <c:v>32</c:v>
                </c:pt>
                <c:pt idx="91">
                  <c:v>33</c:v>
                </c:pt>
                <c:pt idx="92">
                  <c:v>34</c:v>
                </c:pt>
                <c:pt idx="93">
                  <c:v>35</c:v>
                </c:pt>
                <c:pt idx="94">
                  <c:v>36</c:v>
                </c:pt>
              </c:numCache>
            </c:numRef>
          </c:xVal>
          <c:yVal>
            <c:numRef>
              <c:f>Plots!$AW$23:$AW$117</c:f>
              <c:numCache>
                <c:formatCode>General</c:formatCode>
                <c:ptCount val="95"/>
                <c:pt idx="7">
                  <c:v>1.2391627813077115</c:v>
                </c:pt>
                <c:pt idx="8">
                  <c:v>1.3690966106416618</c:v>
                </c:pt>
                <c:pt idx="9">
                  <c:v>0.23723239823112835</c:v>
                </c:pt>
                <c:pt idx="10">
                  <c:v>-9.0125096165409244E-2</c:v>
                </c:pt>
                <c:pt idx="11">
                  <c:v>1.6406077059297679</c:v>
                </c:pt>
                <c:pt idx="12">
                  <c:v>1.3412505342622234</c:v>
                </c:pt>
                <c:pt idx="13">
                  <c:v>1.4975622033645566</c:v>
                </c:pt>
                <c:pt idx="14">
                  <c:v>1.8517498878099174</c:v>
                </c:pt>
                <c:pt idx="15">
                  <c:v>-0.50943277788117691</c:v>
                </c:pt>
                <c:pt idx="17">
                  <c:v>0.65296018157465396</c:v>
                </c:pt>
                <c:pt idx="18">
                  <c:v>0.7389882085370294</c:v>
                </c:pt>
                <c:pt idx="19">
                  <c:v>0.10292249308495628</c:v>
                </c:pt>
                <c:pt idx="20">
                  <c:v>0.39759845246897624</c:v>
                </c:pt>
                <c:pt idx="24">
                  <c:v>1.2390506869590545</c:v>
                </c:pt>
                <c:pt idx="25">
                  <c:v>9.4013346896085551E-2</c:v>
                </c:pt>
                <c:pt idx="27">
                  <c:v>1.699573283312289</c:v>
                </c:pt>
                <c:pt idx="28">
                  <c:v>2.2683063199733988</c:v>
                </c:pt>
                <c:pt idx="29">
                  <c:v>0.89740077424436304</c:v>
                </c:pt>
                <c:pt idx="30">
                  <c:v>0.75627580459359456</c:v>
                </c:pt>
                <c:pt idx="33">
                  <c:v>0.88996141782315863</c:v>
                </c:pt>
                <c:pt idx="34">
                  <c:v>1.3411488375636851</c:v>
                </c:pt>
                <c:pt idx="35">
                  <c:v>0.94191037495527274</c:v>
                </c:pt>
                <c:pt idx="36">
                  <c:v>0.5269791818641737</c:v>
                </c:pt>
                <c:pt idx="37">
                  <c:v>0.78827700599976136</c:v>
                </c:pt>
                <c:pt idx="39">
                  <c:v>1.1083365594786558</c:v>
                </c:pt>
                <c:pt idx="40">
                  <c:v>3.3967990088736091</c:v>
                </c:pt>
                <c:pt idx="41">
                  <c:v>1.2228849109255437</c:v>
                </c:pt>
                <c:pt idx="42">
                  <c:v>8.5626331654542129E-2</c:v>
                </c:pt>
                <c:pt idx="43">
                  <c:v>0.6069912813119116</c:v>
                </c:pt>
                <c:pt idx="45">
                  <c:v>1.3275593681271378</c:v>
                </c:pt>
                <c:pt idx="46">
                  <c:v>1.7116026072613704</c:v>
                </c:pt>
                <c:pt idx="47">
                  <c:v>0.61289056413976128</c:v>
                </c:pt>
                <c:pt idx="48">
                  <c:v>0.5044529139287639</c:v>
                </c:pt>
                <c:pt idx="49">
                  <c:v>0.74277938754755812</c:v>
                </c:pt>
                <c:pt idx="50">
                  <c:v>0.24881118929884136</c:v>
                </c:pt>
                <c:pt idx="51">
                  <c:v>0.84297528289486756</c:v>
                </c:pt>
                <c:pt idx="52">
                  <c:v>0.85315976464860199</c:v>
                </c:pt>
                <c:pt idx="53">
                  <c:v>0.19110687114638031</c:v>
                </c:pt>
                <c:pt idx="54">
                  <c:v>0.51025256102702321</c:v>
                </c:pt>
                <c:pt idx="55">
                  <c:v>2.8930434227503882E-2</c:v>
                </c:pt>
                <c:pt idx="56">
                  <c:v>0.9055837296409921</c:v>
                </c:pt>
                <c:pt idx="57">
                  <c:v>1.8725532979813202</c:v>
                </c:pt>
                <c:pt idx="58">
                  <c:v>0.16616863489916991</c:v>
                </c:pt>
                <c:pt idx="59">
                  <c:v>0.48779815138875576</c:v>
                </c:pt>
                <c:pt idx="61">
                  <c:v>0.6332647426895861</c:v>
                </c:pt>
                <c:pt idx="62">
                  <c:v>0.53833640298860119</c:v>
                </c:pt>
                <c:pt idx="63">
                  <c:v>1.0564485090813018</c:v>
                </c:pt>
                <c:pt idx="64">
                  <c:v>-7.3245941647176627E-2</c:v>
                </c:pt>
                <c:pt idx="65">
                  <c:v>1.0346279026653047</c:v>
                </c:pt>
                <c:pt idx="66">
                  <c:v>1.440537730474329</c:v>
                </c:pt>
                <c:pt idx="67">
                  <c:v>0.50575015825164782</c:v>
                </c:pt>
                <c:pt idx="68">
                  <c:v>0.33267904186875269</c:v>
                </c:pt>
                <c:pt idx="69">
                  <c:v>0.44862994717123472</c:v>
                </c:pt>
                <c:pt idx="70">
                  <c:v>1.582252434935534</c:v>
                </c:pt>
                <c:pt idx="71">
                  <c:v>0.82899079097128558</c:v>
                </c:pt>
                <c:pt idx="72">
                  <c:v>0.72421991112869977</c:v>
                </c:pt>
                <c:pt idx="73">
                  <c:v>0.12269001496789197</c:v>
                </c:pt>
                <c:pt idx="74">
                  <c:v>0.2350479561699633</c:v>
                </c:pt>
                <c:pt idx="75">
                  <c:v>-0.32102080393363697</c:v>
                </c:pt>
                <c:pt idx="76">
                  <c:v>-0.35769454551226437</c:v>
                </c:pt>
                <c:pt idx="77">
                  <c:v>-0.51292833901464729</c:v>
                </c:pt>
                <c:pt idx="78">
                  <c:v>-2.413703658778895E-2</c:v>
                </c:pt>
                <c:pt idx="79">
                  <c:v>0.2474048500651774</c:v>
                </c:pt>
                <c:pt idx="80">
                  <c:v>0.82554398491245951</c:v>
                </c:pt>
                <c:pt idx="81">
                  <c:v>1.33632</c:v>
                </c:pt>
                <c:pt idx="82">
                  <c:v>0.10900799999999999</c:v>
                </c:pt>
                <c:pt idx="83">
                  <c:v>-0.57599999999999996</c:v>
                </c:pt>
                <c:pt idx="84">
                  <c:v>1.3449600000000002</c:v>
                </c:pt>
                <c:pt idx="85">
                  <c:v>1.3204800000000001</c:v>
                </c:pt>
                <c:pt idx="86">
                  <c:v>0.57599999999999996</c:v>
                </c:pt>
                <c:pt idx="87">
                  <c:v>0.28799999999999998</c:v>
                </c:pt>
                <c:pt idx="90">
                  <c:v>-0.72000000000000008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1F-2C41-B6A9-A131101F1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554256"/>
        <c:axId val="-2035549264"/>
      </c:scatterChart>
      <c:valAx>
        <c:axId val="-2035554256"/>
        <c:scaling>
          <c:orientation val="minMax"/>
          <c:max val="8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Days Since Last Rainfall</a:t>
                </a:r>
              </a:p>
            </c:rich>
          </c:tx>
          <c:layout>
            <c:manualLayout>
              <c:xMode val="edge"/>
              <c:yMode val="edge"/>
              <c:x val="0.36815116919458801"/>
              <c:y val="0.86983760979069302"/>
            </c:manualLayout>
          </c:layout>
          <c:overlay val="0"/>
        </c:title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549264"/>
        <c:crossesAt val="-4"/>
        <c:crossBetween val="midCat"/>
      </c:valAx>
      <c:valAx>
        <c:axId val="-2035549264"/>
        <c:scaling>
          <c:orientation val="minMax"/>
          <c:max val="6"/>
          <c:min val="-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000"/>
                  <a:t>Groundwater Exchange (cm/day)</a:t>
                </a:r>
              </a:p>
            </c:rich>
          </c:tx>
          <c:layout>
            <c:manualLayout>
              <c:xMode val="edge"/>
              <c:yMode val="edge"/>
              <c:x val="1.8332167363767599E-2"/>
              <c:y val="0.182592969758688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554256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All Tanks: Recharge vs Days Since Last Rainfall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62672271315430494"/>
          <c:h val="0.64184175592369697"/>
        </c:manualLayout>
      </c:layout>
      <c:scatterChart>
        <c:scatterStyle val="lineMarker"/>
        <c:varyColors val="0"/>
        <c:ser>
          <c:idx val="2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marker>
            <c:symbol val="diamond"/>
            <c:size val="12"/>
            <c:spPr>
              <a:solidFill>
                <a:schemeClr val="accent1"/>
              </a:solidFill>
              <a:ln>
                <a:solidFill>
                  <a:srgbClr val="008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2131027289710999E-3"/>
                  <c:y val="0.13254405266316299"/>
                </c:manualLayout>
              </c:layout>
              <c:numFmt formatCode="General" sourceLinked="0"/>
              <c:spPr>
                <a:solidFill>
                  <a:srgbClr val="FFFFFF"/>
                </a:solidFill>
                <a:ln>
                  <a:solidFill>
                    <a:schemeClr val="tx1"/>
                  </a:solidFill>
                </a:ln>
              </c:spPr>
              <c:txPr>
                <a:bodyPr/>
                <a:lstStyle/>
                <a:p>
                  <a:pPr>
                    <a:defRPr sz="1400"/>
                  </a:pPr>
                  <a:endParaRPr lang="en-US"/>
                </a:p>
              </c:txPr>
            </c:trendlineLbl>
          </c:trendline>
          <c:xVal>
            <c:numRef>
              <c:f>Plots!$DL$270:$DL$438</c:f>
              <c:numCache>
                <c:formatCode>0</c:formatCode>
                <c:ptCount val="169"/>
                <c:pt idx="0" formatCode="General">
                  <c:v>10</c:v>
                </c:pt>
                <c:pt idx="1">
                  <c:v>10</c:v>
                </c:pt>
                <c:pt idx="2" formatCode="General">
                  <c:v>10</c:v>
                </c:pt>
                <c:pt idx="3">
                  <c:v>10</c:v>
                </c:pt>
                <c:pt idx="4" formatCode="General">
                  <c:v>11</c:v>
                </c:pt>
                <c:pt idx="5">
                  <c:v>11</c:v>
                </c:pt>
                <c:pt idx="6" formatCode="General">
                  <c:v>11</c:v>
                </c:pt>
                <c:pt idx="7">
                  <c:v>11</c:v>
                </c:pt>
                <c:pt idx="8" formatCode="General">
                  <c:v>12</c:v>
                </c:pt>
                <c:pt idx="9">
                  <c:v>12</c:v>
                </c:pt>
                <c:pt idx="10" formatCode="General">
                  <c:v>12</c:v>
                </c:pt>
                <c:pt idx="11">
                  <c:v>12</c:v>
                </c:pt>
                <c:pt idx="12" formatCode="General">
                  <c:v>13</c:v>
                </c:pt>
                <c:pt idx="13">
                  <c:v>13</c:v>
                </c:pt>
                <c:pt idx="14" formatCode="General">
                  <c:v>13</c:v>
                </c:pt>
                <c:pt idx="15">
                  <c:v>13</c:v>
                </c:pt>
                <c:pt idx="16" formatCode="General">
                  <c:v>14</c:v>
                </c:pt>
                <c:pt idx="17">
                  <c:v>14</c:v>
                </c:pt>
                <c:pt idx="18" formatCode="General">
                  <c:v>14</c:v>
                </c:pt>
                <c:pt idx="19">
                  <c:v>14</c:v>
                </c:pt>
                <c:pt idx="20" formatCode="General">
                  <c:v>15</c:v>
                </c:pt>
                <c:pt idx="21">
                  <c:v>15</c:v>
                </c:pt>
                <c:pt idx="22" formatCode="General">
                  <c:v>15</c:v>
                </c:pt>
                <c:pt idx="23">
                  <c:v>15</c:v>
                </c:pt>
                <c:pt idx="24" formatCode="General">
                  <c:v>16</c:v>
                </c:pt>
                <c:pt idx="25">
                  <c:v>16</c:v>
                </c:pt>
                <c:pt idx="26" formatCode="General">
                  <c:v>16</c:v>
                </c:pt>
                <c:pt idx="27">
                  <c:v>16</c:v>
                </c:pt>
                <c:pt idx="28" formatCode="General">
                  <c:v>17</c:v>
                </c:pt>
                <c:pt idx="29">
                  <c:v>17</c:v>
                </c:pt>
                <c:pt idx="30" formatCode="General">
                  <c:v>17</c:v>
                </c:pt>
                <c:pt idx="31">
                  <c:v>17</c:v>
                </c:pt>
                <c:pt idx="32" formatCode="General">
                  <c:v>18</c:v>
                </c:pt>
                <c:pt idx="33">
                  <c:v>18</c:v>
                </c:pt>
                <c:pt idx="34" formatCode="General">
                  <c:v>18</c:v>
                </c:pt>
                <c:pt idx="35">
                  <c:v>18</c:v>
                </c:pt>
                <c:pt idx="36" formatCode="General">
                  <c:v>19</c:v>
                </c:pt>
                <c:pt idx="37">
                  <c:v>19</c:v>
                </c:pt>
                <c:pt idx="38" formatCode="General">
                  <c:v>19</c:v>
                </c:pt>
                <c:pt idx="39">
                  <c:v>19</c:v>
                </c:pt>
                <c:pt idx="40" formatCode="General">
                  <c:v>20</c:v>
                </c:pt>
                <c:pt idx="41">
                  <c:v>20</c:v>
                </c:pt>
                <c:pt idx="42" formatCode="General">
                  <c:v>20</c:v>
                </c:pt>
                <c:pt idx="43">
                  <c:v>20</c:v>
                </c:pt>
                <c:pt idx="44" formatCode="General">
                  <c:v>21</c:v>
                </c:pt>
                <c:pt idx="45">
                  <c:v>21</c:v>
                </c:pt>
                <c:pt idx="46" formatCode="General">
                  <c:v>21</c:v>
                </c:pt>
                <c:pt idx="47">
                  <c:v>21</c:v>
                </c:pt>
                <c:pt idx="48" formatCode="General">
                  <c:v>22</c:v>
                </c:pt>
                <c:pt idx="49">
                  <c:v>22</c:v>
                </c:pt>
                <c:pt idx="50" formatCode="General">
                  <c:v>22</c:v>
                </c:pt>
                <c:pt idx="51">
                  <c:v>22</c:v>
                </c:pt>
                <c:pt idx="52" formatCode="General">
                  <c:v>23</c:v>
                </c:pt>
                <c:pt idx="53">
                  <c:v>23</c:v>
                </c:pt>
                <c:pt idx="54" formatCode="General">
                  <c:v>23</c:v>
                </c:pt>
                <c:pt idx="55">
                  <c:v>23</c:v>
                </c:pt>
                <c:pt idx="56" formatCode="General">
                  <c:v>24</c:v>
                </c:pt>
                <c:pt idx="57">
                  <c:v>24</c:v>
                </c:pt>
                <c:pt idx="58" formatCode="General">
                  <c:v>24</c:v>
                </c:pt>
                <c:pt idx="59">
                  <c:v>24</c:v>
                </c:pt>
                <c:pt idx="60" formatCode="General">
                  <c:v>25</c:v>
                </c:pt>
                <c:pt idx="61">
                  <c:v>25</c:v>
                </c:pt>
                <c:pt idx="62" formatCode="General">
                  <c:v>25</c:v>
                </c:pt>
                <c:pt idx="63">
                  <c:v>25</c:v>
                </c:pt>
                <c:pt idx="64" formatCode="General">
                  <c:v>26</c:v>
                </c:pt>
                <c:pt idx="65">
                  <c:v>26</c:v>
                </c:pt>
                <c:pt idx="66" formatCode="General">
                  <c:v>26</c:v>
                </c:pt>
                <c:pt idx="67">
                  <c:v>26</c:v>
                </c:pt>
                <c:pt idx="68" formatCode="General">
                  <c:v>27</c:v>
                </c:pt>
                <c:pt idx="69">
                  <c:v>27</c:v>
                </c:pt>
                <c:pt idx="70" formatCode="General">
                  <c:v>27</c:v>
                </c:pt>
                <c:pt idx="71">
                  <c:v>27</c:v>
                </c:pt>
                <c:pt idx="72" formatCode="General">
                  <c:v>28</c:v>
                </c:pt>
                <c:pt idx="73">
                  <c:v>28</c:v>
                </c:pt>
                <c:pt idx="74" formatCode="General">
                  <c:v>28</c:v>
                </c:pt>
                <c:pt idx="75">
                  <c:v>28</c:v>
                </c:pt>
                <c:pt idx="76" formatCode="General">
                  <c:v>29</c:v>
                </c:pt>
                <c:pt idx="77">
                  <c:v>29</c:v>
                </c:pt>
                <c:pt idx="78" formatCode="General">
                  <c:v>29</c:v>
                </c:pt>
                <c:pt idx="79">
                  <c:v>29</c:v>
                </c:pt>
                <c:pt idx="80">
                  <c:v>30</c:v>
                </c:pt>
                <c:pt idx="81">
                  <c:v>30</c:v>
                </c:pt>
                <c:pt idx="82" formatCode="General">
                  <c:v>30</c:v>
                </c:pt>
                <c:pt idx="83">
                  <c:v>30</c:v>
                </c:pt>
                <c:pt idx="84" formatCode="General">
                  <c:v>31</c:v>
                </c:pt>
                <c:pt idx="85">
                  <c:v>31</c:v>
                </c:pt>
                <c:pt idx="86" formatCode="General">
                  <c:v>31</c:v>
                </c:pt>
                <c:pt idx="87" formatCode="General">
                  <c:v>32</c:v>
                </c:pt>
                <c:pt idx="88">
                  <c:v>32</c:v>
                </c:pt>
                <c:pt idx="89" formatCode="General">
                  <c:v>32</c:v>
                </c:pt>
                <c:pt idx="90" formatCode="General">
                  <c:v>33</c:v>
                </c:pt>
                <c:pt idx="91">
                  <c:v>33</c:v>
                </c:pt>
                <c:pt idx="92" formatCode="General">
                  <c:v>33</c:v>
                </c:pt>
                <c:pt idx="93" formatCode="General">
                  <c:v>34</c:v>
                </c:pt>
                <c:pt idx="94">
                  <c:v>34</c:v>
                </c:pt>
                <c:pt idx="95" formatCode="General">
                  <c:v>34</c:v>
                </c:pt>
                <c:pt idx="96" formatCode="General">
                  <c:v>35</c:v>
                </c:pt>
                <c:pt idx="97">
                  <c:v>35</c:v>
                </c:pt>
                <c:pt idx="98" formatCode="General">
                  <c:v>35</c:v>
                </c:pt>
                <c:pt idx="99" formatCode="General">
                  <c:v>36</c:v>
                </c:pt>
                <c:pt idx="100">
                  <c:v>36</c:v>
                </c:pt>
                <c:pt idx="101" formatCode="General">
                  <c:v>36</c:v>
                </c:pt>
                <c:pt idx="102" formatCode="General">
                  <c:v>37</c:v>
                </c:pt>
                <c:pt idx="103" formatCode="General">
                  <c:v>37</c:v>
                </c:pt>
                <c:pt idx="104" formatCode="General">
                  <c:v>38</c:v>
                </c:pt>
                <c:pt idx="105" formatCode="General">
                  <c:v>38</c:v>
                </c:pt>
                <c:pt idx="106" formatCode="General">
                  <c:v>39</c:v>
                </c:pt>
                <c:pt idx="107" formatCode="General">
                  <c:v>39</c:v>
                </c:pt>
                <c:pt idx="108" formatCode="General">
                  <c:v>40</c:v>
                </c:pt>
                <c:pt idx="109" formatCode="General">
                  <c:v>40</c:v>
                </c:pt>
                <c:pt idx="110" formatCode="General">
                  <c:v>41</c:v>
                </c:pt>
                <c:pt idx="111" formatCode="General">
                  <c:v>41</c:v>
                </c:pt>
                <c:pt idx="112" formatCode="General">
                  <c:v>42</c:v>
                </c:pt>
                <c:pt idx="113" formatCode="General">
                  <c:v>42</c:v>
                </c:pt>
                <c:pt idx="114" formatCode="General">
                  <c:v>43</c:v>
                </c:pt>
                <c:pt idx="115" formatCode="General">
                  <c:v>43</c:v>
                </c:pt>
                <c:pt idx="116" formatCode="General">
                  <c:v>44</c:v>
                </c:pt>
                <c:pt idx="117" formatCode="General">
                  <c:v>44</c:v>
                </c:pt>
                <c:pt idx="118" formatCode="General">
                  <c:v>45</c:v>
                </c:pt>
                <c:pt idx="119" formatCode="General">
                  <c:v>45</c:v>
                </c:pt>
                <c:pt idx="120" formatCode="General">
                  <c:v>46</c:v>
                </c:pt>
                <c:pt idx="121" formatCode="General">
                  <c:v>46</c:v>
                </c:pt>
                <c:pt idx="122" formatCode="General">
                  <c:v>47</c:v>
                </c:pt>
                <c:pt idx="123" formatCode="General">
                  <c:v>47</c:v>
                </c:pt>
                <c:pt idx="124" formatCode="General">
                  <c:v>48</c:v>
                </c:pt>
                <c:pt idx="125" formatCode="General">
                  <c:v>48</c:v>
                </c:pt>
                <c:pt idx="126" formatCode="General">
                  <c:v>49</c:v>
                </c:pt>
                <c:pt idx="127" formatCode="General">
                  <c:v>49</c:v>
                </c:pt>
                <c:pt idx="128" formatCode="General">
                  <c:v>50</c:v>
                </c:pt>
                <c:pt idx="129" formatCode="General">
                  <c:v>50</c:v>
                </c:pt>
                <c:pt idx="130" formatCode="General">
                  <c:v>51</c:v>
                </c:pt>
                <c:pt idx="131" formatCode="General">
                  <c:v>51</c:v>
                </c:pt>
                <c:pt idx="132" formatCode="General">
                  <c:v>52</c:v>
                </c:pt>
                <c:pt idx="133" formatCode="General">
                  <c:v>52</c:v>
                </c:pt>
                <c:pt idx="134" formatCode="General">
                  <c:v>53</c:v>
                </c:pt>
                <c:pt idx="135" formatCode="General">
                  <c:v>53</c:v>
                </c:pt>
                <c:pt idx="136" formatCode="General">
                  <c:v>54</c:v>
                </c:pt>
                <c:pt idx="137" formatCode="General">
                  <c:v>54</c:v>
                </c:pt>
                <c:pt idx="138" formatCode="General">
                  <c:v>55</c:v>
                </c:pt>
                <c:pt idx="139" formatCode="General">
                  <c:v>55</c:v>
                </c:pt>
                <c:pt idx="140" formatCode="General">
                  <c:v>56</c:v>
                </c:pt>
                <c:pt idx="141" formatCode="General">
                  <c:v>56</c:v>
                </c:pt>
                <c:pt idx="142" formatCode="General">
                  <c:v>57</c:v>
                </c:pt>
                <c:pt idx="143" formatCode="General">
                  <c:v>57</c:v>
                </c:pt>
                <c:pt idx="144" formatCode="General">
                  <c:v>58</c:v>
                </c:pt>
                <c:pt idx="145" formatCode="General">
                  <c:v>58</c:v>
                </c:pt>
                <c:pt idx="146" formatCode="General">
                  <c:v>59</c:v>
                </c:pt>
                <c:pt idx="147" formatCode="General">
                  <c:v>59</c:v>
                </c:pt>
                <c:pt idx="148" formatCode="General">
                  <c:v>60</c:v>
                </c:pt>
                <c:pt idx="149" formatCode="General">
                  <c:v>60</c:v>
                </c:pt>
                <c:pt idx="150" formatCode="General">
                  <c:v>61</c:v>
                </c:pt>
                <c:pt idx="151" formatCode="General">
                  <c:v>61</c:v>
                </c:pt>
                <c:pt idx="152" formatCode="General">
                  <c:v>62</c:v>
                </c:pt>
                <c:pt idx="153" formatCode="General">
                  <c:v>62</c:v>
                </c:pt>
                <c:pt idx="154" formatCode="General">
                  <c:v>63</c:v>
                </c:pt>
                <c:pt idx="155" formatCode="General">
                  <c:v>63</c:v>
                </c:pt>
                <c:pt idx="156" formatCode="General">
                  <c:v>64</c:v>
                </c:pt>
                <c:pt idx="157" formatCode="General">
                  <c:v>64</c:v>
                </c:pt>
                <c:pt idx="158" formatCode="General">
                  <c:v>65</c:v>
                </c:pt>
                <c:pt idx="159" formatCode="General">
                  <c:v>65</c:v>
                </c:pt>
                <c:pt idx="160" formatCode="General">
                  <c:v>66</c:v>
                </c:pt>
                <c:pt idx="161" formatCode="General">
                  <c:v>66</c:v>
                </c:pt>
                <c:pt idx="162" formatCode="General">
                  <c:v>67</c:v>
                </c:pt>
                <c:pt idx="163" formatCode="General">
                  <c:v>67</c:v>
                </c:pt>
                <c:pt idx="164" formatCode="General">
                  <c:v>68</c:v>
                </c:pt>
                <c:pt idx="165" formatCode="General">
                  <c:v>68</c:v>
                </c:pt>
                <c:pt idx="166" formatCode="General">
                  <c:v>69</c:v>
                </c:pt>
                <c:pt idx="167" formatCode="General">
                  <c:v>69</c:v>
                </c:pt>
                <c:pt idx="168" formatCode="General">
                  <c:v>70</c:v>
                </c:pt>
              </c:numCache>
            </c:numRef>
          </c:xVal>
          <c:yVal>
            <c:numRef>
              <c:f>Plots!$DJ$270:$DJ$438</c:f>
              <c:numCache>
                <c:formatCode>General</c:formatCode>
                <c:ptCount val="169"/>
                <c:pt idx="0">
                  <c:v>3.5424000000000002</c:v>
                </c:pt>
                <c:pt idx="1">
                  <c:v>0.33267904186875269</c:v>
                </c:pt>
                <c:pt idx="2">
                  <c:v>1.5671439458434091</c:v>
                </c:pt>
                <c:pt idx="3">
                  <c:v>2.0489826084066736</c:v>
                </c:pt>
                <c:pt idx="4">
                  <c:v>3.4416000000000002</c:v>
                </c:pt>
                <c:pt idx="5">
                  <c:v>0.44862994717123472</c:v>
                </c:pt>
                <c:pt idx="6">
                  <c:v>1.4895534092264633</c:v>
                </c:pt>
                <c:pt idx="7">
                  <c:v>2.8425290510197669</c:v>
                </c:pt>
                <c:pt idx="8">
                  <c:v>1.6847999999999999</c:v>
                </c:pt>
                <c:pt idx="9">
                  <c:v>1.582252434935534</c:v>
                </c:pt>
                <c:pt idx="10">
                  <c:v>1.571703238561184</c:v>
                </c:pt>
                <c:pt idx="11">
                  <c:v>2.2107042221066235</c:v>
                </c:pt>
                <c:pt idx="12">
                  <c:v>0.91871999999999998</c:v>
                </c:pt>
                <c:pt idx="13">
                  <c:v>0.82899079097128558</c:v>
                </c:pt>
                <c:pt idx="14">
                  <c:v>1.250745385728202</c:v>
                </c:pt>
                <c:pt idx="15">
                  <c:v>1.8384510459079579</c:v>
                </c:pt>
                <c:pt idx="16">
                  <c:v>0.97055999999999998</c:v>
                </c:pt>
                <c:pt idx="17">
                  <c:v>0.72421991112869977</c:v>
                </c:pt>
                <c:pt idx="18">
                  <c:v>1.464739505291748</c:v>
                </c:pt>
                <c:pt idx="19">
                  <c:v>1.6537291770201885</c:v>
                </c:pt>
                <c:pt idx="20">
                  <c:v>0.99791999999999992</c:v>
                </c:pt>
                <c:pt idx="21">
                  <c:v>0.12269001496789197</c:v>
                </c:pt>
                <c:pt idx="22">
                  <c:v>2.083570124941847</c:v>
                </c:pt>
                <c:pt idx="23">
                  <c:v>3.4714275734752733</c:v>
                </c:pt>
                <c:pt idx="24">
                  <c:v>3.528</c:v>
                </c:pt>
                <c:pt idx="25">
                  <c:v>0.2350479561699633</c:v>
                </c:pt>
                <c:pt idx="26">
                  <c:v>1.0475136367000291</c:v>
                </c:pt>
                <c:pt idx="27">
                  <c:v>0.89456185607044503</c:v>
                </c:pt>
                <c:pt idx="28">
                  <c:v>2.8512</c:v>
                </c:pt>
                <c:pt idx="29">
                  <c:v>-0.32102080393363697</c:v>
                </c:pt>
                <c:pt idx="30">
                  <c:v>2.1283161418985697</c:v>
                </c:pt>
                <c:pt idx="31">
                  <c:v>1.5641440361088665</c:v>
                </c:pt>
                <c:pt idx="32">
                  <c:v>2.5775999999999999</c:v>
                </c:pt>
                <c:pt idx="33">
                  <c:v>-0.35769454551226437</c:v>
                </c:pt>
                <c:pt idx="34">
                  <c:v>2.3634660871940931</c:v>
                </c:pt>
                <c:pt idx="35">
                  <c:v>1.9583835563531857</c:v>
                </c:pt>
                <c:pt idx="36">
                  <c:v>1.7568000000000001</c:v>
                </c:pt>
                <c:pt idx="37">
                  <c:v>-0.51292833901464729</c:v>
                </c:pt>
                <c:pt idx="38">
                  <c:v>3.3083435945081701</c:v>
                </c:pt>
                <c:pt idx="39">
                  <c:v>0.98534853979044112</c:v>
                </c:pt>
                <c:pt idx="40">
                  <c:v>1.8863999999999999</c:v>
                </c:pt>
                <c:pt idx="41">
                  <c:v>-2.413703658778895E-2</c:v>
                </c:pt>
                <c:pt idx="42">
                  <c:v>0.8774975652972371</c:v>
                </c:pt>
                <c:pt idx="43">
                  <c:v>0.52513301210067431</c:v>
                </c:pt>
                <c:pt idx="44">
                  <c:v>1.4327999999999999</c:v>
                </c:pt>
                <c:pt idx="45">
                  <c:v>0.2474048500651774</c:v>
                </c:pt>
                <c:pt idx="46">
                  <c:v>0.9228607880143378</c:v>
                </c:pt>
                <c:pt idx="47">
                  <c:v>0.95058575030211956</c:v>
                </c:pt>
                <c:pt idx="48">
                  <c:v>7.9200000000000007E-2</c:v>
                </c:pt>
                <c:pt idx="49">
                  <c:v>0.82554398491245951</c:v>
                </c:pt>
                <c:pt idx="50">
                  <c:v>1.1553708950288122</c:v>
                </c:pt>
                <c:pt idx="51">
                  <c:v>1.0024472690521109</c:v>
                </c:pt>
                <c:pt idx="52">
                  <c:v>0.7545599999999999</c:v>
                </c:pt>
                <c:pt idx="53">
                  <c:v>1.33632</c:v>
                </c:pt>
                <c:pt idx="54">
                  <c:v>1.4177427230363291</c:v>
                </c:pt>
                <c:pt idx="55">
                  <c:v>-0.18248652849055946</c:v>
                </c:pt>
                <c:pt idx="56">
                  <c:v>0.99504000000000004</c:v>
                </c:pt>
                <c:pt idx="57">
                  <c:v>0.10900799999999999</c:v>
                </c:pt>
                <c:pt idx="58">
                  <c:v>1.2793825273344654</c:v>
                </c:pt>
                <c:pt idx="59">
                  <c:v>-2.7541708904315829E-2</c:v>
                </c:pt>
                <c:pt idx="60">
                  <c:v>-1.2182400000000002</c:v>
                </c:pt>
                <c:pt idx="61">
                  <c:v>-0.57599999999999996</c:v>
                </c:pt>
                <c:pt idx="62">
                  <c:v>1.1568148417820987</c:v>
                </c:pt>
                <c:pt idx="64">
                  <c:v>1.3881599999999998</c:v>
                </c:pt>
                <c:pt idx="65">
                  <c:v>1.3449600000000002</c:v>
                </c:pt>
                <c:pt idx="66">
                  <c:v>-0.57189385084433941</c:v>
                </c:pt>
                <c:pt idx="67">
                  <c:v>-2.2233600174556685</c:v>
                </c:pt>
                <c:pt idx="68">
                  <c:v>0.98639999999999994</c:v>
                </c:pt>
                <c:pt idx="69">
                  <c:v>1.3204800000000001</c:v>
                </c:pt>
                <c:pt idx="70">
                  <c:v>1.3882029636103224</c:v>
                </c:pt>
                <c:pt idx="71">
                  <c:v>1.4936009646687103</c:v>
                </c:pt>
                <c:pt idx="72">
                  <c:v>0.63648000000000005</c:v>
                </c:pt>
                <c:pt idx="73">
                  <c:v>0.57599999999999996</c:v>
                </c:pt>
                <c:pt idx="74">
                  <c:v>1.2934790995496357</c:v>
                </c:pt>
                <c:pt idx="75">
                  <c:v>0.85323665789927616</c:v>
                </c:pt>
                <c:pt idx="76">
                  <c:v>0.58608000000000005</c:v>
                </c:pt>
                <c:pt idx="77">
                  <c:v>0.28799999999999998</c:v>
                </c:pt>
                <c:pt idx="78">
                  <c:v>1.0851877450868967</c:v>
                </c:pt>
                <c:pt idx="79">
                  <c:v>1.904436657899276</c:v>
                </c:pt>
                <c:pt idx="80" formatCode="0.00E+00">
                  <c:v>0.78335999999999995</c:v>
                </c:pt>
                <c:pt idx="82">
                  <c:v>1.0816533384963765</c:v>
                </c:pt>
                <c:pt idx="83">
                  <c:v>3.1572366578992761</c:v>
                </c:pt>
                <c:pt idx="84">
                  <c:v>0.62783999999999995</c:v>
                </c:pt>
                <c:pt idx="86">
                  <c:v>0.76228500471372829</c:v>
                </c:pt>
                <c:pt idx="87">
                  <c:v>0.54143999999999992</c:v>
                </c:pt>
                <c:pt idx="88">
                  <c:v>-0.72000000000000008</c:v>
                </c:pt>
                <c:pt idx="89">
                  <c:v>1.3792860779035478</c:v>
                </c:pt>
                <c:pt idx="90">
                  <c:v>0.64512000000000003</c:v>
                </c:pt>
                <c:pt idx="92">
                  <c:v>1.3617671604882193</c:v>
                </c:pt>
                <c:pt idx="93">
                  <c:v>1.1059199999999998</c:v>
                </c:pt>
                <c:pt idx="95">
                  <c:v>1.0413152667974677</c:v>
                </c:pt>
                <c:pt idx="96">
                  <c:v>0.93024000000000007</c:v>
                </c:pt>
                <c:pt idx="98">
                  <c:v>1.0478500073616397</c:v>
                </c:pt>
                <c:pt idx="99">
                  <c:v>0.70992</c:v>
                </c:pt>
                <c:pt idx="101">
                  <c:v>0.76953679561951072</c:v>
                </c:pt>
                <c:pt idx="102">
                  <c:v>0.60624000000000011</c:v>
                </c:pt>
                <c:pt idx="103">
                  <c:v>0.58719608970827897</c:v>
                </c:pt>
                <c:pt idx="104">
                  <c:v>0.48527999999999999</c:v>
                </c:pt>
                <c:pt idx="105">
                  <c:v>0.5861689221110451</c:v>
                </c:pt>
                <c:pt idx="106">
                  <c:v>0.36144000000000004</c:v>
                </c:pt>
                <c:pt idx="107">
                  <c:v>0.61264924241331031</c:v>
                </c:pt>
                <c:pt idx="108">
                  <c:v>6.3072000000000003E-2</c:v>
                </c:pt>
                <c:pt idx="109">
                  <c:v>0.53937078584970277</c:v>
                </c:pt>
                <c:pt idx="110">
                  <c:v>0.42624000000000006</c:v>
                </c:pt>
                <c:pt idx="111">
                  <c:v>1.1293620348458043E-2</c:v>
                </c:pt>
                <c:pt idx="112">
                  <c:v>1.0396800000000002</c:v>
                </c:pt>
                <c:pt idx="113">
                  <c:v>0.35020825485241841</c:v>
                </c:pt>
                <c:pt idx="114">
                  <c:v>2.6783999999999999E-2</c:v>
                </c:pt>
                <c:pt idx="115">
                  <c:v>-0.47808</c:v>
                </c:pt>
                <c:pt idx="116">
                  <c:v>-1.2830399999999999E-2</c:v>
                </c:pt>
                <c:pt idx="117">
                  <c:v>-0.15984000000000001</c:v>
                </c:pt>
                <c:pt idx="118">
                  <c:v>9.6192E-2</c:v>
                </c:pt>
                <c:pt idx="119">
                  <c:v>-0.41039999999999999</c:v>
                </c:pt>
                <c:pt idx="120">
                  <c:v>0.18432000000000001</c:v>
                </c:pt>
                <c:pt idx="121">
                  <c:v>-0.24191999999999997</c:v>
                </c:pt>
                <c:pt idx="122">
                  <c:v>-3.8736E-2</c:v>
                </c:pt>
                <c:pt idx="123">
                  <c:v>-0.23327999999999999</c:v>
                </c:pt>
                <c:pt idx="124">
                  <c:v>0.11232</c:v>
                </c:pt>
                <c:pt idx="125">
                  <c:v>-7.1856000000000003E-2</c:v>
                </c:pt>
                <c:pt idx="126">
                  <c:v>0.30528</c:v>
                </c:pt>
                <c:pt idx="127">
                  <c:v>-0.14371200000000001</c:v>
                </c:pt>
                <c:pt idx="128">
                  <c:v>-0.17712</c:v>
                </c:pt>
                <c:pt idx="129">
                  <c:v>-6.3072000000000003E-2</c:v>
                </c:pt>
                <c:pt idx="130">
                  <c:v>-4.8528000000000002E-2</c:v>
                </c:pt>
                <c:pt idx="131">
                  <c:v>5.7312000000000002E-2</c:v>
                </c:pt>
                <c:pt idx="132">
                  <c:v>0.12844800000000001</c:v>
                </c:pt>
                <c:pt idx="133">
                  <c:v>0.11203199999999999</c:v>
                </c:pt>
                <c:pt idx="134">
                  <c:v>0.22320000000000001</c:v>
                </c:pt>
                <c:pt idx="135">
                  <c:v>-0.71279999999999999</c:v>
                </c:pt>
                <c:pt idx="136">
                  <c:v>-0.97776000000000007</c:v>
                </c:pt>
                <c:pt idx="137">
                  <c:v>-0.66527999999999998</c:v>
                </c:pt>
                <c:pt idx="138">
                  <c:v>-0.54576000000000002</c:v>
                </c:pt>
                <c:pt idx="139">
                  <c:v>-1.2369600000000001</c:v>
                </c:pt>
                <c:pt idx="140">
                  <c:v>-0.30528</c:v>
                </c:pt>
                <c:pt idx="141">
                  <c:v>-1.04112</c:v>
                </c:pt>
                <c:pt idx="142">
                  <c:v>-0.4536</c:v>
                </c:pt>
                <c:pt idx="143">
                  <c:v>-0.87696000000000007</c:v>
                </c:pt>
                <c:pt idx="144">
                  <c:v>-0.61199999999999999</c:v>
                </c:pt>
                <c:pt idx="145">
                  <c:v>-0.98352000000000006</c:v>
                </c:pt>
                <c:pt idx="146">
                  <c:v>-0.93455999999999995</c:v>
                </c:pt>
                <c:pt idx="147">
                  <c:v>-1.05264</c:v>
                </c:pt>
                <c:pt idx="148">
                  <c:v>-0.12124800000000002</c:v>
                </c:pt>
                <c:pt idx="149">
                  <c:v>-0.98063999999999996</c:v>
                </c:pt>
                <c:pt idx="150">
                  <c:v>0.30384</c:v>
                </c:pt>
                <c:pt idx="151" formatCode="0.0000000">
                  <c:v>-8.524799999999999E-2</c:v>
                </c:pt>
                <c:pt idx="152">
                  <c:v>1.6992</c:v>
                </c:pt>
                <c:pt idx="153">
                  <c:v>0.12196799999999999</c:v>
                </c:pt>
                <c:pt idx="154">
                  <c:v>-0.3024</c:v>
                </c:pt>
                <c:pt idx="155">
                  <c:v>0.74015999999999993</c:v>
                </c:pt>
                <c:pt idx="156">
                  <c:v>-0.26495999999999997</c:v>
                </c:pt>
                <c:pt idx="157">
                  <c:v>0.22320000000000001</c:v>
                </c:pt>
                <c:pt idx="158">
                  <c:v>0.71711999999999998</c:v>
                </c:pt>
                <c:pt idx="159">
                  <c:v>0.19583999999999999</c:v>
                </c:pt>
                <c:pt idx="160">
                  <c:v>0.28223999999999999</c:v>
                </c:pt>
                <c:pt idx="161">
                  <c:v>0.52127999999999997</c:v>
                </c:pt>
                <c:pt idx="162">
                  <c:v>-1.1664000000000001</c:v>
                </c:pt>
                <c:pt idx="163">
                  <c:v>7.6607999999999997E-3</c:v>
                </c:pt>
                <c:pt idx="164">
                  <c:v>-6.6096000000000002E-2</c:v>
                </c:pt>
                <c:pt idx="165">
                  <c:v>-0.13852800000000001</c:v>
                </c:pt>
                <c:pt idx="166">
                  <c:v>-1.0728</c:v>
                </c:pt>
                <c:pt idx="167">
                  <c:v>3.0096000000000001E-2</c:v>
                </c:pt>
                <c:pt idx="168">
                  <c:v>0.16847999999999999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FC-8140-89A0-E6FD8DCC4CCE}"/>
            </c:ext>
          </c:extLst>
        </c:ser>
        <c:ser>
          <c:idx val="6"/>
          <c:order val="1"/>
          <c:spPr>
            <a:ln w="47625">
              <a:noFill/>
            </a:ln>
          </c:spPr>
          <c:marker>
            <c:symbol val="square"/>
            <c:size val="11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205583330467971"/>
                  <c:y val="-0.20661290029277499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solidFill>
                    <a:srgbClr val="000000"/>
                  </a:solidFill>
                </a:ln>
              </c:spPr>
              <c:txPr>
                <a:bodyPr/>
                <a:lstStyle/>
                <a:p>
                  <a:pPr>
                    <a:defRPr sz="1400"/>
                  </a:pPr>
                  <a:endParaRPr lang="en-US"/>
                </a:p>
              </c:txPr>
            </c:trendlineLbl>
          </c:trendline>
          <c:xVal>
            <c:numRef>
              <c:f>Plots!$DL$4:$DL$269</c:f>
              <c:numCache>
                <c:formatCode>0</c:formatCode>
                <c:ptCount val="2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 formatCode="General">
                  <c:v>0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  <c:pt idx="51" formatCode="General">
                  <c:v>0</c:v>
                </c:pt>
                <c:pt idx="52" formatCode="General">
                  <c:v>0</c:v>
                </c:pt>
                <c:pt idx="53" formatCode="General">
                  <c:v>0</c:v>
                </c:pt>
                <c:pt idx="54" formatCode="General">
                  <c:v>0</c:v>
                </c:pt>
                <c:pt idx="55" formatCode="General">
                  <c:v>0</c:v>
                </c:pt>
                <c:pt idx="56" formatCode="General">
                  <c:v>0</c:v>
                </c:pt>
                <c:pt idx="57" formatCode="General">
                  <c:v>0</c:v>
                </c:pt>
                <c:pt idx="58" formatCode="General">
                  <c:v>0</c:v>
                </c:pt>
                <c:pt idx="59" formatCode="General">
                  <c:v>0</c:v>
                </c:pt>
                <c:pt idx="60" formatCode="General">
                  <c:v>0</c:v>
                </c:pt>
                <c:pt idx="61" formatCode="General">
                  <c:v>0</c:v>
                </c:pt>
                <c:pt idx="62" formatCode="General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 formatCode="General">
                  <c:v>1</c:v>
                </c:pt>
                <c:pt idx="95" formatCode="General">
                  <c:v>1</c:v>
                </c:pt>
                <c:pt idx="96" formatCode="General">
                  <c:v>1</c:v>
                </c:pt>
                <c:pt idx="97" formatCode="General">
                  <c:v>1</c:v>
                </c:pt>
                <c:pt idx="98" formatCode="General">
                  <c:v>1</c:v>
                </c:pt>
                <c:pt idx="99" formatCode="General">
                  <c:v>1</c:v>
                </c:pt>
                <c:pt idx="100" formatCode="General">
                  <c:v>1</c:v>
                </c:pt>
                <c:pt idx="101" formatCode="General">
                  <c:v>1</c:v>
                </c:pt>
                <c:pt idx="102" formatCode="General">
                  <c:v>1</c:v>
                </c:pt>
                <c:pt idx="103" formatCode="General">
                  <c:v>1</c:v>
                </c:pt>
                <c:pt idx="104" formatCode="General">
                  <c:v>1</c:v>
                </c:pt>
                <c:pt idx="105" formatCode="General">
                  <c:v>1</c:v>
                </c:pt>
                <c:pt idx="106" formatCode="General">
                  <c:v>1</c:v>
                </c:pt>
                <c:pt idx="107" formatCode="General">
                  <c:v>1</c:v>
                </c:pt>
                <c:pt idx="108" formatCode="General">
                  <c:v>1</c:v>
                </c:pt>
                <c:pt idx="109" formatCode="General">
                  <c:v>1</c:v>
                </c:pt>
                <c:pt idx="110" formatCode="General">
                  <c:v>1</c:v>
                </c:pt>
                <c:pt idx="111" formatCode="General">
                  <c:v>1</c:v>
                </c:pt>
                <c:pt idx="112" formatCode="General">
                  <c:v>1</c:v>
                </c:pt>
                <c:pt idx="113" formatCode="General">
                  <c:v>1</c:v>
                </c:pt>
                <c:pt idx="114" formatCode="General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 formatCode="General">
                  <c:v>2</c:v>
                </c:pt>
                <c:pt idx="133" formatCode="General">
                  <c:v>2</c:v>
                </c:pt>
                <c:pt idx="134" formatCode="General">
                  <c:v>2</c:v>
                </c:pt>
                <c:pt idx="135" formatCode="General">
                  <c:v>2</c:v>
                </c:pt>
                <c:pt idx="136" formatCode="General">
                  <c:v>2</c:v>
                </c:pt>
                <c:pt idx="137" formatCode="General">
                  <c:v>2</c:v>
                </c:pt>
                <c:pt idx="138" formatCode="General">
                  <c:v>2</c:v>
                </c:pt>
                <c:pt idx="139" formatCode="General">
                  <c:v>2</c:v>
                </c:pt>
                <c:pt idx="140" formatCode="General">
                  <c:v>2</c:v>
                </c:pt>
                <c:pt idx="141" formatCode="General">
                  <c:v>2</c:v>
                </c:pt>
                <c:pt idx="142" formatCode="General">
                  <c:v>2</c:v>
                </c:pt>
                <c:pt idx="143" formatCode="General">
                  <c:v>2</c:v>
                </c:pt>
                <c:pt idx="144" formatCode="General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 formatCode="General">
                  <c:v>3</c:v>
                </c:pt>
                <c:pt idx="159" formatCode="General">
                  <c:v>3</c:v>
                </c:pt>
                <c:pt idx="160" formatCode="General">
                  <c:v>3</c:v>
                </c:pt>
                <c:pt idx="161" formatCode="General">
                  <c:v>3</c:v>
                </c:pt>
                <c:pt idx="162" formatCode="General">
                  <c:v>3</c:v>
                </c:pt>
                <c:pt idx="163" formatCode="General">
                  <c:v>3</c:v>
                </c:pt>
                <c:pt idx="164" formatCode="General">
                  <c:v>3</c:v>
                </c:pt>
                <c:pt idx="165" formatCode="General">
                  <c:v>3</c:v>
                </c:pt>
                <c:pt idx="166" formatCode="General">
                  <c:v>3</c:v>
                </c:pt>
                <c:pt idx="167" formatCode="General">
                  <c:v>3</c:v>
                </c:pt>
                <c:pt idx="168" formatCode="General">
                  <c:v>3</c:v>
                </c:pt>
                <c:pt idx="169" formatCode="General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 formatCode="General">
                  <c:v>4</c:v>
                </c:pt>
                <c:pt idx="183" formatCode="General">
                  <c:v>4</c:v>
                </c:pt>
                <c:pt idx="184" formatCode="General">
                  <c:v>4</c:v>
                </c:pt>
                <c:pt idx="185" formatCode="General">
                  <c:v>4</c:v>
                </c:pt>
                <c:pt idx="186" formatCode="General">
                  <c:v>4</c:v>
                </c:pt>
                <c:pt idx="187" formatCode="General">
                  <c:v>4</c:v>
                </c:pt>
                <c:pt idx="188" formatCode="General">
                  <c:v>4</c:v>
                </c:pt>
                <c:pt idx="189" formatCode="General">
                  <c:v>4</c:v>
                </c:pt>
                <c:pt idx="190" formatCode="General">
                  <c:v>4</c:v>
                </c:pt>
                <c:pt idx="191" formatCode="General">
                  <c:v>4</c:v>
                </c:pt>
                <c:pt idx="192" formatCode="General">
                  <c:v>4</c:v>
                </c:pt>
                <c:pt idx="193" formatCode="General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 formatCode="General">
                  <c:v>5</c:v>
                </c:pt>
                <c:pt idx="206" formatCode="General">
                  <c:v>5</c:v>
                </c:pt>
                <c:pt idx="207" formatCode="General">
                  <c:v>5</c:v>
                </c:pt>
                <c:pt idx="208" formatCode="General">
                  <c:v>5</c:v>
                </c:pt>
                <c:pt idx="209" formatCode="General">
                  <c:v>5</c:v>
                </c:pt>
                <c:pt idx="210" formatCode="General">
                  <c:v>5</c:v>
                </c:pt>
                <c:pt idx="211" formatCode="General">
                  <c:v>5</c:v>
                </c:pt>
                <c:pt idx="212" formatCode="General">
                  <c:v>5</c:v>
                </c:pt>
                <c:pt idx="213" formatCode="General">
                  <c:v>5</c:v>
                </c:pt>
                <c:pt idx="214" formatCode="General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 formatCode="General">
                  <c:v>6</c:v>
                </c:pt>
                <c:pt idx="226" formatCode="General">
                  <c:v>6</c:v>
                </c:pt>
                <c:pt idx="227" formatCode="General">
                  <c:v>6</c:v>
                </c:pt>
                <c:pt idx="228" formatCode="General">
                  <c:v>6</c:v>
                </c:pt>
                <c:pt idx="229" formatCode="General">
                  <c:v>6</c:v>
                </c:pt>
                <c:pt idx="230" formatCode="General">
                  <c:v>6</c:v>
                </c:pt>
                <c:pt idx="231" formatCode="General">
                  <c:v>6</c:v>
                </c:pt>
                <c:pt idx="232" formatCode="General">
                  <c:v>6</c:v>
                </c:pt>
                <c:pt idx="233" formatCode="General">
                  <c:v>6</c:v>
                </c:pt>
                <c:pt idx="234" formatCode="General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 formatCode="General">
                  <c:v>7</c:v>
                </c:pt>
                <c:pt idx="244" formatCode="General">
                  <c:v>7</c:v>
                </c:pt>
                <c:pt idx="245" formatCode="General">
                  <c:v>7</c:v>
                </c:pt>
                <c:pt idx="246" formatCode="General">
                  <c:v>7</c:v>
                </c:pt>
                <c:pt idx="247" formatCode="General">
                  <c:v>7</c:v>
                </c:pt>
                <c:pt idx="248" formatCode="General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 formatCode="General">
                  <c:v>8</c:v>
                </c:pt>
                <c:pt idx="256" formatCode="General">
                  <c:v>8</c:v>
                </c:pt>
                <c:pt idx="257" formatCode="General">
                  <c:v>8</c:v>
                </c:pt>
                <c:pt idx="258" formatCode="General">
                  <c:v>8</c:v>
                </c:pt>
                <c:pt idx="259" formatCode="General">
                  <c:v>8</c:v>
                </c:pt>
                <c:pt idx="260" formatCode="General">
                  <c:v>8</c:v>
                </c:pt>
                <c:pt idx="261">
                  <c:v>9</c:v>
                </c:pt>
                <c:pt idx="262">
                  <c:v>9</c:v>
                </c:pt>
                <c:pt idx="263" formatCode="General">
                  <c:v>9</c:v>
                </c:pt>
                <c:pt idx="264" formatCode="General">
                  <c:v>9</c:v>
                </c:pt>
                <c:pt idx="265" formatCode="General">
                  <c:v>9</c:v>
                </c:pt>
              </c:numCache>
            </c:numRef>
          </c:xVal>
          <c:yVal>
            <c:numRef>
              <c:f>Plots!$DJ$4:$DJ$269</c:f>
              <c:numCache>
                <c:formatCode>General</c:formatCode>
                <c:ptCount val="266"/>
                <c:pt idx="7">
                  <c:v>1.2391627813077115</c:v>
                </c:pt>
                <c:pt idx="8">
                  <c:v>1.3690966106416618</c:v>
                </c:pt>
                <c:pt idx="9">
                  <c:v>0.23723239823112835</c:v>
                </c:pt>
                <c:pt idx="10">
                  <c:v>-9.0125096165409244E-2</c:v>
                </c:pt>
                <c:pt idx="11">
                  <c:v>1.6406077059297679</c:v>
                </c:pt>
                <c:pt idx="12">
                  <c:v>1.3412505342622234</c:v>
                </c:pt>
                <c:pt idx="13">
                  <c:v>1.4975622033645566</c:v>
                </c:pt>
                <c:pt idx="14">
                  <c:v>1.8517498878099174</c:v>
                </c:pt>
                <c:pt idx="15">
                  <c:v>-0.50943277788117691</c:v>
                </c:pt>
                <c:pt idx="17">
                  <c:v>0.65296018157465396</c:v>
                </c:pt>
                <c:pt idx="18">
                  <c:v>0.7389882085370294</c:v>
                </c:pt>
                <c:pt idx="19">
                  <c:v>0.10292249308495628</c:v>
                </c:pt>
                <c:pt idx="20">
                  <c:v>0.39759845246897624</c:v>
                </c:pt>
                <c:pt idx="25">
                  <c:v>5.7906656274811161E-2</c:v>
                </c:pt>
                <c:pt idx="26">
                  <c:v>-0.79545390828986051</c:v>
                </c:pt>
                <c:pt idx="27">
                  <c:v>0.23953170807214652</c:v>
                </c:pt>
                <c:pt idx="28">
                  <c:v>-1.0351261824847269</c:v>
                </c:pt>
                <c:pt idx="29">
                  <c:v>0.40960138061237988</c:v>
                </c:pt>
                <c:pt idx="30">
                  <c:v>-2.0403830948889263</c:v>
                </c:pt>
                <c:pt idx="31">
                  <c:v>-1.5695544001749746</c:v>
                </c:pt>
                <c:pt idx="32">
                  <c:v>0.16564679449580372</c:v>
                </c:pt>
                <c:pt idx="33">
                  <c:v>-1.5957342214388917</c:v>
                </c:pt>
                <c:pt idx="34">
                  <c:v>-0.80755960410805083</c:v>
                </c:pt>
                <c:pt idx="35">
                  <c:v>-0.56179775531487108</c:v>
                </c:pt>
                <c:pt idx="36">
                  <c:v>-1.5749025158820305</c:v>
                </c:pt>
                <c:pt idx="37">
                  <c:v>-1.2738120930003871</c:v>
                </c:pt>
                <c:pt idx="38">
                  <c:v>-1.556060318742158</c:v>
                </c:pt>
                <c:pt idx="39">
                  <c:v>4.1422390507913145E-2</c:v>
                </c:pt>
                <c:pt idx="40">
                  <c:v>-3.6344173030996401</c:v>
                </c:pt>
                <c:pt idx="41">
                  <c:v>-0.85800801115005854</c:v>
                </c:pt>
                <c:pt idx="49">
                  <c:v>2.4968238271798624</c:v>
                </c:pt>
                <c:pt idx="50">
                  <c:v>2.6144485453752178</c:v>
                </c:pt>
                <c:pt idx="51">
                  <c:v>2.4849697336963619</c:v>
                </c:pt>
                <c:pt idx="52">
                  <c:v>2.4427990299302671</c:v>
                </c:pt>
                <c:pt idx="53">
                  <c:v>2.5974172480089561</c:v>
                </c:pt>
                <c:pt idx="55">
                  <c:v>-3.71</c:v>
                </c:pt>
                <c:pt idx="56">
                  <c:v>2.609304577817432</c:v>
                </c:pt>
                <c:pt idx="57">
                  <c:v>1.7413050798229988</c:v>
                </c:pt>
                <c:pt idx="58">
                  <c:v>0.99414174912606978</c:v>
                </c:pt>
                <c:pt idx="59">
                  <c:v>-2.2578653552395642</c:v>
                </c:pt>
                <c:pt idx="60">
                  <c:v>-1.2488918376506521</c:v>
                </c:pt>
                <c:pt idx="61">
                  <c:v>2.2826679007830104</c:v>
                </c:pt>
                <c:pt idx="62">
                  <c:v>-6.9377187857936479E-3</c:v>
                </c:pt>
                <c:pt idx="70">
                  <c:v>0.50279075182196653</c:v>
                </c:pt>
                <c:pt idx="71">
                  <c:v>1.4949716434717337</c:v>
                </c:pt>
                <c:pt idx="72">
                  <c:v>0.42338980618710281</c:v>
                </c:pt>
                <c:pt idx="73">
                  <c:v>-1.3908210673903559E-2</c:v>
                </c:pt>
                <c:pt idx="74">
                  <c:v>0.50772944608594051</c:v>
                </c:pt>
                <c:pt idx="75">
                  <c:v>0.65789852459403453</c:v>
                </c:pt>
                <c:pt idx="76">
                  <c:v>-1.6312359796333313</c:v>
                </c:pt>
                <c:pt idx="77">
                  <c:v>2.4109397683936313</c:v>
                </c:pt>
                <c:pt idx="78">
                  <c:v>-0.31362669262713816</c:v>
                </c:pt>
                <c:pt idx="79">
                  <c:v>-1.2892189741377256</c:v>
                </c:pt>
                <c:pt idx="80">
                  <c:v>1.3637236714245365E-2</c:v>
                </c:pt>
                <c:pt idx="81">
                  <c:v>1.4266914446650907</c:v>
                </c:pt>
                <c:pt idx="82">
                  <c:v>-3.8487165118392443</c:v>
                </c:pt>
                <c:pt idx="83">
                  <c:v>1.79830026085901</c:v>
                </c:pt>
                <c:pt idx="87">
                  <c:v>1.2390506869590545</c:v>
                </c:pt>
                <c:pt idx="88">
                  <c:v>9.4013346896085551E-2</c:v>
                </c:pt>
                <c:pt idx="90">
                  <c:v>1.699573283312289</c:v>
                </c:pt>
                <c:pt idx="91">
                  <c:v>2.2683063199733988</c:v>
                </c:pt>
                <c:pt idx="92">
                  <c:v>0.89740077424436304</c:v>
                </c:pt>
                <c:pt idx="93">
                  <c:v>0.75627580459359456</c:v>
                </c:pt>
                <c:pt idx="96">
                  <c:v>0.10653296367176025</c:v>
                </c:pt>
                <c:pt idx="97">
                  <c:v>-1.0332019764012534</c:v>
                </c:pt>
                <c:pt idx="98">
                  <c:v>-1.4589227979861892</c:v>
                </c:pt>
                <c:pt idx="100">
                  <c:v>-0.37989048676427656</c:v>
                </c:pt>
                <c:pt idx="101">
                  <c:v>-0.58996450647456522</c:v>
                </c:pt>
                <c:pt idx="102">
                  <c:v>-0.51649129679547001</c:v>
                </c:pt>
                <c:pt idx="103">
                  <c:v>-0.26824852694965379</c:v>
                </c:pt>
                <c:pt idx="108">
                  <c:v>2.9155353829811101</c:v>
                </c:pt>
                <c:pt idx="109">
                  <c:v>2.5020071347161839</c:v>
                </c:pt>
                <c:pt idx="110">
                  <c:v>2.5158057343657654</c:v>
                </c:pt>
                <c:pt idx="111">
                  <c:v>1.7147574073897422</c:v>
                </c:pt>
                <c:pt idx="112">
                  <c:v>2.9701925284258746</c:v>
                </c:pt>
                <c:pt idx="113">
                  <c:v>0.62515837733408564</c:v>
                </c:pt>
                <c:pt idx="114">
                  <c:v>-0.64131519526710967</c:v>
                </c:pt>
                <c:pt idx="118">
                  <c:v>1.6519032736952086</c:v>
                </c:pt>
                <c:pt idx="119">
                  <c:v>0.72846457203397852</c:v>
                </c:pt>
                <c:pt idx="121">
                  <c:v>0.68898463782179731</c:v>
                </c:pt>
                <c:pt idx="122">
                  <c:v>1.9593647523468638</c:v>
                </c:pt>
                <c:pt idx="123">
                  <c:v>1.9871863646742542</c:v>
                </c:pt>
                <c:pt idx="124">
                  <c:v>1.3</c:v>
                </c:pt>
                <c:pt idx="127">
                  <c:v>0.88996141782315863</c:v>
                </c:pt>
                <c:pt idx="128">
                  <c:v>1.3411488375636851</c:v>
                </c:pt>
                <c:pt idx="129">
                  <c:v>0.94191037495527274</c:v>
                </c:pt>
                <c:pt idx="130">
                  <c:v>0.5269791818641737</c:v>
                </c:pt>
                <c:pt idx="131">
                  <c:v>0.78827700599976136</c:v>
                </c:pt>
                <c:pt idx="132">
                  <c:v>-0.81316758730067096</c:v>
                </c:pt>
                <c:pt idx="133">
                  <c:v>-0.18437699289918197</c:v>
                </c:pt>
                <c:pt idx="134">
                  <c:v>-2.2699938135866562</c:v>
                </c:pt>
                <c:pt idx="135">
                  <c:v>-9.5686504933702524E-2</c:v>
                </c:pt>
                <c:pt idx="136">
                  <c:v>-0.35767398137029927</c:v>
                </c:pt>
                <c:pt idx="137">
                  <c:v>0.63153638159846492</c:v>
                </c:pt>
                <c:pt idx="138">
                  <c:v>0.23573368904136854</c:v>
                </c:pt>
                <c:pt idx="140">
                  <c:v>2.6768296780128575</c:v>
                </c:pt>
                <c:pt idx="141">
                  <c:v>3.6013645854884548</c:v>
                </c:pt>
                <c:pt idx="142">
                  <c:v>2.582459148903713</c:v>
                </c:pt>
                <c:pt idx="143">
                  <c:v>1.2180204389017413</c:v>
                </c:pt>
                <c:pt idx="144">
                  <c:v>0.85900897058280878</c:v>
                </c:pt>
                <c:pt idx="147">
                  <c:v>0.74414422672680225</c:v>
                </c:pt>
                <c:pt idx="148">
                  <c:v>1.5567379084738564</c:v>
                </c:pt>
                <c:pt idx="149">
                  <c:v>1.5712702284108773</c:v>
                </c:pt>
                <c:pt idx="150">
                  <c:v>1.9061340824203516</c:v>
                </c:pt>
                <c:pt idx="151">
                  <c:v>0.92011709713573064</c:v>
                </c:pt>
                <c:pt idx="153">
                  <c:v>1.1083365594786558</c:v>
                </c:pt>
                <c:pt idx="154">
                  <c:v>3.3967990088736091</c:v>
                </c:pt>
                <c:pt idx="155">
                  <c:v>1.2228849109255437</c:v>
                </c:pt>
                <c:pt idx="156">
                  <c:v>8.5626331654542129E-2</c:v>
                </c:pt>
                <c:pt idx="157">
                  <c:v>0.6069912813119116</c:v>
                </c:pt>
                <c:pt idx="159">
                  <c:v>2.4488396528948124</c:v>
                </c:pt>
                <c:pt idx="160">
                  <c:v>2.8241282468994231</c:v>
                </c:pt>
                <c:pt idx="161">
                  <c:v>1.8492811759183909</c:v>
                </c:pt>
                <c:pt idx="162">
                  <c:v>1.6244099471257181</c:v>
                </c:pt>
                <c:pt idx="163">
                  <c:v>1.5981760301666714</c:v>
                </c:pt>
                <c:pt idx="164">
                  <c:v>-0.47444989878023047</c:v>
                </c:pt>
                <c:pt idx="165">
                  <c:v>-6.363185087767502E-2</c:v>
                </c:pt>
                <c:pt idx="166">
                  <c:v>-0.31456925909300187</c:v>
                </c:pt>
                <c:pt idx="167">
                  <c:v>-0.45512925890862677</c:v>
                </c:pt>
                <c:pt idx="168">
                  <c:v>0.94155290821139181</c:v>
                </c:pt>
                <c:pt idx="169">
                  <c:v>9.6746017342390703E-2</c:v>
                </c:pt>
                <c:pt idx="171">
                  <c:v>0.89371537531801359</c:v>
                </c:pt>
                <c:pt idx="172">
                  <c:v>1.5047129258102911</c:v>
                </c:pt>
                <c:pt idx="173">
                  <c:v>2.6404716046717125</c:v>
                </c:pt>
                <c:pt idx="174">
                  <c:v>2.2438871846158799</c:v>
                </c:pt>
                <c:pt idx="175">
                  <c:v>1.2111596288873414</c:v>
                </c:pt>
                <c:pt idx="177">
                  <c:v>1.3275593681271378</c:v>
                </c:pt>
                <c:pt idx="178">
                  <c:v>1.7116026072613704</c:v>
                </c:pt>
                <c:pt idx="179">
                  <c:v>0.61289056413976128</c:v>
                </c:pt>
                <c:pt idx="180">
                  <c:v>0.5044529139287639</c:v>
                </c:pt>
                <c:pt idx="181">
                  <c:v>0.74277938754755812</c:v>
                </c:pt>
                <c:pt idx="182">
                  <c:v>3.875838432476332</c:v>
                </c:pt>
                <c:pt idx="183">
                  <c:v>2.5090136334827631</c:v>
                </c:pt>
                <c:pt idx="184">
                  <c:v>2.5798579901722336</c:v>
                </c:pt>
                <c:pt idx="185">
                  <c:v>2.412180297791231</c:v>
                </c:pt>
                <c:pt idx="186">
                  <c:v>2.2329832100365108</c:v>
                </c:pt>
                <c:pt idx="187">
                  <c:v>1.6603022286591682</c:v>
                </c:pt>
                <c:pt idx="188">
                  <c:v>-1.3680144254648863</c:v>
                </c:pt>
                <c:pt idx="189">
                  <c:v>0.72275058579618356</c:v>
                </c:pt>
                <c:pt idx="190">
                  <c:v>-0.30200307620411071</c:v>
                </c:pt>
                <c:pt idx="191">
                  <c:v>-0.37774367011921411</c:v>
                </c:pt>
                <c:pt idx="192">
                  <c:v>0.85241886971706882</c:v>
                </c:pt>
                <c:pt idx="193">
                  <c:v>1.1696818889693983</c:v>
                </c:pt>
                <c:pt idx="194">
                  <c:v>0.51380529982026912</c:v>
                </c:pt>
                <c:pt idx="195">
                  <c:v>1.4014465393149891</c:v>
                </c:pt>
                <c:pt idx="196">
                  <c:v>1.584563958071205</c:v>
                </c:pt>
                <c:pt idx="197">
                  <c:v>2.3285108207370135</c:v>
                </c:pt>
                <c:pt idx="198">
                  <c:v>2.4341461905421689</c:v>
                </c:pt>
                <c:pt idx="199">
                  <c:v>1.6837415385962864</c:v>
                </c:pt>
                <c:pt idx="200">
                  <c:v>0.24881118929884136</c:v>
                </c:pt>
                <c:pt idx="201">
                  <c:v>0.84297528289486756</c:v>
                </c:pt>
                <c:pt idx="202">
                  <c:v>0.85315976464860199</c:v>
                </c:pt>
                <c:pt idx="203">
                  <c:v>0.19110687114638031</c:v>
                </c:pt>
                <c:pt idx="204">
                  <c:v>0.51025256102702321</c:v>
                </c:pt>
                <c:pt idx="205">
                  <c:v>3.8766194498710522</c:v>
                </c:pt>
                <c:pt idx="206">
                  <c:v>2.5696173894704009</c:v>
                </c:pt>
                <c:pt idx="207">
                  <c:v>2.471709548170824</c:v>
                </c:pt>
                <c:pt idx="208">
                  <c:v>2.2648222436210497</c:v>
                </c:pt>
                <c:pt idx="209">
                  <c:v>1.6955608776319533</c:v>
                </c:pt>
                <c:pt idx="210">
                  <c:v>-1.0369758377861031</c:v>
                </c:pt>
                <c:pt idx="211">
                  <c:v>0.4183905468843514</c:v>
                </c:pt>
                <c:pt idx="212">
                  <c:v>-0.11150776774200913</c:v>
                </c:pt>
                <c:pt idx="213">
                  <c:v>0.65526965992834463</c:v>
                </c:pt>
                <c:pt idx="214">
                  <c:v>1.5622743532361143</c:v>
                </c:pt>
                <c:pt idx="215">
                  <c:v>0.84293906513104155</c:v>
                </c:pt>
                <c:pt idx="216">
                  <c:v>0.80411502232914134</c:v>
                </c:pt>
                <c:pt idx="217">
                  <c:v>1.9989357774816381</c:v>
                </c:pt>
                <c:pt idx="218">
                  <c:v>2.6689105851279873</c:v>
                </c:pt>
                <c:pt idx="219">
                  <c:v>5.0999999999999996</c:v>
                </c:pt>
                <c:pt idx="220">
                  <c:v>2.8930434227503882E-2</c:v>
                </c:pt>
                <c:pt idx="221">
                  <c:v>0.9055837296409921</c:v>
                </c:pt>
                <c:pt idx="222">
                  <c:v>1.8725532979813202</c:v>
                </c:pt>
                <c:pt idx="223">
                  <c:v>0.16616863489916991</c:v>
                </c:pt>
                <c:pt idx="224">
                  <c:v>0.48779815138875576</c:v>
                </c:pt>
                <c:pt idx="225">
                  <c:v>4.8137735593518389</c:v>
                </c:pt>
                <c:pt idx="226">
                  <c:v>2.6306238174440071</c:v>
                </c:pt>
                <c:pt idx="227">
                  <c:v>1.8834405551877043</c:v>
                </c:pt>
                <c:pt idx="228">
                  <c:v>2.066153019817675</c:v>
                </c:pt>
                <c:pt idx="229">
                  <c:v>1.8755405671891781</c:v>
                </c:pt>
                <c:pt idx="230">
                  <c:v>-1.4684863639916124</c:v>
                </c:pt>
                <c:pt idx="231">
                  <c:v>1.0451309710629426</c:v>
                </c:pt>
                <c:pt idx="232">
                  <c:v>-0.23206942474571016</c:v>
                </c:pt>
                <c:pt idx="233">
                  <c:v>0.6949683494215666</c:v>
                </c:pt>
                <c:pt idx="235">
                  <c:v>0.51149196568268729</c:v>
                </c:pt>
                <c:pt idx="236">
                  <c:v>0.82659738260706006</c:v>
                </c:pt>
                <c:pt idx="237">
                  <c:v>1.8834516113750797</c:v>
                </c:pt>
                <c:pt idx="238">
                  <c:v>2.2302539133568398</c:v>
                </c:pt>
                <c:pt idx="239">
                  <c:v>2.0591776777834614</c:v>
                </c:pt>
                <c:pt idx="241">
                  <c:v>0.6332647426895861</c:v>
                </c:pt>
                <c:pt idx="242">
                  <c:v>0.53833640298860119</c:v>
                </c:pt>
                <c:pt idx="244">
                  <c:v>1.9987040892223098</c:v>
                </c:pt>
                <c:pt idx="245">
                  <c:v>2.0854468580534853</c:v>
                </c:pt>
                <c:pt idx="246">
                  <c:v>-2.6838063946914672</c:v>
                </c:pt>
                <c:pt idx="247">
                  <c:v>1.7822660783882269</c:v>
                </c:pt>
                <c:pt idx="249">
                  <c:v>2.2927546764752416</c:v>
                </c:pt>
                <c:pt idx="250">
                  <c:v>2.9214696641984412</c:v>
                </c:pt>
                <c:pt idx="251">
                  <c:v>2.3478108219588796</c:v>
                </c:pt>
                <c:pt idx="252">
                  <c:v>1.0564485090813018</c:v>
                </c:pt>
                <c:pt idx="253">
                  <c:v>-7.3245941647176627E-2</c:v>
                </c:pt>
                <c:pt idx="254">
                  <c:v>1.0346279026653047</c:v>
                </c:pt>
                <c:pt idx="255">
                  <c:v>2.6223275717346604</c:v>
                </c:pt>
                <c:pt idx="257">
                  <c:v>3.0022490055545559</c:v>
                </c:pt>
                <c:pt idx="258">
                  <c:v>0.42655682172897669</c:v>
                </c:pt>
                <c:pt idx="259">
                  <c:v>0.99522285914351061</c:v>
                </c:pt>
                <c:pt idx="261">
                  <c:v>1.440537730474329</c:v>
                </c:pt>
                <c:pt idx="262">
                  <c:v>0.50575015825164782</c:v>
                </c:pt>
                <c:pt idx="263">
                  <c:v>1.6593625441544424</c:v>
                </c:pt>
                <c:pt idx="264">
                  <c:v>0.14474981881563398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FC-8140-89A0-E6FD8DCC4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632480"/>
        <c:axId val="-2024614880"/>
      </c:scatterChart>
      <c:valAx>
        <c:axId val="-2024632480"/>
        <c:scaling>
          <c:orientation val="minMax"/>
          <c:max val="8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800"/>
                  <a:t>Water Level</a:t>
                </a:r>
                <a:r>
                  <a:rPr lang="en-US" sz="1800" baseline="0"/>
                  <a:t> (m)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40214354821904402"/>
              <c:y val="0.89605753668782195"/>
            </c:manualLayout>
          </c:layout>
          <c:overlay val="0"/>
        </c:title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4614880"/>
        <c:crossesAt val="-4"/>
        <c:crossBetween val="midCat"/>
        <c:majorUnit val="10"/>
        <c:minorUnit val="2"/>
      </c:valAx>
      <c:valAx>
        <c:axId val="-2024614880"/>
        <c:scaling>
          <c:orientation val="minMax"/>
          <c:min val="-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Recharge (cm/day)</a:t>
                </a:r>
              </a:p>
            </c:rich>
          </c:tx>
          <c:layout>
            <c:manualLayout>
              <c:xMode val="edge"/>
              <c:yMode val="edge"/>
              <c:x val="2.63279401038953E-2"/>
              <c:y val="0.33722827371751701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4632480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3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1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marker>
            <c:symbol val="diamond"/>
            <c:size val="12"/>
            <c:spPr>
              <a:solidFill>
                <a:schemeClr val="tx2"/>
              </a:solidFill>
              <a:ln>
                <a:solidFill>
                  <a:srgbClr val="008000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Plots!$BN$38:$BN$54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</c:numCache>
            </c:numRef>
          </c:xVal>
          <c:yVal>
            <c:numRef>
              <c:f>Plots!$BL$38:$BL$54</c:f>
              <c:numCache>
                <c:formatCode>General</c:formatCode>
                <c:ptCount val="17"/>
                <c:pt idx="4">
                  <c:v>2.9155353829811101</c:v>
                </c:pt>
                <c:pt idx="5">
                  <c:v>2.5020071347161839</c:v>
                </c:pt>
                <c:pt idx="6">
                  <c:v>2.5158057343657654</c:v>
                </c:pt>
                <c:pt idx="7">
                  <c:v>1.7147574073897422</c:v>
                </c:pt>
                <c:pt idx="8">
                  <c:v>2.9701925284258746</c:v>
                </c:pt>
                <c:pt idx="9">
                  <c:v>0.62515837733408564</c:v>
                </c:pt>
                <c:pt idx="10">
                  <c:v>-0.64131519526710967</c:v>
                </c:pt>
                <c:pt idx="12">
                  <c:v>2.6768296780128575</c:v>
                </c:pt>
                <c:pt idx="13">
                  <c:v>3.6013645854884548</c:v>
                </c:pt>
                <c:pt idx="14">
                  <c:v>2.582459148903713</c:v>
                </c:pt>
                <c:pt idx="15">
                  <c:v>1.2180204389017413</c:v>
                </c:pt>
                <c:pt idx="16">
                  <c:v>0.85900897058280878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55-DC40-9FE8-063FC2D99FD1}"/>
            </c:ext>
          </c:extLst>
        </c:ser>
        <c:ser>
          <c:idx val="0"/>
          <c:order val="1"/>
          <c:spPr>
            <a:ln w="47625">
              <a:noFill/>
            </a:ln>
          </c:spPr>
          <c:marker>
            <c:symbol val="square"/>
            <c:size val="11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2.9833886548680501E-2"/>
                  <c:y val="0.108987288829081"/>
                </c:manualLayout>
              </c:layout>
              <c:numFmt formatCode="General" sourceLinked="0"/>
            </c:trendlineLbl>
          </c:trendline>
          <c:xVal>
            <c:numRef>
              <c:f>Plots!$BN$67:$BN$144</c:f>
              <c:numCache>
                <c:formatCode>General</c:formatCode>
                <c:ptCount val="78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30</c:v>
                </c:pt>
                <c:pt idx="38">
                  <c:v>31</c:v>
                </c:pt>
                <c:pt idx="39">
                  <c:v>32</c:v>
                </c:pt>
                <c:pt idx="40">
                  <c:v>33</c:v>
                </c:pt>
                <c:pt idx="41">
                  <c:v>34</c:v>
                </c:pt>
                <c:pt idx="42">
                  <c:v>35</c:v>
                </c:pt>
                <c:pt idx="43">
                  <c:v>36</c:v>
                </c:pt>
                <c:pt idx="44">
                  <c:v>37</c:v>
                </c:pt>
                <c:pt idx="45">
                  <c:v>38</c:v>
                </c:pt>
                <c:pt idx="46">
                  <c:v>39</c:v>
                </c:pt>
                <c:pt idx="47">
                  <c:v>40</c:v>
                </c:pt>
                <c:pt idx="48">
                  <c:v>41</c:v>
                </c:pt>
                <c:pt idx="49">
                  <c:v>42</c:v>
                </c:pt>
                <c:pt idx="50">
                  <c:v>43</c:v>
                </c:pt>
                <c:pt idx="51">
                  <c:v>44</c:v>
                </c:pt>
                <c:pt idx="52">
                  <c:v>45</c:v>
                </c:pt>
                <c:pt idx="53">
                  <c:v>46</c:v>
                </c:pt>
                <c:pt idx="54">
                  <c:v>47</c:v>
                </c:pt>
                <c:pt idx="55">
                  <c:v>48</c:v>
                </c:pt>
                <c:pt idx="56">
                  <c:v>49</c:v>
                </c:pt>
                <c:pt idx="57">
                  <c:v>50</c:v>
                </c:pt>
                <c:pt idx="58">
                  <c:v>51</c:v>
                </c:pt>
                <c:pt idx="59">
                  <c:v>52</c:v>
                </c:pt>
                <c:pt idx="60">
                  <c:v>53</c:v>
                </c:pt>
                <c:pt idx="61">
                  <c:v>54</c:v>
                </c:pt>
                <c:pt idx="62">
                  <c:v>55</c:v>
                </c:pt>
                <c:pt idx="63">
                  <c:v>56</c:v>
                </c:pt>
                <c:pt idx="64">
                  <c:v>57</c:v>
                </c:pt>
                <c:pt idx="65">
                  <c:v>58</c:v>
                </c:pt>
                <c:pt idx="66">
                  <c:v>59</c:v>
                </c:pt>
                <c:pt idx="67">
                  <c:v>60</c:v>
                </c:pt>
                <c:pt idx="68">
                  <c:v>61</c:v>
                </c:pt>
                <c:pt idx="69">
                  <c:v>62</c:v>
                </c:pt>
                <c:pt idx="70">
                  <c:v>63</c:v>
                </c:pt>
                <c:pt idx="71">
                  <c:v>64</c:v>
                </c:pt>
                <c:pt idx="72">
                  <c:v>65</c:v>
                </c:pt>
                <c:pt idx="73">
                  <c:v>66</c:v>
                </c:pt>
                <c:pt idx="74">
                  <c:v>67</c:v>
                </c:pt>
                <c:pt idx="75">
                  <c:v>68</c:v>
                </c:pt>
                <c:pt idx="76">
                  <c:v>69</c:v>
                </c:pt>
                <c:pt idx="77">
                  <c:v>70</c:v>
                </c:pt>
              </c:numCache>
            </c:numRef>
          </c:xVal>
          <c:yVal>
            <c:numRef>
              <c:f>Plots!$BL$67:$BL$144</c:f>
              <c:numCache>
                <c:formatCode>General</c:formatCode>
                <c:ptCount val="78"/>
                <c:pt idx="0">
                  <c:v>3.8766194498710522</c:v>
                </c:pt>
                <c:pt idx="1">
                  <c:v>2.5696173894704009</c:v>
                </c:pt>
                <c:pt idx="2">
                  <c:v>2.471709548170824</c:v>
                </c:pt>
                <c:pt idx="3">
                  <c:v>2.2648222436210497</c:v>
                </c:pt>
                <c:pt idx="4">
                  <c:v>1.6955608776319533</c:v>
                </c:pt>
                <c:pt idx="5">
                  <c:v>4.8137735593518389</c:v>
                </c:pt>
                <c:pt idx="6">
                  <c:v>2.6306238174440071</c:v>
                </c:pt>
                <c:pt idx="7">
                  <c:v>1.8834405551877043</c:v>
                </c:pt>
                <c:pt idx="8">
                  <c:v>2.066153019817675</c:v>
                </c:pt>
                <c:pt idx="9">
                  <c:v>1.8755405671891781</c:v>
                </c:pt>
                <c:pt idx="11">
                  <c:v>1.9987040892223098</c:v>
                </c:pt>
                <c:pt idx="12">
                  <c:v>2.0854468580534853</c:v>
                </c:pt>
                <c:pt idx="13">
                  <c:v>2.6223275717346604</c:v>
                </c:pt>
                <c:pt idx="15">
                  <c:v>3.0022490055545559</c:v>
                </c:pt>
                <c:pt idx="16">
                  <c:v>1.6593625441544424</c:v>
                </c:pt>
                <c:pt idx="17">
                  <c:v>1.5671439458434091</c:v>
                </c:pt>
                <c:pt idx="18">
                  <c:v>1.4895534092264633</c:v>
                </c:pt>
                <c:pt idx="19">
                  <c:v>1.571703238561184</c:v>
                </c:pt>
                <c:pt idx="20">
                  <c:v>1.250745385728202</c:v>
                </c:pt>
                <c:pt idx="21">
                  <c:v>1.464739505291748</c:v>
                </c:pt>
                <c:pt idx="22">
                  <c:v>2.083570124941847</c:v>
                </c:pt>
                <c:pt idx="23">
                  <c:v>1.0475136367000291</c:v>
                </c:pt>
                <c:pt idx="24">
                  <c:v>2.1283161418985697</c:v>
                </c:pt>
                <c:pt idx="25">
                  <c:v>2.3634660871940931</c:v>
                </c:pt>
                <c:pt idx="26">
                  <c:v>3.3083435945081701</c:v>
                </c:pt>
                <c:pt idx="27">
                  <c:v>0.8774975652972371</c:v>
                </c:pt>
                <c:pt idx="28">
                  <c:v>0.9228607880143378</c:v>
                </c:pt>
                <c:pt idx="29">
                  <c:v>1.1553708950288122</c:v>
                </c:pt>
                <c:pt idx="30">
                  <c:v>1.4177427230363291</c:v>
                </c:pt>
                <c:pt idx="31">
                  <c:v>1.2793825273344654</c:v>
                </c:pt>
                <c:pt idx="32">
                  <c:v>1.1568148417820987</c:v>
                </c:pt>
                <c:pt idx="33">
                  <c:v>-0.57189385084433941</c:v>
                </c:pt>
                <c:pt idx="34">
                  <c:v>1.3882029636103224</c:v>
                </c:pt>
                <c:pt idx="35">
                  <c:v>1.2934790995496357</c:v>
                </c:pt>
                <c:pt idx="36">
                  <c:v>1.0851877450868967</c:v>
                </c:pt>
                <c:pt idx="37">
                  <c:v>1.0816533384963765</c:v>
                </c:pt>
                <c:pt idx="38">
                  <c:v>0.76228500471372829</c:v>
                </c:pt>
                <c:pt idx="39">
                  <c:v>1.3792860779035478</c:v>
                </c:pt>
                <c:pt idx="40">
                  <c:v>1.3617671604882193</c:v>
                </c:pt>
                <c:pt idx="41">
                  <c:v>1.0413152667974677</c:v>
                </c:pt>
                <c:pt idx="42">
                  <c:v>1.0478500073616397</c:v>
                </c:pt>
                <c:pt idx="43">
                  <c:v>0.76953679561951072</c:v>
                </c:pt>
                <c:pt idx="44">
                  <c:v>0.58719608970827897</c:v>
                </c:pt>
                <c:pt idx="45">
                  <c:v>0.5861689221110451</c:v>
                </c:pt>
                <c:pt idx="46">
                  <c:v>0.61264924241331031</c:v>
                </c:pt>
                <c:pt idx="47">
                  <c:v>0.53937078584970277</c:v>
                </c:pt>
                <c:pt idx="48">
                  <c:v>1.1293620348458043E-2</c:v>
                </c:pt>
                <c:pt idx="49">
                  <c:v>0.35020825485241841</c:v>
                </c:pt>
                <c:pt idx="50">
                  <c:v>-0.47808</c:v>
                </c:pt>
                <c:pt idx="51">
                  <c:v>-0.15984000000000001</c:v>
                </c:pt>
                <c:pt idx="52">
                  <c:v>-0.41039999999999999</c:v>
                </c:pt>
                <c:pt idx="53">
                  <c:v>-0.24191999999999997</c:v>
                </c:pt>
                <c:pt idx="54">
                  <c:v>-0.23327999999999999</c:v>
                </c:pt>
                <c:pt idx="55">
                  <c:v>-7.1856000000000003E-2</c:v>
                </c:pt>
                <c:pt idx="56">
                  <c:v>-0.14371200000000001</c:v>
                </c:pt>
                <c:pt idx="57">
                  <c:v>-6.3072000000000003E-2</c:v>
                </c:pt>
                <c:pt idx="58">
                  <c:v>5.7312000000000002E-2</c:v>
                </c:pt>
                <c:pt idx="59">
                  <c:v>0.11203199999999999</c:v>
                </c:pt>
                <c:pt idx="60">
                  <c:v>-0.71279999999999999</c:v>
                </c:pt>
                <c:pt idx="61">
                  <c:v>-0.66527999999999998</c:v>
                </c:pt>
                <c:pt idx="62">
                  <c:v>-1.2369600000000001</c:v>
                </c:pt>
                <c:pt idx="63">
                  <c:v>-1.04112</c:v>
                </c:pt>
                <c:pt idx="64">
                  <c:v>-0.87696000000000007</c:v>
                </c:pt>
                <c:pt idx="65">
                  <c:v>-0.98352000000000006</c:v>
                </c:pt>
                <c:pt idx="66">
                  <c:v>-1.05264</c:v>
                </c:pt>
                <c:pt idx="67">
                  <c:v>-0.98063999999999996</c:v>
                </c:pt>
                <c:pt idx="68" formatCode="0.0000000">
                  <c:v>-8.524799999999999E-2</c:v>
                </c:pt>
                <c:pt idx="69">
                  <c:v>0.12196799999999999</c:v>
                </c:pt>
                <c:pt idx="70">
                  <c:v>0.74015999999999993</c:v>
                </c:pt>
                <c:pt idx="71">
                  <c:v>0.22320000000000001</c:v>
                </c:pt>
                <c:pt idx="72">
                  <c:v>0.19583999999999999</c:v>
                </c:pt>
                <c:pt idx="73">
                  <c:v>0.52127999999999997</c:v>
                </c:pt>
                <c:pt idx="74">
                  <c:v>7.6607999999999997E-3</c:v>
                </c:pt>
                <c:pt idx="75">
                  <c:v>-0.13852800000000001</c:v>
                </c:pt>
                <c:pt idx="76">
                  <c:v>3.0096000000000001E-2</c:v>
                </c:pt>
                <c:pt idx="77">
                  <c:v>0.16847999999999999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55-DC40-9FE8-063FC2D99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657744"/>
        <c:axId val="-2024652656"/>
      </c:scatterChart>
      <c:valAx>
        <c:axId val="-2024657744"/>
        <c:scaling>
          <c:orientation val="minMax"/>
          <c:max val="8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Days Since Last Rainfall</a:t>
                </a:r>
              </a:p>
            </c:rich>
          </c:tx>
          <c:layout>
            <c:manualLayout>
              <c:xMode val="edge"/>
              <c:yMode val="edge"/>
              <c:x val="0.36815116919458801"/>
              <c:y val="0.86983760979069302"/>
            </c:manualLayout>
          </c:layout>
          <c:overlay val="0"/>
        </c:title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4652656"/>
        <c:crossesAt val="-4"/>
        <c:crossBetween val="midCat"/>
      </c:valAx>
      <c:valAx>
        <c:axId val="-2024652656"/>
        <c:scaling>
          <c:orientation val="minMax"/>
          <c:max val="6"/>
          <c:min val="-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000"/>
                  <a:t>Groundwater Exchange (cm/day)</a:t>
                </a:r>
              </a:p>
            </c:rich>
          </c:tx>
          <c:layout>
            <c:manualLayout>
              <c:xMode val="edge"/>
              <c:yMode val="edge"/>
              <c:x val="1.8332167363767599E-2"/>
              <c:y val="0.182592969758688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4657744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Tank 2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56801571826199"/>
          <c:y val="0.147164374162773"/>
          <c:w val="0.74899349537829496"/>
          <c:h val="0.64184175592369697"/>
        </c:manualLayout>
      </c:layout>
      <c:scatterChart>
        <c:scatterStyle val="lineMarker"/>
        <c:varyColors val="0"/>
        <c:ser>
          <c:idx val="1"/>
          <c:order val="0"/>
          <c:tx>
            <c:strRef>
              <c:f>[1]Sheet1!$H$1</c:f>
              <c:strCache>
                <c:ptCount val="1"/>
                <c:pt idx="0">
                  <c:v>T4_WL</c:v>
                </c:pt>
              </c:strCache>
            </c:strRef>
          </c:tx>
          <c:spPr>
            <a:ln w="47625">
              <a:noFill/>
            </a:ln>
          </c:spPr>
          <c:marker>
            <c:symbol val="diamond"/>
            <c:size val="12"/>
            <c:spPr>
              <a:solidFill>
                <a:schemeClr val="tx2"/>
              </a:solidFill>
              <a:ln>
                <a:solidFill>
                  <a:srgbClr val="008000"/>
                </a:solidFill>
              </a:ln>
            </c:spPr>
          </c:marker>
          <c:xVal>
            <c:numRef>
              <c:f>Plots!$CB$39:$CB$77</c:f>
              <c:numCache>
                <c:formatCode>0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</c:numCache>
            </c:numRef>
          </c:xVal>
          <c:yVal>
            <c:numRef>
              <c:f>Plots!$BZ$39:$BZ$77</c:f>
              <c:numCache>
                <c:formatCode>General</c:formatCode>
                <c:ptCount val="39"/>
                <c:pt idx="3">
                  <c:v>1.6519032736952086</c:v>
                </c:pt>
                <c:pt idx="4">
                  <c:v>0.72846457203397852</c:v>
                </c:pt>
                <c:pt idx="6">
                  <c:v>0.68898463782179731</c:v>
                </c:pt>
                <c:pt idx="7">
                  <c:v>1.9593647523468638</c:v>
                </c:pt>
                <c:pt idx="8">
                  <c:v>1.9871863646742542</c:v>
                </c:pt>
                <c:pt idx="9">
                  <c:v>1.3</c:v>
                </c:pt>
                <c:pt idx="12">
                  <c:v>0.74414422672680225</c:v>
                </c:pt>
                <c:pt idx="13">
                  <c:v>1.5567379084738564</c:v>
                </c:pt>
                <c:pt idx="14">
                  <c:v>1.5712702284108773</c:v>
                </c:pt>
                <c:pt idx="15">
                  <c:v>1.9061340824203516</c:v>
                </c:pt>
                <c:pt idx="16">
                  <c:v>0.92011709713573064</c:v>
                </c:pt>
                <c:pt idx="18">
                  <c:v>0.89371537531801359</c:v>
                </c:pt>
                <c:pt idx="19">
                  <c:v>1.5047129258102911</c:v>
                </c:pt>
                <c:pt idx="20">
                  <c:v>2.6404716046717125</c:v>
                </c:pt>
                <c:pt idx="21">
                  <c:v>2.2438871846158799</c:v>
                </c:pt>
                <c:pt idx="22">
                  <c:v>1.2111596288873414</c:v>
                </c:pt>
                <c:pt idx="23">
                  <c:v>0.51380529982026912</c:v>
                </c:pt>
                <c:pt idx="24">
                  <c:v>1.4014465393149891</c:v>
                </c:pt>
                <c:pt idx="25">
                  <c:v>1.584563958071205</c:v>
                </c:pt>
                <c:pt idx="26">
                  <c:v>2.3285108207370135</c:v>
                </c:pt>
                <c:pt idx="27">
                  <c:v>2.4341461905421689</c:v>
                </c:pt>
                <c:pt idx="28">
                  <c:v>1.6837415385962864</c:v>
                </c:pt>
                <c:pt idx="29">
                  <c:v>0.84293906513104155</c:v>
                </c:pt>
                <c:pt idx="30">
                  <c:v>0.80411502232914134</c:v>
                </c:pt>
                <c:pt idx="31">
                  <c:v>1.9989357774816381</c:v>
                </c:pt>
                <c:pt idx="32">
                  <c:v>2.6689105851279873</c:v>
                </c:pt>
                <c:pt idx="33">
                  <c:v>5.0999999999999996</c:v>
                </c:pt>
                <c:pt idx="34">
                  <c:v>0.51149196568268729</c:v>
                </c:pt>
                <c:pt idx="35">
                  <c:v>0.82659738260706006</c:v>
                </c:pt>
                <c:pt idx="36">
                  <c:v>1.8834516113750797</c:v>
                </c:pt>
                <c:pt idx="37">
                  <c:v>2.2302539133568398</c:v>
                </c:pt>
                <c:pt idx="38">
                  <c:v>2.0591776777834614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C4-5744-BA7F-3693DA5DE512}"/>
            </c:ext>
          </c:extLst>
        </c:ser>
        <c:ser>
          <c:idx val="0"/>
          <c:order val="1"/>
          <c:spPr>
            <a:ln w="47625">
              <a:noFill/>
            </a:ln>
          </c:spPr>
          <c:marker>
            <c:symbol val="square"/>
            <c:size val="11"/>
            <c:spPr>
              <a:solidFill>
                <a:srgbClr val="FFCC66"/>
              </a:solidFill>
              <a:ln>
                <a:solidFill>
                  <a:srgbClr val="8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3911123349656901"/>
                  <c:y val="-0.28300376425233198"/>
                </c:manualLayout>
              </c:layout>
              <c:numFmt formatCode="General" sourceLinked="0"/>
              <c:spPr>
                <a:solidFill>
                  <a:srgbClr val="FFFFFF"/>
                </a:solidFill>
                <a:ln>
                  <a:solidFill>
                    <a:srgbClr val="000000"/>
                  </a:solidFill>
                </a:ln>
              </c:spPr>
              <c:txPr>
                <a:bodyPr/>
                <a:lstStyle/>
                <a:p>
                  <a:pPr>
                    <a:defRPr sz="1400"/>
                  </a:pPr>
                  <a:endParaRPr lang="en-US"/>
                </a:p>
              </c:txPr>
            </c:trendlineLbl>
          </c:trendline>
          <c:xVal>
            <c:numRef>
              <c:f>Plots!$CB$78:$CB$104</c:f>
              <c:numCache>
                <c:formatCode>0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</c:numCache>
            </c:numRef>
          </c:xVal>
          <c:yVal>
            <c:numRef>
              <c:f>Plots!$BZ$78:$BZ$104</c:f>
              <c:numCache>
                <c:formatCode>General</c:formatCode>
                <c:ptCount val="27"/>
                <c:pt idx="0">
                  <c:v>2.2927546764752416</c:v>
                </c:pt>
                <c:pt idx="1">
                  <c:v>2.9214696641984412</c:v>
                </c:pt>
                <c:pt idx="2">
                  <c:v>2.3478108219588796</c:v>
                </c:pt>
                <c:pt idx="3">
                  <c:v>2.3166916414504501</c:v>
                </c:pt>
                <c:pt idx="4">
                  <c:v>3.843219353434244</c:v>
                </c:pt>
                <c:pt idx="5">
                  <c:v>4.7102246114428912</c:v>
                </c:pt>
                <c:pt idx="6">
                  <c:v>4.4323818414022678E-2</c:v>
                </c:pt>
                <c:pt idx="7">
                  <c:v>2.6235378764828159</c:v>
                </c:pt>
                <c:pt idx="8">
                  <c:v>2.0489826084066736</c:v>
                </c:pt>
                <c:pt idx="9">
                  <c:v>2.8425290510197669</c:v>
                </c:pt>
                <c:pt idx="10">
                  <c:v>2.2107042221066235</c:v>
                </c:pt>
                <c:pt idx="11">
                  <c:v>1.8384510459079579</c:v>
                </c:pt>
                <c:pt idx="12">
                  <c:v>1.6537291770201885</c:v>
                </c:pt>
                <c:pt idx="13">
                  <c:v>3.4714275734752733</c:v>
                </c:pt>
                <c:pt idx="14">
                  <c:v>0.89456185607044503</c:v>
                </c:pt>
                <c:pt idx="15">
                  <c:v>1.5641440361088665</c:v>
                </c:pt>
                <c:pt idx="16">
                  <c:v>1.9583835563531857</c:v>
                </c:pt>
                <c:pt idx="17">
                  <c:v>0.98534853979044112</c:v>
                </c:pt>
                <c:pt idx="18">
                  <c:v>0.52513301210067431</c:v>
                </c:pt>
                <c:pt idx="19">
                  <c:v>0.95058575030211956</c:v>
                </c:pt>
                <c:pt idx="20">
                  <c:v>1.0024472690521109</c:v>
                </c:pt>
                <c:pt idx="21">
                  <c:v>-0.18248652849055946</c:v>
                </c:pt>
                <c:pt idx="22">
                  <c:v>-2.7541708904315829E-2</c:v>
                </c:pt>
                <c:pt idx="24">
                  <c:v>-2.2233600174556685</c:v>
                </c:pt>
                <c:pt idx="25">
                  <c:v>1.4936009646687103</c:v>
                </c:pt>
                <c:pt idx="26">
                  <c:v>0.85323665789927616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C4-5744-BA7F-3693DA5DE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447776"/>
        <c:axId val="-2022305648"/>
      </c:scatterChart>
      <c:valAx>
        <c:axId val="-2025447776"/>
        <c:scaling>
          <c:orientation val="minMax"/>
          <c:max val="4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Days Since Last Rainfall</a:t>
                </a:r>
              </a:p>
            </c:rich>
          </c:tx>
          <c:layout>
            <c:manualLayout>
              <c:xMode val="edge"/>
              <c:yMode val="edge"/>
              <c:x val="0.36815116919458801"/>
              <c:y val="0.86983760979069302"/>
            </c:manualLayout>
          </c:layout>
          <c:overlay val="0"/>
        </c:title>
        <c:numFmt formatCode="#,##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2305648"/>
        <c:crossesAt val="-4"/>
        <c:crossBetween val="midCat"/>
      </c:valAx>
      <c:valAx>
        <c:axId val="-2022305648"/>
        <c:scaling>
          <c:orientation val="minMax"/>
          <c:max val="6"/>
          <c:min val="-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000"/>
                  <a:t>Groundwater Exchange (cm/day)</a:t>
                </a:r>
              </a:p>
            </c:rich>
          </c:tx>
          <c:layout>
            <c:manualLayout>
              <c:xMode val="edge"/>
              <c:yMode val="edge"/>
              <c:x val="1.8332167363767599E-2"/>
              <c:y val="0.182592969758688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5447776"/>
        <c:crossesAt val="-100"/>
        <c:crossBetween val="midCat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Tank 3: Sluice &amp;</a:t>
            </a:r>
            <a:r>
              <a:rPr lang="en-US" baseline="0"/>
              <a:t> Recharge Magnitudes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'Sluice vs Recharge'!$A$2:$A$129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'Sluice vs Recharge'!$C$2:$C$129</c:f>
              <c:numCache>
                <c:formatCode>General</c:formatCode>
                <c:ptCount val="128"/>
                <c:pt idx="0">
                  <c:v>0.91735014619066091</c:v>
                </c:pt>
                <c:pt idx="1">
                  <c:v>0.92465898722130979</c:v>
                </c:pt>
                <c:pt idx="2">
                  <c:v>0.92675212943336671</c:v>
                </c:pt>
                <c:pt idx="3">
                  <c:v>0.9263766059331654</c:v>
                </c:pt>
                <c:pt idx="4">
                  <c:v>0.92488366568884028</c:v>
                </c:pt>
                <c:pt idx="5">
                  <c:v>0.9254646550494966</c:v>
                </c:pt>
                <c:pt idx="6">
                  <c:v>0.92620649861139059</c:v>
                </c:pt>
                <c:pt idx="7">
                  <c:v>0.92677295732636555</c:v>
                </c:pt>
                <c:pt idx="8">
                  <c:v>0.92715658550689728</c:v>
                </c:pt>
                <c:pt idx="9">
                  <c:v>0.92730389326056062</c:v>
                </c:pt>
                <c:pt idx="10">
                  <c:v>0.92724554487408972</c:v>
                </c:pt>
                <c:pt idx="11">
                  <c:v>0.92693554622877494</c:v>
                </c:pt>
                <c:pt idx="12">
                  <c:v>0.92642060103326296</c:v>
                </c:pt>
                <c:pt idx="13">
                  <c:v>0.92600560196904025</c:v>
                </c:pt>
                <c:pt idx="14">
                  <c:v>0.92513734284287596</c:v>
                </c:pt>
                <c:pt idx="15">
                  <c:v>0.92385431624697723</c:v>
                </c:pt>
                <c:pt idx="16">
                  <c:v>0.92224204962452416</c:v>
                </c:pt>
                <c:pt idx="17">
                  <c:v>0.92100633006795773</c:v>
                </c:pt>
                <c:pt idx="18">
                  <c:v>0.91954648392301075</c:v>
                </c:pt>
                <c:pt idx="19">
                  <c:v>0.91941175854233448</c:v>
                </c:pt>
                <c:pt idx="20">
                  <c:v>0.91826748716674744</c:v>
                </c:pt>
                <c:pt idx="21">
                  <c:v>0.91647975277614513</c:v>
                </c:pt>
                <c:pt idx="22">
                  <c:v>0.91423128598491898</c:v>
                </c:pt>
                <c:pt idx="23">
                  <c:v>0.91155211046433737</c:v>
                </c:pt>
                <c:pt idx="24">
                  <c:v>0.90869060936184554</c:v>
                </c:pt>
                <c:pt idx="25">
                  <c:v>0.9053513257982948</c:v>
                </c:pt>
                <c:pt idx="26">
                  <c:v>0.90156439071119343</c:v>
                </c:pt>
                <c:pt idx="27">
                  <c:v>0.89813253516944414</c:v>
                </c:pt>
                <c:pt idx="28">
                  <c:v>0.89477883074473363</c:v>
                </c:pt>
                <c:pt idx="29">
                  <c:v>0.89045466722954081</c:v>
                </c:pt>
                <c:pt idx="30">
                  <c:v>0.88513129414218394</c:v>
                </c:pt>
                <c:pt idx="31">
                  <c:v>0.87943086412421889</c:v>
                </c:pt>
                <c:pt idx="32">
                  <c:v>0.92723492855062883</c:v>
                </c:pt>
                <c:pt idx="33">
                  <c:v>0.92720738044848039</c:v>
                </c:pt>
                <c:pt idx="34">
                  <c:v>0.92697706000214408</c:v>
                </c:pt>
                <c:pt idx="35">
                  <c:v>0.92657277663913429</c:v>
                </c:pt>
                <c:pt idx="36">
                  <c:v>0.92598385962620811</c:v>
                </c:pt>
                <c:pt idx="37">
                  <c:v>0.92526504641205543</c:v>
                </c:pt>
                <c:pt idx="38">
                  <c:v>0.9242779093462552</c:v>
                </c:pt>
                <c:pt idx="39">
                  <c:v>0.92309214450888111</c:v>
                </c:pt>
                <c:pt idx="40">
                  <c:v>0.92173361380894392</c:v>
                </c:pt>
                <c:pt idx="41">
                  <c:v>0.92028937654903364</c:v>
                </c:pt>
                <c:pt idx="42">
                  <c:v>0.91814462374319239</c:v>
                </c:pt>
                <c:pt idx="43">
                  <c:v>0.91577557754417893</c:v>
                </c:pt>
                <c:pt idx="44">
                  <c:v>0.91370278052135245</c:v>
                </c:pt>
                <c:pt idx="45">
                  <c:v>0.91188329088064768</c:v>
                </c:pt>
                <c:pt idx="46">
                  <c:v>0.90922310240528026</c:v>
                </c:pt>
                <c:pt idx="47">
                  <c:v>0.90814084029848507</c:v>
                </c:pt>
                <c:pt idx="48">
                  <c:v>0.90586161081764338</c:v>
                </c:pt>
                <c:pt idx="49">
                  <c:v>0.90312453038928708</c:v>
                </c:pt>
                <c:pt idx="50">
                  <c:v>0.89957874556789463</c:v>
                </c:pt>
                <c:pt idx="51">
                  <c:v>0.89538399910019906</c:v>
                </c:pt>
                <c:pt idx="52">
                  <c:v>0.89200549733784074</c:v>
                </c:pt>
                <c:pt idx="53">
                  <c:v>0.88874734560310842</c:v>
                </c:pt>
                <c:pt idx="54">
                  <c:v>0.88368790957634191</c:v>
                </c:pt>
                <c:pt idx="55">
                  <c:v>0.8787305476396261</c:v>
                </c:pt>
                <c:pt idx="56">
                  <c:v>0.87216643255130755</c:v>
                </c:pt>
                <c:pt idx="57">
                  <c:v>0.87093771878579362</c:v>
                </c:pt>
                <c:pt idx="58">
                  <c:v>0.87303700252423788</c:v>
                </c:pt>
                <c:pt idx="59">
                  <c:v>0.8700085400644193</c:v>
                </c:pt>
                <c:pt idx="60">
                  <c:v>0.86470898717784339</c:v>
                </c:pt>
                <c:pt idx="61">
                  <c:v>0.8596772002106049</c:v>
                </c:pt>
                <c:pt idx="62">
                  <c:v>0.85249710287702596</c:v>
                </c:pt>
                <c:pt idx="63">
                  <c:v>0.84451542279765068</c:v>
                </c:pt>
                <c:pt idx="64">
                  <c:v>0.83528129703264142</c:v>
                </c:pt>
                <c:pt idx="65">
                  <c:v>0.8246065639794008</c:v>
                </c:pt>
                <c:pt idx="66">
                  <c:v>0.8126962944697278</c:v>
                </c:pt>
                <c:pt idx="67">
                  <c:v>0.80315632726529329</c:v>
                </c:pt>
                <c:pt idx="68">
                  <c:v>0.79336282326570184</c:v>
                </c:pt>
                <c:pt idx="69">
                  <c:v>0.78207923085348197</c:v>
                </c:pt>
                <c:pt idx="70">
                  <c:v>0.77069300846023703</c:v>
                </c:pt>
                <c:pt idx="71">
                  <c:v>0.75691443259936242</c:v>
                </c:pt>
                <c:pt idx="72">
                  <c:v>0.74131655521623929</c:v>
                </c:pt>
                <c:pt idx="73">
                  <c:v>0.72448147270066787</c:v>
                </c:pt>
                <c:pt idx="74">
                  <c:v>0.70758080701970039</c:v>
                </c:pt>
                <c:pt idx="75">
                  <c:v>0.6862917616273968</c:v>
                </c:pt>
                <c:pt idx="76">
                  <c:v>0.66041409450189925</c:v>
                </c:pt>
                <c:pt idx="77">
                  <c:v>0.64134397930569231</c:v>
                </c:pt>
                <c:pt idx="78">
                  <c:v>0.62293060032076075</c:v>
                </c:pt>
                <c:pt idx="79">
                  <c:v>0.60457627020447091</c:v>
                </c:pt>
                <c:pt idx="80">
                  <c:v>0.58504162202115628</c:v>
                </c:pt>
                <c:pt idx="81">
                  <c:v>0.56276331799615076</c:v>
                </c:pt>
                <c:pt idx="82">
                  <c:v>0.53893695671435449</c:v>
                </c:pt>
                <c:pt idx="83">
                  <c:v>0.51955407888486582</c:v>
                </c:pt>
                <c:pt idx="84">
                  <c:v>0.50582142202398894</c:v>
                </c:pt>
                <c:pt idx="85">
                  <c:v>0.48305804694672871</c:v>
                </c:pt>
                <c:pt idx="86">
                  <c:v>0.45847980658407261</c:v>
                </c:pt>
                <c:pt idx="87">
                  <c:v>0.43039197883014013</c:v>
                </c:pt>
                <c:pt idx="88">
                  <c:v>0.40123016535240175</c:v>
                </c:pt>
                <c:pt idx="89">
                  <c:v>0.37165768115557041</c:v>
                </c:pt>
                <c:pt idx="90">
                  <c:v>0.34310795297455293</c:v>
                </c:pt>
                <c:pt idx="91">
                  <c:v>0.308747328541775</c:v>
                </c:pt>
                <c:pt idx="92">
                  <c:v>0.27586901037324091</c:v>
                </c:pt>
                <c:pt idx="93">
                  <c:v>0.24588995975732852</c:v>
                </c:pt>
                <c:pt idx="94">
                  <c:v>0.21327338806508828</c:v>
                </c:pt>
                <c:pt idx="95">
                  <c:v>0.1791965523167536</c:v>
                </c:pt>
                <c:pt idx="96">
                  <c:v>0.14495575387616047</c:v>
                </c:pt>
                <c:pt idx="97">
                  <c:v>0.10635572119194284</c:v>
                </c:pt>
                <c:pt idx="98">
                  <c:v>6.8287870513772109E-2</c:v>
                </c:pt>
                <c:pt idx="99">
                  <c:v>3.0095731470859716E-2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3-DB4B-B0A4-C9D587B31DF5}"/>
            </c:ext>
          </c:extLst>
        </c:ser>
        <c:ser>
          <c:idx val="1"/>
          <c:order val="1"/>
          <c:invertIfNegative val="0"/>
          <c:cat>
            <c:numRef>
              <c:f>'Sluice vs Recharge'!$A$2:$A$129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'Sluice vs Recharge'!$D$2:$D$129</c:f>
              <c:numCache>
                <c:formatCode>0.00E+00</c:formatCode>
                <c:ptCount val="128"/>
                <c:pt idx="0">
                  <c:v>-79.973350146190668</c:v>
                </c:pt>
                <c:pt idx="1">
                  <c:v>2.6177410127786906</c:v>
                </c:pt>
                <c:pt idx="2">
                  <c:v>-0.56387212943336684</c:v>
                </c:pt>
                <c:pt idx="3">
                  <c:v>-58.238376605933176</c:v>
                </c:pt>
                <c:pt idx="4">
                  <c:v>5.5839163343111604</c:v>
                </c:pt>
                <c:pt idx="5">
                  <c:v>5.0937353449505034</c:v>
                </c:pt>
                <c:pt idx="6">
                  <c:v>4.1857935013886101</c:v>
                </c:pt>
                <c:pt idx="7">
                  <c:v>5.5388270426736348</c:v>
                </c:pt>
                <c:pt idx="8">
                  <c:v>4.3432434144931031</c:v>
                </c:pt>
                <c:pt idx="9">
                  <c:v>5.0342961067394389</c:v>
                </c:pt>
                <c:pt idx="10">
                  <c:v>-5.7800455448740902</c:v>
                </c:pt>
                <c:pt idx="11">
                  <c:v>3.4074644537712251</c:v>
                </c:pt>
                <c:pt idx="12">
                  <c:v>3.1631793989667374</c:v>
                </c:pt>
                <c:pt idx="13">
                  <c:v>3.7827943980309602</c:v>
                </c:pt>
                <c:pt idx="14">
                  <c:v>3.7836626571571248</c:v>
                </c:pt>
                <c:pt idx="15">
                  <c:v>4.7209456837530226</c:v>
                </c:pt>
                <c:pt idx="16">
                  <c:v>2.4041579503754762</c:v>
                </c:pt>
                <c:pt idx="17">
                  <c:v>2.8229936699320426</c:v>
                </c:pt>
                <c:pt idx="18">
                  <c:v>2.5220535160769892</c:v>
                </c:pt>
                <c:pt idx="19">
                  <c:v>2.3925882414576654</c:v>
                </c:pt>
                <c:pt idx="20">
                  <c:v>2.3505325128332526</c:v>
                </c:pt>
                <c:pt idx="21">
                  <c:v>2.4099202472238552</c:v>
                </c:pt>
                <c:pt idx="22">
                  <c:v>2.5849687140150812</c:v>
                </c:pt>
                <c:pt idx="23">
                  <c:v>2.357247889535663</c:v>
                </c:pt>
                <c:pt idx="24">
                  <c:v>2.4177093906381546</c:v>
                </c:pt>
                <c:pt idx="25">
                  <c:v>2.4786486742017049</c:v>
                </c:pt>
                <c:pt idx="26">
                  <c:v>2.5400356092888066</c:v>
                </c:pt>
                <c:pt idx="27">
                  <c:v>0.25386746483055578</c:v>
                </c:pt>
                <c:pt idx="28">
                  <c:v>2.5324211692552661</c:v>
                </c:pt>
                <c:pt idx="29">
                  <c:v>2.5079453327704595</c:v>
                </c:pt>
                <c:pt idx="30">
                  <c:v>2.4268687058578156</c:v>
                </c:pt>
                <c:pt idx="31">
                  <c:v>-97.647430864124217</c:v>
                </c:pt>
                <c:pt idx="32">
                  <c:v>-3.8072349285506291</c:v>
                </c:pt>
                <c:pt idx="33">
                  <c:v>1.6215926195515196</c:v>
                </c:pt>
                <c:pt idx="34">
                  <c:v>3.5082229399978564</c:v>
                </c:pt>
                <c:pt idx="35">
                  <c:v>2.7310272233608663</c:v>
                </c:pt>
                <c:pt idx="36">
                  <c:v>2.4868161403737918</c:v>
                </c:pt>
                <c:pt idx="37">
                  <c:v>2.5163349535879447</c:v>
                </c:pt>
                <c:pt idx="38">
                  <c:v>2.8773220906537453</c:v>
                </c:pt>
                <c:pt idx="39">
                  <c:v>2.4897078554911189</c:v>
                </c:pt>
                <c:pt idx="40">
                  <c:v>1.7566663861910563</c:v>
                </c:pt>
                <c:pt idx="41">
                  <c:v>2.319710623450967</c:v>
                </c:pt>
                <c:pt idx="42">
                  <c:v>2.3794553762568076</c:v>
                </c:pt>
                <c:pt idx="43">
                  <c:v>1.7914244224558209</c:v>
                </c:pt>
                <c:pt idx="44">
                  <c:v>1.6494972194786475</c:v>
                </c:pt>
                <c:pt idx="45">
                  <c:v>0.90251670911935233</c:v>
                </c:pt>
                <c:pt idx="46">
                  <c:v>-2.3492231024052805</c:v>
                </c:pt>
                <c:pt idx="47">
                  <c:v>-1.3401408402984851</c:v>
                </c:pt>
                <c:pt idx="48">
                  <c:v>0.53413838918235679</c:v>
                </c:pt>
                <c:pt idx="49">
                  <c:v>1.1272754696107128</c:v>
                </c:pt>
                <c:pt idx="50">
                  <c:v>1.5340212544321055</c:v>
                </c:pt>
                <c:pt idx="51">
                  <c:v>2.1430160008998009</c:v>
                </c:pt>
                <c:pt idx="52">
                  <c:v>2.1751945026621589</c:v>
                </c:pt>
                <c:pt idx="53">
                  <c:v>1.9768526543968914</c:v>
                </c:pt>
                <c:pt idx="54">
                  <c:v>1.9099120904236586</c:v>
                </c:pt>
                <c:pt idx="55">
                  <c:v>-99.978730547639628</c:v>
                </c:pt>
                <c:pt idx="56">
                  <c:v>2.195033567448692</c:v>
                </c:pt>
                <c:pt idx="57">
                  <c:v>-6.9377187857936479E-3</c:v>
                </c:pt>
                <c:pt idx="58">
                  <c:v>-0.72903700252423786</c:v>
                </c:pt>
                <c:pt idx="59">
                  <c:v>0.77159145993558076</c:v>
                </c:pt>
                <c:pt idx="60">
                  <c:v>1.5112910128221568</c:v>
                </c:pt>
                <c:pt idx="61">
                  <c:v>1.573922799789395</c:v>
                </c:pt>
                <c:pt idx="62">
                  <c:v>1.6099028971229741</c:v>
                </c:pt>
                <c:pt idx="63">
                  <c:v>1.7906845772023492</c:v>
                </c:pt>
                <c:pt idx="64">
                  <c:v>2.0015187029673589</c:v>
                </c:pt>
                <c:pt idx="65">
                  <c:v>2.9193934360205995</c:v>
                </c:pt>
                <c:pt idx="66">
                  <c:v>1.5777037055302721</c:v>
                </c:pt>
                <c:pt idx="67">
                  <c:v>1.4864436727347066</c:v>
                </c:pt>
                <c:pt idx="68">
                  <c:v>1.4098371767342981</c:v>
                </c:pt>
                <c:pt idx="69">
                  <c:v>1.4931207691465183</c:v>
                </c:pt>
                <c:pt idx="70">
                  <c:v>1.1733069915397627</c:v>
                </c:pt>
                <c:pt idx="71">
                  <c:v>1.3886855674006375</c:v>
                </c:pt>
                <c:pt idx="72">
                  <c:v>2.0090834447837609</c:v>
                </c:pt>
                <c:pt idx="73">
                  <c:v>0.97471852729933206</c:v>
                </c:pt>
                <c:pt idx="74">
                  <c:v>2.0572191929802996</c:v>
                </c:pt>
                <c:pt idx="75">
                  <c:v>2.294508238372603</c:v>
                </c:pt>
                <c:pt idx="76">
                  <c:v>3.2419859054981006</c:v>
                </c:pt>
                <c:pt idx="77">
                  <c:v>0.8130560206943076</c:v>
                </c:pt>
                <c:pt idx="78">
                  <c:v>0.86026939967923932</c:v>
                </c:pt>
                <c:pt idx="79">
                  <c:v>1.094623729795529</c:v>
                </c:pt>
                <c:pt idx="80">
                  <c:v>1.3589583779788437</c:v>
                </c:pt>
                <c:pt idx="81">
                  <c:v>1.2228366820038492</c:v>
                </c:pt>
                <c:pt idx="82">
                  <c:v>1.1026630432856455</c:v>
                </c:pt>
                <c:pt idx="83">
                  <c:v>-0.62409807888486579</c:v>
                </c:pt>
                <c:pt idx="84">
                  <c:v>1.337378577976011</c:v>
                </c:pt>
                <c:pt idx="85">
                  <c:v>1.2449419530532713</c:v>
                </c:pt>
                <c:pt idx="86">
                  <c:v>1.0391201934159273</c:v>
                </c:pt>
                <c:pt idx="87">
                  <c:v>1.0384080211698601</c:v>
                </c:pt>
                <c:pt idx="88">
                  <c:v>0.72196983464759812</c:v>
                </c:pt>
                <c:pt idx="89">
                  <c:v>1.3419423188444295</c:v>
                </c:pt>
                <c:pt idx="90">
                  <c:v>1.3272920470254472</c:v>
                </c:pt>
                <c:pt idx="91">
                  <c:v>1.010292671458225</c:v>
                </c:pt>
                <c:pt idx="92">
                  <c:v>1.0201309896267592</c:v>
                </c:pt>
                <c:pt idx="93">
                  <c:v>0.74483004024267152</c:v>
                </c:pt>
                <c:pt idx="94">
                  <c:v>0.56576661193491162</c:v>
                </c:pt>
                <c:pt idx="95">
                  <c:v>0.56816344768324634</c:v>
                </c:pt>
                <c:pt idx="96">
                  <c:v>0.59808424612383948</c:v>
                </c:pt>
                <c:pt idx="97">
                  <c:v>0.52868427880805713</c:v>
                </c:pt>
                <c:pt idx="98">
                  <c:v>4.4321294862278964E-3</c:v>
                </c:pt>
                <c:pt idx="99">
                  <c:v>0.34718426852914031</c:v>
                </c:pt>
                <c:pt idx="100">
                  <c:v>-0.47808</c:v>
                </c:pt>
                <c:pt idx="101">
                  <c:v>-0.15984000000000001</c:v>
                </c:pt>
                <c:pt idx="102">
                  <c:v>-0.41039999999999999</c:v>
                </c:pt>
                <c:pt idx="103">
                  <c:v>-0.24191999999999997</c:v>
                </c:pt>
                <c:pt idx="104">
                  <c:v>-0.23327999999999999</c:v>
                </c:pt>
                <c:pt idx="105">
                  <c:v>-7.1856000000000003E-2</c:v>
                </c:pt>
                <c:pt idx="106">
                  <c:v>-0.14371200000000001</c:v>
                </c:pt>
                <c:pt idx="107">
                  <c:v>-6.3072000000000003E-2</c:v>
                </c:pt>
                <c:pt idx="108">
                  <c:v>5.7312000000000002E-2</c:v>
                </c:pt>
                <c:pt idx="109">
                  <c:v>0.11203199999999999</c:v>
                </c:pt>
                <c:pt idx="110">
                  <c:v>-0.71279999999999999</c:v>
                </c:pt>
                <c:pt idx="111">
                  <c:v>-0.66527999999999998</c:v>
                </c:pt>
                <c:pt idx="112">
                  <c:v>-1.2369600000000001</c:v>
                </c:pt>
                <c:pt idx="113">
                  <c:v>-1.04112</c:v>
                </c:pt>
                <c:pt idx="114">
                  <c:v>-0.87696000000000007</c:v>
                </c:pt>
                <c:pt idx="115">
                  <c:v>-0.98352000000000006</c:v>
                </c:pt>
                <c:pt idx="116">
                  <c:v>-1.05264</c:v>
                </c:pt>
                <c:pt idx="117">
                  <c:v>-0.98063999999999996</c:v>
                </c:pt>
                <c:pt idx="118">
                  <c:v>-8.524799999999999E-2</c:v>
                </c:pt>
                <c:pt idx="119">
                  <c:v>0.12196799999999999</c:v>
                </c:pt>
                <c:pt idx="120">
                  <c:v>0.74015999999999993</c:v>
                </c:pt>
                <c:pt idx="121">
                  <c:v>0.22320000000000001</c:v>
                </c:pt>
                <c:pt idx="122">
                  <c:v>0.19583999999999999</c:v>
                </c:pt>
                <c:pt idx="123">
                  <c:v>0.52127999999999997</c:v>
                </c:pt>
                <c:pt idx="124">
                  <c:v>7.6607999999999997E-3</c:v>
                </c:pt>
                <c:pt idx="125">
                  <c:v>-0.13852800000000001</c:v>
                </c:pt>
                <c:pt idx="126">
                  <c:v>3.0096000000000001E-2</c:v>
                </c:pt>
                <c:pt idx="127">
                  <c:v>0.16847999999999999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3-DB4B-B0A4-C9D587B31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463264"/>
        <c:axId val="-2012460272"/>
      </c:barChart>
      <c:dateAx>
        <c:axId val="-20124632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2012460272"/>
        <c:crossesAt val="0"/>
        <c:auto val="1"/>
        <c:lblOffset val="100"/>
        <c:baseTimeUnit val="days"/>
      </c:dateAx>
      <c:valAx>
        <c:axId val="-2012460272"/>
        <c:scaling>
          <c:orientation val="minMax"/>
          <c:max val="6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2012463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99112962373499"/>
          <c:y val="7.55467196819085E-2"/>
          <c:w val="0.76230477561130905"/>
          <c:h val="0.75347912524850902"/>
        </c:manualLayout>
      </c:layout>
      <c:scatterChart>
        <c:scatterStyle val="smoothMarker"/>
        <c:varyColors val="0"/>
        <c:ser>
          <c:idx val="2"/>
          <c:order val="2"/>
          <c:marker>
            <c:symbol val="none"/>
          </c:marker>
          <c:xVal>
            <c:numRef>
              <c:f>Comparison!$AC$3:$AC$66</c:f>
              <c:numCache>
                <c:formatCode>0.00E+00</c:formatCode>
                <c:ptCount val="64"/>
                <c:pt idx="0">
                  <c:v>3.09</c:v>
                </c:pt>
                <c:pt idx="1">
                  <c:v>3.04</c:v>
                </c:pt>
                <c:pt idx="2">
                  <c:v>3</c:v>
                </c:pt>
                <c:pt idx="3">
                  <c:v>2.96</c:v>
                </c:pt>
                <c:pt idx="4">
                  <c:v>2.92</c:v>
                </c:pt>
                <c:pt idx="5">
                  <c:v>2.88</c:v>
                </c:pt>
                <c:pt idx="6">
                  <c:v>2.84</c:v>
                </c:pt>
                <c:pt idx="7">
                  <c:v>2.8</c:v>
                </c:pt>
                <c:pt idx="8">
                  <c:v>2.76</c:v>
                </c:pt>
                <c:pt idx="9" formatCode="General">
                  <c:v>2.565853019</c:v>
                </c:pt>
                <c:pt idx="10" formatCode="General">
                  <c:v>2.5319487199999999</c:v>
                </c:pt>
                <c:pt idx="11" formatCode="General">
                  <c:v>2.499395341</c:v>
                </c:pt>
                <c:pt idx="12" formatCode="General">
                  <c:v>2.463218446</c:v>
                </c:pt>
                <c:pt idx="13" formatCode="General">
                  <c:v>2.4248004519999999</c:v>
                </c:pt>
                <c:pt idx="14" formatCode="General">
                  <c:v>2.387816194</c:v>
                </c:pt>
                <c:pt idx="15" formatCode="General">
                  <c:v>2.3232748910000001</c:v>
                </c:pt>
                <c:pt idx="16" formatCode="General">
                  <c:v>2.2819939109999998</c:v>
                </c:pt>
                <c:pt idx="17" formatCode="General">
                  <c:v>2.16864013</c:v>
                </c:pt>
                <c:pt idx="18" formatCode="General">
                  <c:v>2.1246155739999999</c:v>
                </c:pt>
                <c:pt idx="19" formatCode="General">
                  <c:v>2.0702272339999999</c:v>
                </c:pt>
                <c:pt idx="20" formatCode="General">
                  <c:v>2.0150720249999998</c:v>
                </c:pt>
                <c:pt idx="21" formatCode="General">
                  <c:v>1.919013954</c:v>
                </c:pt>
                <c:pt idx="22" formatCode="General">
                  <c:v>1.8739722299999999</c:v>
                </c:pt>
                <c:pt idx="23" formatCode="General">
                  <c:v>1.836758731</c:v>
                </c:pt>
                <c:pt idx="24" formatCode="General">
                  <c:v>1.7994634389999999</c:v>
                </c:pt>
                <c:pt idx="25" formatCode="General">
                  <c:v>1.7632726489999999</c:v>
                </c:pt>
                <c:pt idx="26" formatCode="General">
                  <c:v>1.5671693680000001</c:v>
                </c:pt>
                <c:pt idx="27" formatCode="General">
                  <c:v>1.5350550439999999</c:v>
                </c:pt>
                <c:pt idx="28" formatCode="General">
                  <c:v>1.5037257989999999</c:v>
                </c:pt>
                <c:pt idx="29" formatCode="General">
                  <c:v>1.3944996279999999</c:v>
                </c:pt>
                <c:pt idx="30" formatCode="General">
                  <c:v>1.3708202730000001</c:v>
                </c:pt>
                <c:pt idx="31" formatCode="General">
                  <c:v>1.346116203</c:v>
                </c:pt>
                <c:pt idx="32" formatCode="General">
                  <c:v>1.316845246</c:v>
                </c:pt>
                <c:pt idx="33" formatCode="General">
                  <c:v>1.2877566979999999</c:v>
                </c:pt>
                <c:pt idx="34" formatCode="General">
                  <c:v>1.25995751</c:v>
                </c:pt>
                <c:pt idx="35" formatCode="General">
                  <c:v>1.2310082250000001</c:v>
                </c:pt>
                <c:pt idx="36" formatCode="General">
                  <c:v>1.2057875730000001</c:v>
                </c:pt>
                <c:pt idx="37" formatCode="General">
                  <c:v>1.1813288900000001</c:v>
                </c:pt>
                <c:pt idx="38" formatCode="General">
                  <c:v>1.155893311</c:v>
                </c:pt>
                <c:pt idx="39" formatCode="General">
                  <c:v>1.1294738849999999</c:v>
                </c:pt>
                <c:pt idx="40" formatCode="General">
                  <c:v>1.102815605</c:v>
                </c:pt>
                <c:pt idx="41" formatCode="General">
                  <c:v>1.0784434199999999</c:v>
                </c:pt>
                <c:pt idx="42" formatCode="General">
                  <c:v>1.051401091</c:v>
                </c:pt>
                <c:pt idx="43" formatCode="General">
                  <c:v>1.020996585</c:v>
                </c:pt>
                <c:pt idx="44" formatCode="General">
                  <c:v>0.99228676699999996</c:v>
                </c:pt>
                <c:pt idx="45" formatCode="General">
                  <c:v>0.96585404600000002</c:v>
                </c:pt>
                <c:pt idx="46" formatCode="General">
                  <c:v>0.94686099899999998</c:v>
                </c:pt>
                <c:pt idx="47" formatCode="General">
                  <c:v>0.92725057099999997</c:v>
                </c:pt>
                <c:pt idx="48" formatCode="General">
                  <c:v>0.88597981199999998</c:v>
                </c:pt>
                <c:pt idx="49" formatCode="General">
                  <c:v>0.85625384100000002</c:v>
                </c:pt>
                <c:pt idx="50" formatCode="General">
                  <c:v>0.82819801000000004</c:v>
                </c:pt>
                <c:pt idx="51" formatCode="General">
                  <c:v>0.79448532599999999</c:v>
                </c:pt>
                <c:pt idx="52" formatCode="General">
                  <c:v>0.76523991800000002</c:v>
                </c:pt>
                <c:pt idx="53" formatCode="General">
                  <c:v>0.74332233400000003</c:v>
                </c:pt>
                <c:pt idx="54" formatCode="General">
                  <c:v>0.72156631299999996</c:v>
                </c:pt>
                <c:pt idx="55" formatCode="General">
                  <c:v>0.70435056699999998</c:v>
                </c:pt>
                <c:pt idx="56" formatCode="General">
                  <c:v>0.68174709200000005</c:v>
                </c:pt>
                <c:pt idx="57" formatCode="General">
                  <c:v>0.65773114399999999</c:v>
                </c:pt>
                <c:pt idx="58" formatCode="General">
                  <c:v>0.45490926199999998</c:v>
                </c:pt>
                <c:pt idx="59" formatCode="General">
                  <c:v>0.65773114369861618</c:v>
                </c:pt>
                <c:pt idx="60" formatCode="General">
                  <c:v>0.61232889425791415</c:v>
                </c:pt>
                <c:pt idx="61" formatCode="General">
                  <c:v>0.53664341316156028</c:v>
                </c:pt>
                <c:pt idx="62" formatCode="General">
                  <c:v>0.40644607479560563</c:v>
                </c:pt>
                <c:pt idx="63" formatCode="General">
                  <c:v>0.30954382535490638</c:v>
                </c:pt>
              </c:numCache>
            </c:numRef>
          </c:xVal>
          <c:yVal>
            <c:numRef>
              <c:f>Comparison!$AE$3:$AE$66</c:f>
              <c:numCache>
                <c:formatCode>0.00E+00</c:formatCode>
                <c:ptCount val="64"/>
                <c:pt idx="0">
                  <c:v>3.3040759999999998</c:v>
                </c:pt>
                <c:pt idx="1">
                  <c:v>3.2702559999999998</c:v>
                </c:pt>
                <c:pt idx="2">
                  <c:v>3.2431999999999999</c:v>
                </c:pt>
                <c:pt idx="3">
                  <c:v>3.2161439999999999</c:v>
                </c:pt>
                <c:pt idx="4">
                  <c:v>3.1890879999999999</c:v>
                </c:pt>
                <c:pt idx="5">
                  <c:v>3.162032</c:v>
                </c:pt>
                <c:pt idx="6">
                  <c:v>3.134976</c:v>
                </c:pt>
                <c:pt idx="7">
                  <c:v>3.10792</c:v>
                </c:pt>
                <c:pt idx="8">
                  <c:v>3.080864</c:v>
                </c:pt>
                <c:pt idx="9">
                  <c:v>2.9495429820516001</c:v>
                </c:pt>
                <c:pt idx="10">
                  <c:v>2.9266101142080001</c:v>
                </c:pt>
                <c:pt idx="11">
                  <c:v>2.9045910086524001</c:v>
                </c:pt>
                <c:pt idx="12">
                  <c:v>2.8801209568744</c:v>
                </c:pt>
                <c:pt idx="13">
                  <c:v>2.8541350257328002</c:v>
                </c:pt>
                <c:pt idx="14">
                  <c:v>2.8291188736216002</c:v>
                </c:pt>
                <c:pt idx="15">
                  <c:v>2.7854631362724001</c:v>
                </c:pt>
                <c:pt idx="16">
                  <c:v>2.7575406814003998</c:v>
                </c:pt>
                <c:pt idx="17">
                  <c:v>2.6808681839319997</c:v>
                </c:pt>
                <c:pt idx="18">
                  <c:v>2.6510899742535998</c:v>
                </c:pt>
                <c:pt idx="19">
                  <c:v>2.6143017010775997</c:v>
                </c:pt>
                <c:pt idx="20">
                  <c:v>2.5769947177099999</c:v>
                </c:pt>
                <c:pt idx="21">
                  <c:v>2.5120210384855999</c:v>
                </c:pt>
                <c:pt idx="22">
                  <c:v>2.4815548163719998</c:v>
                </c:pt>
                <c:pt idx="23">
                  <c:v>2.4563836056483996</c:v>
                </c:pt>
                <c:pt idx="24">
                  <c:v>2.4311570701395997</c:v>
                </c:pt>
                <c:pt idx="25">
                  <c:v>2.4066776197835997</c:v>
                </c:pt>
                <c:pt idx="26">
                  <c:v>2.2740333605152001</c:v>
                </c:pt>
                <c:pt idx="27">
                  <c:v>2.2523112317615999</c:v>
                </c:pt>
                <c:pt idx="28">
                  <c:v>2.2311201304435997</c:v>
                </c:pt>
                <c:pt idx="29">
                  <c:v>2.1572395483792</c:v>
                </c:pt>
                <c:pt idx="30">
                  <c:v>2.1412228326572</c:v>
                </c:pt>
                <c:pt idx="31">
                  <c:v>2.1245129997092</c:v>
                </c:pt>
                <c:pt idx="32">
                  <c:v>2.1047141243944001</c:v>
                </c:pt>
                <c:pt idx="33">
                  <c:v>2.0850386305271997</c:v>
                </c:pt>
                <c:pt idx="34">
                  <c:v>2.0662352597639999</c:v>
                </c:pt>
                <c:pt idx="35">
                  <c:v>2.0466539633899998</c:v>
                </c:pt>
                <c:pt idx="36">
                  <c:v>2.0295947143772</c:v>
                </c:pt>
                <c:pt idx="37">
                  <c:v>2.0130508611960001</c:v>
                </c:pt>
                <c:pt idx="38">
                  <c:v>1.9958462355603999</c:v>
                </c:pt>
                <c:pt idx="39">
                  <c:v>1.977976135814</c:v>
                </c:pt>
                <c:pt idx="40">
                  <c:v>1.9599444752220001</c:v>
                </c:pt>
                <c:pt idx="41">
                  <c:v>1.9434591292879997</c:v>
                </c:pt>
                <c:pt idx="42">
                  <c:v>1.9251676979523999</c:v>
                </c:pt>
                <c:pt idx="43">
                  <c:v>1.9046020900939999</c:v>
                </c:pt>
                <c:pt idx="44">
                  <c:v>1.8851827691987997</c:v>
                </c:pt>
                <c:pt idx="45">
                  <c:v>1.8673036767143998</c:v>
                </c:pt>
                <c:pt idx="46">
                  <c:v>1.8544567797236</c:v>
                </c:pt>
                <c:pt idx="47">
                  <c:v>1.8411922862243999</c:v>
                </c:pt>
                <c:pt idx="48">
                  <c:v>1.8132767448367999</c:v>
                </c:pt>
                <c:pt idx="49">
                  <c:v>1.7931700980524001</c:v>
                </c:pt>
                <c:pt idx="50">
                  <c:v>1.774193133964</c:v>
                </c:pt>
                <c:pt idx="51">
                  <c:v>1.7513898745064</c:v>
                </c:pt>
                <c:pt idx="52">
                  <c:v>1.7316082805352</c:v>
                </c:pt>
                <c:pt idx="53">
                  <c:v>1.7167832267176</c:v>
                </c:pt>
                <c:pt idx="54">
                  <c:v>1.7020674541131999</c:v>
                </c:pt>
                <c:pt idx="55">
                  <c:v>1.6904227235188001</c:v>
                </c:pt>
                <c:pt idx="56">
                  <c:v>1.6751337330288001</c:v>
                </c:pt>
                <c:pt idx="57">
                  <c:v>1.6588893458016001</c:v>
                </c:pt>
                <c:pt idx="58">
                  <c:v>1.5217006248168001</c:v>
                </c:pt>
                <c:pt idx="59">
                  <c:v>1.658889345597744</c:v>
                </c:pt>
                <c:pt idx="60">
                  <c:v>1.6281792640760533</c:v>
                </c:pt>
                <c:pt idx="61">
                  <c:v>1.5769856046624793</c:v>
                </c:pt>
                <c:pt idx="62">
                  <c:v>1.4889201249917476</c:v>
                </c:pt>
                <c:pt idx="63">
                  <c:v>1.4233754434700587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AA-A143-B35C-A2CA3EE51C2E}"/>
            </c:ext>
          </c:extLst>
        </c:ser>
        <c:ser>
          <c:idx val="3"/>
          <c:order val="3"/>
          <c:spPr>
            <a:ln w="47625">
              <a:noFill/>
            </a:ln>
          </c:spPr>
          <c:marker>
            <c:symbol val="none"/>
          </c:marker>
          <c:xVal>
            <c:numRef>
              <c:f>Comparison!$AC$3:$AC$61</c:f>
              <c:numCache>
                <c:formatCode>0.00E+00</c:formatCode>
                <c:ptCount val="59"/>
                <c:pt idx="0">
                  <c:v>3.09</c:v>
                </c:pt>
                <c:pt idx="1">
                  <c:v>3.04</c:v>
                </c:pt>
                <c:pt idx="2">
                  <c:v>3</c:v>
                </c:pt>
                <c:pt idx="3">
                  <c:v>2.96</c:v>
                </c:pt>
                <c:pt idx="4">
                  <c:v>2.92</c:v>
                </c:pt>
                <c:pt idx="5">
                  <c:v>2.88</c:v>
                </c:pt>
                <c:pt idx="6">
                  <c:v>2.84</c:v>
                </c:pt>
                <c:pt idx="7">
                  <c:v>2.8</c:v>
                </c:pt>
                <c:pt idx="8">
                  <c:v>2.76</c:v>
                </c:pt>
                <c:pt idx="9" formatCode="General">
                  <c:v>2.565853019</c:v>
                </c:pt>
                <c:pt idx="10" formatCode="General">
                  <c:v>2.5319487199999999</c:v>
                </c:pt>
                <c:pt idx="11" formatCode="General">
                  <c:v>2.499395341</c:v>
                </c:pt>
                <c:pt idx="12" formatCode="General">
                  <c:v>2.463218446</c:v>
                </c:pt>
                <c:pt idx="13" formatCode="General">
                  <c:v>2.4248004519999999</c:v>
                </c:pt>
                <c:pt idx="14" formatCode="General">
                  <c:v>2.387816194</c:v>
                </c:pt>
                <c:pt idx="15" formatCode="General">
                  <c:v>2.3232748910000001</c:v>
                </c:pt>
                <c:pt idx="16" formatCode="General">
                  <c:v>2.2819939109999998</c:v>
                </c:pt>
                <c:pt idx="17" formatCode="General">
                  <c:v>2.16864013</c:v>
                </c:pt>
                <c:pt idx="18" formatCode="General">
                  <c:v>2.1246155739999999</c:v>
                </c:pt>
                <c:pt idx="19" formatCode="General">
                  <c:v>2.0702272339999999</c:v>
                </c:pt>
                <c:pt idx="20" formatCode="General">
                  <c:v>2.0150720249999998</c:v>
                </c:pt>
                <c:pt idx="21" formatCode="General">
                  <c:v>1.919013954</c:v>
                </c:pt>
                <c:pt idx="22" formatCode="General">
                  <c:v>1.8739722299999999</c:v>
                </c:pt>
                <c:pt idx="23" formatCode="General">
                  <c:v>1.836758731</c:v>
                </c:pt>
                <c:pt idx="24" formatCode="General">
                  <c:v>1.7994634389999999</c:v>
                </c:pt>
                <c:pt idx="25" formatCode="General">
                  <c:v>1.7632726489999999</c:v>
                </c:pt>
                <c:pt idx="26" formatCode="General">
                  <c:v>1.5671693680000001</c:v>
                </c:pt>
                <c:pt idx="27" formatCode="General">
                  <c:v>1.5350550439999999</c:v>
                </c:pt>
                <c:pt idx="28" formatCode="General">
                  <c:v>1.5037257989999999</c:v>
                </c:pt>
                <c:pt idx="29" formatCode="General">
                  <c:v>1.3944996279999999</c:v>
                </c:pt>
                <c:pt idx="30" formatCode="General">
                  <c:v>1.3708202730000001</c:v>
                </c:pt>
                <c:pt idx="31" formatCode="General">
                  <c:v>1.346116203</c:v>
                </c:pt>
                <c:pt idx="32" formatCode="General">
                  <c:v>1.316845246</c:v>
                </c:pt>
                <c:pt idx="33" formatCode="General">
                  <c:v>1.2877566979999999</c:v>
                </c:pt>
                <c:pt idx="34" formatCode="General">
                  <c:v>1.25995751</c:v>
                </c:pt>
                <c:pt idx="35" formatCode="General">
                  <c:v>1.2310082250000001</c:v>
                </c:pt>
                <c:pt idx="36" formatCode="General">
                  <c:v>1.2057875730000001</c:v>
                </c:pt>
                <c:pt idx="37" formatCode="General">
                  <c:v>1.1813288900000001</c:v>
                </c:pt>
                <c:pt idx="38" formatCode="General">
                  <c:v>1.155893311</c:v>
                </c:pt>
                <c:pt idx="39" formatCode="General">
                  <c:v>1.1294738849999999</c:v>
                </c:pt>
                <c:pt idx="40" formatCode="General">
                  <c:v>1.102815605</c:v>
                </c:pt>
                <c:pt idx="41" formatCode="General">
                  <c:v>1.0784434199999999</c:v>
                </c:pt>
                <c:pt idx="42" formatCode="General">
                  <c:v>1.051401091</c:v>
                </c:pt>
                <c:pt idx="43" formatCode="General">
                  <c:v>1.020996585</c:v>
                </c:pt>
                <c:pt idx="44" formatCode="General">
                  <c:v>0.99228676699999996</c:v>
                </c:pt>
                <c:pt idx="45" formatCode="General">
                  <c:v>0.96585404600000002</c:v>
                </c:pt>
                <c:pt idx="46" formatCode="General">
                  <c:v>0.94686099899999998</c:v>
                </c:pt>
                <c:pt idx="47" formatCode="General">
                  <c:v>0.92725057099999997</c:v>
                </c:pt>
                <c:pt idx="48" formatCode="General">
                  <c:v>0.88597981199999998</c:v>
                </c:pt>
                <c:pt idx="49" formatCode="General">
                  <c:v>0.85625384100000002</c:v>
                </c:pt>
                <c:pt idx="50" formatCode="General">
                  <c:v>0.82819801000000004</c:v>
                </c:pt>
                <c:pt idx="51" formatCode="General">
                  <c:v>0.79448532599999999</c:v>
                </c:pt>
                <c:pt idx="52" formatCode="General">
                  <c:v>0.76523991800000002</c:v>
                </c:pt>
                <c:pt idx="53" formatCode="General">
                  <c:v>0.74332233400000003</c:v>
                </c:pt>
                <c:pt idx="54" formatCode="General">
                  <c:v>0.72156631299999996</c:v>
                </c:pt>
                <c:pt idx="55" formatCode="General">
                  <c:v>0.70435056699999998</c:v>
                </c:pt>
                <c:pt idx="56" formatCode="General">
                  <c:v>0.68174709200000005</c:v>
                </c:pt>
                <c:pt idx="57" formatCode="General">
                  <c:v>0.65773114399999999</c:v>
                </c:pt>
                <c:pt idx="58" formatCode="General">
                  <c:v>0.45490926199999998</c:v>
                </c:pt>
              </c:numCache>
            </c:numRef>
          </c:xVal>
          <c:yVal>
            <c:numRef>
              <c:f>Comparison!$AD$3:$AD$66</c:f>
              <c:numCache>
                <c:formatCode>0.00E+00</c:formatCode>
                <c:ptCount val="64"/>
                <c:pt idx="0">
                  <c:v>3.39</c:v>
                </c:pt>
                <c:pt idx="1">
                  <c:v>2.17</c:v>
                </c:pt>
                <c:pt idx="2">
                  <c:v>2.4700000000000002</c:v>
                </c:pt>
                <c:pt idx="3">
                  <c:v>2.3199999999999998</c:v>
                </c:pt>
                <c:pt idx="4">
                  <c:v>2.5499999999999998</c:v>
                </c:pt>
                <c:pt idx="5">
                  <c:v>0.83199999999999996</c:v>
                </c:pt>
                <c:pt idx="6">
                  <c:v>2.46</c:v>
                </c:pt>
                <c:pt idx="7">
                  <c:v>0.83</c:v>
                </c:pt>
                <c:pt idx="8">
                  <c:v>7.7799999999999996E-3</c:v>
                </c:pt>
                <c:pt idx="9">
                  <c:v>0.252</c:v>
                </c:pt>
                <c:pt idx="10">
                  <c:v>1.05</c:v>
                </c:pt>
                <c:pt idx="11">
                  <c:v>1.26</c:v>
                </c:pt>
                <c:pt idx="12">
                  <c:v>1.48</c:v>
                </c:pt>
                <c:pt idx="13">
                  <c:v>0.997</c:v>
                </c:pt>
                <c:pt idx="14">
                  <c:v>1.06</c:v>
                </c:pt>
                <c:pt idx="15">
                  <c:v>1.21</c:v>
                </c:pt>
                <c:pt idx="16">
                  <c:v>1.59</c:v>
                </c:pt>
                <c:pt idx="17">
                  <c:v>1.85</c:v>
                </c:pt>
                <c:pt idx="18">
                  <c:v>1.49</c:v>
                </c:pt>
                <c:pt idx="19">
                  <c:v>3.54</c:v>
                </c:pt>
                <c:pt idx="20">
                  <c:v>1.85</c:v>
                </c:pt>
                <c:pt idx="21">
                  <c:v>2.4</c:v>
                </c:pt>
                <c:pt idx="22">
                  <c:v>1.07</c:v>
                </c:pt>
                <c:pt idx="23">
                  <c:v>1.35</c:v>
                </c:pt>
                <c:pt idx="24">
                  <c:v>0.74099999999999999</c:v>
                </c:pt>
                <c:pt idx="25">
                  <c:v>0.97899999999999998</c:v>
                </c:pt>
                <c:pt idx="26">
                  <c:v>1.01</c:v>
                </c:pt>
                <c:pt idx="27">
                  <c:v>0.63700000000000001</c:v>
                </c:pt>
                <c:pt idx="28">
                  <c:v>0.193</c:v>
                </c:pt>
                <c:pt idx="29">
                  <c:v>0.73</c:v>
                </c:pt>
                <c:pt idx="30">
                  <c:v>2.1100000000000001E-2</c:v>
                </c:pt>
                <c:pt idx="31">
                  <c:v>0.84799999999999998</c:v>
                </c:pt>
                <c:pt idx="32">
                  <c:v>0.877</c:v>
                </c:pt>
                <c:pt idx="33">
                  <c:v>0.69199999999999995</c:v>
                </c:pt>
                <c:pt idx="34">
                  <c:v>0.82399999999999995</c:v>
                </c:pt>
                <c:pt idx="35">
                  <c:v>0.58699999999999997</c:v>
                </c:pt>
                <c:pt idx="36">
                  <c:v>0.56100000000000005</c:v>
                </c:pt>
                <c:pt idx="37">
                  <c:v>0.60799999999999998</c:v>
                </c:pt>
                <c:pt idx="38">
                  <c:v>1.1000000000000001</c:v>
                </c:pt>
                <c:pt idx="39">
                  <c:v>0.56899999999999995</c:v>
                </c:pt>
                <c:pt idx="40">
                  <c:v>0.39300000000000002</c:v>
                </c:pt>
                <c:pt idx="41">
                  <c:v>0.50600000000000001</c:v>
                </c:pt>
                <c:pt idx="42">
                  <c:v>1.64</c:v>
                </c:pt>
                <c:pt idx="43">
                  <c:v>0.878</c:v>
                </c:pt>
                <c:pt idx="44">
                  <c:v>0.76800000000000002</c:v>
                </c:pt>
                <c:pt idx="45">
                  <c:v>0.16200000000000001</c:v>
                </c:pt>
                <c:pt idx="46">
                  <c:v>0.27100000000000002</c:v>
                </c:pt>
                <c:pt idx="47">
                  <c:v>-0.28799999999999998</c:v>
                </c:pt>
                <c:pt idx="48">
                  <c:v>-0.48899999999999999</c:v>
                </c:pt>
                <c:pt idx="49">
                  <c:v>-6.2700000000000004E-3</c:v>
                </c:pt>
                <c:pt idx="50">
                  <c:v>0.25900000000000001</c:v>
                </c:pt>
                <c:pt idx="51">
                  <c:v>0.82799999999999996</c:v>
                </c:pt>
                <c:pt idx="52">
                  <c:v>1.34</c:v>
                </c:pt>
                <c:pt idx="53">
                  <c:v>0.109</c:v>
                </c:pt>
                <c:pt idx="54">
                  <c:v>1.34</c:v>
                </c:pt>
                <c:pt idx="55">
                  <c:v>1.32</c:v>
                </c:pt>
                <c:pt idx="56">
                  <c:v>0.57599999999999996</c:v>
                </c:pt>
                <c:pt idx="57">
                  <c:v>0.28799999999999998</c:v>
                </c:pt>
                <c:pt idx="58">
                  <c:v>-0.72</c:v>
                </c:pt>
                <c:pt idx="59">
                  <c:v>0.28799999999999998</c:v>
                </c:pt>
                <c:pt idx="60">
                  <c:v>3.8736000000000002</c:v>
                </c:pt>
                <c:pt idx="61">
                  <c:v>4.2767999999999997</c:v>
                </c:pt>
                <c:pt idx="62">
                  <c:v>6.4079999999999995</c:v>
                </c:pt>
                <c:pt idx="63">
                  <c:v>8.1504000000000012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AA-A143-B35C-A2CA3EE51C2E}"/>
            </c:ext>
          </c:extLst>
        </c:ser>
        <c:ser>
          <c:idx val="1"/>
          <c:order val="1"/>
          <c:marker>
            <c:symbol val="none"/>
          </c:marker>
          <c:xVal>
            <c:numRef>
              <c:f>Comparison!$AC$3:$AC$66</c:f>
              <c:numCache>
                <c:formatCode>0.00E+00</c:formatCode>
                <c:ptCount val="64"/>
                <c:pt idx="0">
                  <c:v>3.09</c:v>
                </c:pt>
                <c:pt idx="1">
                  <c:v>3.04</c:v>
                </c:pt>
                <c:pt idx="2">
                  <c:v>3</c:v>
                </c:pt>
                <c:pt idx="3">
                  <c:v>2.96</c:v>
                </c:pt>
                <c:pt idx="4">
                  <c:v>2.92</c:v>
                </c:pt>
                <c:pt idx="5">
                  <c:v>2.88</c:v>
                </c:pt>
                <c:pt idx="6">
                  <c:v>2.84</c:v>
                </c:pt>
                <c:pt idx="7">
                  <c:v>2.8</c:v>
                </c:pt>
                <c:pt idx="8">
                  <c:v>2.76</c:v>
                </c:pt>
                <c:pt idx="9" formatCode="General">
                  <c:v>2.565853019</c:v>
                </c:pt>
                <c:pt idx="10" formatCode="General">
                  <c:v>2.5319487199999999</c:v>
                </c:pt>
                <c:pt idx="11" formatCode="General">
                  <c:v>2.499395341</c:v>
                </c:pt>
                <c:pt idx="12" formatCode="General">
                  <c:v>2.463218446</c:v>
                </c:pt>
                <c:pt idx="13" formatCode="General">
                  <c:v>2.4248004519999999</c:v>
                </c:pt>
                <c:pt idx="14" formatCode="General">
                  <c:v>2.387816194</c:v>
                </c:pt>
                <c:pt idx="15" formatCode="General">
                  <c:v>2.3232748910000001</c:v>
                </c:pt>
                <c:pt idx="16" formatCode="General">
                  <c:v>2.2819939109999998</c:v>
                </c:pt>
                <c:pt idx="17" formatCode="General">
                  <c:v>2.16864013</c:v>
                </c:pt>
                <c:pt idx="18" formatCode="General">
                  <c:v>2.1246155739999999</c:v>
                </c:pt>
                <c:pt idx="19" formatCode="General">
                  <c:v>2.0702272339999999</c:v>
                </c:pt>
                <c:pt idx="20" formatCode="General">
                  <c:v>2.0150720249999998</c:v>
                </c:pt>
                <c:pt idx="21" formatCode="General">
                  <c:v>1.919013954</c:v>
                </c:pt>
                <c:pt idx="22" formatCode="General">
                  <c:v>1.8739722299999999</c:v>
                </c:pt>
                <c:pt idx="23" formatCode="General">
                  <c:v>1.836758731</c:v>
                </c:pt>
                <c:pt idx="24" formatCode="General">
                  <c:v>1.7994634389999999</c:v>
                </c:pt>
                <c:pt idx="25" formatCode="General">
                  <c:v>1.7632726489999999</c:v>
                </c:pt>
                <c:pt idx="26" formatCode="General">
                  <c:v>1.5671693680000001</c:v>
                </c:pt>
                <c:pt idx="27" formatCode="General">
                  <c:v>1.5350550439999999</c:v>
                </c:pt>
                <c:pt idx="28" formatCode="General">
                  <c:v>1.5037257989999999</c:v>
                </c:pt>
                <c:pt idx="29" formatCode="General">
                  <c:v>1.3944996279999999</c:v>
                </c:pt>
                <c:pt idx="30" formatCode="General">
                  <c:v>1.3708202730000001</c:v>
                </c:pt>
                <c:pt idx="31" formatCode="General">
                  <c:v>1.346116203</c:v>
                </c:pt>
                <c:pt idx="32" formatCode="General">
                  <c:v>1.316845246</c:v>
                </c:pt>
                <c:pt idx="33" formatCode="General">
                  <c:v>1.2877566979999999</c:v>
                </c:pt>
                <c:pt idx="34" formatCode="General">
                  <c:v>1.25995751</c:v>
                </c:pt>
                <c:pt idx="35" formatCode="General">
                  <c:v>1.2310082250000001</c:v>
                </c:pt>
                <c:pt idx="36" formatCode="General">
                  <c:v>1.2057875730000001</c:v>
                </c:pt>
                <c:pt idx="37" formatCode="General">
                  <c:v>1.1813288900000001</c:v>
                </c:pt>
                <c:pt idx="38" formatCode="General">
                  <c:v>1.155893311</c:v>
                </c:pt>
                <c:pt idx="39" formatCode="General">
                  <c:v>1.1294738849999999</c:v>
                </c:pt>
                <c:pt idx="40" formatCode="General">
                  <c:v>1.102815605</c:v>
                </c:pt>
                <c:pt idx="41" formatCode="General">
                  <c:v>1.0784434199999999</c:v>
                </c:pt>
                <c:pt idx="42" formatCode="General">
                  <c:v>1.051401091</c:v>
                </c:pt>
                <c:pt idx="43" formatCode="General">
                  <c:v>1.020996585</c:v>
                </c:pt>
                <c:pt idx="44" formatCode="General">
                  <c:v>0.99228676699999996</c:v>
                </c:pt>
                <c:pt idx="45" formatCode="General">
                  <c:v>0.96585404600000002</c:v>
                </c:pt>
                <c:pt idx="46" formatCode="General">
                  <c:v>0.94686099899999998</c:v>
                </c:pt>
                <c:pt idx="47" formatCode="General">
                  <c:v>0.92725057099999997</c:v>
                </c:pt>
                <c:pt idx="48" formatCode="General">
                  <c:v>0.88597981199999998</c:v>
                </c:pt>
                <c:pt idx="49" formatCode="General">
                  <c:v>0.85625384100000002</c:v>
                </c:pt>
                <c:pt idx="50" formatCode="General">
                  <c:v>0.82819801000000004</c:v>
                </c:pt>
                <c:pt idx="51" formatCode="General">
                  <c:v>0.79448532599999999</c:v>
                </c:pt>
                <c:pt idx="52" formatCode="General">
                  <c:v>0.76523991800000002</c:v>
                </c:pt>
                <c:pt idx="53" formatCode="General">
                  <c:v>0.74332233400000003</c:v>
                </c:pt>
                <c:pt idx="54" formatCode="General">
                  <c:v>0.72156631299999996</c:v>
                </c:pt>
                <c:pt idx="55" formatCode="General">
                  <c:v>0.70435056699999998</c:v>
                </c:pt>
                <c:pt idx="56" formatCode="General">
                  <c:v>0.68174709200000005</c:v>
                </c:pt>
                <c:pt idx="57" formatCode="General">
                  <c:v>0.65773114399999999</c:v>
                </c:pt>
                <c:pt idx="58" formatCode="General">
                  <c:v>0.45490926199999998</c:v>
                </c:pt>
                <c:pt idx="59" formatCode="General">
                  <c:v>0.65773114369861618</c:v>
                </c:pt>
                <c:pt idx="60" formatCode="General">
                  <c:v>0.61232889425791415</c:v>
                </c:pt>
                <c:pt idx="61" formatCode="General">
                  <c:v>0.53664341316156028</c:v>
                </c:pt>
                <c:pt idx="62" formatCode="General">
                  <c:v>0.40644607479560563</c:v>
                </c:pt>
                <c:pt idx="63" formatCode="General">
                  <c:v>0.30954382535490638</c:v>
                </c:pt>
              </c:numCache>
            </c:numRef>
          </c:xVal>
          <c:yVal>
            <c:numRef>
              <c:f>Comparison!$AF$3:$AF$66</c:f>
              <c:numCache>
                <c:formatCode>0.00E+00</c:formatCode>
                <c:ptCount val="64"/>
                <c:pt idx="0">
                  <c:v>0.6671999999999999</c:v>
                </c:pt>
                <c:pt idx="1">
                  <c:v>0.6332000000000001</c:v>
                </c:pt>
                <c:pt idx="2">
                  <c:v>0.60599999999999998</c:v>
                </c:pt>
                <c:pt idx="3">
                  <c:v>0.57879999999999987</c:v>
                </c:pt>
                <c:pt idx="4">
                  <c:v>0.55159999999999998</c:v>
                </c:pt>
                <c:pt idx="5">
                  <c:v>0.52440000000000009</c:v>
                </c:pt>
                <c:pt idx="6">
                  <c:v>0.49719999999999998</c:v>
                </c:pt>
                <c:pt idx="7">
                  <c:v>0.46999999999999986</c:v>
                </c:pt>
                <c:pt idx="8">
                  <c:v>0.44279999999999997</c:v>
                </c:pt>
                <c:pt idx="9">
                  <c:v>0.3107800529200001</c:v>
                </c:pt>
                <c:pt idx="10">
                  <c:v>0.28772512959999996</c:v>
                </c:pt>
                <c:pt idx="11">
                  <c:v>0.26558883188000004</c:v>
                </c:pt>
                <c:pt idx="12">
                  <c:v>0.24098854327999997</c:v>
                </c:pt>
                <c:pt idx="13">
                  <c:v>0.21486430735999995</c:v>
                </c:pt>
                <c:pt idx="14">
                  <c:v>0.18971501192000007</c:v>
                </c:pt>
                <c:pt idx="15">
                  <c:v>0.14582692588000012</c:v>
                </c:pt>
                <c:pt idx="16">
                  <c:v>0.11775585948000011</c:v>
                </c:pt>
                <c:pt idx="17">
                  <c:v>4.067528840000012E-2</c:v>
                </c:pt>
                <c:pt idx="18">
                  <c:v>1.073859032000013E-2</c:v>
                </c:pt>
                <c:pt idx="19">
                  <c:v>-2.6245480879999894E-2</c:v>
                </c:pt>
                <c:pt idx="20">
                  <c:v>-6.3751023000000018E-2</c:v>
                </c:pt>
                <c:pt idx="21">
                  <c:v>-0.12907051127999991</c:v>
                </c:pt>
                <c:pt idx="22">
                  <c:v>-0.15969888359999995</c:v>
                </c:pt>
                <c:pt idx="23">
                  <c:v>-0.18500406291999982</c:v>
                </c:pt>
                <c:pt idx="24">
                  <c:v>-0.21036486148</c:v>
                </c:pt>
                <c:pt idx="25">
                  <c:v>-0.23497459867999981</c:v>
                </c:pt>
                <c:pt idx="26">
                  <c:v>-0.36832482975999992</c:v>
                </c:pt>
                <c:pt idx="27">
                  <c:v>-0.39016257007999999</c:v>
                </c:pt>
                <c:pt idx="28">
                  <c:v>-0.41146645667999993</c:v>
                </c:pt>
                <c:pt idx="29">
                  <c:v>-0.48574025295999995</c:v>
                </c:pt>
                <c:pt idx="30">
                  <c:v>-0.50184221435999987</c:v>
                </c:pt>
                <c:pt idx="31">
                  <c:v>-0.51864098195999997</c:v>
                </c:pt>
                <c:pt idx="32">
                  <c:v>-0.53854523271999999</c:v>
                </c:pt>
                <c:pt idx="33">
                  <c:v>-0.55832544535999995</c:v>
                </c:pt>
                <c:pt idx="34">
                  <c:v>-0.57722889320000004</c:v>
                </c:pt>
                <c:pt idx="35">
                  <c:v>-0.59691440699999987</c:v>
                </c:pt>
                <c:pt idx="36">
                  <c:v>-0.6140644503599999</c:v>
                </c:pt>
                <c:pt idx="37">
                  <c:v>-0.63069635479999997</c:v>
                </c:pt>
                <c:pt idx="38">
                  <c:v>-0.64799254851999999</c:v>
                </c:pt>
                <c:pt idx="39">
                  <c:v>-0.66595775820000003</c:v>
                </c:pt>
                <c:pt idx="40">
                  <c:v>-0.68408538860000001</c:v>
                </c:pt>
                <c:pt idx="41">
                  <c:v>-0.70065847439999995</c:v>
                </c:pt>
                <c:pt idx="42">
                  <c:v>-0.71904725812000003</c:v>
                </c:pt>
                <c:pt idx="43">
                  <c:v>-0.7397223222</c:v>
                </c:pt>
                <c:pt idx="44">
                  <c:v>-0.75924499844000004</c:v>
                </c:pt>
                <c:pt idx="45">
                  <c:v>-0.77721924872000003</c:v>
                </c:pt>
                <c:pt idx="46">
                  <c:v>-0.79013452068000001</c:v>
                </c:pt>
                <c:pt idx="47">
                  <c:v>-0.80346961171999998</c:v>
                </c:pt>
                <c:pt idx="48">
                  <c:v>-0.83153372784000001</c:v>
                </c:pt>
                <c:pt idx="49">
                  <c:v>-0.85174738811999995</c:v>
                </c:pt>
                <c:pt idx="50">
                  <c:v>-0.87082535319999999</c:v>
                </c:pt>
                <c:pt idx="51">
                  <c:v>-0.89374997832000003</c:v>
                </c:pt>
                <c:pt idx="52">
                  <c:v>-0.91363685575999998</c:v>
                </c:pt>
                <c:pt idx="53">
                  <c:v>-0.92854081288000001</c:v>
                </c:pt>
                <c:pt idx="54">
                  <c:v>-0.94333490716000001</c:v>
                </c:pt>
                <c:pt idx="55">
                  <c:v>-0.95504161444000002</c:v>
                </c:pt>
                <c:pt idx="56">
                  <c:v>-0.97041197743999996</c:v>
                </c:pt>
                <c:pt idx="57">
                  <c:v>-0.98674282207999997</c:v>
                </c:pt>
                <c:pt idx="58">
                  <c:v>-1.12466170184</c:v>
                </c:pt>
                <c:pt idx="59">
                  <c:v>-0.98674282228494103</c:v>
                </c:pt>
                <c:pt idx="60">
                  <c:v>-1.0176163519046184</c:v>
                </c:pt>
                <c:pt idx="61">
                  <c:v>-1.069082479050139</c:v>
                </c:pt>
                <c:pt idx="62">
                  <c:v>-1.1576166691389882</c:v>
                </c:pt>
                <c:pt idx="63">
                  <c:v>-1.2235101987586636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AA-A143-B35C-A2CA3EE51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612848"/>
        <c:axId val="-2035607856"/>
      </c:scatterChar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diamond"/>
            <c:size val="14"/>
            <c:spPr>
              <a:solidFill>
                <a:schemeClr val="accent6"/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34725627222783401"/>
                  <c:y val="-0.22391665753510401"/>
                </c:manualLayout>
              </c:layout>
              <c:numFmt formatCode="General" sourceLinked="0"/>
              <c:spPr>
                <a:solidFill>
                  <a:srgbClr val="FFFFFF"/>
                </a:solidFill>
                <a:ln>
                  <a:solidFill>
                    <a:srgbClr val="000000"/>
                  </a:solidFill>
                </a:ln>
              </c:spPr>
              <c:txPr>
                <a:bodyPr/>
                <a:lstStyle/>
                <a:p>
                  <a:pPr>
                    <a:defRPr sz="1600"/>
                  </a:pPr>
                  <a:endParaRPr lang="en-US"/>
                </a:p>
              </c:txPr>
            </c:trendlineLbl>
          </c:trendline>
          <c:xVal>
            <c:numRef>
              <c:f>Comparison!$AC$3:$AC$61</c:f>
              <c:numCache>
                <c:formatCode>0.00E+00</c:formatCode>
                <c:ptCount val="59"/>
                <c:pt idx="0">
                  <c:v>3.09</c:v>
                </c:pt>
                <c:pt idx="1">
                  <c:v>3.04</c:v>
                </c:pt>
                <c:pt idx="2">
                  <c:v>3</c:v>
                </c:pt>
                <c:pt idx="3">
                  <c:v>2.96</c:v>
                </c:pt>
                <c:pt idx="4">
                  <c:v>2.92</c:v>
                </c:pt>
                <c:pt idx="5">
                  <c:v>2.88</c:v>
                </c:pt>
                <c:pt idx="6">
                  <c:v>2.84</c:v>
                </c:pt>
                <c:pt idx="7">
                  <c:v>2.8</c:v>
                </c:pt>
                <c:pt idx="8">
                  <c:v>2.76</c:v>
                </c:pt>
                <c:pt idx="9" formatCode="General">
                  <c:v>2.565853019</c:v>
                </c:pt>
                <c:pt idx="10" formatCode="General">
                  <c:v>2.5319487199999999</c:v>
                </c:pt>
                <c:pt idx="11" formatCode="General">
                  <c:v>2.499395341</c:v>
                </c:pt>
                <c:pt idx="12" formatCode="General">
                  <c:v>2.463218446</c:v>
                </c:pt>
                <c:pt idx="13" formatCode="General">
                  <c:v>2.4248004519999999</c:v>
                </c:pt>
                <c:pt idx="14" formatCode="General">
                  <c:v>2.387816194</c:v>
                </c:pt>
                <c:pt idx="15" formatCode="General">
                  <c:v>2.3232748910000001</c:v>
                </c:pt>
                <c:pt idx="16" formatCode="General">
                  <c:v>2.2819939109999998</c:v>
                </c:pt>
                <c:pt idx="17" formatCode="General">
                  <c:v>2.16864013</c:v>
                </c:pt>
                <c:pt idx="18" formatCode="General">
                  <c:v>2.1246155739999999</c:v>
                </c:pt>
                <c:pt idx="19" formatCode="General">
                  <c:v>2.0702272339999999</c:v>
                </c:pt>
                <c:pt idx="20" formatCode="General">
                  <c:v>2.0150720249999998</c:v>
                </c:pt>
                <c:pt idx="21" formatCode="General">
                  <c:v>1.919013954</c:v>
                </c:pt>
                <c:pt idx="22" formatCode="General">
                  <c:v>1.8739722299999999</c:v>
                </c:pt>
                <c:pt idx="23" formatCode="General">
                  <c:v>1.836758731</c:v>
                </c:pt>
                <c:pt idx="24" formatCode="General">
                  <c:v>1.7994634389999999</c:v>
                </c:pt>
                <c:pt idx="25" formatCode="General">
                  <c:v>1.7632726489999999</c:v>
                </c:pt>
                <c:pt idx="26" formatCode="General">
                  <c:v>1.5671693680000001</c:v>
                </c:pt>
                <c:pt idx="27" formatCode="General">
                  <c:v>1.5350550439999999</c:v>
                </c:pt>
                <c:pt idx="28" formatCode="General">
                  <c:v>1.5037257989999999</c:v>
                </c:pt>
                <c:pt idx="29" formatCode="General">
                  <c:v>1.3944996279999999</c:v>
                </c:pt>
                <c:pt idx="30" formatCode="General">
                  <c:v>1.3708202730000001</c:v>
                </c:pt>
                <c:pt idx="31" formatCode="General">
                  <c:v>1.346116203</c:v>
                </c:pt>
                <c:pt idx="32" formatCode="General">
                  <c:v>1.316845246</c:v>
                </c:pt>
                <c:pt idx="33" formatCode="General">
                  <c:v>1.2877566979999999</c:v>
                </c:pt>
                <c:pt idx="34" formatCode="General">
                  <c:v>1.25995751</c:v>
                </c:pt>
                <c:pt idx="35" formatCode="General">
                  <c:v>1.2310082250000001</c:v>
                </c:pt>
                <c:pt idx="36" formatCode="General">
                  <c:v>1.2057875730000001</c:v>
                </c:pt>
                <c:pt idx="37" formatCode="General">
                  <c:v>1.1813288900000001</c:v>
                </c:pt>
                <c:pt idx="38" formatCode="General">
                  <c:v>1.155893311</c:v>
                </c:pt>
                <c:pt idx="39" formatCode="General">
                  <c:v>1.1294738849999999</c:v>
                </c:pt>
                <c:pt idx="40" formatCode="General">
                  <c:v>1.102815605</c:v>
                </c:pt>
                <c:pt idx="41" formatCode="General">
                  <c:v>1.0784434199999999</c:v>
                </c:pt>
                <c:pt idx="42" formatCode="General">
                  <c:v>1.051401091</c:v>
                </c:pt>
                <c:pt idx="43" formatCode="General">
                  <c:v>1.020996585</c:v>
                </c:pt>
                <c:pt idx="44" formatCode="General">
                  <c:v>0.99228676699999996</c:v>
                </c:pt>
                <c:pt idx="45" formatCode="General">
                  <c:v>0.96585404600000002</c:v>
                </c:pt>
                <c:pt idx="46" formatCode="General">
                  <c:v>0.94686099899999998</c:v>
                </c:pt>
                <c:pt idx="47" formatCode="General">
                  <c:v>0.92725057099999997</c:v>
                </c:pt>
                <c:pt idx="48" formatCode="General">
                  <c:v>0.88597981199999998</c:v>
                </c:pt>
                <c:pt idx="49" formatCode="General">
                  <c:v>0.85625384100000002</c:v>
                </c:pt>
                <c:pt idx="50" formatCode="General">
                  <c:v>0.82819801000000004</c:v>
                </c:pt>
                <c:pt idx="51" formatCode="General">
                  <c:v>0.79448532599999999</c:v>
                </c:pt>
                <c:pt idx="52" formatCode="General">
                  <c:v>0.76523991800000002</c:v>
                </c:pt>
                <c:pt idx="53" formatCode="General">
                  <c:v>0.74332233400000003</c:v>
                </c:pt>
                <c:pt idx="54" formatCode="General">
                  <c:v>0.72156631299999996</c:v>
                </c:pt>
                <c:pt idx="55" formatCode="General">
                  <c:v>0.70435056699999998</c:v>
                </c:pt>
                <c:pt idx="56" formatCode="General">
                  <c:v>0.68174709200000005</c:v>
                </c:pt>
                <c:pt idx="57" formatCode="General">
                  <c:v>0.65773114399999999</c:v>
                </c:pt>
                <c:pt idx="58" formatCode="General">
                  <c:v>0.45490926199999998</c:v>
                </c:pt>
              </c:numCache>
            </c:numRef>
          </c:xVal>
          <c:yVal>
            <c:numRef>
              <c:f>Comparison!$AD$3:$AD$66</c:f>
              <c:numCache>
                <c:formatCode>0.00E+00</c:formatCode>
                <c:ptCount val="64"/>
                <c:pt idx="0">
                  <c:v>3.39</c:v>
                </c:pt>
                <c:pt idx="1">
                  <c:v>2.17</c:v>
                </c:pt>
                <c:pt idx="2">
                  <c:v>2.4700000000000002</c:v>
                </c:pt>
                <c:pt idx="3">
                  <c:v>2.3199999999999998</c:v>
                </c:pt>
                <c:pt idx="4">
                  <c:v>2.5499999999999998</c:v>
                </c:pt>
                <c:pt idx="5">
                  <c:v>0.83199999999999996</c:v>
                </c:pt>
                <c:pt idx="6">
                  <c:v>2.46</c:v>
                </c:pt>
                <c:pt idx="7">
                  <c:v>0.83</c:v>
                </c:pt>
                <c:pt idx="8">
                  <c:v>7.7799999999999996E-3</c:v>
                </c:pt>
                <c:pt idx="9">
                  <c:v>0.252</c:v>
                </c:pt>
                <c:pt idx="10">
                  <c:v>1.05</c:v>
                </c:pt>
                <c:pt idx="11">
                  <c:v>1.26</c:v>
                </c:pt>
                <c:pt idx="12">
                  <c:v>1.48</c:v>
                </c:pt>
                <c:pt idx="13">
                  <c:v>0.997</c:v>
                </c:pt>
                <c:pt idx="14">
                  <c:v>1.06</c:v>
                </c:pt>
                <c:pt idx="15">
                  <c:v>1.21</c:v>
                </c:pt>
                <c:pt idx="16">
                  <c:v>1.59</c:v>
                </c:pt>
                <c:pt idx="17">
                  <c:v>1.85</c:v>
                </c:pt>
                <c:pt idx="18">
                  <c:v>1.49</c:v>
                </c:pt>
                <c:pt idx="19">
                  <c:v>3.54</c:v>
                </c:pt>
                <c:pt idx="20">
                  <c:v>1.85</c:v>
                </c:pt>
                <c:pt idx="21">
                  <c:v>2.4</c:v>
                </c:pt>
                <c:pt idx="22">
                  <c:v>1.07</c:v>
                </c:pt>
                <c:pt idx="23">
                  <c:v>1.35</c:v>
                </c:pt>
                <c:pt idx="24">
                  <c:v>0.74099999999999999</c:v>
                </c:pt>
                <c:pt idx="25">
                  <c:v>0.97899999999999998</c:v>
                </c:pt>
                <c:pt idx="26">
                  <c:v>1.01</c:v>
                </c:pt>
                <c:pt idx="27">
                  <c:v>0.63700000000000001</c:v>
                </c:pt>
                <c:pt idx="28">
                  <c:v>0.193</c:v>
                </c:pt>
                <c:pt idx="29">
                  <c:v>0.73</c:v>
                </c:pt>
                <c:pt idx="30">
                  <c:v>2.1100000000000001E-2</c:v>
                </c:pt>
                <c:pt idx="31">
                  <c:v>0.84799999999999998</c:v>
                </c:pt>
                <c:pt idx="32">
                  <c:v>0.877</c:v>
                </c:pt>
                <c:pt idx="33">
                  <c:v>0.69199999999999995</c:v>
                </c:pt>
                <c:pt idx="34">
                  <c:v>0.82399999999999995</c:v>
                </c:pt>
                <c:pt idx="35">
                  <c:v>0.58699999999999997</c:v>
                </c:pt>
                <c:pt idx="36">
                  <c:v>0.56100000000000005</c:v>
                </c:pt>
                <c:pt idx="37">
                  <c:v>0.60799999999999998</c:v>
                </c:pt>
                <c:pt idx="38">
                  <c:v>1.1000000000000001</c:v>
                </c:pt>
                <c:pt idx="39">
                  <c:v>0.56899999999999995</c:v>
                </c:pt>
                <c:pt idx="40">
                  <c:v>0.39300000000000002</c:v>
                </c:pt>
                <c:pt idx="41">
                  <c:v>0.50600000000000001</c:v>
                </c:pt>
                <c:pt idx="42">
                  <c:v>1.64</c:v>
                </c:pt>
                <c:pt idx="43">
                  <c:v>0.878</c:v>
                </c:pt>
                <c:pt idx="44">
                  <c:v>0.76800000000000002</c:v>
                </c:pt>
                <c:pt idx="45">
                  <c:v>0.16200000000000001</c:v>
                </c:pt>
                <c:pt idx="46">
                  <c:v>0.27100000000000002</c:v>
                </c:pt>
                <c:pt idx="47">
                  <c:v>-0.28799999999999998</c:v>
                </c:pt>
                <c:pt idx="48">
                  <c:v>-0.48899999999999999</c:v>
                </c:pt>
                <c:pt idx="49">
                  <c:v>-6.2700000000000004E-3</c:v>
                </c:pt>
                <c:pt idx="50">
                  <c:v>0.25900000000000001</c:v>
                </c:pt>
                <c:pt idx="51">
                  <c:v>0.82799999999999996</c:v>
                </c:pt>
                <c:pt idx="52">
                  <c:v>1.34</c:v>
                </c:pt>
                <c:pt idx="53">
                  <c:v>0.109</c:v>
                </c:pt>
                <c:pt idx="54">
                  <c:v>1.34</c:v>
                </c:pt>
                <c:pt idx="55">
                  <c:v>1.32</c:v>
                </c:pt>
                <c:pt idx="56">
                  <c:v>0.57599999999999996</c:v>
                </c:pt>
                <c:pt idx="57">
                  <c:v>0.28799999999999998</c:v>
                </c:pt>
                <c:pt idx="58">
                  <c:v>-0.72</c:v>
                </c:pt>
                <c:pt idx="59">
                  <c:v>0.28799999999999998</c:v>
                </c:pt>
                <c:pt idx="60">
                  <c:v>3.8736000000000002</c:v>
                </c:pt>
                <c:pt idx="61">
                  <c:v>4.2767999999999997</c:v>
                </c:pt>
                <c:pt idx="62">
                  <c:v>6.4079999999999995</c:v>
                </c:pt>
                <c:pt idx="63">
                  <c:v>8.1504000000000012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AA-A143-B35C-A2CA3EE51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612848"/>
        <c:axId val="-2035607856"/>
      </c:scatterChart>
      <c:valAx>
        <c:axId val="-203561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/>
                  <a:t>Tank Water Level (m)</a:t>
                </a:r>
              </a:p>
            </c:rich>
          </c:tx>
          <c:layout>
            <c:manualLayout>
              <c:xMode val="edge"/>
              <c:yMode val="edge"/>
              <c:x val="0.31552634128115398"/>
              <c:y val="0.90457256461232605"/>
            </c:manualLayout>
          </c:layout>
          <c:overlay val="0"/>
        </c:title>
        <c:numFmt formatCode="0.00E+00" sourceLinked="0"/>
        <c:majorTickMark val="in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-2035607856"/>
        <c:crossesAt val="-2"/>
        <c:crossBetween val="midCat"/>
      </c:valAx>
      <c:valAx>
        <c:axId val="-2035607856"/>
        <c:scaling>
          <c:orientation val="minMax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400"/>
                  <a:t>Groundwater Exchange (cm/day) </a:t>
                </a:r>
              </a:p>
            </c:rich>
          </c:tx>
          <c:layout>
            <c:manualLayout>
              <c:xMode val="edge"/>
              <c:yMode val="edge"/>
              <c:x val="2.10896309314587E-2"/>
              <c:y val="0.12534446862134299"/>
            </c:manualLayout>
          </c:layout>
          <c:overlay val="0"/>
        </c:title>
        <c:numFmt formatCode="#,##0" sourceLinked="0"/>
        <c:majorTickMark val="in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-2035612848"/>
        <c:crosses val="autoZero"/>
        <c:crossBetween val="midCat"/>
      </c:valAx>
      <c:spPr>
        <a:ln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99112962373499"/>
          <c:y val="7.55467196819085E-2"/>
          <c:w val="0.76230477561130905"/>
          <c:h val="0.75347912524850902"/>
        </c:manualLayout>
      </c:layou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Comparison!$AC$3:$AC$66</c:f>
              <c:numCache>
                <c:formatCode>0.00E+00</c:formatCode>
                <c:ptCount val="64"/>
                <c:pt idx="0">
                  <c:v>3.09</c:v>
                </c:pt>
                <c:pt idx="1">
                  <c:v>3.04</c:v>
                </c:pt>
                <c:pt idx="2">
                  <c:v>3</c:v>
                </c:pt>
                <c:pt idx="3">
                  <c:v>2.96</c:v>
                </c:pt>
                <c:pt idx="4">
                  <c:v>2.92</c:v>
                </c:pt>
                <c:pt idx="5">
                  <c:v>2.88</c:v>
                </c:pt>
                <c:pt idx="6">
                  <c:v>2.84</c:v>
                </c:pt>
                <c:pt idx="7">
                  <c:v>2.8</c:v>
                </c:pt>
                <c:pt idx="8">
                  <c:v>2.76</c:v>
                </c:pt>
                <c:pt idx="9" formatCode="General">
                  <c:v>2.565853019</c:v>
                </c:pt>
                <c:pt idx="10" formatCode="General">
                  <c:v>2.5319487199999999</c:v>
                </c:pt>
                <c:pt idx="11" formatCode="General">
                  <c:v>2.499395341</c:v>
                </c:pt>
                <c:pt idx="12" formatCode="General">
                  <c:v>2.463218446</c:v>
                </c:pt>
                <c:pt idx="13" formatCode="General">
                  <c:v>2.4248004519999999</c:v>
                </c:pt>
                <c:pt idx="14" formatCode="General">
                  <c:v>2.387816194</c:v>
                </c:pt>
                <c:pt idx="15" formatCode="General">
                  <c:v>2.3232748910000001</c:v>
                </c:pt>
                <c:pt idx="16" formatCode="General">
                  <c:v>2.2819939109999998</c:v>
                </c:pt>
                <c:pt idx="17" formatCode="General">
                  <c:v>2.16864013</c:v>
                </c:pt>
                <c:pt idx="18" formatCode="General">
                  <c:v>2.1246155739999999</c:v>
                </c:pt>
                <c:pt idx="19" formatCode="General">
                  <c:v>2.0702272339999999</c:v>
                </c:pt>
                <c:pt idx="20" formatCode="General">
                  <c:v>2.0150720249999998</c:v>
                </c:pt>
                <c:pt idx="21" formatCode="General">
                  <c:v>1.919013954</c:v>
                </c:pt>
                <c:pt idx="22" formatCode="General">
                  <c:v>1.8739722299999999</c:v>
                </c:pt>
                <c:pt idx="23" formatCode="General">
                  <c:v>1.836758731</c:v>
                </c:pt>
                <c:pt idx="24" formatCode="General">
                  <c:v>1.7994634389999999</c:v>
                </c:pt>
                <c:pt idx="25" formatCode="General">
                  <c:v>1.7632726489999999</c:v>
                </c:pt>
                <c:pt idx="26" formatCode="General">
                  <c:v>1.5671693680000001</c:v>
                </c:pt>
                <c:pt idx="27" formatCode="General">
                  <c:v>1.5350550439999999</c:v>
                </c:pt>
                <c:pt idx="28" formatCode="General">
                  <c:v>1.5037257989999999</c:v>
                </c:pt>
                <c:pt idx="29" formatCode="General">
                  <c:v>1.3944996279999999</c:v>
                </c:pt>
                <c:pt idx="30" formatCode="General">
                  <c:v>1.3708202730000001</c:v>
                </c:pt>
                <c:pt idx="31" formatCode="General">
                  <c:v>1.346116203</c:v>
                </c:pt>
                <c:pt idx="32" formatCode="General">
                  <c:v>1.316845246</c:v>
                </c:pt>
                <c:pt idx="33" formatCode="General">
                  <c:v>1.2877566979999999</c:v>
                </c:pt>
                <c:pt idx="34" formatCode="General">
                  <c:v>1.25995751</c:v>
                </c:pt>
                <c:pt idx="35" formatCode="General">
                  <c:v>1.2310082250000001</c:v>
                </c:pt>
                <c:pt idx="36" formatCode="General">
                  <c:v>1.2057875730000001</c:v>
                </c:pt>
                <c:pt idx="37" formatCode="General">
                  <c:v>1.1813288900000001</c:v>
                </c:pt>
                <c:pt idx="38" formatCode="General">
                  <c:v>1.155893311</c:v>
                </c:pt>
                <c:pt idx="39" formatCode="General">
                  <c:v>1.1294738849999999</c:v>
                </c:pt>
                <c:pt idx="40" formatCode="General">
                  <c:v>1.102815605</c:v>
                </c:pt>
                <c:pt idx="41" formatCode="General">
                  <c:v>1.0784434199999999</c:v>
                </c:pt>
                <c:pt idx="42" formatCode="General">
                  <c:v>1.051401091</c:v>
                </c:pt>
                <c:pt idx="43" formatCode="General">
                  <c:v>1.020996585</c:v>
                </c:pt>
                <c:pt idx="44" formatCode="General">
                  <c:v>0.99228676699999996</c:v>
                </c:pt>
                <c:pt idx="45" formatCode="General">
                  <c:v>0.96585404600000002</c:v>
                </c:pt>
                <c:pt idx="46" formatCode="General">
                  <c:v>0.94686099899999998</c:v>
                </c:pt>
                <c:pt idx="47" formatCode="General">
                  <c:v>0.92725057099999997</c:v>
                </c:pt>
                <c:pt idx="48" formatCode="General">
                  <c:v>0.88597981199999998</c:v>
                </c:pt>
                <c:pt idx="49" formatCode="General">
                  <c:v>0.85625384100000002</c:v>
                </c:pt>
                <c:pt idx="50" formatCode="General">
                  <c:v>0.82819801000000004</c:v>
                </c:pt>
                <c:pt idx="51" formatCode="General">
                  <c:v>0.79448532599999999</c:v>
                </c:pt>
                <c:pt idx="52" formatCode="General">
                  <c:v>0.76523991800000002</c:v>
                </c:pt>
                <c:pt idx="53" formatCode="General">
                  <c:v>0.74332233400000003</c:v>
                </c:pt>
                <c:pt idx="54" formatCode="General">
                  <c:v>0.72156631299999996</c:v>
                </c:pt>
                <c:pt idx="55" formatCode="General">
                  <c:v>0.70435056699999998</c:v>
                </c:pt>
                <c:pt idx="56" formatCode="General">
                  <c:v>0.68174709200000005</c:v>
                </c:pt>
                <c:pt idx="57" formatCode="General">
                  <c:v>0.65773114399999999</c:v>
                </c:pt>
                <c:pt idx="58" formatCode="General">
                  <c:v>0.45490926199999998</c:v>
                </c:pt>
                <c:pt idx="59" formatCode="General">
                  <c:v>0.65773114369861618</c:v>
                </c:pt>
                <c:pt idx="60" formatCode="General">
                  <c:v>0.61232889425791415</c:v>
                </c:pt>
                <c:pt idx="61" formatCode="General">
                  <c:v>0.53664341316156028</c:v>
                </c:pt>
                <c:pt idx="62" formatCode="General">
                  <c:v>0.40644607479560563</c:v>
                </c:pt>
                <c:pt idx="63" formatCode="General">
                  <c:v>0.30954382535490638</c:v>
                </c:pt>
              </c:numCache>
            </c:numRef>
          </c:xVal>
          <c:yVal>
            <c:numRef>
              <c:f>Comparison!$AF$3:$AF$66</c:f>
              <c:numCache>
                <c:formatCode>0.00E+00</c:formatCode>
                <c:ptCount val="64"/>
                <c:pt idx="0">
                  <c:v>0.6671999999999999</c:v>
                </c:pt>
                <c:pt idx="1">
                  <c:v>0.6332000000000001</c:v>
                </c:pt>
                <c:pt idx="2">
                  <c:v>0.60599999999999998</c:v>
                </c:pt>
                <c:pt idx="3">
                  <c:v>0.57879999999999987</c:v>
                </c:pt>
                <c:pt idx="4">
                  <c:v>0.55159999999999998</c:v>
                </c:pt>
                <c:pt idx="5">
                  <c:v>0.52440000000000009</c:v>
                </c:pt>
                <c:pt idx="6">
                  <c:v>0.49719999999999998</c:v>
                </c:pt>
                <c:pt idx="7">
                  <c:v>0.46999999999999986</c:v>
                </c:pt>
                <c:pt idx="8">
                  <c:v>0.44279999999999997</c:v>
                </c:pt>
                <c:pt idx="9">
                  <c:v>0.3107800529200001</c:v>
                </c:pt>
                <c:pt idx="10">
                  <c:v>0.28772512959999996</c:v>
                </c:pt>
                <c:pt idx="11">
                  <c:v>0.26558883188000004</c:v>
                </c:pt>
                <c:pt idx="12">
                  <c:v>0.24098854327999997</c:v>
                </c:pt>
                <c:pt idx="13">
                  <c:v>0.21486430735999995</c:v>
                </c:pt>
                <c:pt idx="14">
                  <c:v>0.18971501192000007</c:v>
                </c:pt>
                <c:pt idx="15">
                  <c:v>0.14582692588000012</c:v>
                </c:pt>
                <c:pt idx="16">
                  <c:v>0.11775585948000011</c:v>
                </c:pt>
                <c:pt idx="17">
                  <c:v>4.067528840000012E-2</c:v>
                </c:pt>
                <c:pt idx="18">
                  <c:v>1.073859032000013E-2</c:v>
                </c:pt>
                <c:pt idx="19">
                  <c:v>-2.6245480879999894E-2</c:v>
                </c:pt>
                <c:pt idx="20">
                  <c:v>-6.3751023000000018E-2</c:v>
                </c:pt>
                <c:pt idx="21">
                  <c:v>-0.12907051127999991</c:v>
                </c:pt>
                <c:pt idx="22">
                  <c:v>-0.15969888359999995</c:v>
                </c:pt>
                <c:pt idx="23">
                  <c:v>-0.18500406291999982</c:v>
                </c:pt>
                <c:pt idx="24">
                  <c:v>-0.21036486148</c:v>
                </c:pt>
                <c:pt idx="25">
                  <c:v>-0.23497459867999981</c:v>
                </c:pt>
                <c:pt idx="26">
                  <c:v>-0.36832482975999992</c:v>
                </c:pt>
                <c:pt idx="27">
                  <c:v>-0.39016257007999999</c:v>
                </c:pt>
                <c:pt idx="28">
                  <c:v>-0.41146645667999993</c:v>
                </c:pt>
                <c:pt idx="29">
                  <c:v>-0.48574025295999995</c:v>
                </c:pt>
                <c:pt idx="30">
                  <c:v>-0.50184221435999987</c:v>
                </c:pt>
                <c:pt idx="31">
                  <c:v>-0.51864098195999997</c:v>
                </c:pt>
                <c:pt idx="32">
                  <c:v>-0.53854523271999999</c:v>
                </c:pt>
                <c:pt idx="33">
                  <c:v>-0.55832544535999995</c:v>
                </c:pt>
                <c:pt idx="34">
                  <c:v>-0.57722889320000004</c:v>
                </c:pt>
                <c:pt idx="35">
                  <c:v>-0.59691440699999987</c:v>
                </c:pt>
                <c:pt idx="36">
                  <c:v>-0.6140644503599999</c:v>
                </c:pt>
                <c:pt idx="37">
                  <c:v>-0.63069635479999997</c:v>
                </c:pt>
                <c:pt idx="38">
                  <c:v>-0.64799254851999999</c:v>
                </c:pt>
                <c:pt idx="39">
                  <c:v>-0.66595775820000003</c:v>
                </c:pt>
                <c:pt idx="40">
                  <c:v>-0.68408538860000001</c:v>
                </c:pt>
                <c:pt idx="41">
                  <c:v>-0.70065847439999995</c:v>
                </c:pt>
                <c:pt idx="42">
                  <c:v>-0.71904725812000003</c:v>
                </c:pt>
                <c:pt idx="43">
                  <c:v>-0.7397223222</c:v>
                </c:pt>
                <c:pt idx="44">
                  <c:v>-0.75924499844000004</c:v>
                </c:pt>
                <c:pt idx="45">
                  <c:v>-0.77721924872000003</c:v>
                </c:pt>
                <c:pt idx="46">
                  <c:v>-0.79013452068000001</c:v>
                </c:pt>
                <c:pt idx="47">
                  <c:v>-0.80346961171999998</c:v>
                </c:pt>
                <c:pt idx="48">
                  <c:v>-0.83153372784000001</c:v>
                </c:pt>
                <c:pt idx="49">
                  <c:v>-0.85174738811999995</c:v>
                </c:pt>
                <c:pt idx="50">
                  <c:v>-0.87082535319999999</c:v>
                </c:pt>
                <c:pt idx="51">
                  <c:v>-0.89374997832000003</c:v>
                </c:pt>
                <c:pt idx="52">
                  <c:v>-0.91363685575999998</c:v>
                </c:pt>
                <c:pt idx="53">
                  <c:v>-0.92854081288000001</c:v>
                </c:pt>
                <c:pt idx="54">
                  <c:v>-0.94333490716000001</c:v>
                </c:pt>
                <c:pt idx="55">
                  <c:v>-0.95504161444000002</c:v>
                </c:pt>
                <c:pt idx="56">
                  <c:v>-0.97041197743999996</c:v>
                </c:pt>
                <c:pt idx="57">
                  <c:v>-0.98674282207999997</c:v>
                </c:pt>
                <c:pt idx="58">
                  <c:v>-1.12466170184</c:v>
                </c:pt>
                <c:pt idx="59">
                  <c:v>-0.98674282228494103</c:v>
                </c:pt>
                <c:pt idx="60">
                  <c:v>-1.0176163519046184</c:v>
                </c:pt>
                <c:pt idx="61">
                  <c:v>-1.069082479050139</c:v>
                </c:pt>
                <c:pt idx="62">
                  <c:v>-1.1576166691389882</c:v>
                </c:pt>
                <c:pt idx="63">
                  <c:v>-1.2235101987586636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4-EE45-AF6C-04E8C3A6D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680112"/>
        <c:axId val="-2035692176"/>
      </c:scatterChar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diamond"/>
            <c:size val="14"/>
            <c:spPr>
              <a:solidFill>
                <a:schemeClr val="accent6"/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34725627222783401"/>
                  <c:y val="-0.22391665753510401"/>
                </c:manualLayout>
              </c:layout>
              <c:numFmt formatCode="General" sourceLinked="0"/>
              <c:spPr>
                <a:solidFill>
                  <a:srgbClr val="FFFFFF"/>
                </a:solidFill>
                <a:ln>
                  <a:solidFill>
                    <a:srgbClr val="000000"/>
                  </a:solidFill>
                </a:ln>
              </c:spPr>
              <c:txPr>
                <a:bodyPr/>
                <a:lstStyle/>
                <a:p>
                  <a:pPr>
                    <a:defRPr sz="1600"/>
                  </a:pPr>
                  <a:endParaRPr lang="en-US"/>
                </a:p>
              </c:txPr>
            </c:trendlineLbl>
          </c:trendline>
          <c:xVal>
            <c:numRef>
              <c:f>Comparison!$AC$3:$AC$61</c:f>
              <c:numCache>
                <c:formatCode>0.00E+00</c:formatCode>
                <c:ptCount val="59"/>
                <c:pt idx="0">
                  <c:v>3.09</c:v>
                </c:pt>
                <c:pt idx="1">
                  <c:v>3.04</c:v>
                </c:pt>
                <c:pt idx="2">
                  <c:v>3</c:v>
                </c:pt>
                <c:pt idx="3">
                  <c:v>2.96</c:v>
                </c:pt>
                <c:pt idx="4">
                  <c:v>2.92</c:v>
                </c:pt>
                <c:pt idx="5">
                  <c:v>2.88</c:v>
                </c:pt>
                <c:pt idx="6">
                  <c:v>2.84</c:v>
                </c:pt>
                <c:pt idx="7">
                  <c:v>2.8</c:v>
                </c:pt>
                <c:pt idx="8">
                  <c:v>2.76</c:v>
                </c:pt>
                <c:pt idx="9" formatCode="General">
                  <c:v>2.565853019</c:v>
                </c:pt>
                <c:pt idx="10" formatCode="General">
                  <c:v>2.5319487199999999</c:v>
                </c:pt>
                <c:pt idx="11" formatCode="General">
                  <c:v>2.499395341</c:v>
                </c:pt>
                <c:pt idx="12" formatCode="General">
                  <c:v>2.463218446</c:v>
                </c:pt>
                <c:pt idx="13" formatCode="General">
                  <c:v>2.4248004519999999</c:v>
                </c:pt>
                <c:pt idx="14" formatCode="General">
                  <c:v>2.387816194</c:v>
                </c:pt>
                <c:pt idx="15" formatCode="General">
                  <c:v>2.3232748910000001</c:v>
                </c:pt>
                <c:pt idx="16" formatCode="General">
                  <c:v>2.2819939109999998</c:v>
                </c:pt>
                <c:pt idx="17" formatCode="General">
                  <c:v>2.16864013</c:v>
                </c:pt>
                <c:pt idx="18" formatCode="General">
                  <c:v>2.1246155739999999</c:v>
                </c:pt>
                <c:pt idx="19" formatCode="General">
                  <c:v>2.0702272339999999</c:v>
                </c:pt>
                <c:pt idx="20" formatCode="General">
                  <c:v>2.0150720249999998</c:v>
                </c:pt>
                <c:pt idx="21" formatCode="General">
                  <c:v>1.919013954</c:v>
                </c:pt>
                <c:pt idx="22" formatCode="General">
                  <c:v>1.8739722299999999</c:v>
                </c:pt>
                <c:pt idx="23" formatCode="General">
                  <c:v>1.836758731</c:v>
                </c:pt>
                <c:pt idx="24" formatCode="General">
                  <c:v>1.7994634389999999</c:v>
                </c:pt>
                <c:pt idx="25" formatCode="General">
                  <c:v>1.7632726489999999</c:v>
                </c:pt>
                <c:pt idx="26" formatCode="General">
                  <c:v>1.5671693680000001</c:v>
                </c:pt>
                <c:pt idx="27" formatCode="General">
                  <c:v>1.5350550439999999</c:v>
                </c:pt>
                <c:pt idx="28" formatCode="General">
                  <c:v>1.5037257989999999</c:v>
                </c:pt>
                <c:pt idx="29" formatCode="General">
                  <c:v>1.3944996279999999</c:v>
                </c:pt>
                <c:pt idx="30" formatCode="General">
                  <c:v>1.3708202730000001</c:v>
                </c:pt>
                <c:pt idx="31" formatCode="General">
                  <c:v>1.346116203</c:v>
                </c:pt>
                <c:pt idx="32" formatCode="General">
                  <c:v>1.316845246</c:v>
                </c:pt>
                <c:pt idx="33" formatCode="General">
                  <c:v>1.2877566979999999</c:v>
                </c:pt>
                <c:pt idx="34" formatCode="General">
                  <c:v>1.25995751</c:v>
                </c:pt>
                <c:pt idx="35" formatCode="General">
                  <c:v>1.2310082250000001</c:v>
                </c:pt>
                <c:pt idx="36" formatCode="General">
                  <c:v>1.2057875730000001</c:v>
                </c:pt>
                <c:pt idx="37" formatCode="General">
                  <c:v>1.1813288900000001</c:v>
                </c:pt>
                <c:pt idx="38" formatCode="General">
                  <c:v>1.155893311</c:v>
                </c:pt>
                <c:pt idx="39" formatCode="General">
                  <c:v>1.1294738849999999</c:v>
                </c:pt>
                <c:pt idx="40" formatCode="General">
                  <c:v>1.102815605</c:v>
                </c:pt>
                <c:pt idx="41" formatCode="General">
                  <c:v>1.0784434199999999</c:v>
                </c:pt>
                <c:pt idx="42" formatCode="General">
                  <c:v>1.051401091</c:v>
                </c:pt>
                <c:pt idx="43" formatCode="General">
                  <c:v>1.020996585</c:v>
                </c:pt>
                <c:pt idx="44" formatCode="General">
                  <c:v>0.99228676699999996</c:v>
                </c:pt>
                <c:pt idx="45" formatCode="General">
                  <c:v>0.96585404600000002</c:v>
                </c:pt>
                <c:pt idx="46" formatCode="General">
                  <c:v>0.94686099899999998</c:v>
                </c:pt>
                <c:pt idx="47" formatCode="General">
                  <c:v>0.92725057099999997</c:v>
                </c:pt>
                <c:pt idx="48" formatCode="General">
                  <c:v>0.88597981199999998</c:v>
                </c:pt>
                <c:pt idx="49" formatCode="General">
                  <c:v>0.85625384100000002</c:v>
                </c:pt>
                <c:pt idx="50" formatCode="General">
                  <c:v>0.82819801000000004</c:v>
                </c:pt>
                <c:pt idx="51" formatCode="General">
                  <c:v>0.79448532599999999</c:v>
                </c:pt>
                <c:pt idx="52" formatCode="General">
                  <c:v>0.76523991800000002</c:v>
                </c:pt>
                <c:pt idx="53" formatCode="General">
                  <c:v>0.74332233400000003</c:v>
                </c:pt>
                <c:pt idx="54" formatCode="General">
                  <c:v>0.72156631299999996</c:v>
                </c:pt>
                <c:pt idx="55" formatCode="General">
                  <c:v>0.70435056699999998</c:v>
                </c:pt>
                <c:pt idx="56" formatCode="General">
                  <c:v>0.68174709200000005</c:v>
                </c:pt>
                <c:pt idx="57" formatCode="General">
                  <c:v>0.65773114399999999</c:v>
                </c:pt>
                <c:pt idx="58" formatCode="General">
                  <c:v>0.45490926199999998</c:v>
                </c:pt>
              </c:numCache>
            </c:numRef>
          </c:xVal>
          <c:yVal>
            <c:numRef>
              <c:f>Comparison!$AD$3:$AD$66</c:f>
              <c:numCache>
                <c:formatCode>0.00E+00</c:formatCode>
                <c:ptCount val="64"/>
                <c:pt idx="0">
                  <c:v>3.39</c:v>
                </c:pt>
                <c:pt idx="1">
                  <c:v>2.17</c:v>
                </c:pt>
                <c:pt idx="2">
                  <c:v>2.4700000000000002</c:v>
                </c:pt>
                <c:pt idx="3">
                  <c:v>2.3199999999999998</c:v>
                </c:pt>
                <c:pt idx="4">
                  <c:v>2.5499999999999998</c:v>
                </c:pt>
                <c:pt idx="5">
                  <c:v>0.83199999999999996</c:v>
                </c:pt>
                <c:pt idx="6">
                  <c:v>2.46</c:v>
                </c:pt>
                <c:pt idx="7">
                  <c:v>0.83</c:v>
                </c:pt>
                <c:pt idx="8">
                  <c:v>7.7799999999999996E-3</c:v>
                </c:pt>
                <c:pt idx="9">
                  <c:v>0.252</c:v>
                </c:pt>
                <c:pt idx="10">
                  <c:v>1.05</c:v>
                </c:pt>
                <c:pt idx="11">
                  <c:v>1.26</c:v>
                </c:pt>
                <c:pt idx="12">
                  <c:v>1.48</c:v>
                </c:pt>
                <c:pt idx="13">
                  <c:v>0.997</c:v>
                </c:pt>
                <c:pt idx="14">
                  <c:v>1.06</c:v>
                </c:pt>
                <c:pt idx="15">
                  <c:v>1.21</c:v>
                </c:pt>
                <c:pt idx="16">
                  <c:v>1.59</c:v>
                </c:pt>
                <c:pt idx="17">
                  <c:v>1.85</c:v>
                </c:pt>
                <c:pt idx="18">
                  <c:v>1.49</c:v>
                </c:pt>
                <c:pt idx="19">
                  <c:v>3.54</c:v>
                </c:pt>
                <c:pt idx="20">
                  <c:v>1.85</c:v>
                </c:pt>
                <c:pt idx="21">
                  <c:v>2.4</c:v>
                </c:pt>
                <c:pt idx="22">
                  <c:v>1.07</c:v>
                </c:pt>
                <c:pt idx="23">
                  <c:v>1.35</c:v>
                </c:pt>
                <c:pt idx="24">
                  <c:v>0.74099999999999999</c:v>
                </c:pt>
                <c:pt idx="25">
                  <c:v>0.97899999999999998</c:v>
                </c:pt>
                <c:pt idx="26">
                  <c:v>1.01</c:v>
                </c:pt>
                <c:pt idx="27">
                  <c:v>0.63700000000000001</c:v>
                </c:pt>
                <c:pt idx="28">
                  <c:v>0.193</c:v>
                </c:pt>
                <c:pt idx="29">
                  <c:v>0.73</c:v>
                </c:pt>
                <c:pt idx="30">
                  <c:v>2.1100000000000001E-2</c:v>
                </c:pt>
                <c:pt idx="31">
                  <c:v>0.84799999999999998</c:v>
                </c:pt>
                <c:pt idx="32">
                  <c:v>0.877</c:v>
                </c:pt>
                <c:pt idx="33">
                  <c:v>0.69199999999999995</c:v>
                </c:pt>
                <c:pt idx="34">
                  <c:v>0.82399999999999995</c:v>
                </c:pt>
                <c:pt idx="35">
                  <c:v>0.58699999999999997</c:v>
                </c:pt>
                <c:pt idx="36">
                  <c:v>0.56100000000000005</c:v>
                </c:pt>
                <c:pt idx="37">
                  <c:v>0.60799999999999998</c:v>
                </c:pt>
                <c:pt idx="38">
                  <c:v>1.1000000000000001</c:v>
                </c:pt>
                <c:pt idx="39">
                  <c:v>0.56899999999999995</c:v>
                </c:pt>
                <c:pt idx="40">
                  <c:v>0.39300000000000002</c:v>
                </c:pt>
                <c:pt idx="41">
                  <c:v>0.50600000000000001</c:v>
                </c:pt>
                <c:pt idx="42">
                  <c:v>1.64</c:v>
                </c:pt>
                <c:pt idx="43">
                  <c:v>0.878</c:v>
                </c:pt>
                <c:pt idx="44">
                  <c:v>0.76800000000000002</c:v>
                </c:pt>
                <c:pt idx="45">
                  <c:v>0.16200000000000001</c:v>
                </c:pt>
                <c:pt idx="46">
                  <c:v>0.27100000000000002</c:v>
                </c:pt>
                <c:pt idx="47">
                  <c:v>-0.28799999999999998</c:v>
                </c:pt>
                <c:pt idx="48">
                  <c:v>-0.48899999999999999</c:v>
                </c:pt>
                <c:pt idx="49">
                  <c:v>-6.2700000000000004E-3</c:v>
                </c:pt>
                <c:pt idx="50">
                  <c:v>0.25900000000000001</c:v>
                </c:pt>
                <c:pt idx="51">
                  <c:v>0.82799999999999996</c:v>
                </c:pt>
                <c:pt idx="52">
                  <c:v>1.34</c:v>
                </c:pt>
                <c:pt idx="53">
                  <c:v>0.109</c:v>
                </c:pt>
                <c:pt idx="54">
                  <c:v>1.34</c:v>
                </c:pt>
                <c:pt idx="55">
                  <c:v>1.32</c:v>
                </c:pt>
                <c:pt idx="56">
                  <c:v>0.57599999999999996</c:v>
                </c:pt>
                <c:pt idx="57">
                  <c:v>0.28799999999999998</c:v>
                </c:pt>
                <c:pt idx="58">
                  <c:v>-0.72</c:v>
                </c:pt>
                <c:pt idx="59">
                  <c:v>0.28799999999999998</c:v>
                </c:pt>
                <c:pt idx="60">
                  <c:v>3.8736000000000002</c:v>
                </c:pt>
                <c:pt idx="61">
                  <c:v>4.2767999999999997</c:v>
                </c:pt>
                <c:pt idx="62">
                  <c:v>6.4079999999999995</c:v>
                </c:pt>
                <c:pt idx="63">
                  <c:v>8.1504000000000012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54-EE45-AF6C-04E8C3A6D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680112"/>
        <c:axId val="-2035692176"/>
      </c:scatterChart>
      <c:valAx>
        <c:axId val="-203568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/>
                  <a:t>Tank Water Level (m)</a:t>
                </a:r>
              </a:p>
            </c:rich>
          </c:tx>
          <c:layout>
            <c:manualLayout>
              <c:xMode val="edge"/>
              <c:yMode val="edge"/>
              <c:x val="0.31552634128115398"/>
              <c:y val="0.90457256461232605"/>
            </c:manualLayout>
          </c:layout>
          <c:overlay val="0"/>
        </c:title>
        <c:numFmt formatCode="0.00E+00" sourceLinked="0"/>
        <c:majorTickMark val="in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-2035692176"/>
        <c:crossesAt val="-2"/>
        <c:crossBetween val="midCat"/>
      </c:valAx>
      <c:valAx>
        <c:axId val="-2035692176"/>
        <c:scaling>
          <c:orientation val="minMax"/>
          <c:min val="-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400"/>
                  <a:t>Groundwater Exchange (cm/day) </a:t>
                </a:r>
              </a:p>
            </c:rich>
          </c:tx>
          <c:layout>
            <c:manualLayout>
              <c:xMode val="edge"/>
              <c:yMode val="edge"/>
              <c:x val="2.10896309314587E-2"/>
              <c:y val="0.12534446862134299"/>
            </c:manualLayout>
          </c:layout>
          <c:overlay val="0"/>
        </c:title>
        <c:numFmt formatCode="#,##0" sourceLinked="0"/>
        <c:majorTickMark val="in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-2035680112"/>
        <c:crosses val="autoZero"/>
        <c:crossBetween val="midCat"/>
      </c:valAx>
      <c:spPr>
        <a:ln>
          <a:solidFill>
            <a:srgbClr val="000000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880808663219201"/>
          <c:y val="4.0422085248393698E-2"/>
          <c:w val="0.81144362961494798"/>
          <c:h val="0.819608318190995"/>
        </c:manualLayout>
      </c:layout>
      <c:barChart>
        <c:barDir val="col"/>
        <c:grouping val="stacked"/>
        <c:varyColors val="0"/>
        <c:ser>
          <c:idx val="0"/>
          <c:order val="0"/>
          <c:tx>
            <c:v>Recharge</c:v>
          </c:tx>
          <c:spPr>
            <a:solidFill>
              <a:srgbClr val="376092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Comparison!$AR$6:$AR$9</c:f>
              <c:strCache>
                <c:ptCount val="4"/>
                <c:pt idx="0">
                  <c:v>Tank 1</c:v>
                </c:pt>
                <c:pt idx="1">
                  <c:v>Tank 2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Comparison!$BE$5:$BE$8</c:f>
              <c:numCache>
                <c:formatCode>General</c:formatCode>
                <c:ptCount val="4"/>
                <c:pt idx="0">
                  <c:v>87.912087912087898</c:v>
                </c:pt>
                <c:pt idx="1">
                  <c:v>86.813186813186803</c:v>
                </c:pt>
                <c:pt idx="2">
                  <c:v>89.010989010988993</c:v>
                </c:pt>
                <c:pt idx="3">
                  <c:v>50.549450549450597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8-164A-9EDB-321E8AA5A223}"/>
            </c:ext>
          </c:extLst>
        </c:ser>
        <c:ser>
          <c:idx val="1"/>
          <c:order val="1"/>
          <c:tx>
            <c:v>Discharge</c:v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Comparison!$AR$6:$AR$9</c:f>
              <c:strCache>
                <c:ptCount val="4"/>
                <c:pt idx="0">
                  <c:v>Tank 1</c:v>
                </c:pt>
                <c:pt idx="1">
                  <c:v>Tank 2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Comparison!$BF$5:$BF$8</c:f>
              <c:numCache>
                <c:formatCode>General</c:formatCode>
                <c:ptCount val="4"/>
                <c:pt idx="0">
                  <c:v>-12.0879120879121</c:v>
                </c:pt>
                <c:pt idx="1">
                  <c:v>-13.1868131868132</c:v>
                </c:pt>
                <c:pt idx="2">
                  <c:v>-10.989010989011</c:v>
                </c:pt>
                <c:pt idx="3">
                  <c:v>-49.450549450549502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8-164A-9EDB-321E8AA5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2332368"/>
        <c:axId val="-2028255312"/>
      </c:barChart>
      <c:catAx>
        <c:axId val="-20123323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8255312"/>
        <c:crossesAt val="-100"/>
        <c:auto val="1"/>
        <c:lblAlgn val="ctr"/>
        <c:lblOffset val="1"/>
        <c:tickLblSkip val="1"/>
        <c:tickMarkSkip val="2"/>
        <c:noMultiLvlLbl val="0"/>
      </c:catAx>
      <c:valAx>
        <c:axId val="-2028255312"/>
        <c:scaling>
          <c:orientation val="minMax"/>
          <c:max val="100"/>
          <c:min val="-6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 b="0"/>
                </a:pPr>
                <a:r>
                  <a:rPr lang="en-US" sz="2000" b="0"/>
                  <a:t>Frequency (%)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12332368"/>
        <c:crosses val="autoZero"/>
        <c:crossBetween val="between"/>
        <c:majorUnit val="20"/>
      </c:valAx>
      <c:spPr>
        <a:ln>
          <a:solidFill>
            <a:srgbClr val="000000"/>
          </a:solidFill>
        </a:ln>
      </c:spPr>
    </c:plotArea>
    <c:legend>
      <c:legendPos val="r"/>
      <c:layout>
        <c:manualLayout>
          <c:xMode val="edge"/>
          <c:yMode val="edge"/>
          <c:x val="0.73200418025549996"/>
          <c:y val="6.3525611334782198E-2"/>
          <c:w val="0.21994089983603299"/>
          <c:h val="0.15500005938171799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FFFFFF"/>
      </a:solidFill>
    </a:ln>
  </c:spPr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880808663219201"/>
          <c:y val="4.0422085248393698E-2"/>
          <c:w val="0.75469400976776602"/>
          <c:h val="0.819608318190995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3"/>
            </a:solidFill>
          </c:spPr>
          <c:invertIfNegative val="0"/>
          <c:cat>
            <c:strRef>
              <c:f>Comparison!$AR$12:$AR$15</c:f>
              <c:strCache>
                <c:ptCount val="4"/>
                <c:pt idx="0">
                  <c:v>Tank 1</c:v>
                </c:pt>
                <c:pt idx="1">
                  <c:v>Tank 2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Comparison!$BE$11:$BE$14</c:f>
              <c:numCache>
                <c:formatCode>General</c:formatCode>
                <c:ptCount val="4"/>
                <c:pt idx="0">
                  <c:v>1.913177927175</c:v>
                </c:pt>
                <c:pt idx="1">
                  <c:v>1.8729893646125</c:v>
                </c:pt>
                <c:pt idx="2">
                  <c:v>2.41848923986747</c:v>
                </c:pt>
                <c:pt idx="3">
                  <c:v>2.2740672121521701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9-614C-BE19-628423B645E3}"/>
            </c:ext>
          </c:extLst>
        </c:ser>
        <c:ser>
          <c:idx val="1"/>
          <c:order val="1"/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cat>
            <c:strRef>
              <c:f>Comparison!$AR$12:$AR$15</c:f>
              <c:strCache>
                <c:ptCount val="4"/>
                <c:pt idx="0">
                  <c:v>Tank 1</c:v>
                </c:pt>
                <c:pt idx="1">
                  <c:v>Tank 2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Comparison!$BF$11:$BF$14</c:f>
              <c:numCache>
                <c:formatCode>General</c:formatCode>
                <c:ptCount val="4"/>
                <c:pt idx="0">
                  <c:v>-6.5866477868181796</c:v>
                </c:pt>
                <c:pt idx="1">
                  <c:v>-6.59458879109091</c:v>
                </c:pt>
                <c:pt idx="2">
                  <c:v>-11.179705476624999</c:v>
                </c:pt>
                <c:pt idx="3">
                  <c:v>-2.2194976463777798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9-614C-BE19-628423B64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480384"/>
        <c:axId val="-2011879328"/>
      </c:barChart>
      <c:catAx>
        <c:axId val="-202848038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11879328"/>
        <c:crossesAt val="-50"/>
        <c:auto val="1"/>
        <c:lblAlgn val="ctr"/>
        <c:lblOffset val="1"/>
        <c:tickLblSkip val="1"/>
        <c:tickMarkSkip val="2"/>
        <c:noMultiLvlLbl val="0"/>
      </c:catAx>
      <c:valAx>
        <c:axId val="-2011879328"/>
        <c:scaling>
          <c:orientation val="minMax"/>
          <c:max val="2.6"/>
          <c:min val="-1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 b="0"/>
                </a:pPr>
                <a:r>
                  <a:rPr lang="en-US" sz="1800" b="0"/>
                  <a:t>Mean GW Exchange (cm/day)</a:t>
                </a:r>
              </a:p>
            </c:rich>
          </c:tx>
          <c:layout>
            <c:manualLayout>
              <c:xMode val="edge"/>
              <c:yMode val="edge"/>
              <c:x val="1.74138675703512E-2"/>
              <c:y val="8.4788541703780196E-2"/>
            </c:manualLayout>
          </c:layout>
          <c:overlay val="0"/>
        </c:title>
        <c:numFmt formatCode="General" sourceLinked="1"/>
        <c:majorTickMark val="in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2028480384"/>
        <c:crosses val="autoZero"/>
        <c:crossBetween val="between"/>
        <c:majorUnit val="0.5"/>
      </c:valAx>
      <c:spPr>
        <a:ln>
          <a:solidFill>
            <a:srgbClr val="000000"/>
          </a:solidFill>
        </a:ln>
      </c:spPr>
    </c:plotArea>
    <c:legend>
      <c:legendPos val="r"/>
      <c:layout>
        <c:manualLayout>
          <c:xMode val="edge"/>
          <c:yMode val="edge"/>
          <c:x val="0.68348101265822803"/>
          <c:y val="6.3525611334782198E-2"/>
          <c:w val="0.21994089983603299"/>
          <c:h val="0.15500005938171799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568573706767701"/>
          <c:y val="4.6455267752164499E-2"/>
          <c:w val="0.75469400976776602"/>
          <c:h val="0.819608318190995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40000"/>
                <a:lumOff val="60000"/>
              </a:schemeClr>
            </a:solidFill>
            <a:effectLst/>
          </c:spPr>
          <c:invertIfNegative val="0"/>
          <c:cat>
            <c:strRef>
              <c:f>Comparison!$AR$19:$AR$22</c:f>
              <c:strCache>
                <c:ptCount val="4"/>
                <c:pt idx="0">
                  <c:v>Tank 1</c:v>
                </c:pt>
                <c:pt idx="1">
                  <c:v>Tank 2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Comparison!$BE$18:$BE$21</c:f>
              <c:numCache>
                <c:formatCode>General</c:formatCode>
                <c:ptCount val="4"/>
                <c:pt idx="0">
                  <c:v>0.43020000000000003</c:v>
                </c:pt>
                <c:pt idx="1">
                  <c:v>0.564485428387965</c:v>
                </c:pt>
                <c:pt idx="2">
                  <c:v>0.40839999999999999</c:v>
                </c:pt>
                <c:pt idx="3">
                  <c:v>1.1588839190626601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9-3A46-BDF1-60939832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2494848"/>
        <c:axId val="-2012491600"/>
      </c:barChart>
      <c:catAx>
        <c:axId val="-2012494848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12491600"/>
        <c:crossesAt val="-50"/>
        <c:auto val="1"/>
        <c:lblAlgn val="ctr"/>
        <c:lblOffset val="1"/>
        <c:tickLblSkip val="1"/>
        <c:tickMarkSkip val="2"/>
        <c:noMultiLvlLbl val="0"/>
      </c:catAx>
      <c:valAx>
        <c:axId val="-2012491600"/>
        <c:scaling>
          <c:orientation val="minMax"/>
          <c:max val="1.2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 b="0"/>
                </a:pPr>
                <a:r>
                  <a:rPr lang="en-US" sz="1800" b="0"/>
                  <a:t>Cumulative Discharge/Recharge</a:t>
                </a:r>
              </a:p>
            </c:rich>
          </c:tx>
          <c:layout>
            <c:manualLayout>
              <c:xMode val="edge"/>
              <c:yMode val="edge"/>
              <c:x val="1.74138675703512E-2"/>
              <c:y val="8.4788541703780196E-2"/>
            </c:manualLayout>
          </c:layout>
          <c:overlay val="0"/>
        </c:title>
        <c:numFmt formatCode="General" sourceLinked="1"/>
        <c:majorTickMark val="in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2012494848"/>
        <c:crosses val="autoZero"/>
        <c:crossBetween val="between"/>
        <c:majorUnit val="0.25"/>
      </c:valAx>
      <c:spPr>
        <a:ln>
          <a:solidFill>
            <a:srgbClr val="000000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826156865527"/>
          <c:y val="4.0422085248393698E-2"/>
          <c:w val="0.793425669764252"/>
          <c:h val="0.819608318190995"/>
        </c:manualLayout>
      </c:layout>
      <c:barChart>
        <c:barDir val="col"/>
        <c:grouping val="stacked"/>
        <c:varyColors val="0"/>
        <c:ser>
          <c:idx val="0"/>
          <c:order val="0"/>
          <c:tx>
            <c:v>Decrease</c:v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cat>
            <c:strRef>
              <c:f>Comparison!$AR$31:$AR$34</c:f>
              <c:strCache>
                <c:ptCount val="4"/>
                <c:pt idx="0">
                  <c:v>Tank 1</c:v>
                </c:pt>
                <c:pt idx="1">
                  <c:v>Tank 2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Comparison!$BE$30:$BE$33</c:f>
              <c:numCache>
                <c:formatCode>General</c:formatCode>
                <c:ptCount val="4"/>
                <c:pt idx="0">
                  <c:v>-3.2087951807228898</c:v>
                </c:pt>
                <c:pt idx="1">
                  <c:v>-3.6363636363636398</c:v>
                </c:pt>
                <c:pt idx="2">
                  <c:v>-3.5802469135802499</c:v>
                </c:pt>
                <c:pt idx="3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A-084B-B404-CA266F91031C}"/>
            </c:ext>
          </c:extLst>
        </c:ser>
        <c:ser>
          <c:idx val="1"/>
          <c:order val="1"/>
          <c:tx>
            <c:v>Increase</c:v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Comparison!$AR$31:$AR$34</c:f>
              <c:strCache>
                <c:ptCount val="4"/>
                <c:pt idx="0">
                  <c:v>Tank 1</c:v>
                </c:pt>
                <c:pt idx="1">
                  <c:v>Tank 2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Comparison!$BF$30:$BF$33</c:f>
              <c:numCache>
                <c:formatCode>General</c:formatCode>
                <c:ptCount val="4"/>
                <c:pt idx="0">
                  <c:v>46.794285714285699</c:v>
                </c:pt>
                <c:pt idx="1">
                  <c:v>33</c:v>
                </c:pt>
                <c:pt idx="2">
                  <c:v>58.75</c:v>
                </c:pt>
                <c:pt idx="3">
                  <c:v>49.75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A-084B-B404-CA266F910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980208"/>
        <c:axId val="-2028911232"/>
      </c:barChart>
      <c:catAx>
        <c:axId val="-2028980208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-2028911232"/>
        <c:crossesAt val="-50"/>
        <c:auto val="1"/>
        <c:lblAlgn val="ctr"/>
        <c:lblOffset val="1"/>
        <c:tickLblSkip val="1"/>
        <c:tickMarkSkip val="2"/>
        <c:noMultiLvlLbl val="0"/>
      </c:catAx>
      <c:valAx>
        <c:axId val="-2028911232"/>
        <c:scaling>
          <c:orientation val="minMax"/>
          <c:max val="90"/>
          <c:min val="-1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800" b="0"/>
                </a:pPr>
                <a:r>
                  <a:rPr lang="en-US" sz="2800" b="0"/>
                  <a:t>Mean Daily Stage Change (cm)</a:t>
                </a:r>
              </a:p>
            </c:rich>
          </c:tx>
          <c:layout>
            <c:manualLayout>
              <c:xMode val="edge"/>
              <c:yMode val="edge"/>
              <c:x val="1.1459530396538299E-2"/>
              <c:y val="4.8213965769248898E-2"/>
            </c:manualLayout>
          </c:layout>
          <c:overlay val="0"/>
        </c:title>
        <c:numFmt formatCode="General" sourceLinked="1"/>
        <c:majorTickMark val="in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-2028980208"/>
        <c:crosses val="autoZero"/>
        <c:crossBetween val="between"/>
        <c:majorUnit val="15"/>
      </c:valAx>
      <c:spPr>
        <a:ln>
          <a:solidFill>
            <a:srgbClr val="000000"/>
          </a:solidFill>
        </a:ln>
      </c:spPr>
    </c:plotArea>
    <c:legend>
      <c:legendPos val="r"/>
      <c:layout>
        <c:manualLayout>
          <c:xMode val="edge"/>
          <c:yMode val="edge"/>
          <c:x val="0.20356884443498599"/>
          <c:y val="6.2589781067785705E-2"/>
          <c:w val="0.31356583001495503"/>
          <c:h val="0.15500005938171799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FFFFFF"/>
      </a:solidFill>
    </a:ln>
  </c:spPr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19831695095801"/>
          <c:y val="4.0422085248393698E-2"/>
          <c:w val="0.78705344204479999"/>
          <c:h val="0.819608318190995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Comparison!$AR$6:$AR$9</c:f>
              <c:strCache>
                <c:ptCount val="4"/>
                <c:pt idx="0">
                  <c:v>Tank 1</c:v>
                </c:pt>
                <c:pt idx="1">
                  <c:v>Tank 2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Comparison!$BE$18:$BE$21</c:f>
              <c:numCache>
                <c:formatCode>General</c:formatCode>
                <c:ptCount val="4"/>
                <c:pt idx="0">
                  <c:v>0.43020000000000003</c:v>
                </c:pt>
                <c:pt idx="1">
                  <c:v>0.564485428387965</c:v>
                </c:pt>
                <c:pt idx="2">
                  <c:v>0.40839999999999999</c:v>
                </c:pt>
                <c:pt idx="3">
                  <c:v>1.1588839190626601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8-654C-86F2-F80D82E9A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2704544"/>
        <c:axId val="-2012843216"/>
      </c:barChart>
      <c:catAx>
        <c:axId val="-20127045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12843216"/>
        <c:crossesAt val="-100"/>
        <c:auto val="1"/>
        <c:lblAlgn val="ctr"/>
        <c:lblOffset val="1"/>
        <c:tickLblSkip val="1"/>
        <c:tickMarkSkip val="2"/>
        <c:noMultiLvlLbl val="0"/>
      </c:catAx>
      <c:valAx>
        <c:axId val="-2012843216"/>
        <c:scaling>
          <c:orientation val="minMax"/>
          <c:max val="1.2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 b="0"/>
                </a:pPr>
                <a:r>
                  <a:rPr lang="en-US" sz="1800" b="0"/>
                  <a:t>Cumulative Discharge/Recharge</a:t>
                </a:r>
              </a:p>
            </c:rich>
          </c:tx>
          <c:layout>
            <c:manualLayout>
              <c:xMode val="edge"/>
              <c:yMode val="edge"/>
              <c:x val="1.0495836024931499E-2"/>
              <c:y val="5.6381515658958901E-2"/>
            </c:manualLayout>
          </c:layout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12704544"/>
        <c:crosses val="autoZero"/>
        <c:crossBetween val="between"/>
        <c:majorUnit val="0.25"/>
      </c:valAx>
      <c:spPr>
        <a:ln>
          <a:solidFill>
            <a:srgbClr val="000000"/>
          </a:solidFill>
        </a:ln>
      </c:spPr>
    </c:plotArea>
    <c:plotVisOnly val="1"/>
    <c:dispBlanksAs val="gap"/>
    <c:showDLblsOverMax val="0"/>
  </c:chart>
  <c:spPr>
    <a:ln>
      <a:solidFill>
        <a:srgbClr val="FFFFFF"/>
      </a:solidFill>
    </a:ln>
  </c:spPr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880808663219201"/>
          <c:y val="4.0422085248393698E-2"/>
          <c:w val="0.81144362961494798"/>
          <c:h val="0.819608318190995"/>
        </c:manualLayout>
      </c:layout>
      <c:barChart>
        <c:barDir val="col"/>
        <c:grouping val="stacked"/>
        <c:varyColors val="0"/>
        <c:ser>
          <c:idx val="0"/>
          <c:order val="0"/>
          <c:tx>
            <c:v>Recharge</c:v>
          </c:tx>
          <c:spPr>
            <a:solidFill>
              <a:srgbClr val="376092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Comparison!$AR$6:$AR$9</c:f>
              <c:strCache>
                <c:ptCount val="4"/>
                <c:pt idx="0">
                  <c:v>Tank 1</c:v>
                </c:pt>
                <c:pt idx="1">
                  <c:v>Tank 2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Comparison!$BE$5:$BE$8</c:f>
              <c:numCache>
                <c:formatCode>General</c:formatCode>
                <c:ptCount val="4"/>
                <c:pt idx="0">
                  <c:v>87.912087912087898</c:v>
                </c:pt>
                <c:pt idx="1">
                  <c:v>86.813186813186803</c:v>
                </c:pt>
                <c:pt idx="2">
                  <c:v>89.010989010988993</c:v>
                </c:pt>
                <c:pt idx="3">
                  <c:v>50.549450549450597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9-F54B-9551-9D62A92F3504}"/>
            </c:ext>
          </c:extLst>
        </c:ser>
        <c:ser>
          <c:idx val="1"/>
          <c:order val="1"/>
          <c:tx>
            <c:v>Discharge</c:v>
          </c:tx>
          <c:spPr>
            <a:solidFill>
              <a:schemeClr val="accent5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Comparison!$AR$6:$AR$9</c:f>
              <c:strCache>
                <c:ptCount val="4"/>
                <c:pt idx="0">
                  <c:v>Tank 1</c:v>
                </c:pt>
                <c:pt idx="1">
                  <c:v>Tank 2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Comparison!$BF$5:$BF$8</c:f>
              <c:numCache>
                <c:formatCode>General</c:formatCode>
                <c:ptCount val="4"/>
                <c:pt idx="0">
                  <c:v>-12.0879120879121</c:v>
                </c:pt>
                <c:pt idx="1">
                  <c:v>-13.1868131868132</c:v>
                </c:pt>
                <c:pt idx="2">
                  <c:v>-10.989010989011</c:v>
                </c:pt>
                <c:pt idx="3">
                  <c:v>-49.450549450549502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9-F54B-9551-9D62A92F3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1892688"/>
        <c:axId val="-2021889424"/>
      </c:barChart>
      <c:catAx>
        <c:axId val="-2021892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1889424"/>
        <c:crossesAt val="-100"/>
        <c:auto val="1"/>
        <c:lblAlgn val="ctr"/>
        <c:lblOffset val="1"/>
        <c:tickLblSkip val="1"/>
        <c:tickMarkSkip val="2"/>
        <c:noMultiLvlLbl val="0"/>
      </c:catAx>
      <c:valAx>
        <c:axId val="-2021889424"/>
        <c:scaling>
          <c:orientation val="minMax"/>
          <c:max val="100"/>
          <c:min val="-6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 b="0"/>
                </a:pPr>
                <a:r>
                  <a:rPr lang="en-US" sz="1800" b="0"/>
                  <a:t>Frequency (%)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1892688"/>
        <c:crosses val="autoZero"/>
        <c:crossBetween val="between"/>
        <c:majorUnit val="30"/>
      </c:valAx>
      <c:spPr>
        <a:ln>
          <a:solidFill>
            <a:srgbClr val="000000"/>
          </a:solidFill>
        </a:ln>
      </c:spPr>
    </c:plotArea>
    <c:legend>
      <c:legendPos val="r"/>
      <c:layout>
        <c:manualLayout>
          <c:xMode val="edge"/>
          <c:yMode val="edge"/>
          <c:x val="0.73200418025549996"/>
          <c:y val="6.3525611334782198E-2"/>
          <c:w val="0.21994089983603299"/>
          <c:h val="0.15500005938171799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FFFFFF"/>
      </a:solidFill>
    </a:ln>
  </c:spPr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3"/>
          <c:order val="1"/>
          <c:spPr>
            <a:ln w="28575" cmpd="sng"/>
          </c:spPr>
          <c:marker>
            <c:symbol val="none"/>
          </c:marker>
          <c:xVal>
            <c:numRef>
              <c:f>'Recalculation_MS Data'!$FW$2:$FW$131</c:f>
              <c:numCache>
                <c:formatCode>#,##0</c:formatCode>
                <c:ptCount val="130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xVal>
          <c:yVal>
            <c:numRef>
              <c:f>'Recalculation_MS Data'!$GD$2:$GD$131</c:f>
              <c:numCache>
                <c:formatCode>#,##0</c:formatCode>
                <c:ptCount val="130"/>
                <c:pt idx="0">
                  <c:v>3.8770925911599315E-2</c:v>
                </c:pt>
                <c:pt idx="1">
                  <c:v>4.7641744060039182E-2</c:v>
                </c:pt>
                <c:pt idx="2">
                  <c:v>5.6524919303136113E-2</c:v>
                </c:pt>
                <c:pt idx="3">
                  <c:v>8.7898024240502859E-2</c:v>
                </c:pt>
                <c:pt idx="4">
                  <c:v>0.19961610741647356</c:v>
                </c:pt>
                <c:pt idx="5">
                  <c:v>0.21913045899344466</c:v>
                </c:pt>
                <c:pt idx="6">
                  <c:v>0.2649981305693378</c:v>
                </c:pt>
                <c:pt idx="7">
                  <c:v>0.28280745161381898</c:v>
                </c:pt>
                <c:pt idx="8">
                  <c:v>0.2994948358322651</c:v>
                </c:pt>
                <c:pt idx="9">
                  <c:v>0.31443200903511687</c:v>
                </c:pt>
                <c:pt idx="10">
                  <c:v>0.33171479767064393</c:v>
                </c:pt>
                <c:pt idx="11">
                  <c:v>0.34587021379786104</c:v>
                </c:pt>
                <c:pt idx="12">
                  <c:v>0.35969021357715703</c:v>
                </c:pt>
                <c:pt idx="13">
                  <c:v>0.37462608080778886</c:v>
                </c:pt>
                <c:pt idx="14">
                  <c:v>0.38830393564867882</c:v>
                </c:pt>
                <c:pt idx="15">
                  <c:v>0.40164328829761764</c:v>
                </c:pt>
                <c:pt idx="16">
                  <c:v>0.41165244086151515</c:v>
                </c:pt>
                <c:pt idx="17">
                  <c:v>0.42438693914266179</c:v>
                </c:pt>
                <c:pt idx="18">
                  <c:v>0.43664903944684302</c:v>
                </c:pt>
                <c:pt idx="19">
                  <c:v>0.44823030167018718</c:v>
                </c:pt>
                <c:pt idx="20">
                  <c:v>0.45725478990924895</c:v>
                </c:pt>
                <c:pt idx="21">
                  <c:v>0.46695944115166554</c:v>
                </c:pt>
                <c:pt idx="22">
                  <c:v>0.478962367289546</c:v>
                </c:pt>
                <c:pt idx="23">
                  <c:v>0.48997643192592655</c:v>
                </c:pt>
                <c:pt idx="24">
                  <c:v>0.50039320646987839</c:v>
                </c:pt>
                <c:pt idx="25">
                  <c:v>0.51180142877375434</c:v>
                </c:pt>
                <c:pt idx="26">
                  <c:v>0.52374525136992822</c:v>
                </c:pt>
                <c:pt idx="27">
                  <c:v>0.53506051789704812</c:v>
                </c:pt>
                <c:pt idx="28">
                  <c:v>0.54556139034163842</c:v>
                </c:pt>
                <c:pt idx="29">
                  <c:v>0.55550195811974423</c:v>
                </c:pt>
                <c:pt idx="30">
                  <c:v>0.56751136306077898</c:v>
                </c:pt>
                <c:pt idx="31">
                  <c:v>0.58032618783414969</c:v>
                </c:pt>
                <c:pt idx="32">
                  <c:v>0.59318093458451138</c:v>
                </c:pt>
                <c:pt idx="33">
                  <c:v>0.6886005512147807</c:v>
                </c:pt>
                <c:pt idx="34">
                  <c:v>0.70006118649820681</c:v>
                </c:pt>
                <c:pt idx="35">
                  <c:v>0.71240394038375898</c:v>
                </c:pt>
                <c:pt idx="36">
                  <c:v>0.72437739076325081</c:v>
                </c:pt>
                <c:pt idx="37">
                  <c:v>0.73884328942051691</c:v>
                </c:pt>
                <c:pt idx="38">
                  <c:v>0.75318610907141537</c:v>
                </c:pt>
                <c:pt idx="39">
                  <c:v>0.76525397320528721</c:v>
                </c:pt>
                <c:pt idx="40">
                  <c:v>0.77710634259791989</c:v>
                </c:pt>
                <c:pt idx="41">
                  <c:v>0.78786953910161495</c:v>
                </c:pt>
                <c:pt idx="42">
                  <c:v>0.79652234575605052</c:v>
                </c:pt>
                <c:pt idx="43">
                  <c:v>0.80497068295454288</c:v>
                </c:pt>
                <c:pt idx="44">
                  <c:v>0.81299003457371</c:v>
                </c:pt>
                <c:pt idx="45">
                  <c:v>0.82345989445834289</c:v>
                </c:pt>
                <c:pt idx="46">
                  <c:v>0.83268021851253626</c:v>
                </c:pt>
                <c:pt idx="47">
                  <c:v>0.8400311376741878</c:v>
                </c:pt>
                <c:pt idx="48">
                  <c:v>0.84777053055202389</c:v>
                </c:pt>
                <c:pt idx="49">
                  <c:v>0.8557056949688121</c:v>
                </c:pt>
                <c:pt idx="50">
                  <c:v>0.86168984605563559</c:v>
                </c:pt>
                <c:pt idx="51">
                  <c:v>0.86779574144795546</c:v>
                </c:pt>
                <c:pt idx="52">
                  <c:v>0.87362629218037768</c:v>
                </c:pt>
                <c:pt idx="53">
                  <c:v>0.87864554391191896</c:v>
                </c:pt>
                <c:pt idx="54">
                  <c:v>0.88387664879422045</c:v>
                </c:pt>
                <c:pt idx="55">
                  <c:v>0.8885701721426178</c:v>
                </c:pt>
                <c:pt idx="56">
                  <c:v>0.89334620695963163</c:v>
                </c:pt>
                <c:pt idx="57">
                  <c:v>0.89730502208165608</c:v>
                </c:pt>
                <c:pt idx="58">
                  <c:v>0.9000901679038944</c:v>
                </c:pt>
                <c:pt idx="59">
                  <c:v>0.90302591053996339</c:v>
                </c:pt>
                <c:pt idx="60">
                  <c:v>0.90766013816051438</c:v>
                </c:pt>
                <c:pt idx="61">
                  <c:v>0.91237627368134355</c:v>
                </c:pt>
                <c:pt idx="62">
                  <c:v>0.91695654487220524</c:v>
                </c:pt>
                <c:pt idx="63">
                  <c:v>0.921229273813581</c:v>
                </c:pt>
                <c:pt idx="64">
                  <c:v>0.92557084434808667</c:v>
                </c:pt>
                <c:pt idx="65">
                  <c:v>0.92926356334038063</c:v>
                </c:pt>
                <c:pt idx="66">
                  <c:v>0.93275436877806162</c:v>
                </c:pt>
                <c:pt idx="67">
                  <c:v>0.93630292199008969</c:v>
                </c:pt>
                <c:pt idx="68">
                  <c:v>0.939906627680552</c:v>
                </c:pt>
                <c:pt idx="69">
                  <c:v>0.94345693803372543</c:v>
                </c:pt>
                <c:pt idx="70">
                  <c:v>0.94662132773424545</c:v>
                </c:pt>
                <c:pt idx="71">
                  <c:v>0.95004140756694744</c:v>
                </c:pt>
                <c:pt idx="72">
                  <c:v>0.95379338999680308</c:v>
                </c:pt>
                <c:pt idx="73">
                  <c:v>0.95723870678725043</c:v>
                </c:pt>
                <c:pt idx="74">
                  <c:v>0.96031006864591928</c:v>
                </c:pt>
                <c:pt idx="75">
                  <c:v>0.96244885110233236</c:v>
                </c:pt>
                <c:pt idx="76">
                  <c:v>0.96459257564013201</c:v>
                </c:pt>
                <c:pt idx="77">
                  <c:v>0.96708469794996521</c:v>
                </c:pt>
                <c:pt idx="78">
                  <c:v>0.97011339586713818</c:v>
                </c:pt>
                <c:pt idx="79">
                  <c:v>0.97364357303207805</c:v>
                </c:pt>
                <c:pt idx="80">
                  <c:v>0.97643909924631533</c:v>
                </c:pt>
                <c:pt idx="81">
                  <c:v>0.97966738519491725</c:v>
                </c:pt>
                <c:pt idx="82">
                  <c:v>0.98236718333739681</c:v>
                </c:pt>
                <c:pt idx="83">
                  <c:v>0.9843001562870024</c:v>
                </c:pt>
                <c:pt idx="84">
                  <c:v>0.98572835323591679</c:v>
                </c:pt>
                <c:pt idx="85">
                  <c:v>0.98616789366209412</c:v>
                </c:pt>
                <c:pt idx="86">
                  <c:v>0.98754388539349125</c:v>
                </c:pt>
                <c:pt idx="87">
                  <c:v>0.98933716075059153</c:v>
                </c:pt>
                <c:pt idx="88">
                  <c:v>0.99119258296225987</c:v>
                </c:pt>
                <c:pt idx="89">
                  <c:v>0.99457672170425537</c:v>
                </c:pt>
                <c:pt idx="9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AA-D942-B1BD-C2DB31D20AD6}"/>
            </c:ext>
          </c:extLst>
        </c:ser>
        <c:ser>
          <c:idx val="5"/>
          <c:order val="2"/>
          <c:spPr>
            <a:ln w="19050" cmpd="sng"/>
          </c:spPr>
          <c:marker>
            <c:symbol val="none"/>
          </c:marker>
          <c:xVal>
            <c:numRef>
              <c:f>'Recalculation_MS Data'!$FW$2:$FW$131</c:f>
              <c:numCache>
                <c:formatCode>#,##0</c:formatCode>
                <c:ptCount val="130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xVal>
          <c:yVal>
            <c:numRef>
              <c:f>'Recalculation_MS Data'!$GE$2:$GE$131</c:f>
              <c:numCache>
                <c:formatCode>#,##0</c:formatCode>
                <c:ptCount val="130"/>
                <c:pt idx="0">
                  <c:v>5.072834802120325E-3</c:v>
                </c:pt>
                <c:pt idx="1">
                  <c:v>1.014566960424065E-2</c:v>
                </c:pt>
                <c:pt idx="2">
                  <c:v>1.5224335237431528E-2</c:v>
                </c:pt>
                <c:pt idx="3">
                  <c:v>7.3881976839585542E-2</c:v>
                </c:pt>
                <c:pt idx="4">
                  <c:v>0.14833246713767068</c:v>
                </c:pt>
                <c:pt idx="5">
                  <c:v>0.15597160144037733</c:v>
                </c:pt>
                <c:pt idx="6">
                  <c:v>0.1973477768128323</c:v>
                </c:pt>
                <c:pt idx="7">
                  <c:v>0.20897998604519857</c:v>
                </c:pt>
                <c:pt idx="8">
                  <c:v>0.22196657470878692</c:v>
                </c:pt>
                <c:pt idx="9">
                  <c:v>0.23544778910041517</c:v>
                </c:pt>
                <c:pt idx="10">
                  <c:v>0.24753857595536646</c:v>
                </c:pt>
                <c:pt idx="11">
                  <c:v>0.2594821616977146</c:v>
                </c:pt>
                <c:pt idx="12">
                  <c:v>0.27249340228662039</c:v>
                </c:pt>
                <c:pt idx="13">
                  <c:v>0.28432821153309112</c:v>
                </c:pt>
                <c:pt idx="14">
                  <c:v>0.29587719747760383</c:v>
                </c:pt>
                <c:pt idx="15">
                  <c:v>0.30761637165149491</c:v>
                </c:pt>
                <c:pt idx="16">
                  <c:v>0.32018143567271812</c:v>
                </c:pt>
                <c:pt idx="17">
                  <c:v>0.33111870158020912</c:v>
                </c:pt>
                <c:pt idx="18">
                  <c:v>0.34170301696939742</c:v>
                </c:pt>
                <c:pt idx="19">
                  <c:v>0.35178423482322352</c:v>
                </c:pt>
                <c:pt idx="20">
                  <c:v>0.3653825746870345</c:v>
                </c:pt>
                <c:pt idx="21">
                  <c:v>0.37309141783871158</c:v>
                </c:pt>
                <c:pt idx="22">
                  <c:v>0.38521119042054153</c:v>
                </c:pt>
                <c:pt idx="23">
                  <c:v>0.3942067850559719</c:v>
                </c:pt>
                <c:pt idx="24">
                  <c:v>0.40504620153815973</c:v>
                </c:pt>
                <c:pt idx="25">
                  <c:v>0.41438809139868521</c:v>
                </c:pt>
                <c:pt idx="26">
                  <c:v>0.42504455802054392</c:v>
                </c:pt>
                <c:pt idx="27">
                  <c:v>0.43540686225961944</c:v>
                </c:pt>
                <c:pt idx="28">
                  <c:v>0.44675839357791119</c:v>
                </c:pt>
                <c:pt idx="29">
                  <c:v>0.45846504780948455</c:v>
                </c:pt>
                <c:pt idx="30">
                  <c:v>0.47060134188402669</c:v>
                </c:pt>
                <c:pt idx="31">
                  <c:v>0.4818989244376658</c:v>
                </c:pt>
                <c:pt idx="32">
                  <c:v>0.49405358732174753</c:v>
                </c:pt>
                <c:pt idx="33">
                  <c:v>0.4982181990107552</c:v>
                </c:pt>
                <c:pt idx="34">
                  <c:v>0.50619028523241161</c:v>
                </c:pt>
                <c:pt idx="35">
                  <c:v>0.51730417829861863</c:v>
                </c:pt>
                <c:pt idx="36">
                  <c:v>0.5290590225301971</c:v>
                </c:pt>
                <c:pt idx="37">
                  <c:v>0.54124402909354496</c:v>
                </c:pt>
                <c:pt idx="38">
                  <c:v>0.55398470970254665</c:v>
                </c:pt>
                <c:pt idx="39">
                  <c:v>0.56473129603369654</c:v>
                </c:pt>
                <c:pt idx="40">
                  <c:v>0.57666508696623353</c:v>
                </c:pt>
                <c:pt idx="41">
                  <c:v>0.59061149544878233</c:v>
                </c:pt>
                <c:pt idx="42">
                  <c:v>0.60483794967093019</c:v>
                </c:pt>
                <c:pt idx="43">
                  <c:v>0.62051390490523339</c:v>
                </c:pt>
                <c:pt idx="44">
                  <c:v>0.6319782174897044</c:v>
                </c:pt>
                <c:pt idx="45">
                  <c:v>0.64201277241782484</c:v>
                </c:pt>
                <c:pt idx="46">
                  <c:v>0.65376734605936249</c:v>
                </c:pt>
                <c:pt idx="47">
                  <c:v>0.66485990182616006</c:v>
                </c:pt>
                <c:pt idx="48">
                  <c:v>0.67748740559785126</c:v>
                </c:pt>
                <c:pt idx="49">
                  <c:v>0.68879301516383284</c:v>
                </c:pt>
                <c:pt idx="50">
                  <c:v>0.70014946686027768</c:v>
                </c:pt>
                <c:pt idx="51">
                  <c:v>0.71241170051005143</c:v>
                </c:pt>
                <c:pt idx="52">
                  <c:v>0.72741366040186572</c:v>
                </c:pt>
                <c:pt idx="53">
                  <c:v>0.74057175194885561</c:v>
                </c:pt>
                <c:pt idx="54">
                  <c:v>0.75381858185219541</c:v>
                </c:pt>
                <c:pt idx="55">
                  <c:v>0.76660403685578282</c:v>
                </c:pt>
                <c:pt idx="56">
                  <c:v>0.78034851897908808</c:v>
                </c:pt>
                <c:pt idx="57">
                  <c:v>0.79465373852770593</c:v>
                </c:pt>
                <c:pt idx="58">
                  <c:v>0.79872617905809074</c:v>
                </c:pt>
                <c:pt idx="59">
                  <c:v>0.80255753117171291</c:v>
                </c:pt>
                <c:pt idx="60">
                  <c:v>0.81006673874164248</c:v>
                </c:pt>
                <c:pt idx="61">
                  <c:v>0.81693802823409412</c:v>
                </c:pt>
                <c:pt idx="62">
                  <c:v>0.82344913834737232</c:v>
                </c:pt>
                <c:pt idx="63">
                  <c:v>0.83133442868327112</c:v>
                </c:pt>
                <c:pt idx="64">
                  <c:v>0.8405670423025835</c:v>
                </c:pt>
                <c:pt idx="65">
                  <c:v>0.85110291061390309</c:v>
                </c:pt>
                <c:pt idx="66">
                  <c:v>0.85930718526690031</c:v>
                </c:pt>
                <c:pt idx="67">
                  <c:v>0.86769146173370404</c:v>
                </c:pt>
                <c:pt idx="68">
                  <c:v>0.87835164419941947</c:v>
                </c:pt>
                <c:pt idx="69">
                  <c:v>0.88758810302493896</c:v>
                </c:pt>
                <c:pt idx="70">
                  <c:v>0.89552027380987853</c:v>
                </c:pt>
                <c:pt idx="71">
                  <c:v>0.90298846437126234</c:v>
                </c:pt>
                <c:pt idx="72">
                  <c:v>0.91045685595076498</c:v>
                </c:pt>
                <c:pt idx="73">
                  <c:v>0.9176032976001357</c:v>
                </c:pt>
                <c:pt idx="74">
                  <c:v>0.92542439048399872</c:v>
                </c:pt>
                <c:pt idx="75">
                  <c:v>0.93246093059645718</c:v>
                </c:pt>
                <c:pt idx="76">
                  <c:v>0.93932275417511868</c:v>
                </c:pt>
                <c:pt idx="77">
                  <c:v>0.94640698381742805</c:v>
                </c:pt>
                <c:pt idx="78">
                  <c:v>0.95005093461526668</c:v>
                </c:pt>
                <c:pt idx="79">
                  <c:v>0.95334113567886325</c:v>
                </c:pt>
                <c:pt idx="80">
                  <c:v>0.9563452423965626</c:v>
                </c:pt>
                <c:pt idx="81">
                  <c:v>0.9596445103865513</c:v>
                </c:pt>
                <c:pt idx="82">
                  <c:v>0.96270119809324106</c:v>
                </c:pt>
                <c:pt idx="83">
                  <c:v>0.96498303775268912</c:v>
                </c:pt>
                <c:pt idx="84">
                  <c:v>0.99145554023123217</c:v>
                </c:pt>
                <c:pt idx="85">
                  <c:v>0.99296946722350365</c:v>
                </c:pt>
                <c:pt idx="86">
                  <c:v>0.99400477229535245</c:v>
                </c:pt>
                <c:pt idx="87">
                  <c:v>0.99691945255850833</c:v>
                </c:pt>
                <c:pt idx="88">
                  <c:v>0.99829899917197706</c:v>
                </c:pt>
                <c:pt idx="89">
                  <c:v>0.9996098073233487</c:v>
                </c:pt>
                <c:pt idx="9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AA-D942-B1BD-C2DB31D20AD6}"/>
            </c:ext>
          </c:extLst>
        </c:ser>
        <c:ser>
          <c:idx val="7"/>
          <c:order val="3"/>
          <c:spPr>
            <a:ln w="28575" cmpd="sng">
              <a:solidFill>
                <a:schemeClr val="tx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'Recalculation_MS Data'!$FW$2:$FW$131</c:f>
              <c:numCache>
                <c:formatCode>#,##0</c:formatCode>
                <c:ptCount val="130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xVal>
          <c:yVal>
            <c:numRef>
              <c:f>'Recalculation_MS Data'!$GF$2:$GF$131</c:f>
              <c:numCache>
                <c:formatCode>#,##0</c:formatCode>
                <c:ptCount val="130"/>
                <c:pt idx="0">
                  <c:v>6.5525765590968385E-2</c:v>
                </c:pt>
                <c:pt idx="1">
                  <c:v>6.9825337317898847E-2</c:v>
                </c:pt>
                <c:pt idx="2">
                  <c:v>7.4118406055948521E-2</c:v>
                </c:pt>
                <c:pt idx="3">
                  <c:v>0.11331793615162686</c:v>
                </c:pt>
                <c:pt idx="4">
                  <c:v>0.12891563579039642</c:v>
                </c:pt>
                <c:pt idx="5">
                  <c:v>0.13470824190819072</c:v>
                </c:pt>
                <c:pt idx="6">
                  <c:v>0.17478662857272761</c:v>
                </c:pt>
                <c:pt idx="7">
                  <c:v>0.19429003474064829</c:v>
                </c:pt>
                <c:pt idx="8">
                  <c:v>0.2136841276051594</c:v>
                </c:pt>
                <c:pt idx="9">
                  <c:v>0.23367562002741363</c:v>
                </c:pt>
                <c:pt idx="10">
                  <c:v>0.25353395412084323</c:v>
                </c:pt>
                <c:pt idx="11">
                  <c:v>0.26767559565023852</c:v>
                </c:pt>
                <c:pt idx="12">
                  <c:v>0.28599339378875632</c:v>
                </c:pt>
                <c:pt idx="13">
                  <c:v>0.30200035081147109</c:v>
                </c:pt>
                <c:pt idx="14">
                  <c:v>0.31118712650934466</c:v>
                </c:pt>
                <c:pt idx="15">
                  <c:v>0.32587495917340548</c:v>
                </c:pt>
                <c:pt idx="16">
                  <c:v>0.34292376082616749</c:v>
                </c:pt>
                <c:pt idx="17">
                  <c:v>0.35885109573348722</c:v>
                </c:pt>
                <c:pt idx="18">
                  <c:v>0.36951894256915246</c:v>
                </c:pt>
                <c:pt idx="19">
                  <c:v>0.37983085953179602</c:v>
                </c:pt>
                <c:pt idx="20">
                  <c:v>0.39269287040908041</c:v>
                </c:pt>
                <c:pt idx="21">
                  <c:v>0.40619592325103443</c:v>
                </c:pt>
                <c:pt idx="22">
                  <c:v>0.41640740479690919</c:v>
                </c:pt>
                <c:pt idx="23">
                  <c:v>0.42728142060484864</c:v>
                </c:pt>
                <c:pt idx="24">
                  <c:v>0.43861712228881833</c:v>
                </c:pt>
                <c:pt idx="25">
                  <c:v>0.4492387671659468</c:v>
                </c:pt>
                <c:pt idx="26">
                  <c:v>0.46014930061736781</c:v>
                </c:pt>
                <c:pt idx="27">
                  <c:v>0.47105782517474409</c:v>
                </c:pt>
                <c:pt idx="28">
                  <c:v>0.47986496192258254</c:v>
                </c:pt>
                <c:pt idx="29">
                  <c:v>0.48864434337809665</c:v>
                </c:pt>
                <c:pt idx="30">
                  <c:v>0.4977351096887464</c:v>
                </c:pt>
                <c:pt idx="31">
                  <c:v>0.50779432189960927</c:v>
                </c:pt>
                <c:pt idx="32">
                  <c:v>0.51743551867171067</c:v>
                </c:pt>
                <c:pt idx="33">
                  <c:v>0.52139200180670731</c:v>
                </c:pt>
                <c:pt idx="34">
                  <c:v>0.52578202520100348</c:v>
                </c:pt>
                <c:pt idx="35">
                  <c:v>0.53859740035138981</c:v>
                </c:pt>
                <c:pt idx="36">
                  <c:v>0.55221304976769048</c:v>
                </c:pt>
                <c:pt idx="37">
                  <c:v>0.56580788683659</c:v>
                </c:pt>
                <c:pt idx="38">
                  <c:v>0.57821636407233235</c:v>
                </c:pt>
                <c:pt idx="39">
                  <c:v>0.59153264287700758</c:v>
                </c:pt>
                <c:pt idx="40">
                  <c:v>0.60436984907886515</c:v>
                </c:pt>
                <c:pt idx="41">
                  <c:v>0.61649224842967565</c:v>
                </c:pt>
                <c:pt idx="42">
                  <c:v>0.62739372595157894</c:v>
                </c:pt>
                <c:pt idx="43">
                  <c:v>0.64109169132023935</c:v>
                </c:pt>
                <c:pt idx="44">
                  <c:v>0.65389722553780749</c:v>
                </c:pt>
                <c:pt idx="45">
                  <c:v>0.66360132648062187</c:v>
                </c:pt>
                <c:pt idx="46">
                  <c:v>0.67136311524132508</c:v>
                </c:pt>
                <c:pt idx="47">
                  <c:v>0.68201771890080742</c:v>
                </c:pt>
                <c:pt idx="48">
                  <c:v>0.69422543155899119</c:v>
                </c:pt>
                <c:pt idx="49">
                  <c:v>0.70400576619327138</c:v>
                </c:pt>
                <c:pt idx="50">
                  <c:v>0.71208626736713354</c:v>
                </c:pt>
                <c:pt idx="51">
                  <c:v>0.72156275528440195</c:v>
                </c:pt>
                <c:pt idx="52">
                  <c:v>0.73161261401590016</c:v>
                </c:pt>
                <c:pt idx="53">
                  <c:v>0.73892558667797559</c:v>
                </c:pt>
                <c:pt idx="54">
                  <c:v>0.74579038131347375</c:v>
                </c:pt>
                <c:pt idx="55">
                  <c:v>0.7549902923801457</c:v>
                </c:pt>
                <c:pt idx="56">
                  <c:v>0.76338213232492225</c:v>
                </c:pt>
                <c:pt idx="57">
                  <c:v>0.7731157288064705</c:v>
                </c:pt>
                <c:pt idx="58">
                  <c:v>0.77793112020702548</c:v>
                </c:pt>
                <c:pt idx="59">
                  <c:v>0.78275064113393622</c:v>
                </c:pt>
                <c:pt idx="60">
                  <c:v>0.78768077738628606</c:v>
                </c:pt>
                <c:pt idx="61">
                  <c:v>0.79446187568882098</c:v>
                </c:pt>
                <c:pt idx="62">
                  <c:v>0.80045604936800807</c:v>
                </c:pt>
                <c:pt idx="63">
                  <c:v>0.80831531017421332</c:v>
                </c:pt>
                <c:pt idx="64">
                  <c:v>0.81628121205199378</c:v>
                </c:pt>
                <c:pt idx="65">
                  <c:v>0.82460983140811894</c:v>
                </c:pt>
                <c:pt idx="66">
                  <c:v>0.83326476430225827</c:v>
                </c:pt>
                <c:pt idx="67">
                  <c:v>0.84190435751559445</c:v>
                </c:pt>
                <c:pt idx="68">
                  <c:v>0.84814953539833737</c:v>
                </c:pt>
                <c:pt idx="69">
                  <c:v>0.85400026512657445</c:v>
                </c:pt>
                <c:pt idx="70">
                  <c:v>0.86018995781194019</c:v>
                </c:pt>
                <c:pt idx="71">
                  <c:v>0.86592572247637301</c:v>
                </c:pt>
                <c:pt idx="72">
                  <c:v>0.87227234838034617</c:v>
                </c:pt>
                <c:pt idx="73">
                  <c:v>0.87881051816705191</c:v>
                </c:pt>
                <c:pt idx="74">
                  <c:v>0.88519891833682085</c:v>
                </c:pt>
                <c:pt idx="75">
                  <c:v>0.89100788256635444</c:v>
                </c:pt>
                <c:pt idx="76">
                  <c:v>0.89760895365161619</c:v>
                </c:pt>
                <c:pt idx="77">
                  <c:v>0.90478201660587454</c:v>
                </c:pt>
                <c:pt idx="78">
                  <c:v>0.90957216093207616</c:v>
                </c:pt>
                <c:pt idx="79">
                  <c:v>0.91373796513884098</c:v>
                </c:pt>
                <c:pt idx="80">
                  <c:v>0.91757082882484875</c:v>
                </c:pt>
                <c:pt idx="81">
                  <c:v>0.92134806088318721</c:v>
                </c:pt>
                <c:pt idx="82">
                  <c:v>0.92533081078958623</c:v>
                </c:pt>
                <c:pt idx="83">
                  <c:v>0.92925691407511446</c:v>
                </c:pt>
                <c:pt idx="84">
                  <c:v>0.93221296260738262</c:v>
                </c:pt>
                <c:pt idx="85">
                  <c:v>0.93417705938253992</c:v>
                </c:pt>
                <c:pt idx="86">
                  <c:v>0.93724082958236821</c:v>
                </c:pt>
                <c:pt idx="87">
                  <c:v>0.94034230492489257</c:v>
                </c:pt>
                <c:pt idx="88">
                  <c:v>0.94362714220449839</c:v>
                </c:pt>
                <c:pt idx="89">
                  <c:v>0.94677899157214396</c:v>
                </c:pt>
                <c:pt idx="90">
                  <c:v>0.94972986807239723</c:v>
                </c:pt>
                <c:pt idx="91">
                  <c:v>0.95236813863656811</c:v>
                </c:pt>
                <c:pt idx="92">
                  <c:v>0.95530582655720142</c:v>
                </c:pt>
                <c:pt idx="93">
                  <c:v>0.95790801108034895</c:v>
                </c:pt>
                <c:pt idx="94">
                  <c:v>0.96010904194978941</c:v>
                </c:pt>
                <c:pt idx="95">
                  <c:v>0.96234009657815944</c:v>
                </c:pt>
                <c:pt idx="96">
                  <c:v>0.96451579156336242</c:v>
                </c:pt>
                <c:pt idx="97">
                  <c:v>0.96520461149589654</c:v>
                </c:pt>
                <c:pt idx="98">
                  <c:v>0.96587445186531218</c:v>
                </c:pt>
                <c:pt idx="99">
                  <c:v>0.96643491596981257</c:v>
                </c:pt>
                <c:pt idx="100">
                  <c:v>0.96679417563051684</c:v>
                </c:pt>
                <c:pt idx="101">
                  <c:v>0.9671142597183251</c:v>
                </c:pt>
                <c:pt idx="102">
                  <c:v>0.96673064739650238</c:v>
                </c:pt>
                <c:pt idx="103">
                  <c:v>0.96660935539579529</c:v>
                </c:pt>
                <c:pt idx="104">
                  <c:v>0.96629615070466646</c:v>
                </c:pt>
                <c:pt idx="105">
                  <c:v>0.96611803636762617</c:v>
                </c:pt>
                <c:pt idx="106">
                  <c:v>0.96595082625203665</c:v>
                </c:pt>
                <c:pt idx="107">
                  <c:v>0.96590449857311511</c:v>
                </c:pt>
                <c:pt idx="108">
                  <c:v>0.96580860347808561</c:v>
                </c:pt>
                <c:pt idx="109">
                  <c:v>0.96577043938795193</c:v>
                </c:pt>
                <c:pt idx="110">
                  <c:v>0.96581440374236271</c:v>
                </c:pt>
                <c:pt idx="111">
                  <c:v>0.96589423202847469</c:v>
                </c:pt>
                <c:pt idx="112">
                  <c:v>0.96544202890172115</c:v>
                </c:pt>
                <c:pt idx="113">
                  <c:v>0.96503230200943613</c:v>
                </c:pt>
                <c:pt idx="114">
                  <c:v>0.96428458404368478</c:v>
                </c:pt>
                <c:pt idx="115">
                  <c:v>0.96367193469978829</c:v>
                </c:pt>
                <c:pt idx="116">
                  <c:v>0.96317115533143827</c:v>
                </c:pt>
                <c:pt idx="117">
                  <c:v>0.96262408004553957</c:v>
                </c:pt>
                <c:pt idx="118">
                  <c:v>0.96205418272129894</c:v>
                </c:pt>
                <c:pt idx="119">
                  <c:v>0.96153884653863864</c:v>
                </c:pt>
                <c:pt idx="120">
                  <c:v>0.96150028497505957</c:v>
                </c:pt>
                <c:pt idx="121">
                  <c:v>0.96156774501078257</c:v>
                </c:pt>
                <c:pt idx="122">
                  <c:v>0.96193456012697265</c:v>
                </c:pt>
                <c:pt idx="123">
                  <c:v>0.9620453212980401</c:v>
                </c:pt>
                <c:pt idx="124">
                  <c:v>0.96214082974313109</c:v>
                </c:pt>
                <c:pt idx="125">
                  <c:v>0.96237943894183986</c:v>
                </c:pt>
                <c:pt idx="126">
                  <c:v>0.96238656497788944</c:v>
                </c:pt>
                <c:pt idx="127">
                  <c:v>0.96233443548829944</c:v>
                </c:pt>
                <c:pt idx="128">
                  <c:v>0.96235232566443185</c:v>
                </c:pt>
                <c:pt idx="129">
                  <c:v>0.96242456274412447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AA-D942-B1BD-C2DB31D20AD6}"/>
            </c:ext>
          </c:extLst>
        </c:ser>
        <c:ser>
          <c:idx val="1"/>
          <c:order val="0"/>
          <c:spPr>
            <a:ln w="28575" cmpd="sng"/>
          </c:spPr>
          <c:marker>
            <c:symbol val="none"/>
          </c:marker>
          <c:xVal>
            <c:numRef>
              <c:f>'Recalculation_MS Data'!$FW$2:$FW$131</c:f>
              <c:numCache>
                <c:formatCode>#,##0</c:formatCode>
                <c:ptCount val="130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xVal>
          <c:yVal>
            <c:numRef>
              <c:f>'Recalculation_MS Data'!$GG$2:$GG$131</c:f>
              <c:numCache>
                <c:formatCode>#,##0</c:formatCode>
                <c:ptCount val="130"/>
                <c:pt idx="0">
                  <c:v>9.6867431876404998E-3</c:v>
                </c:pt>
                <c:pt idx="1">
                  <c:v>1.9373486375281E-2</c:v>
                </c:pt>
                <c:pt idx="2">
                  <c:v>2.9070497101902515E-2</c:v>
                </c:pt>
                <c:pt idx="3">
                  <c:v>8.7470944975474682E-2</c:v>
                </c:pt>
                <c:pt idx="4">
                  <c:v>0.14128607333042328</c:v>
                </c:pt>
                <c:pt idx="5">
                  <c:v>0.24086239573535664</c:v>
                </c:pt>
                <c:pt idx="6">
                  <c:v>0.26906922864792476</c:v>
                </c:pt>
                <c:pt idx="7">
                  <c:v>0.28519735048503314</c:v>
                </c:pt>
                <c:pt idx="8">
                  <c:v>0.30371469844589793</c:v>
                </c:pt>
                <c:pt idx="9">
                  <c:v>0.32051926794954744</c:v>
                </c:pt>
                <c:pt idx="10">
                  <c:v>0.33573722892483882</c:v>
                </c:pt>
                <c:pt idx="11">
                  <c:v>0.34961819417284384</c:v>
                </c:pt>
                <c:pt idx="12">
                  <c:v>0.36232642881460164</c:v>
                </c:pt>
                <c:pt idx="13">
                  <c:v>0.37374438785583441</c:v>
                </c:pt>
                <c:pt idx="14">
                  <c:v>0.38587193778112622</c:v>
                </c:pt>
                <c:pt idx="15">
                  <c:v>0.39863657431709537</c:v>
                </c:pt>
                <c:pt idx="16">
                  <c:v>0.41139332017194674</c:v>
                </c:pt>
                <c:pt idx="17">
                  <c:v>0.4237555792810147</c:v>
                </c:pt>
                <c:pt idx="18">
                  <c:v>0.4358356852360642</c:v>
                </c:pt>
                <c:pt idx="19">
                  <c:v>0.44768966534093169</c:v>
                </c:pt>
                <c:pt idx="20">
                  <c:v>0.45942122407992464</c:v>
                </c:pt>
                <c:pt idx="21">
                  <c:v>0.47099991232394389</c:v>
                </c:pt>
                <c:pt idx="22">
                  <c:v>0.4827814097301405</c:v>
                </c:pt>
                <c:pt idx="23">
                  <c:v>0.49579330750769274</c:v>
                </c:pt>
                <c:pt idx="24">
                  <c:v>0.50602439958080725</c:v>
                </c:pt>
                <c:pt idx="25">
                  <c:v>0.51656110344788642</c:v>
                </c:pt>
                <c:pt idx="26">
                  <c:v>0.52734935487493662</c:v>
                </c:pt>
                <c:pt idx="27">
                  <c:v>0.53969447559961503</c:v>
                </c:pt>
                <c:pt idx="28">
                  <c:v>0.55016132672000995</c:v>
                </c:pt>
                <c:pt idx="29">
                  <c:v>0.55998854072979776</c:v>
                </c:pt>
                <c:pt idx="30">
                  <c:v>0.56938793265359755</c:v>
                </c:pt>
                <c:pt idx="31">
                  <c:v>0.57950762279991797</c:v>
                </c:pt>
                <c:pt idx="32">
                  <c:v>0.58994964648290527</c:v>
                </c:pt>
                <c:pt idx="33">
                  <c:v>0.59787500487754319</c:v>
                </c:pt>
                <c:pt idx="34">
                  <c:v>0.60577032683494725</c:v>
                </c:pt>
                <c:pt idx="35">
                  <c:v>0.61957743357980988</c:v>
                </c:pt>
                <c:pt idx="36">
                  <c:v>0.63205356393591094</c:v>
                </c:pt>
                <c:pt idx="37">
                  <c:v>0.64327083545460861</c:v>
                </c:pt>
                <c:pt idx="38">
                  <c:v>0.65542480850645135</c:v>
                </c:pt>
                <c:pt idx="39">
                  <c:v>0.66700595921267769</c:v>
                </c:pt>
                <c:pt idx="40">
                  <c:v>0.67886353384626985</c:v>
                </c:pt>
                <c:pt idx="41">
                  <c:v>0.69050194727412462</c:v>
                </c:pt>
                <c:pt idx="42">
                  <c:v>0.7012243655276883</c:v>
                </c:pt>
                <c:pt idx="43">
                  <c:v>0.71284284737625958</c:v>
                </c:pt>
                <c:pt idx="44">
                  <c:v>0.72352091212871483</c:v>
                </c:pt>
                <c:pt idx="45">
                  <c:v>0.73301920365818307</c:v>
                </c:pt>
                <c:pt idx="46">
                  <c:v>0.74206921440837437</c:v>
                </c:pt>
                <c:pt idx="47">
                  <c:v>0.75128818889633808</c:v>
                </c:pt>
                <c:pt idx="48">
                  <c:v>0.7631461413195797</c:v>
                </c:pt>
                <c:pt idx="49">
                  <c:v>0.77208087262763647</c:v>
                </c:pt>
                <c:pt idx="50">
                  <c:v>0.77974878590374053</c:v>
                </c:pt>
                <c:pt idx="51">
                  <c:v>0.79011334470699934</c:v>
                </c:pt>
                <c:pt idx="52">
                  <c:v>0.8007840778853933</c:v>
                </c:pt>
                <c:pt idx="53">
                  <c:v>0.81046944646562391</c:v>
                </c:pt>
                <c:pt idx="54">
                  <c:v>0.8202611137575031</c:v>
                </c:pt>
                <c:pt idx="55">
                  <c:v>0.82909757395893169</c:v>
                </c:pt>
                <c:pt idx="56">
                  <c:v>0.83812124515223418</c:v>
                </c:pt>
                <c:pt idx="57">
                  <c:v>0.84680553797250802</c:v>
                </c:pt>
                <c:pt idx="58">
                  <c:v>0.85252349496222302</c:v>
                </c:pt>
                <c:pt idx="59">
                  <c:v>0.85807979147342661</c:v>
                </c:pt>
                <c:pt idx="60">
                  <c:v>0.86383896996699527</c:v>
                </c:pt>
                <c:pt idx="61">
                  <c:v>0.86980030260217533</c:v>
                </c:pt>
                <c:pt idx="62">
                  <c:v>0.87614481364968833</c:v>
                </c:pt>
                <c:pt idx="63">
                  <c:v>0.88380561962322679</c:v>
                </c:pt>
                <c:pt idx="64">
                  <c:v>0.89094530671505201</c:v>
                </c:pt>
                <c:pt idx="65">
                  <c:v>0.90113059752268232</c:v>
                </c:pt>
                <c:pt idx="66">
                  <c:v>0.91614355573055772</c:v>
                </c:pt>
                <c:pt idx="67">
                  <c:v>0.92997941910490478</c:v>
                </c:pt>
                <c:pt idx="68">
                  <c:v>0.93987077621032655</c:v>
                </c:pt>
                <c:pt idx="69">
                  <c:v>0.94672025443319352</c:v>
                </c:pt>
                <c:pt idx="70">
                  <c:v>0.95202033918178375</c:v>
                </c:pt>
                <c:pt idx="71">
                  <c:v>0.95527193567768431</c:v>
                </c:pt>
                <c:pt idx="72">
                  <c:v>0.95721737213191282</c:v>
                </c:pt>
                <c:pt idx="73">
                  <c:v>0.95896512417872548</c:v>
                </c:pt>
                <c:pt idx="74">
                  <c:v>0.96063139230605255</c:v>
                </c:pt>
                <c:pt idx="75">
                  <c:v>0.96358323697919868</c:v>
                </c:pt>
                <c:pt idx="76">
                  <c:v>0.96689608920370607</c:v>
                </c:pt>
                <c:pt idx="77">
                  <c:v>0.96991940355150219</c:v>
                </c:pt>
                <c:pt idx="78">
                  <c:v>0.97246161511251017</c:v>
                </c:pt>
                <c:pt idx="79">
                  <c:v>0.97437438111731689</c:v>
                </c:pt>
                <c:pt idx="80">
                  <c:v>0.97600421649925495</c:v>
                </c:pt>
                <c:pt idx="81">
                  <c:v>0.97718786823999571</c:v>
                </c:pt>
                <c:pt idx="82">
                  <c:v>0.97837336365478722</c:v>
                </c:pt>
                <c:pt idx="83">
                  <c:v>0.97951528022451806</c:v>
                </c:pt>
                <c:pt idx="84">
                  <c:v>0.9804678074424662</c:v>
                </c:pt>
                <c:pt idx="85">
                  <c:v>0.98091938824514169</c:v>
                </c:pt>
                <c:pt idx="86">
                  <c:v>0.98176604078304219</c:v>
                </c:pt>
                <c:pt idx="87">
                  <c:v>0.98264738325408729</c:v>
                </c:pt>
                <c:pt idx="88">
                  <c:v>0.98343149039934985</c:v>
                </c:pt>
                <c:pt idx="89">
                  <c:v>0.98423604863238578</c:v>
                </c:pt>
                <c:pt idx="90">
                  <c:v>0.985106999537117</c:v>
                </c:pt>
                <c:pt idx="91">
                  <c:v>0.98591463988055672</c:v>
                </c:pt>
                <c:pt idx="92">
                  <c:v>0.98670110378816522</c:v>
                </c:pt>
                <c:pt idx="93">
                  <c:v>0.98747223880350676</c:v>
                </c:pt>
                <c:pt idx="94">
                  <c:v>0.98822638852185274</c:v>
                </c:pt>
                <c:pt idx="95">
                  <c:v>0.98899566873069245</c:v>
                </c:pt>
                <c:pt idx="96">
                  <c:v>0.98976014485229924</c:v>
                </c:pt>
                <c:pt idx="97">
                  <c:v>0.98997688784389071</c:v>
                </c:pt>
                <c:pt idx="98">
                  <c:v>0.99014399390455488</c:v>
                </c:pt>
                <c:pt idx="99">
                  <c:v>0.99026443425855315</c:v>
                </c:pt>
                <c:pt idx="100">
                  <c:v>0.99039774317057672</c:v>
                </c:pt>
                <c:pt idx="101">
                  <c:v>0.99052561125233407</c:v>
                </c:pt>
                <c:pt idx="102">
                  <c:v>0.99081354175320868</c:v>
                </c:pt>
                <c:pt idx="103">
                  <c:v>0.99081281575618207</c:v>
                </c:pt>
                <c:pt idx="104">
                  <c:v>0.99081593698213044</c:v>
                </c:pt>
                <c:pt idx="105">
                  <c:v>0.99084394842010803</c:v>
                </c:pt>
                <c:pt idx="106">
                  <c:v>0.990889993790251</c:v>
                </c:pt>
                <c:pt idx="107">
                  <c:v>0.99088876453865715</c:v>
                </c:pt>
                <c:pt idx="108">
                  <c:v>0.99091646666556532</c:v>
                </c:pt>
                <c:pt idx="109">
                  <c:v>0.99097692658254477</c:v>
                </c:pt>
                <c:pt idx="110">
                  <c:v>0.99095380065623584</c:v>
                </c:pt>
                <c:pt idx="111">
                  <c:v>0.990952821380227</c:v>
                </c:pt>
                <c:pt idx="112">
                  <c:v>0.99097758085923637</c:v>
                </c:pt>
                <c:pt idx="113">
                  <c:v>0.99095416794855185</c:v>
                </c:pt>
                <c:pt idx="114">
                  <c:v>0.99084005680358256</c:v>
                </c:pt>
                <c:pt idx="115">
                  <c:v>0.99078420793735422</c:v>
                </c:pt>
                <c:pt idx="116">
                  <c:v>0.99075864271135616</c:v>
                </c:pt>
                <c:pt idx="117">
                  <c:v>0.99072063808517485</c:v>
                </c:pt>
                <c:pt idx="118">
                  <c:v>0.9906729692083317</c:v>
                </c:pt>
                <c:pt idx="119">
                  <c:v>0.99060295401506426</c:v>
                </c:pt>
                <c:pt idx="120">
                  <c:v>0.99060038608484147</c:v>
                </c:pt>
                <c:pt idx="121">
                  <c:v>0.99062821588760019</c:v>
                </c:pt>
                <c:pt idx="122">
                  <c:v>0.99073908215956119</c:v>
                </c:pt>
                <c:pt idx="123">
                  <c:v>0.99072888653590829</c:v>
                </c:pt>
                <c:pt idx="124">
                  <c:v>0.99072219649605797</c:v>
                </c:pt>
                <c:pt idx="125">
                  <c:v>0.99076049476260275</c:v>
                </c:pt>
                <c:pt idx="126">
                  <c:v>0.99077656325654595</c:v>
                </c:pt>
                <c:pt idx="127">
                  <c:v>0.99074207004618653</c:v>
                </c:pt>
                <c:pt idx="128">
                  <c:v>0.9912386652446088</c:v>
                </c:pt>
                <c:pt idx="129">
                  <c:v>0.99144737067205613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AA-D942-B1BD-C2DB31D2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551232"/>
        <c:axId val="-2024548144"/>
      </c:scatterChart>
      <c:valAx>
        <c:axId val="-2024551232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-2024548144"/>
        <c:crosses val="autoZero"/>
        <c:crossBetween val="midCat"/>
        <c:majorUnit val="30"/>
      </c:valAx>
      <c:valAx>
        <c:axId val="-202454814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024551232"/>
        <c:crosses val="autoZero"/>
        <c:crossBetween val="midCat"/>
      </c:valAx>
      <c:spPr>
        <a:ln>
          <a:solidFill>
            <a:srgbClr val="17375E"/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9930946131734"/>
          <c:y val="0.122798408263483"/>
          <c:w val="0.69094062962799996"/>
          <c:h val="0.65642176458711898"/>
        </c:manualLayout>
      </c:layout>
      <c:scatterChart>
        <c:scatterStyle val="lineMarker"/>
        <c:varyColors val="0"/>
        <c:ser>
          <c:idx val="1"/>
          <c:order val="1"/>
          <c:spPr>
            <a:ln w="63500">
              <a:noFill/>
            </a:ln>
          </c:spPr>
          <c:marker>
            <c:symbol val="diamond"/>
            <c:size val="13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007988063992"/>
                  <c:y val="-0.42866464768827001"/>
                </c:manualLayout>
              </c:layout>
              <c:tx>
                <c:rich>
                  <a:bodyPr/>
                  <a:lstStyle/>
                  <a:p>
                    <a:pPr>
                      <a:defRPr sz="1400"/>
                    </a:pPr>
                    <a:r>
                      <a:rPr lang="en-US" sz="1400" baseline="0"/>
                      <a:t>y = -1.8x + 55.1
R² = 0.72</a:t>
                    </a:r>
                    <a:endParaRPr lang="en-US" sz="14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solidFill>
                    <a:srgbClr val="000000"/>
                  </a:solidFill>
                </a:ln>
              </c:spPr>
            </c:trendlineLbl>
          </c:trendline>
          <c:xVal>
            <c:numRef>
              <c:f>DSLR!$AE$71:$AE$92</c:f>
              <c:numCache>
                <c:formatCode>###0;###0</c:formatCode>
                <c:ptCount val="22"/>
                <c:pt idx="0">
                  <c:v>14</c:v>
                </c:pt>
                <c:pt idx="1">
                  <c:v>14</c:v>
                </c:pt>
                <c:pt idx="2">
                  <c:v>15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</c:numCache>
            </c:numRef>
          </c:xVal>
          <c:yVal>
            <c:numRef>
              <c:f>DSLR!$AG$71:$AG$91</c:f>
              <c:numCache>
                <c:formatCode>General</c:formatCode>
                <c:ptCount val="21"/>
                <c:pt idx="0">
                  <c:v>32.293127129462341</c:v>
                </c:pt>
                <c:pt idx="2">
                  <c:v>26.349965501658623</c:v>
                </c:pt>
                <c:pt idx="4">
                  <c:v>20.602434062651653</c:v>
                </c:pt>
                <c:pt idx="5">
                  <c:v>28.535780423817457</c:v>
                </c:pt>
                <c:pt idx="6">
                  <c:v>22.215100794748579</c:v>
                </c:pt>
                <c:pt idx="7">
                  <c:v>18.489628663529075</c:v>
                </c:pt>
                <c:pt idx="8">
                  <c:v>16.639015834679181</c:v>
                </c:pt>
                <c:pt idx="9">
                  <c:v>34.811482193524228</c:v>
                </c:pt>
                <c:pt idx="10">
                  <c:v>9.0378747644363457</c:v>
                </c:pt>
                <c:pt idx="11">
                  <c:v>15.727804140015467</c:v>
                </c:pt>
                <c:pt idx="12">
                  <c:v>3.2688450912724321</c:v>
                </c:pt>
                <c:pt idx="13">
                  <c:v>9.9278997740990231</c:v>
                </c:pt>
                <c:pt idx="14">
                  <c:v>5.0041994278655544</c:v>
                </c:pt>
                <c:pt idx="15">
                  <c:v>9.5706882410562457</c:v>
                </c:pt>
                <c:pt idx="16">
                  <c:v>10.083357123997592</c:v>
                </c:pt>
                <c:pt idx="17">
                  <c:v>4.9559293197706094</c:v>
                </c:pt>
                <c:pt idx="20">
                  <c:v>-6.0032232136566961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61-C14D-A17F-E823BF531607}"/>
            </c:ext>
          </c:extLst>
        </c:ser>
        <c:ser>
          <c:idx val="0"/>
          <c:order val="0"/>
          <c:spPr>
            <a:ln w="63500">
              <a:noFill/>
            </a:ln>
          </c:spPr>
          <c:marker>
            <c:spPr>
              <a:solidFill>
                <a:schemeClr val="accent5">
                  <a:lumMod val="20000"/>
                  <a:lumOff val="80000"/>
                </a:schemeClr>
              </a:solidFill>
            </c:spPr>
          </c:marker>
          <c:xVal>
            <c:numRef>
              <c:f>DSLR!$AE$4:$AE$70</c:f>
              <c:numCache>
                <c:formatCode>###0;###0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10</c:v>
                </c:pt>
                <c:pt idx="59">
                  <c:v>10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</c:numCache>
            </c:numRef>
          </c:xVal>
          <c:yVal>
            <c:numRef>
              <c:f>DSLR!$AG$4:$AG$70</c:f>
              <c:numCache>
                <c:formatCode>General</c:formatCode>
                <c:ptCount val="67"/>
                <c:pt idx="0">
                  <c:v>-86.892460034803477</c:v>
                </c:pt>
                <c:pt idx="1">
                  <c:v>67.771202586053292</c:v>
                </c:pt>
                <c:pt idx="2">
                  <c:v>79.784829979624561</c:v>
                </c:pt>
                <c:pt idx="3">
                  <c:v>-27.738947480843201</c:v>
                </c:pt>
                <c:pt idx="4">
                  <c:v>42.742530633112651</c:v>
                </c:pt>
                <c:pt idx="5">
                  <c:v>6.8358631585880625</c:v>
                </c:pt>
                <c:pt idx="6">
                  <c:v>13.994511572044569</c:v>
                </c:pt>
                <c:pt idx="7">
                  <c:v>7.2519084492523493</c:v>
                </c:pt>
                <c:pt idx="8">
                  <c:v>14.475908850453724</c:v>
                </c:pt>
                <c:pt idx="9">
                  <c:v>17.887421076838685</c:v>
                </c:pt>
                <c:pt idx="10">
                  <c:v>9.1539453249542735</c:v>
                </c:pt>
                <c:pt idx="11">
                  <c:v>21.866144412357187</c:v>
                </c:pt>
                <c:pt idx="12">
                  <c:v>8.8096372110154597</c:v>
                </c:pt>
                <c:pt idx="13">
                  <c:v>19.693946521314182</c:v>
                </c:pt>
                <c:pt idx="14">
                  <c:v>22.403702987116965</c:v>
                </c:pt>
                <c:pt idx="15">
                  <c:v>8.4885438943788749</c:v>
                </c:pt>
                <c:pt idx="16">
                  <c:v>7.6087563962627307</c:v>
                </c:pt>
                <c:pt idx="17">
                  <c:v>17.336650977119472</c:v>
                </c:pt>
                <c:pt idx="18">
                  <c:v>11.592289323187195</c:v>
                </c:pt>
                <c:pt idx="19">
                  <c:v>11.213600437946742</c:v>
                </c:pt>
                <c:pt idx="20">
                  <c:v>13.158187002211641</c:v>
                </c:pt>
                <c:pt idx="21">
                  <c:v>25.634788808385451</c:v>
                </c:pt>
                <c:pt idx="22">
                  <c:v>-9.8847688462440466</c:v>
                </c:pt>
                <c:pt idx="23">
                  <c:v>7.3742747578617829</c:v>
                </c:pt>
                <c:pt idx="24">
                  <c:v>9.128439077732148</c:v>
                </c:pt>
                <c:pt idx="25">
                  <c:v>18.910806892071093</c:v>
                </c:pt>
                <c:pt idx="26">
                  <c:v>17.955597399709994</c:v>
                </c:pt>
                <c:pt idx="27">
                  <c:v>5.8902411285490697</c:v>
                </c:pt>
                <c:pt idx="28">
                  <c:v>17.403141789377912</c:v>
                </c:pt>
                <c:pt idx="29">
                  <c:v>12.992845975191649</c:v>
                </c:pt>
                <c:pt idx="30">
                  <c:v>15.688933436242667</c:v>
                </c:pt>
                <c:pt idx="31">
                  <c:v>7.0414640446968635</c:v>
                </c:pt>
                <c:pt idx="32">
                  <c:v>5.2567030106860368</c:v>
                </c:pt>
                <c:pt idx="33">
                  <c:v>15.696777496614088</c:v>
                </c:pt>
                <c:pt idx="34">
                  <c:v>-45.976153423298108</c:v>
                </c:pt>
                <c:pt idx="35">
                  <c:v>3.0439894731696748</c:v>
                </c:pt>
                <c:pt idx="36">
                  <c:v>8.9616841754780729</c:v>
                </c:pt>
                <c:pt idx="37">
                  <c:v>14.157707347119949</c:v>
                </c:pt>
                <c:pt idx="38">
                  <c:v>28.650014306715587</c:v>
                </c:pt>
                <c:pt idx="39">
                  <c:v>13.784950405007756</c:v>
                </c:pt>
                <c:pt idx="40">
                  <c:v>16.261073777602995</c:v>
                </c:pt>
                <c:pt idx="41">
                  <c:v>13.393556730952001</c:v>
                </c:pt>
                <c:pt idx="42">
                  <c:v>15.41771104164879</c:v>
                </c:pt>
                <c:pt idx="43">
                  <c:v>11.461027322692969</c:v>
                </c:pt>
                <c:pt idx="44">
                  <c:v>-63.876311921194677</c:v>
                </c:pt>
                <c:pt idx="45">
                  <c:v>10.750730717676156</c:v>
                </c:pt>
                <c:pt idx="46">
                  <c:v>21.155167385857638</c:v>
                </c:pt>
                <c:pt idx="47">
                  <c:v>17.640568089139418</c:v>
                </c:pt>
                <c:pt idx="48">
                  <c:v>14.801596817324468</c:v>
                </c:pt>
                <c:pt idx="49">
                  <c:v>13.0686069785108</c:v>
                </c:pt>
                <c:pt idx="50">
                  <c:v>5.4089600162749178</c:v>
                </c:pt>
                <c:pt idx="51">
                  <c:v>13.107660964389327</c:v>
                </c:pt>
                <c:pt idx="52">
                  <c:v>16.569906762648504</c:v>
                </c:pt>
                <c:pt idx="53">
                  <c:v>10.833188185458038</c:v>
                </c:pt>
                <c:pt idx="54">
                  <c:v>9.3071386435971455</c:v>
                </c:pt>
                <c:pt idx="55">
                  <c:v>5.0625285464152299</c:v>
                </c:pt>
                <c:pt idx="56">
                  <c:v>12.240004916699455</c:v>
                </c:pt>
                <c:pt idx="57">
                  <c:v>12.231741351618474</c:v>
                </c:pt>
                <c:pt idx="58">
                  <c:v>22.29427267506648</c:v>
                </c:pt>
                <c:pt idx="59">
                  <c:v>16.957201727489405</c:v>
                </c:pt>
                <c:pt idx="60">
                  <c:v>5.5405076621011196</c:v>
                </c:pt>
                <c:pt idx="61">
                  <c:v>25.29940140609062</c:v>
                </c:pt>
                <c:pt idx="62">
                  <c:v>15.434019704100923</c:v>
                </c:pt>
                <c:pt idx="63">
                  <c:v>20.710143984830861</c:v>
                </c:pt>
                <c:pt idx="64">
                  <c:v>15.118078168765059</c:v>
                </c:pt>
                <c:pt idx="65">
                  <c:v>23.595608248919046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61-C14D-A17F-E823BF531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937744"/>
        <c:axId val="-2030025392"/>
      </c:scatterChart>
      <c:valAx>
        <c:axId val="-2029937744"/>
        <c:scaling>
          <c:orientation val="minMax"/>
          <c:max val="40"/>
          <c:min val="0"/>
        </c:scaling>
        <c:delete val="0"/>
        <c:axPos val="b"/>
        <c:numFmt formatCode="###0;###0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30025392"/>
        <c:crossesAt val="-20"/>
        <c:crossBetween val="midCat"/>
      </c:valAx>
      <c:valAx>
        <c:axId val="-2030025392"/>
        <c:scaling>
          <c:orientation val="minMax"/>
          <c:max val="60"/>
          <c:min val="-20"/>
        </c:scaling>
        <c:delete val="1"/>
        <c:axPos val="l"/>
        <c:numFmt formatCode="General" sourceLinked="1"/>
        <c:majorTickMark val="out"/>
        <c:minorTickMark val="none"/>
        <c:tickLblPos val="nextTo"/>
        <c:crossAx val="-2029937744"/>
        <c:crosses val="autoZero"/>
        <c:crossBetween val="midCat"/>
        <c:majorUnit val="10"/>
      </c:valAx>
      <c:spPr>
        <a:ln>
          <a:solidFill>
            <a:srgbClr val="000000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9930946131734"/>
          <c:y val="0.122798408263483"/>
          <c:w val="0.69094062962799996"/>
          <c:h val="0.65642176458711898"/>
        </c:manualLayout>
      </c:layout>
      <c:scatterChart>
        <c:scatterStyle val="lineMarker"/>
        <c:varyColors val="0"/>
        <c:ser>
          <c:idx val="1"/>
          <c:order val="1"/>
          <c:spPr>
            <a:ln w="63500">
              <a:noFill/>
            </a:ln>
          </c:spPr>
          <c:marker>
            <c:symbol val="diamond"/>
            <c:size val="13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1.8622515935508101E-2"/>
                  <c:y val="-0.45799454875832801"/>
                </c:manualLayout>
              </c:layout>
              <c:tx>
                <c:rich>
                  <a:bodyPr/>
                  <a:lstStyle/>
                  <a:p>
                    <a:pPr>
                      <a:defRPr sz="1400"/>
                    </a:pPr>
                    <a:r>
                      <a:rPr lang="en-US" baseline="0"/>
                      <a:t>y = -0.4x + 21.7
R² = 0.47</a:t>
                    </a:r>
                    <a:endParaRPr lang="en-US"/>
                  </a:p>
                </c:rich>
              </c:tx>
              <c:numFmt formatCode="General" sourceLinked="0"/>
              <c:spPr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DSLR!$AQ$27:$AQ$131</c:f>
              <c:numCache>
                <c:formatCode>###0.00;###0.00</c:formatCode>
                <c:ptCount val="10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10</c:v>
                </c:pt>
                <c:pt idx="37">
                  <c:v>11</c:v>
                </c:pt>
                <c:pt idx="38">
                  <c:v>11</c:v>
                </c:pt>
                <c:pt idx="39">
                  <c:v>12</c:v>
                </c:pt>
                <c:pt idx="40">
                  <c:v>12</c:v>
                </c:pt>
                <c:pt idx="41">
                  <c:v>13</c:v>
                </c:pt>
                <c:pt idx="42">
                  <c:v>13</c:v>
                </c:pt>
                <c:pt idx="43">
                  <c:v>14</c:v>
                </c:pt>
                <c:pt idx="44">
                  <c:v>15</c:v>
                </c:pt>
                <c:pt idx="45">
                  <c:v>16</c:v>
                </c:pt>
                <c:pt idx="46">
                  <c:v>17</c:v>
                </c:pt>
                <c:pt idx="47">
                  <c:v>18</c:v>
                </c:pt>
                <c:pt idx="48">
                  <c:v>19</c:v>
                </c:pt>
                <c:pt idx="49">
                  <c:v>20</c:v>
                </c:pt>
                <c:pt idx="50">
                  <c:v>21</c:v>
                </c:pt>
                <c:pt idx="51">
                  <c:v>22</c:v>
                </c:pt>
                <c:pt idx="52">
                  <c:v>23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27</c:v>
                </c:pt>
                <c:pt idx="57">
                  <c:v>28</c:v>
                </c:pt>
                <c:pt idx="58">
                  <c:v>29</c:v>
                </c:pt>
                <c:pt idx="59">
                  <c:v>30</c:v>
                </c:pt>
                <c:pt idx="60">
                  <c:v>31</c:v>
                </c:pt>
                <c:pt idx="61">
                  <c:v>32</c:v>
                </c:pt>
                <c:pt idx="62">
                  <c:v>33</c:v>
                </c:pt>
                <c:pt idx="63">
                  <c:v>34</c:v>
                </c:pt>
                <c:pt idx="64">
                  <c:v>35</c:v>
                </c:pt>
                <c:pt idx="65">
                  <c:v>36</c:v>
                </c:pt>
                <c:pt idx="66" formatCode="###0;###0">
                  <c:v>37</c:v>
                </c:pt>
                <c:pt idx="67" formatCode="###0;###0">
                  <c:v>38</c:v>
                </c:pt>
                <c:pt idx="68" formatCode="###0;###0">
                  <c:v>39</c:v>
                </c:pt>
                <c:pt idx="69" formatCode="###0;###0">
                  <c:v>40</c:v>
                </c:pt>
                <c:pt idx="70" formatCode="###0;###0">
                  <c:v>41</c:v>
                </c:pt>
                <c:pt idx="71" formatCode="###0;###0">
                  <c:v>42</c:v>
                </c:pt>
                <c:pt idx="72" formatCode="###0;###0">
                  <c:v>43</c:v>
                </c:pt>
                <c:pt idx="73" formatCode="###0;###0">
                  <c:v>44</c:v>
                </c:pt>
                <c:pt idx="74" formatCode="###0;###0">
                  <c:v>45</c:v>
                </c:pt>
                <c:pt idx="75" formatCode="###0;###0">
                  <c:v>46</c:v>
                </c:pt>
                <c:pt idx="76" formatCode="###0;###0">
                  <c:v>47</c:v>
                </c:pt>
                <c:pt idx="77" formatCode="###0;###0">
                  <c:v>48</c:v>
                </c:pt>
                <c:pt idx="78" formatCode="###0;###0">
                  <c:v>49</c:v>
                </c:pt>
                <c:pt idx="79" formatCode="###0;###0">
                  <c:v>50</c:v>
                </c:pt>
                <c:pt idx="80" formatCode="###0;###0">
                  <c:v>51</c:v>
                </c:pt>
                <c:pt idx="81" formatCode="###0;###0">
                  <c:v>52</c:v>
                </c:pt>
                <c:pt idx="82" formatCode="###0;###0">
                  <c:v>53</c:v>
                </c:pt>
                <c:pt idx="83" formatCode="###0;###0">
                  <c:v>54</c:v>
                </c:pt>
                <c:pt idx="84" formatCode="###0;###0">
                  <c:v>55</c:v>
                </c:pt>
                <c:pt idx="85" formatCode="###0;###0">
                  <c:v>56</c:v>
                </c:pt>
                <c:pt idx="86" formatCode="###0;###0">
                  <c:v>57</c:v>
                </c:pt>
                <c:pt idx="87" formatCode="###0;###0">
                  <c:v>58</c:v>
                </c:pt>
                <c:pt idx="88" formatCode="###0;###0">
                  <c:v>59</c:v>
                </c:pt>
                <c:pt idx="89" formatCode="###0;###0">
                  <c:v>60</c:v>
                </c:pt>
                <c:pt idx="90" formatCode="###0;###0">
                  <c:v>61</c:v>
                </c:pt>
                <c:pt idx="91" formatCode="###0;###0">
                  <c:v>62</c:v>
                </c:pt>
                <c:pt idx="92" formatCode="###0;###0">
                  <c:v>63</c:v>
                </c:pt>
                <c:pt idx="93" formatCode="###0;###0">
                  <c:v>64</c:v>
                </c:pt>
                <c:pt idx="94" formatCode="###0;###0">
                  <c:v>65</c:v>
                </c:pt>
                <c:pt idx="95" formatCode="###0;###0">
                  <c:v>66</c:v>
                </c:pt>
                <c:pt idx="96" formatCode="###0;###0">
                  <c:v>67</c:v>
                </c:pt>
                <c:pt idx="97" formatCode="###0;###0">
                  <c:v>68</c:v>
                </c:pt>
                <c:pt idx="98" formatCode="###0;###0">
                  <c:v>69</c:v>
                </c:pt>
                <c:pt idx="99" formatCode="###0;###0">
                  <c:v>70</c:v>
                </c:pt>
                <c:pt idx="100" formatCode="###0;###0">
                  <c:v>71</c:v>
                </c:pt>
                <c:pt idx="101" formatCode="###0;###0">
                  <c:v>72</c:v>
                </c:pt>
                <c:pt idx="102" formatCode="###0;###0">
                  <c:v>73</c:v>
                </c:pt>
                <c:pt idx="103" formatCode="###0;###0">
                  <c:v>74</c:v>
                </c:pt>
                <c:pt idx="104" formatCode="###0;###0">
                  <c:v>75</c:v>
                </c:pt>
              </c:numCache>
            </c:numRef>
          </c:xVal>
          <c:yVal>
            <c:numRef>
              <c:f>DSLR!$AS$27:$AS$131</c:f>
              <c:numCache>
                <c:formatCode>General</c:formatCode>
                <c:ptCount val="105"/>
                <c:pt idx="0">
                  <c:v>33.176623044260182</c:v>
                </c:pt>
                <c:pt idx="1">
                  <c:v>24.099202472238549</c:v>
                </c:pt>
                <c:pt idx="2">
                  <c:v>28.207294269625439</c:v>
                </c:pt>
                <c:pt idx="3">
                  <c:v>16.215926195515195</c:v>
                </c:pt>
                <c:pt idx="4">
                  <c:v>11.272754696107125</c:v>
                </c:pt>
                <c:pt idx="5">
                  <c:v>14.194379491099323</c:v>
                </c:pt>
                <c:pt idx="6">
                  <c:v>35.923110136285523</c:v>
                </c:pt>
                <c:pt idx="7">
                  <c:v>25.849687140150813</c:v>
                </c:pt>
                <c:pt idx="8">
                  <c:v>25.517038625251487</c:v>
                </c:pt>
                <c:pt idx="9">
                  <c:v>22.671957312482217</c:v>
                </c:pt>
                <c:pt idx="10">
                  <c:v>15.340212544321057</c:v>
                </c:pt>
                <c:pt idx="11">
                  <c:v>21.596694523603741</c:v>
                </c:pt>
                <c:pt idx="12">
                  <c:v>43.428434144931025</c:v>
                </c:pt>
                <c:pt idx="13">
                  <c:v>23.572478895356632</c:v>
                </c:pt>
                <c:pt idx="14">
                  <c:v>27.310272233608657</c:v>
                </c:pt>
                <c:pt idx="15">
                  <c:v>5.80328799386439</c:v>
                </c:pt>
                <c:pt idx="16">
                  <c:v>-13.94392825172638</c:v>
                </c:pt>
                <c:pt idx="17">
                  <c:v>27.474285785189856</c:v>
                </c:pt>
                <c:pt idx="18">
                  <c:v>24.177093906381547</c:v>
                </c:pt>
                <c:pt idx="19">
                  <c:v>24.868161403737918</c:v>
                </c:pt>
                <c:pt idx="20">
                  <c:v>-35.079443078957276</c:v>
                </c:pt>
                <c:pt idx="21">
                  <c:v>39.255544551259106</c:v>
                </c:pt>
                <c:pt idx="22">
                  <c:v>24.786486742017047</c:v>
                </c:pt>
                <c:pt idx="23">
                  <c:v>25.163349535879448</c:v>
                </c:pt>
                <c:pt idx="24">
                  <c:v>-3.5594380909003265</c:v>
                </c:pt>
                <c:pt idx="25">
                  <c:v>34.074644537712253</c:v>
                </c:pt>
                <c:pt idx="26">
                  <c:v>19.24850952175975</c:v>
                </c:pt>
                <c:pt idx="27">
                  <c:v>28.757220906537448</c:v>
                </c:pt>
                <c:pt idx="28">
                  <c:v>7.7159145993558065</c:v>
                </c:pt>
                <c:pt idx="29">
                  <c:v>10.890368485660638</c:v>
                </c:pt>
                <c:pt idx="30">
                  <c:v>24.897078554911189</c:v>
                </c:pt>
                <c:pt idx="31">
                  <c:v>15.112910128221571</c:v>
                </c:pt>
                <c:pt idx="32">
                  <c:v>24.57994398030959</c:v>
                </c:pt>
                <c:pt idx="33">
                  <c:v>17.566663861910566</c:v>
                </c:pt>
                <c:pt idx="34">
                  <c:v>15.739227997893952</c:v>
                </c:pt>
                <c:pt idx="35">
                  <c:v>23.197106234509668</c:v>
                </c:pt>
                <c:pt idx="36">
                  <c:v>16.099028971229743</c:v>
                </c:pt>
                <c:pt idx="37">
                  <c:v>23.794553762568071</c:v>
                </c:pt>
                <c:pt idx="38">
                  <c:v>17.906845772023495</c:v>
                </c:pt>
                <c:pt idx="39">
                  <c:v>17.91424422455821</c:v>
                </c:pt>
                <c:pt idx="40">
                  <c:v>20.015187029673591</c:v>
                </c:pt>
                <c:pt idx="41">
                  <c:v>9.8402266473139122</c:v>
                </c:pt>
                <c:pt idx="42">
                  <c:v>29.193934360205994</c:v>
                </c:pt>
                <c:pt idx="43">
                  <c:v>15.777037055302722</c:v>
                </c:pt>
                <c:pt idx="44">
                  <c:v>14.864436727347067</c:v>
                </c:pt>
                <c:pt idx="45">
                  <c:v>14.098371767342979</c:v>
                </c:pt>
                <c:pt idx="46">
                  <c:v>14.931207691465183</c:v>
                </c:pt>
                <c:pt idx="47">
                  <c:v>11.733069915397628</c:v>
                </c:pt>
                <c:pt idx="48">
                  <c:v>13.886855674006373</c:v>
                </c:pt>
                <c:pt idx="49">
                  <c:v>20.090834447837604</c:v>
                </c:pt>
                <c:pt idx="50">
                  <c:v>9.7471852729933239</c:v>
                </c:pt>
                <c:pt idx="51">
                  <c:v>20.57219192980299</c:v>
                </c:pt>
                <c:pt idx="52">
                  <c:v>22.945082383726032</c:v>
                </c:pt>
                <c:pt idx="53">
                  <c:v>9.7535549717860945</c:v>
                </c:pt>
                <c:pt idx="54">
                  <c:v>8.1305602069430769</c:v>
                </c:pt>
                <c:pt idx="55">
                  <c:v>8.602693996792393</c:v>
                </c:pt>
                <c:pt idx="56">
                  <c:v>10.946237297955292</c:v>
                </c:pt>
                <c:pt idx="57">
                  <c:v>13.589583779788438</c:v>
                </c:pt>
                <c:pt idx="58">
                  <c:v>12.228366820038495</c:v>
                </c:pt>
                <c:pt idx="59">
                  <c:v>7.2839827802081398</c:v>
                </c:pt>
                <c:pt idx="60">
                  <c:v>0.50879672029718437</c:v>
                </c:pt>
                <c:pt idx="61">
                  <c:v>13.373785779760111</c:v>
                </c:pt>
                <c:pt idx="62">
                  <c:v>12.449419530532712</c:v>
                </c:pt>
                <c:pt idx="63">
                  <c:v>10.391201934159273</c:v>
                </c:pt>
                <c:pt idx="64">
                  <c:v>10.384080211698601</c:v>
                </c:pt>
                <c:pt idx="65">
                  <c:v>7.2196983464759823</c:v>
                </c:pt>
                <c:pt idx="66">
                  <c:v>13.419423188444295</c:v>
                </c:pt>
                <c:pt idx="67">
                  <c:v>13.272920470254473</c:v>
                </c:pt>
                <c:pt idx="68">
                  <c:v>10.102926714582253</c:v>
                </c:pt>
                <c:pt idx="69">
                  <c:v>10.201309896267592</c:v>
                </c:pt>
                <c:pt idx="70">
                  <c:v>7.4483004024267156</c:v>
                </c:pt>
                <c:pt idx="71">
                  <c:v>5.6576661193491162</c:v>
                </c:pt>
                <c:pt idx="72">
                  <c:v>5.681634476832464</c:v>
                </c:pt>
                <c:pt idx="73">
                  <c:v>5.9808424612383941</c:v>
                </c:pt>
                <c:pt idx="74">
                  <c:v>5.2868427880805724</c:v>
                </c:pt>
                <c:pt idx="75">
                  <c:v>3.4658347167495518</c:v>
                </c:pt>
                <c:pt idx="76">
                  <c:v>3.4718426852914019</c:v>
                </c:pt>
                <c:pt idx="77">
                  <c:v>-4.7807999999999984</c:v>
                </c:pt>
                <c:pt idx="78">
                  <c:v>-1.5983999999999998</c:v>
                </c:pt>
                <c:pt idx="79">
                  <c:v>-4.104000000000001</c:v>
                </c:pt>
                <c:pt idx="80">
                  <c:v>-2.4191999999999991</c:v>
                </c:pt>
                <c:pt idx="81">
                  <c:v>-2.3328000000000015</c:v>
                </c:pt>
                <c:pt idx="82">
                  <c:v>-0.7185599999999992</c:v>
                </c:pt>
                <c:pt idx="83">
                  <c:v>-1.4371199999999984</c:v>
                </c:pt>
                <c:pt idx="84">
                  <c:v>-0.63072000000000017</c:v>
                </c:pt>
                <c:pt idx="85">
                  <c:v>0.5731200000000003</c:v>
                </c:pt>
                <c:pt idx="86">
                  <c:v>1.1203200000000013</c:v>
                </c:pt>
                <c:pt idx="87">
                  <c:v>-7.128000000000001</c:v>
                </c:pt>
                <c:pt idx="88">
                  <c:v>-6.6528000000000009</c:v>
                </c:pt>
                <c:pt idx="89">
                  <c:v>-12.369599999999998</c:v>
                </c:pt>
                <c:pt idx="90">
                  <c:v>-10.411200000000003</c:v>
                </c:pt>
                <c:pt idx="91">
                  <c:v>-8.7696000000000005</c:v>
                </c:pt>
                <c:pt idx="92">
                  <c:v>-9.8352000000000004</c:v>
                </c:pt>
                <c:pt idx="93">
                  <c:v>-10.526400000000002</c:v>
                </c:pt>
                <c:pt idx="94">
                  <c:v>-9.8064000000000018</c:v>
                </c:pt>
                <c:pt idx="95">
                  <c:v>-0.8524799999999999</c:v>
                </c:pt>
                <c:pt idx="96">
                  <c:v>1.2196799999999985</c:v>
                </c:pt>
                <c:pt idx="97">
                  <c:v>7.4015999999999993</c:v>
                </c:pt>
                <c:pt idx="98">
                  <c:v>2.2320000000000007</c:v>
                </c:pt>
                <c:pt idx="99">
                  <c:v>1.9584000000000001</c:v>
                </c:pt>
                <c:pt idx="100">
                  <c:v>5.2127999999999997</c:v>
                </c:pt>
                <c:pt idx="101">
                  <c:v>7.6608000000000231E-2</c:v>
                </c:pt>
                <c:pt idx="102">
                  <c:v>-1.3852799999999998</c:v>
                </c:pt>
                <c:pt idx="103">
                  <c:v>0.30095999999999901</c:v>
                </c:pt>
                <c:pt idx="104">
                  <c:v>1.6847999999999996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8F-4440-BFA8-2C0F4FF355EC}"/>
            </c:ext>
          </c:extLst>
        </c:ser>
        <c:ser>
          <c:idx val="0"/>
          <c:order val="0"/>
          <c:spPr>
            <a:ln w="63500">
              <a:noFill/>
            </a:ln>
          </c:spPr>
          <c:marker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</a:ln>
            </c:spPr>
          </c:marker>
          <c:xVal>
            <c:numRef>
              <c:f>DSLR!$AQ$2:$AQ$26</c:f>
              <c:numCache>
                <c:formatCode>###0.00;###0.00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xVal>
          <c:yVal>
            <c:numRef>
              <c:f>DSLR!$AS$2:$AS$26</c:f>
              <c:numCache>
                <c:formatCode>General</c:formatCode>
                <c:ptCount val="25"/>
                <c:pt idx="0">
                  <c:v>-420.833031544243</c:v>
                </c:pt>
                <c:pt idx="1">
                  <c:v>-204.48259174585138</c:v>
                </c:pt>
                <c:pt idx="2">
                  <c:v>-180.7842582652155</c:v>
                </c:pt>
                <c:pt idx="3">
                  <c:v>71.124501020068962</c:v>
                </c:pt>
                <c:pt idx="4">
                  <c:v>-27.658853434370307</c:v>
                </c:pt>
                <c:pt idx="5">
                  <c:v>-107.97234859066987</c:v>
                </c:pt>
                <c:pt idx="6">
                  <c:v>76.576000522258894</c:v>
                </c:pt>
                <c:pt idx="7">
                  <c:v>33.35151871348404</c:v>
                </c:pt>
                <c:pt idx="8">
                  <c:v>16.192045711613318</c:v>
                </c:pt>
                <c:pt idx="9">
                  <c:v>21.681114336818645</c:v>
                </c:pt>
                <c:pt idx="10">
                  <c:v>25.114055757523623</c:v>
                </c:pt>
                <c:pt idx="11">
                  <c:v>21.670585310559929</c:v>
                </c:pt>
                <c:pt idx="12">
                  <c:v>-435.98756971811832</c:v>
                </c:pt>
                <c:pt idx="13">
                  <c:v>19.122669059671246</c:v>
                </c:pt>
                <c:pt idx="14">
                  <c:v>20.103522813567231</c:v>
                </c:pt>
                <c:pt idx="15">
                  <c:v>11.842903438868602</c:v>
                </c:pt>
                <c:pt idx="16">
                  <c:v>5.3204751586813881</c:v>
                </c:pt>
                <c:pt idx="17">
                  <c:v>32.727602890206306</c:v>
                </c:pt>
                <c:pt idx="18">
                  <c:v>31.596886483942377</c:v>
                </c:pt>
                <c:pt idx="19">
                  <c:v>16.156962261883479</c:v>
                </c:pt>
                <c:pt idx="20">
                  <c:v>17.924130881619501</c:v>
                </c:pt>
                <c:pt idx="21">
                  <c:v>25.352211692552665</c:v>
                </c:pt>
                <c:pt idx="22">
                  <c:v>-12.559589110109535</c:v>
                </c:pt>
                <c:pt idx="23">
                  <c:v>5.3413838918235657</c:v>
                </c:pt>
                <c:pt idx="24">
                  <c:v>16.332581756374495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8F-4440-BFA8-2C0F4FF35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8249136"/>
        <c:axId val="-2028182976"/>
      </c:scatterChart>
      <c:valAx>
        <c:axId val="-2028249136"/>
        <c:scaling>
          <c:orientation val="minMax"/>
        </c:scaling>
        <c:delete val="0"/>
        <c:axPos val="b"/>
        <c:numFmt formatCode="#,##0" sourceLinked="0"/>
        <c:majorTickMark val="in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8182976"/>
        <c:crossesAt val="-20"/>
        <c:crossBetween val="midCat"/>
      </c:valAx>
      <c:valAx>
        <c:axId val="-2028182976"/>
        <c:scaling>
          <c:orientation val="minMax"/>
          <c:max val="60"/>
          <c:min val="-20"/>
        </c:scaling>
        <c:delete val="0"/>
        <c:axPos val="l"/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8249136"/>
        <c:crosses val="autoZero"/>
        <c:crossBetween val="midCat"/>
        <c:majorUnit val="10"/>
      </c:valAx>
      <c:spPr>
        <a:ln>
          <a:solidFill>
            <a:srgbClr val="000000"/>
          </a:solidFill>
        </a:ln>
      </c:spPr>
    </c:plotArea>
    <c:plotVisOnly val="1"/>
    <c:dispBlanksAs val="gap"/>
    <c:showDLblsOverMax val="0"/>
  </c:chart>
  <c:spPr>
    <a:ln>
      <a:solidFill>
        <a:srgbClr val="FFFFFF"/>
      </a:solidFill>
    </a:ln>
  </c:spPr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9930946131734"/>
          <c:y val="0.122798408263483"/>
          <c:w val="0.69094062962799996"/>
          <c:h val="0.65642176458711898"/>
        </c:manualLayout>
      </c:layout>
      <c:scatterChart>
        <c:scatterStyle val="lineMarker"/>
        <c:varyColors val="0"/>
        <c:ser>
          <c:idx val="1"/>
          <c:order val="1"/>
          <c:spPr>
            <a:ln w="63500">
              <a:noFill/>
            </a:ln>
          </c:spPr>
          <c:marker>
            <c:symbol val="diamond"/>
            <c:size val="13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00920197475315E-2"/>
                  <c:y val="-0.46361437512618597"/>
                </c:manualLayout>
              </c:layout>
              <c:tx>
                <c:rich>
                  <a:bodyPr/>
                  <a:lstStyle/>
                  <a:p>
                    <a:pPr>
                      <a:defRPr sz="1400"/>
                    </a:pPr>
                    <a:r>
                      <a:rPr lang="en-US" baseline="0"/>
                      <a:t>y = -0.4x + 25.8
R² = 0.55</a:t>
                    </a:r>
                    <a:endParaRPr lang="en-US"/>
                  </a:p>
                </c:rich>
              </c:tx>
              <c:numFmt formatCode="General" sourceLinked="0"/>
              <c:spPr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DSLR!$BB$72:$BB$130</c:f>
              <c:numCache>
                <c:formatCode>###0.00;###0.00</c:formatCode>
                <c:ptCount val="59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 formatCode="###0;###0">
                  <c:v>37</c:v>
                </c:pt>
                <c:pt idx="22" formatCode="###0;###0">
                  <c:v>38</c:v>
                </c:pt>
                <c:pt idx="23" formatCode="###0;###0">
                  <c:v>39</c:v>
                </c:pt>
                <c:pt idx="24" formatCode="###0;###0">
                  <c:v>40</c:v>
                </c:pt>
                <c:pt idx="25" formatCode="###0;###0">
                  <c:v>41</c:v>
                </c:pt>
                <c:pt idx="26" formatCode="###0;###0">
                  <c:v>42</c:v>
                </c:pt>
                <c:pt idx="27" formatCode="###0;###0">
                  <c:v>43</c:v>
                </c:pt>
                <c:pt idx="28" formatCode="###0;###0">
                  <c:v>44</c:v>
                </c:pt>
                <c:pt idx="29" formatCode="###0;###0">
                  <c:v>45</c:v>
                </c:pt>
                <c:pt idx="30" formatCode="###0;###0">
                  <c:v>46</c:v>
                </c:pt>
                <c:pt idx="31" formatCode="###0;###0">
                  <c:v>47</c:v>
                </c:pt>
                <c:pt idx="32" formatCode="###0;###0">
                  <c:v>48</c:v>
                </c:pt>
                <c:pt idx="33" formatCode="###0;###0">
                  <c:v>49</c:v>
                </c:pt>
                <c:pt idx="34" formatCode="###0;###0">
                  <c:v>50</c:v>
                </c:pt>
                <c:pt idx="35" formatCode="###0;###0">
                  <c:v>51</c:v>
                </c:pt>
                <c:pt idx="36" formatCode="###0;###0">
                  <c:v>52</c:v>
                </c:pt>
                <c:pt idx="37" formatCode="###0;###0">
                  <c:v>53</c:v>
                </c:pt>
                <c:pt idx="38" formatCode="###0;###0">
                  <c:v>54</c:v>
                </c:pt>
                <c:pt idx="39" formatCode="###0;###0">
                  <c:v>55</c:v>
                </c:pt>
                <c:pt idx="40" formatCode="###0;###0">
                  <c:v>56</c:v>
                </c:pt>
                <c:pt idx="41" formatCode="###0;###0">
                  <c:v>57</c:v>
                </c:pt>
                <c:pt idx="42" formatCode="###0;###0">
                  <c:v>58</c:v>
                </c:pt>
                <c:pt idx="43" formatCode="###0;###0">
                  <c:v>59</c:v>
                </c:pt>
                <c:pt idx="44" formatCode="###0;###0">
                  <c:v>60</c:v>
                </c:pt>
                <c:pt idx="45" formatCode="###0;###0">
                  <c:v>61</c:v>
                </c:pt>
                <c:pt idx="46" formatCode="###0;###0">
                  <c:v>62</c:v>
                </c:pt>
                <c:pt idx="47" formatCode="###0;###0">
                  <c:v>63</c:v>
                </c:pt>
                <c:pt idx="48" formatCode="###0;###0">
                  <c:v>64</c:v>
                </c:pt>
                <c:pt idx="49" formatCode="###0;###0">
                  <c:v>65</c:v>
                </c:pt>
                <c:pt idx="50" formatCode="###0;###0">
                  <c:v>66</c:v>
                </c:pt>
                <c:pt idx="51" formatCode="###0;###0">
                  <c:v>67</c:v>
                </c:pt>
                <c:pt idx="52" formatCode="###0;###0">
                  <c:v>68</c:v>
                </c:pt>
                <c:pt idx="53" formatCode="###0;###0">
                  <c:v>69</c:v>
                </c:pt>
                <c:pt idx="54" formatCode="###0;###0">
                  <c:v>70</c:v>
                </c:pt>
                <c:pt idx="55" formatCode="###0;###0">
                  <c:v>71</c:v>
                </c:pt>
                <c:pt idx="56" formatCode="###0;###0">
                  <c:v>72</c:v>
                </c:pt>
                <c:pt idx="57" formatCode="###0;###0">
                  <c:v>73</c:v>
                </c:pt>
                <c:pt idx="58" formatCode="###0;###0">
                  <c:v>74</c:v>
                </c:pt>
              </c:numCache>
            </c:numRef>
          </c:xVal>
          <c:yVal>
            <c:numRef>
              <c:f>DSLR!$BD$72:$BD$130</c:f>
              <c:numCache>
                <c:formatCode>General</c:formatCode>
                <c:ptCount val="59"/>
                <c:pt idx="0">
                  <c:v>35.423999999999999</c:v>
                </c:pt>
                <c:pt idx="1">
                  <c:v>23.939984227144446</c:v>
                </c:pt>
                <c:pt idx="2">
                  <c:v>16.847999999999999</c:v>
                </c:pt>
                <c:pt idx="3">
                  <c:v>9.1872000000000007</c:v>
                </c:pt>
                <c:pt idx="4">
                  <c:v>9.7056000000000004</c:v>
                </c:pt>
                <c:pt idx="5">
                  <c:v>9.979199999999997</c:v>
                </c:pt>
                <c:pt idx="6">
                  <c:v>35.28</c:v>
                </c:pt>
                <c:pt idx="7">
                  <c:v>28.512</c:v>
                </c:pt>
                <c:pt idx="8">
                  <c:v>24.471695916804176</c:v>
                </c:pt>
                <c:pt idx="9">
                  <c:v>17.568000000000001</c:v>
                </c:pt>
                <c:pt idx="10">
                  <c:v>18.863999999999997</c:v>
                </c:pt>
                <c:pt idx="11">
                  <c:v>14.327999999999999</c:v>
                </c:pt>
                <c:pt idx="12">
                  <c:v>12.312000000000001</c:v>
                </c:pt>
                <c:pt idx="13">
                  <c:v>7.5455999999999985</c:v>
                </c:pt>
                <c:pt idx="14">
                  <c:v>8.1496190140176274</c:v>
                </c:pt>
                <c:pt idx="15">
                  <c:v>-5.083484713075169</c:v>
                </c:pt>
                <c:pt idx="16">
                  <c:v>13.881599999999999</c:v>
                </c:pt>
                <c:pt idx="17">
                  <c:v>9.863999999999999</c:v>
                </c:pt>
                <c:pt idx="18">
                  <c:v>6.3648000000000007</c:v>
                </c:pt>
                <c:pt idx="19">
                  <c:v>5.8607999999999993</c:v>
                </c:pt>
                <c:pt idx="20">
                  <c:v>7.8336000000000006</c:v>
                </c:pt>
                <c:pt idx="21">
                  <c:v>6.2783999999999995</c:v>
                </c:pt>
                <c:pt idx="22">
                  <c:v>5.4143999999999988</c:v>
                </c:pt>
                <c:pt idx="23">
                  <c:v>6.4511999999999992</c:v>
                </c:pt>
                <c:pt idx="24">
                  <c:v>11.059199999999997</c:v>
                </c:pt>
                <c:pt idx="25">
                  <c:v>9.3023999999999987</c:v>
                </c:pt>
                <c:pt idx="26">
                  <c:v>7.0991999999999988</c:v>
                </c:pt>
                <c:pt idx="27">
                  <c:v>6.0624000000000011</c:v>
                </c:pt>
                <c:pt idx="28">
                  <c:v>4.8527999999999993</c:v>
                </c:pt>
                <c:pt idx="29">
                  <c:v>3.6143999999999998</c:v>
                </c:pt>
                <c:pt idx="30">
                  <c:v>4.2255134218871415</c:v>
                </c:pt>
                <c:pt idx="31">
                  <c:v>4.2623999999999995</c:v>
                </c:pt>
                <c:pt idx="32">
                  <c:v>10.396800000000002</c:v>
                </c:pt>
                <c:pt idx="33">
                  <c:v>-0.26784000000000141</c:v>
                </c:pt>
                <c:pt idx="34">
                  <c:v>-0.12830399999999909</c:v>
                </c:pt>
                <c:pt idx="35">
                  <c:v>0.96191999999999833</c:v>
                </c:pt>
                <c:pt idx="36">
                  <c:v>1.8432000000000004</c:v>
                </c:pt>
                <c:pt idx="37">
                  <c:v>-0.38736000000000104</c:v>
                </c:pt>
                <c:pt idx="38">
                  <c:v>1.1231999999999998</c:v>
                </c:pt>
                <c:pt idx="39">
                  <c:v>3.0527999999999977</c:v>
                </c:pt>
                <c:pt idx="40">
                  <c:v>-1.7711999999999994</c:v>
                </c:pt>
                <c:pt idx="41">
                  <c:v>-0.48528000000000127</c:v>
                </c:pt>
                <c:pt idx="42">
                  <c:v>1.2844800000000012</c:v>
                </c:pt>
                <c:pt idx="43">
                  <c:v>-2.2319999999999984</c:v>
                </c:pt>
                <c:pt idx="44">
                  <c:v>-9.7775999999999996</c:v>
                </c:pt>
                <c:pt idx="45">
                  <c:v>-5.4576000000000002</c:v>
                </c:pt>
                <c:pt idx="46">
                  <c:v>-3.0527999999999977</c:v>
                </c:pt>
                <c:pt idx="47">
                  <c:v>-4.5359999999999978</c:v>
                </c:pt>
                <c:pt idx="48">
                  <c:v>-6.120000000000001</c:v>
                </c:pt>
                <c:pt idx="49">
                  <c:v>-9.3455999999999975</c:v>
                </c:pt>
                <c:pt idx="50">
                  <c:v>-1.2124800000000002</c:v>
                </c:pt>
                <c:pt idx="51">
                  <c:v>3.0384000000000011</c:v>
                </c:pt>
                <c:pt idx="52">
                  <c:v>16.992000000000001</c:v>
                </c:pt>
                <c:pt idx="53">
                  <c:v>-3.024</c:v>
                </c:pt>
                <c:pt idx="54">
                  <c:v>-2.6495999999999986</c:v>
                </c:pt>
                <c:pt idx="55">
                  <c:v>7.1711999999999998</c:v>
                </c:pt>
                <c:pt idx="56">
                  <c:v>2.8224000000000005</c:v>
                </c:pt>
                <c:pt idx="57">
                  <c:v>-11.664000000000003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47-7042-BB37-213A227FE4D1}"/>
            </c:ext>
          </c:extLst>
        </c:ser>
        <c:ser>
          <c:idx val="0"/>
          <c:order val="0"/>
          <c:spPr>
            <a:ln w="63500">
              <a:noFill/>
            </a:ln>
          </c:spPr>
          <c:marker>
            <c:spPr>
              <a:solidFill>
                <a:schemeClr val="accent5">
                  <a:lumMod val="20000"/>
                  <a:lumOff val="80000"/>
                </a:schemeClr>
              </a:solidFill>
            </c:spPr>
          </c:marker>
          <c:xVal>
            <c:numRef>
              <c:f>DSLR!$BB$2:$BB$69</c:f>
              <c:numCache>
                <c:formatCode>###0.00;###0.00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10</c:v>
                </c:pt>
                <c:pt idx="61">
                  <c:v>10</c:v>
                </c:pt>
                <c:pt idx="62">
                  <c:v>11</c:v>
                </c:pt>
                <c:pt idx="63">
                  <c:v>11</c:v>
                </c:pt>
                <c:pt idx="64">
                  <c:v>12</c:v>
                </c:pt>
                <c:pt idx="65">
                  <c:v>12</c:v>
                </c:pt>
                <c:pt idx="66">
                  <c:v>13</c:v>
                </c:pt>
                <c:pt idx="67">
                  <c:v>13</c:v>
                </c:pt>
              </c:numCache>
            </c:numRef>
          </c:xVal>
          <c:yVal>
            <c:numRef>
              <c:f>DSLR!$BD$2:$BD$69</c:f>
              <c:numCache>
                <c:formatCode>General</c:formatCode>
                <c:ptCount val="68"/>
                <c:pt idx="0">
                  <c:v>-130.06208981747989</c:v>
                </c:pt>
                <c:pt idx="1">
                  <c:v>-233.77798523233963</c:v>
                </c:pt>
                <c:pt idx="2">
                  <c:v>-61.038436513770584</c:v>
                </c:pt>
                <c:pt idx="3">
                  <c:v>104.75309824003875</c:v>
                </c:pt>
                <c:pt idx="4">
                  <c:v>87.081514829446746</c:v>
                </c:pt>
                <c:pt idx="5">
                  <c:v>171.90206372420505</c:v>
                </c:pt>
                <c:pt idx="6">
                  <c:v>20.995878358815261</c:v>
                </c:pt>
                <c:pt idx="7">
                  <c:v>-12.903566235950276</c:v>
                </c:pt>
                <c:pt idx="8">
                  <c:v>-12.569095294266489</c:v>
                </c:pt>
                <c:pt idx="9">
                  <c:v>-8.893721127634052</c:v>
                </c:pt>
                <c:pt idx="10">
                  <c:v>-5.3587281932828912</c:v>
                </c:pt>
                <c:pt idx="11">
                  <c:v>-10.361936377015301</c:v>
                </c:pt>
                <c:pt idx="12">
                  <c:v>-188.84891822311863</c:v>
                </c:pt>
                <c:pt idx="13">
                  <c:v>1.8924768096589073</c:v>
                </c:pt>
                <c:pt idx="14">
                  <c:v>11.754038743129986</c:v>
                </c:pt>
                <c:pt idx="15">
                  <c:v>3.7484086430000274</c:v>
                </c:pt>
                <c:pt idx="16">
                  <c:v>11.261992430409951</c:v>
                </c:pt>
                <c:pt idx="17">
                  <c:v>5.4195406509585409</c:v>
                </c:pt>
                <c:pt idx="18">
                  <c:v>-12.104046493505392</c:v>
                </c:pt>
                <c:pt idx="19">
                  <c:v>-13.455086275803957</c:v>
                </c:pt>
                <c:pt idx="20">
                  <c:v>-10.553182171193644</c:v>
                </c:pt>
                <c:pt idx="21">
                  <c:v>-8.3841064212432936</c:v>
                </c:pt>
                <c:pt idx="22">
                  <c:v>-13.86091696669579</c:v>
                </c:pt>
                <c:pt idx="23">
                  <c:v>0.43422390507913633</c:v>
                </c:pt>
                <c:pt idx="24">
                  <c:v>8.9764269989083001</c:v>
                </c:pt>
                <c:pt idx="25">
                  <c:v>-8.1316758730067118</c:v>
                </c:pt>
                <c:pt idx="26">
                  <c:v>-14.934827979861893</c:v>
                </c:pt>
                <c:pt idx="27">
                  <c:v>3.9819994192524177</c:v>
                </c:pt>
                <c:pt idx="28">
                  <c:v>-8.0755960410805105</c:v>
                </c:pt>
                <c:pt idx="29">
                  <c:v>-5.1649129679547023</c:v>
                </c:pt>
                <c:pt idx="30">
                  <c:v>11.287018854340648</c:v>
                </c:pt>
                <c:pt idx="31">
                  <c:v>-18.394531847439836</c:v>
                </c:pt>
                <c:pt idx="32">
                  <c:v>-5.4631381358665632</c:v>
                </c:pt>
                <c:pt idx="33">
                  <c:v>7.0398147285115398</c:v>
                </c:pt>
                <c:pt idx="34">
                  <c:v>-3.798904867642765</c:v>
                </c:pt>
                <c:pt idx="35">
                  <c:v>6.3153638159846492</c:v>
                </c:pt>
                <c:pt idx="36">
                  <c:v>11.547139143188097</c:v>
                </c:pt>
                <c:pt idx="37">
                  <c:v>-24.695976845197038</c:v>
                </c:pt>
                <c:pt idx="38">
                  <c:v>-8.0884284270011353</c:v>
                </c:pt>
                <c:pt idx="39">
                  <c:v>-0.95686504933702565</c:v>
                </c:pt>
                <c:pt idx="40">
                  <c:v>9.4155290821139204</c:v>
                </c:pt>
                <c:pt idx="41">
                  <c:v>-22.781676565297964</c:v>
                </c:pt>
                <c:pt idx="42">
                  <c:v>-10.65138128829911</c:v>
                </c:pt>
                <c:pt idx="43">
                  <c:v>-5.6831329959123922</c:v>
                </c:pt>
                <c:pt idx="44">
                  <c:v>-3.1456925909300182</c:v>
                </c:pt>
                <c:pt idx="45">
                  <c:v>-50.349999742444318</c:v>
                </c:pt>
                <c:pt idx="46">
                  <c:v>-5.9892787746201748</c:v>
                </c:pt>
                <c:pt idx="47">
                  <c:v>4.1839054688435162</c:v>
                </c:pt>
                <c:pt idx="48">
                  <c:v>-3.020030762041106</c:v>
                </c:pt>
                <c:pt idx="49">
                  <c:v>-4.9042285873313674</c:v>
                </c:pt>
                <c:pt idx="50">
                  <c:v>-1.8437699289918186</c:v>
                </c:pt>
                <c:pt idx="51">
                  <c:v>-11.686428406674434</c:v>
                </c:pt>
                <c:pt idx="52">
                  <c:v>-5.5699775531487106</c:v>
                </c:pt>
                <c:pt idx="53">
                  <c:v>-2.6824852694965351</c:v>
                </c:pt>
                <c:pt idx="54">
                  <c:v>-12.005924491810163</c:v>
                </c:pt>
                <c:pt idx="55">
                  <c:v>-5.8996450647456555</c:v>
                </c:pt>
                <c:pt idx="56">
                  <c:v>2.357336890413686</c:v>
                </c:pt>
                <c:pt idx="57">
                  <c:v>-13.680144254648866</c:v>
                </c:pt>
                <c:pt idx="58">
                  <c:v>-3.5767398137029938</c:v>
                </c:pt>
                <c:pt idx="59">
                  <c:v>0.96746017342390633</c:v>
                </c:pt>
                <c:pt idx="60">
                  <c:v>-4.5512925890862688</c:v>
                </c:pt>
                <c:pt idx="61">
                  <c:v>11.696818889693983</c:v>
                </c:pt>
                <c:pt idx="62">
                  <c:v>-3.7774367011921406</c:v>
                </c:pt>
                <c:pt idx="63">
                  <c:v>15.622743532361145</c:v>
                </c:pt>
                <c:pt idx="64">
                  <c:v>-1.115077677420091</c:v>
                </c:pt>
                <c:pt idx="65">
                  <c:v>52.62614024707073</c:v>
                </c:pt>
                <c:pt idx="66">
                  <c:v>-0.89943979492929316</c:v>
                </c:pt>
                <c:pt idx="67">
                  <c:v>60.837632906680675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47-7042-BB37-213A227FE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8059840"/>
        <c:axId val="-2028050144"/>
      </c:scatterChart>
      <c:valAx>
        <c:axId val="-2028059840"/>
        <c:scaling>
          <c:orientation val="minMax"/>
        </c:scaling>
        <c:delete val="0"/>
        <c:axPos val="b"/>
        <c:numFmt formatCode="#,##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8050144"/>
        <c:crossesAt val="-20"/>
        <c:crossBetween val="midCat"/>
      </c:valAx>
      <c:valAx>
        <c:axId val="-2028050144"/>
        <c:scaling>
          <c:orientation val="minMax"/>
          <c:max val="60"/>
          <c:min val="-20"/>
        </c:scaling>
        <c:delete val="1"/>
        <c:axPos val="l"/>
        <c:numFmt formatCode="General" sourceLinked="1"/>
        <c:majorTickMark val="out"/>
        <c:minorTickMark val="none"/>
        <c:tickLblPos val="nextTo"/>
        <c:crossAx val="-2028059840"/>
        <c:crosses val="autoZero"/>
        <c:crossBetween val="midCat"/>
        <c:majorUnit val="10"/>
      </c:valAx>
      <c:spPr>
        <a:ln>
          <a:solidFill>
            <a:srgbClr val="000000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9930946131734"/>
          <c:y val="0.122798408263483"/>
          <c:w val="0.69094062962799996"/>
          <c:h val="0.65642176458711898"/>
        </c:manualLayout>
      </c:layout>
      <c:scatterChart>
        <c:scatterStyle val="lineMarker"/>
        <c:varyColors val="0"/>
        <c:ser>
          <c:idx val="1"/>
          <c:order val="1"/>
          <c:spPr>
            <a:ln w="63500">
              <a:noFill/>
            </a:ln>
          </c:spPr>
          <c:marker>
            <c:symbol val="diamond"/>
            <c:size val="13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5.33033370828647E-2"/>
                  <c:y val="-0.38391621239652701"/>
                </c:manualLayout>
              </c:layout>
              <c:tx>
                <c:rich>
                  <a:bodyPr/>
                  <a:lstStyle/>
                  <a:p>
                    <a:pPr>
                      <a:defRPr sz="1400"/>
                    </a:pPr>
                    <a:r>
                      <a:rPr lang="en-US" sz="1400" baseline="0"/>
                      <a:t>y = -0.2x + 11.4
R² = 0.07</a:t>
                    </a:r>
                    <a:endParaRPr lang="en-US" sz="1400"/>
                  </a:p>
                </c:rich>
              </c:tx>
              <c:numFmt formatCode="General" sourceLinked="0"/>
              <c:spPr>
                <a:ln>
                  <a:solidFill>
                    <a:srgbClr val="000000"/>
                  </a:solidFill>
                </a:ln>
              </c:spPr>
            </c:trendlineLbl>
          </c:trendline>
          <c:xVal>
            <c:numRef>
              <c:f>DSLR!$T$19:$T$91</c:f>
              <c:numCache>
                <c:formatCode>###0.00;###0.00</c:formatCode>
                <c:ptCount val="7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12</c:v>
                </c:pt>
                <c:pt idx="48">
                  <c:v>12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15</c:v>
                </c:pt>
                <c:pt idx="53">
                  <c:v>16</c:v>
                </c:pt>
                <c:pt idx="54">
                  <c:v>17</c:v>
                </c:pt>
                <c:pt idx="55">
                  <c:v>18</c:v>
                </c:pt>
                <c:pt idx="56">
                  <c:v>19</c:v>
                </c:pt>
                <c:pt idx="57">
                  <c:v>20</c:v>
                </c:pt>
                <c:pt idx="58">
                  <c:v>21</c:v>
                </c:pt>
                <c:pt idx="59">
                  <c:v>22</c:v>
                </c:pt>
                <c:pt idx="60">
                  <c:v>23</c:v>
                </c:pt>
                <c:pt idx="61">
                  <c:v>24</c:v>
                </c:pt>
                <c:pt idx="62">
                  <c:v>25</c:v>
                </c:pt>
                <c:pt idx="63">
                  <c:v>26</c:v>
                </c:pt>
                <c:pt idx="64">
                  <c:v>27</c:v>
                </c:pt>
                <c:pt idx="65">
                  <c:v>28</c:v>
                </c:pt>
                <c:pt idx="66">
                  <c:v>29</c:v>
                </c:pt>
                <c:pt idx="67">
                  <c:v>30</c:v>
                </c:pt>
                <c:pt idx="68">
                  <c:v>31</c:v>
                </c:pt>
                <c:pt idx="69">
                  <c:v>32</c:v>
                </c:pt>
                <c:pt idx="70">
                  <c:v>33</c:v>
                </c:pt>
                <c:pt idx="71">
                  <c:v>34</c:v>
                </c:pt>
                <c:pt idx="72">
                  <c:v>35</c:v>
                </c:pt>
              </c:numCache>
            </c:numRef>
          </c:xVal>
          <c:yVal>
            <c:numRef>
              <c:f>DSLR!$V$19:$V$91</c:f>
              <c:numCache>
                <c:formatCode>General</c:formatCode>
                <c:ptCount val="73"/>
                <c:pt idx="0">
                  <c:v>14.154516202041334</c:v>
                </c:pt>
                <c:pt idx="1">
                  <c:v>9.0354307632750341</c:v>
                </c:pt>
                <c:pt idx="2">
                  <c:v>7.0477947891964465</c:v>
                </c:pt>
                <c:pt idx="3">
                  <c:v>9.2837845983527387</c:v>
                </c:pt>
                <c:pt idx="4">
                  <c:v>12.969365667025636</c:v>
                </c:pt>
                <c:pt idx="5">
                  <c:v>15.723226922029543</c:v>
                </c:pt>
                <c:pt idx="6">
                  <c:v>8.9999680636496961</c:v>
                </c:pt>
                <c:pt idx="7">
                  <c:v>6.2344630833039139</c:v>
                </c:pt>
                <c:pt idx="8">
                  <c:v>12.480904203521725</c:v>
                </c:pt>
                <c:pt idx="9">
                  <c:v>6.839133827870354</c:v>
                </c:pt>
                <c:pt idx="10">
                  <c:v>16.841106005933895</c:v>
                </c:pt>
                <c:pt idx="11">
                  <c:v>17.271546831429983</c:v>
                </c:pt>
                <c:pt idx="12">
                  <c:v>10.554734185815757</c:v>
                </c:pt>
                <c:pt idx="13">
                  <c:v>9.5809129748864343</c:v>
                </c:pt>
                <c:pt idx="14">
                  <c:v>9.1015796546414549</c:v>
                </c:pt>
                <c:pt idx="15">
                  <c:v>5.740736246635314</c:v>
                </c:pt>
                <c:pt idx="16">
                  <c:v>18.385673577457908</c:v>
                </c:pt>
                <c:pt idx="17">
                  <c:v>19.258001675288746</c:v>
                </c:pt>
                <c:pt idx="18">
                  <c:v>6.7966510994523821</c:v>
                </c:pt>
                <c:pt idx="19">
                  <c:v>7.5904884507735044</c:v>
                </c:pt>
                <c:pt idx="20">
                  <c:v>16.341429045416046</c:v>
                </c:pt>
                <c:pt idx="21">
                  <c:v>9.6156096728644371</c:v>
                </c:pt>
                <c:pt idx="22">
                  <c:v>28.313129909996565</c:v>
                </c:pt>
                <c:pt idx="23">
                  <c:v>2.3280580405790197</c:v>
                </c:pt>
                <c:pt idx="24">
                  <c:v>-13.251543685711177</c:v>
                </c:pt>
                <c:pt idx="25">
                  <c:v>9.13093895886675</c:v>
                </c:pt>
                <c:pt idx="26">
                  <c:v>12.128302897433327</c:v>
                </c:pt>
                <c:pt idx="27">
                  <c:v>27.853442590257771</c:v>
                </c:pt>
                <c:pt idx="28">
                  <c:v>-25.770297340586225</c:v>
                </c:pt>
                <c:pt idx="29">
                  <c:v>9.3359198423635412</c:v>
                </c:pt>
                <c:pt idx="30">
                  <c:v>10.866267822689588</c:v>
                </c:pt>
                <c:pt idx="31">
                  <c:v>19.248494432963238</c:v>
                </c:pt>
                <c:pt idx="32">
                  <c:v>9.2055386043178231</c:v>
                </c:pt>
                <c:pt idx="33">
                  <c:v>12.573000756535802</c:v>
                </c:pt>
                <c:pt idx="34">
                  <c:v>11.469914943837573</c:v>
                </c:pt>
                <c:pt idx="35">
                  <c:v>20.564767384894242</c:v>
                </c:pt>
                <c:pt idx="36">
                  <c:v>8.7132815394478982</c:v>
                </c:pt>
                <c:pt idx="37">
                  <c:v>9.2911168399625979</c:v>
                </c:pt>
                <c:pt idx="38">
                  <c:v>24.721938495631434</c:v>
                </c:pt>
                <c:pt idx="39">
                  <c:v>8.9640674203299255</c:v>
                </c:pt>
                <c:pt idx="40">
                  <c:v>9.1881907975527088</c:v>
                </c:pt>
                <c:pt idx="41">
                  <c:v>11.410251786160979</c:v>
                </c:pt>
                <c:pt idx="42">
                  <c:v>7.0789213415719754</c:v>
                </c:pt>
                <c:pt idx="43">
                  <c:v>14.178522630184322</c:v>
                </c:pt>
                <c:pt idx="44">
                  <c:v>8.3642274920172532</c:v>
                </c:pt>
                <c:pt idx="45">
                  <c:v>8.0350280149195719</c:v>
                </c:pt>
                <c:pt idx="46">
                  <c:v>5.9594888188254185</c:v>
                </c:pt>
                <c:pt idx="47">
                  <c:v>10.393431137677617</c:v>
                </c:pt>
                <c:pt idx="48">
                  <c:v>5.6622401522079313</c:v>
                </c:pt>
                <c:pt idx="49">
                  <c:v>17.035418375885921</c:v>
                </c:pt>
                <c:pt idx="50">
                  <c:v>6.093811785914232</c:v>
                </c:pt>
                <c:pt idx="51">
                  <c:v>11.015175688425533</c:v>
                </c:pt>
                <c:pt idx="52">
                  <c:v>5.6947444958647386</c:v>
                </c:pt>
                <c:pt idx="53">
                  <c:v>3.9303599212226015</c:v>
                </c:pt>
                <c:pt idx="54">
                  <c:v>5.057443635654395</c:v>
                </c:pt>
                <c:pt idx="55">
                  <c:v>16.35571371867265</c:v>
                </c:pt>
                <c:pt idx="56">
                  <c:v>8.7777292866804757</c:v>
                </c:pt>
                <c:pt idx="57">
                  <c:v>7.6843228316337768</c:v>
                </c:pt>
                <c:pt idx="58">
                  <c:v>1.6242659840085238</c:v>
                </c:pt>
                <c:pt idx="59">
                  <c:v>2.7139643798940738</c:v>
                </c:pt>
                <c:pt idx="60">
                  <c:v>-2.883326986762702</c:v>
                </c:pt>
                <c:pt idx="61">
                  <c:v>-7.8232290841960905</c:v>
                </c:pt>
                <c:pt idx="62">
                  <c:v>-4.8853298888598173</c:v>
                </c:pt>
                <c:pt idx="63">
                  <c:v>-6.2650090333922215E-2</c:v>
                </c:pt>
                <c:pt idx="64">
                  <c:v>2.5864402271873166</c:v>
                </c:pt>
                <c:pt idx="65">
                  <c:v>7.9932721657620842</c:v>
                </c:pt>
                <c:pt idx="66">
                  <c:v>13.363199999999999</c:v>
                </c:pt>
                <c:pt idx="67">
                  <c:v>9.9173523473489595</c:v>
                </c:pt>
                <c:pt idx="68">
                  <c:v>-0.48186006758389244</c:v>
                </c:pt>
                <c:pt idx="69">
                  <c:v>13.449600000000002</c:v>
                </c:pt>
                <c:pt idx="70">
                  <c:v>13.204800000000001</c:v>
                </c:pt>
                <c:pt idx="71">
                  <c:v>5.1407999999999987</c:v>
                </c:pt>
                <c:pt idx="72">
                  <c:v>3.0240000000000045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4C-264C-99AF-742A0A5A14A1}"/>
            </c:ext>
          </c:extLst>
        </c:ser>
        <c:ser>
          <c:idx val="0"/>
          <c:order val="0"/>
          <c:spPr>
            <a:ln w="63500">
              <a:noFill/>
            </a:ln>
          </c:spPr>
          <c:marker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</a:ln>
            </c:spPr>
          </c:marker>
          <c:xVal>
            <c:numRef>
              <c:f>DSLR!$T$2:$T$18</c:f>
              <c:numCache>
                <c:formatCode>###0.00;###0.00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DSLR!$V$2:$V$18</c:f>
              <c:numCache>
                <c:formatCode>General</c:formatCode>
                <c:ptCount val="17"/>
                <c:pt idx="0">
                  <c:v>9.327580588815465</c:v>
                </c:pt>
                <c:pt idx="1">
                  <c:v>0</c:v>
                </c:pt>
                <c:pt idx="2">
                  <c:v>-30.475094849384913</c:v>
                </c:pt>
                <c:pt idx="3">
                  <c:v>9.1278088154707149</c:v>
                </c:pt>
                <c:pt idx="4">
                  <c:v>209.00095740820933</c:v>
                </c:pt>
                <c:pt idx="5">
                  <c:v>15.919393219069452</c:v>
                </c:pt>
                <c:pt idx="6">
                  <c:v>70.894300204181235</c:v>
                </c:pt>
                <c:pt idx="7">
                  <c:v>0.40624184451614198</c:v>
                </c:pt>
                <c:pt idx="8">
                  <c:v>8.2934655473984833</c:v>
                </c:pt>
                <c:pt idx="9">
                  <c:v>-11.655137588408216</c:v>
                </c:pt>
                <c:pt idx="10">
                  <c:v>-0.73000441576529518</c:v>
                </c:pt>
                <c:pt idx="11">
                  <c:v>7.749831953527373</c:v>
                </c:pt>
                <c:pt idx="12">
                  <c:v>250.47249483130776</c:v>
                </c:pt>
                <c:pt idx="13">
                  <c:v>10.589439446638021</c:v>
                </c:pt>
                <c:pt idx="14">
                  <c:v>11.789106461244563</c:v>
                </c:pt>
                <c:pt idx="15">
                  <c:v>16.232786163299593</c:v>
                </c:pt>
                <c:pt idx="16">
                  <c:v>6.4233232725065381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4C-264C-99AF-742A0A5A1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754800"/>
        <c:axId val="-2035762816"/>
      </c:scatterChart>
      <c:valAx>
        <c:axId val="-2035754800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35762816"/>
        <c:crossesAt val="-20"/>
        <c:crossBetween val="midCat"/>
      </c:valAx>
      <c:valAx>
        <c:axId val="-2035762816"/>
        <c:scaling>
          <c:orientation val="minMax"/>
          <c:max val="60"/>
          <c:min val="-20"/>
        </c:scaling>
        <c:delete val="0"/>
        <c:axPos val="l"/>
        <c:numFmt formatCode="General" sourceLinked="1"/>
        <c:majorTickMark val="in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35754800"/>
        <c:crosses val="autoZero"/>
        <c:crossBetween val="midCat"/>
        <c:majorUnit val="10"/>
      </c:valAx>
      <c:spPr>
        <a:ln>
          <a:solidFill>
            <a:srgbClr val="000000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6350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26326330943706699"/>
                  <c:y val="-0.44328439492613902"/>
                </c:manualLayout>
              </c:layout>
              <c:numFmt formatCode="General" sourceLinked="0"/>
            </c:trendlineLbl>
          </c:trendline>
          <c:xVal>
            <c:numRef>
              <c:f>GE_WL!$L$4:$L$351</c:f>
              <c:numCache>
                <c:formatCode>General</c:formatCode>
                <c:ptCount val="348"/>
                <c:pt idx="0">
                  <c:v>0</c:v>
                </c:pt>
                <c:pt idx="1">
                  <c:v>0</c:v>
                </c:pt>
                <c:pt idx="2" formatCode="###0;###0">
                  <c:v>0</c:v>
                </c:pt>
                <c:pt idx="3" formatCode="###0;###0">
                  <c:v>0</c:v>
                </c:pt>
                <c:pt idx="4" formatCode="###0;###0">
                  <c:v>0</c:v>
                </c:pt>
                <c:pt idx="5" formatCode="###0;###0">
                  <c:v>0</c:v>
                </c:pt>
                <c:pt idx="6" formatCode="###0;###0">
                  <c:v>0</c:v>
                </c:pt>
                <c:pt idx="7" formatCode="###0;###0">
                  <c:v>0</c:v>
                </c:pt>
                <c:pt idx="8" formatCode="###0;###0">
                  <c:v>0</c:v>
                </c:pt>
                <c:pt idx="9" formatCode="###0;###0">
                  <c:v>0</c:v>
                </c:pt>
                <c:pt idx="10" formatCode="###0;###0">
                  <c:v>0</c:v>
                </c:pt>
                <c:pt idx="11" formatCode="###0;###0">
                  <c:v>0</c:v>
                </c:pt>
                <c:pt idx="12" formatCode="###0;###0">
                  <c:v>0</c:v>
                </c:pt>
                <c:pt idx="13" formatCode="###0;###0">
                  <c:v>0</c:v>
                </c:pt>
                <c:pt idx="14" formatCode="###0;###0">
                  <c:v>0</c:v>
                </c:pt>
                <c:pt idx="15" formatCode="###0;###0">
                  <c:v>0</c:v>
                </c:pt>
                <c:pt idx="16" formatCode="###0;###0">
                  <c:v>0</c:v>
                </c:pt>
                <c:pt idx="17" formatCode="###0;###0">
                  <c:v>1</c:v>
                </c:pt>
                <c:pt idx="18" formatCode="###0;###0">
                  <c:v>1</c:v>
                </c:pt>
                <c:pt idx="19" formatCode="###0;###0">
                  <c:v>1</c:v>
                </c:pt>
                <c:pt idx="20" formatCode="###0;###0">
                  <c:v>1</c:v>
                </c:pt>
                <c:pt idx="21" formatCode="###0;###0">
                  <c:v>1</c:v>
                </c:pt>
                <c:pt idx="22" formatCode="###0;###0">
                  <c:v>1</c:v>
                </c:pt>
                <c:pt idx="23" formatCode="###0;###0">
                  <c:v>1</c:v>
                </c:pt>
                <c:pt idx="24" formatCode="###0;###0">
                  <c:v>1</c:v>
                </c:pt>
                <c:pt idx="25" formatCode="###0;###0">
                  <c:v>2</c:v>
                </c:pt>
                <c:pt idx="26" formatCode="###0;###0">
                  <c:v>2</c:v>
                </c:pt>
                <c:pt idx="27" formatCode="###0;###0">
                  <c:v>2</c:v>
                </c:pt>
                <c:pt idx="28" formatCode="###0;###0">
                  <c:v>2</c:v>
                </c:pt>
                <c:pt idx="29" formatCode="###0;###0">
                  <c:v>2</c:v>
                </c:pt>
                <c:pt idx="30" formatCode="###0;###0">
                  <c:v>2</c:v>
                </c:pt>
                <c:pt idx="31" formatCode="###0;###0">
                  <c:v>3</c:v>
                </c:pt>
                <c:pt idx="32" formatCode="###0;###0">
                  <c:v>3</c:v>
                </c:pt>
                <c:pt idx="33" formatCode="###0;###0">
                  <c:v>3</c:v>
                </c:pt>
                <c:pt idx="34" formatCode="###0;###0">
                  <c:v>3</c:v>
                </c:pt>
                <c:pt idx="35" formatCode="###0;###0">
                  <c:v>3</c:v>
                </c:pt>
                <c:pt idx="36" formatCode="###0;###0">
                  <c:v>3</c:v>
                </c:pt>
                <c:pt idx="37" formatCode="###0;###0">
                  <c:v>4</c:v>
                </c:pt>
                <c:pt idx="38" formatCode="###0;###0">
                  <c:v>4</c:v>
                </c:pt>
                <c:pt idx="39" formatCode="###0;###0">
                  <c:v>4</c:v>
                </c:pt>
                <c:pt idx="40" formatCode="###0;###0">
                  <c:v>4</c:v>
                </c:pt>
                <c:pt idx="41" formatCode="###0;###0">
                  <c:v>4</c:v>
                </c:pt>
                <c:pt idx="42" formatCode="###0;###0">
                  <c:v>5</c:v>
                </c:pt>
                <c:pt idx="43" formatCode="###0;###0">
                  <c:v>5</c:v>
                </c:pt>
                <c:pt idx="44" formatCode="###0;###0">
                  <c:v>5</c:v>
                </c:pt>
                <c:pt idx="45" formatCode="###0;###0">
                  <c:v>5</c:v>
                </c:pt>
                <c:pt idx="46" formatCode="###0;###0">
                  <c:v>6</c:v>
                </c:pt>
                <c:pt idx="47" formatCode="###0;###0">
                  <c:v>6</c:v>
                </c:pt>
                <c:pt idx="48" formatCode="###0;###0">
                  <c:v>6</c:v>
                </c:pt>
                <c:pt idx="49" formatCode="###0;###0">
                  <c:v>6</c:v>
                </c:pt>
                <c:pt idx="50" formatCode="###0;###0">
                  <c:v>7</c:v>
                </c:pt>
                <c:pt idx="51" formatCode="###0;###0">
                  <c:v>7</c:v>
                </c:pt>
                <c:pt idx="52" formatCode="###0;###0">
                  <c:v>7</c:v>
                </c:pt>
                <c:pt idx="53" formatCode="###0;###0">
                  <c:v>7</c:v>
                </c:pt>
                <c:pt idx="54" formatCode="###0;###0">
                  <c:v>8</c:v>
                </c:pt>
                <c:pt idx="55" formatCode="###0;###0">
                  <c:v>8</c:v>
                </c:pt>
                <c:pt idx="56" formatCode="###0;###0">
                  <c:v>8</c:v>
                </c:pt>
                <c:pt idx="57" formatCode="###0;###0">
                  <c:v>9</c:v>
                </c:pt>
                <c:pt idx="58" formatCode="###0;###0">
                  <c:v>9</c:v>
                </c:pt>
                <c:pt idx="59" formatCode="###0;###0">
                  <c:v>9</c:v>
                </c:pt>
                <c:pt idx="60" formatCode="###0;###0">
                  <c:v>10</c:v>
                </c:pt>
                <c:pt idx="61" formatCode="###0;###0">
                  <c:v>10</c:v>
                </c:pt>
                <c:pt idx="62" formatCode="###0;###0">
                  <c:v>11</c:v>
                </c:pt>
                <c:pt idx="63" formatCode="###0;###0">
                  <c:v>11</c:v>
                </c:pt>
                <c:pt idx="64" formatCode="###0;###0">
                  <c:v>12</c:v>
                </c:pt>
                <c:pt idx="65" formatCode="###0;###0">
                  <c:v>12</c:v>
                </c:pt>
                <c:pt idx="66" formatCode="###0;###0">
                  <c:v>13</c:v>
                </c:pt>
                <c:pt idx="67" formatCode="###0;###0">
                  <c:v>13</c:v>
                </c:pt>
                <c:pt idx="68" formatCode="###0;###0">
                  <c:v>14</c:v>
                </c:pt>
                <c:pt idx="69" formatCode="###0;###0">
                  <c:v>15</c:v>
                </c:pt>
                <c:pt idx="70" formatCode="###0;###0">
                  <c:v>16</c:v>
                </c:pt>
                <c:pt idx="71" formatCode="###0;###0">
                  <c:v>17</c:v>
                </c:pt>
                <c:pt idx="72" formatCode="###0;###0">
                  <c:v>18</c:v>
                </c:pt>
                <c:pt idx="73" formatCode="###0;###0">
                  <c:v>19</c:v>
                </c:pt>
                <c:pt idx="74" formatCode="###0;###0">
                  <c:v>20</c:v>
                </c:pt>
                <c:pt idx="75" formatCode="###0;###0">
                  <c:v>21</c:v>
                </c:pt>
                <c:pt idx="76" formatCode="###0;###0">
                  <c:v>22</c:v>
                </c:pt>
                <c:pt idx="77" formatCode="###0;###0">
                  <c:v>23</c:v>
                </c:pt>
                <c:pt idx="78" formatCode="###0;###0">
                  <c:v>24</c:v>
                </c:pt>
                <c:pt idx="79" formatCode="###0;###0">
                  <c:v>25</c:v>
                </c:pt>
                <c:pt idx="80" formatCode="###0;###0">
                  <c:v>26</c:v>
                </c:pt>
                <c:pt idx="81" formatCode="###0;###0">
                  <c:v>27</c:v>
                </c:pt>
                <c:pt idx="82" formatCode="###0;###0">
                  <c:v>28</c:v>
                </c:pt>
                <c:pt idx="83" formatCode="###0;###0">
                  <c:v>29</c:v>
                </c:pt>
                <c:pt idx="84" formatCode="###0;###0">
                  <c:v>30</c:v>
                </c:pt>
                <c:pt idx="85" formatCode="###0;###0">
                  <c:v>31</c:v>
                </c:pt>
                <c:pt idx="86" formatCode="###0;###0">
                  <c:v>32</c:v>
                </c:pt>
                <c:pt idx="87" formatCode="###0;###0">
                  <c:v>33</c:v>
                </c:pt>
                <c:pt idx="88" formatCode="###0;###0">
                  <c:v>34</c:v>
                </c:pt>
                <c:pt idx="89" formatCode="###0;###0">
                  <c:v>35</c:v>
                </c:pt>
                <c:pt idx="90" formatCode="###0;###0">
                  <c:v>36</c:v>
                </c:pt>
              </c:numCache>
            </c:numRef>
          </c:xVal>
          <c:yVal>
            <c:numRef>
              <c:f>GE_WL!$M$4:$M$351</c:f>
              <c:numCache>
                <c:formatCode>General</c:formatCode>
                <c:ptCount val="348"/>
                <c:pt idx="0">
                  <c:v>0</c:v>
                </c:pt>
                <c:pt idx="1">
                  <c:v>2.3425855213215674</c:v>
                </c:pt>
                <c:pt idx="2" formatCode="0.0000">
                  <c:v>3.001481022440164</c:v>
                </c:pt>
                <c:pt idx="3" formatCode="0.0000">
                  <c:v>3.0295143565567302</c:v>
                </c:pt>
                <c:pt idx="4" formatCode="0.0000">
                  <c:v>3.1842159959313361</c:v>
                </c:pt>
                <c:pt idx="5" formatCode="0.0000">
                  <c:v>3.1727063881024375</c:v>
                </c:pt>
                <c:pt idx="6" formatCode="0.0000">
                  <c:v>3.1319503382091853</c:v>
                </c:pt>
                <c:pt idx="7" formatCode="0.0000">
                  <c:v>2.7228466778126248</c:v>
                </c:pt>
                <c:pt idx="8" formatCode="0.0000">
                  <c:v>2.6588710094669961</c:v>
                </c:pt>
                <c:pt idx="9" formatCode="0.0000">
                  <c:v>2.5902771477230098</c:v>
                </c:pt>
                <c:pt idx="10" formatCode="0.0000">
                  <c:v>2.6102194843017643</c:v>
                </c:pt>
                <c:pt idx="11" formatCode="0.0000">
                  <c:v>2.3528955413438131</c:v>
                </c:pt>
                <c:pt idx="12" formatCode="0.0000">
                  <c:v>2.1916783584564272</c:v>
                </c:pt>
                <c:pt idx="13" formatCode="0.0000">
                  <c:v>1.6719742858665225</c:v>
                </c:pt>
                <c:pt idx="14" formatCode="0.0000">
                  <c:v>1.638650769200066</c:v>
                </c:pt>
                <c:pt idx="15" formatCode="0.0000">
                  <c:v>1.6298924910133441</c:v>
                </c:pt>
                <c:pt idx="16" formatCode="0.0000">
                  <c:v>1.4761350043176198</c:v>
                </c:pt>
                <c:pt idx="17" formatCode="0.0000">
                  <c:v>3.0868947052086626</c:v>
                </c:pt>
                <c:pt idx="18" formatCode="0.0000">
                  <c:v>2.6960524038752909</c:v>
                </c:pt>
                <c:pt idx="19" formatCode="0.0000">
                  <c:v>2.6246802121516297</c:v>
                </c:pt>
                <c:pt idx="20" formatCode="0.0000">
                  <c:v>2.6013288895585291</c:v>
                </c:pt>
                <c:pt idx="21" formatCode="0.0000">
                  <c:v>2.3232748912332295</c:v>
                </c:pt>
                <c:pt idx="22" formatCode="0.0000">
                  <c:v>2.2556730516361818</c:v>
                </c:pt>
                <c:pt idx="23" formatCode="0.0000">
                  <c:v>1.5979663033140761</c:v>
                </c:pt>
                <c:pt idx="24" formatCode="0.0000">
                  <c:v>1.4483703853027508</c:v>
                </c:pt>
                <c:pt idx="25" formatCode="0.0000">
                  <c:v>3.0421924557679625</c:v>
                </c:pt>
                <c:pt idx="26" formatCode="0.0000">
                  <c:v>2.56585301864077</c:v>
                </c:pt>
                <c:pt idx="27" formatCode="0.0000">
                  <c:v>2.2819939113679717</c:v>
                </c:pt>
                <c:pt idx="28" formatCode="0.0000">
                  <c:v>2.2130814440322788</c:v>
                </c:pt>
                <c:pt idx="29" formatCode="0.0000">
                  <c:v>1.567169367742697</c:v>
                </c:pt>
                <c:pt idx="30" formatCode="0.0000">
                  <c:v>1.4215358193055381</c:v>
                </c:pt>
                <c:pt idx="31" formatCode="0.0000">
                  <c:v>2.9996337677375871</c:v>
                </c:pt>
                <c:pt idx="32" formatCode="0.0000">
                  <c:v>2.531948719981806</c:v>
                </c:pt>
                <c:pt idx="33" formatCode="0.0000">
                  <c:v>2.2373266236699831</c:v>
                </c:pt>
                <c:pt idx="34" formatCode="0.0000">
                  <c:v>2.1686401297129607</c:v>
                </c:pt>
                <c:pt idx="35" formatCode="0.0000">
                  <c:v>1.5350550443621054</c:v>
                </c:pt>
                <c:pt idx="36" formatCode="0.0000">
                  <c:v>1.394499628031872</c:v>
                </c:pt>
                <c:pt idx="37" formatCode="0.0000">
                  <c:v>2.9609229280280371</c:v>
                </c:pt>
                <c:pt idx="38" formatCode="0.0000">
                  <c:v>2.4993953411213714</c:v>
                </c:pt>
                <c:pt idx="39" formatCode="0.0000">
                  <c:v>2.1246155743392241</c:v>
                </c:pt>
                <c:pt idx="40" formatCode="0.0000">
                  <c:v>1.5037257992832953</c:v>
                </c:pt>
                <c:pt idx="41" formatCode="0.0000">
                  <c:v>1.3708202734430697</c:v>
                </c:pt>
                <c:pt idx="42" formatCode="0.0000">
                  <c:v>2.9154341775812385</c:v>
                </c:pt>
                <c:pt idx="43" formatCode="0.0000">
                  <c:v>2.4632184455944803</c:v>
                </c:pt>
                <c:pt idx="44" formatCode="0.0000">
                  <c:v>2.0702272337360754</c:v>
                </c:pt>
                <c:pt idx="45" formatCode="0.0000">
                  <c:v>1.3670572820543492</c:v>
                </c:pt>
                <c:pt idx="46" formatCode="0.0000">
                  <c:v>2.8776409376518033</c:v>
                </c:pt>
                <c:pt idx="47" formatCode="0.0000">
                  <c:v>2.4248004524185611</c:v>
                </c:pt>
                <c:pt idx="48" formatCode="0.0000">
                  <c:v>2.0150720246773575</c:v>
                </c:pt>
                <c:pt idx="49" formatCode="0.0000">
                  <c:v>1.3745521919043875</c:v>
                </c:pt>
                <c:pt idx="50" formatCode="0.0000">
                  <c:v>2.8401098576753268</c:v>
                </c:pt>
                <c:pt idx="51" formatCode="0.0000">
                  <c:v>2.3878161938040869</c:v>
                </c:pt>
                <c:pt idx="52" formatCode="0.0000">
                  <c:v>1.9673231540970932</c:v>
                </c:pt>
                <c:pt idx="53" formatCode="0.0000">
                  <c:v>1.3461162032028562</c:v>
                </c:pt>
                <c:pt idx="54" formatCode="0.0000">
                  <c:v>2.7989624191981517</c:v>
                </c:pt>
                <c:pt idx="55" formatCode="0.0000">
                  <c:v>1.919013953762152</c:v>
                </c:pt>
                <c:pt idx="56" formatCode="0.0000">
                  <c:v>1.3168452457095339</c:v>
                </c:pt>
                <c:pt idx="57" formatCode="0.0000">
                  <c:v>2.7607329762465871</c:v>
                </c:pt>
                <c:pt idx="58" formatCode="0.0000">
                  <c:v>1.8739722295991847</c:v>
                </c:pt>
                <c:pt idx="59" formatCode="0.0000">
                  <c:v>1.2877566978348676</c:v>
                </c:pt>
                <c:pt idx="60" formatCode="0.0000">
                  <c:v>1.8367587306052831</c:v>
                </c:pt>
                <c:pt idx="61" formatCode="0.0000">
                  <c:v>1.2599575104730953</c:v>
                </c:pt>
                <c:pt idx="62" formatCode="0.0000">
                  <c:v>1.7994634391078965</c:v>
                </c:pt>
                <c:pt idx="63" formatCode="0.0000">
                  <c:v>1.2310082253497936</c:v>
                </c:pt>
                <c:pt idx="64" formatCode="0.0000">
                  <c:v>1.7632726488416055</c:v>
                </c:pt>
                <c:pt idx="65" formatCode="0.0000">
                  <c:v>1.2057875728895202</c:v>
                </c:pt>
                <c:pt idx="66" formatCode="0.0000">
                  <c:v>1.7149452480592271</c:v>
                </c:pt>
                <c:pt idx="67" formatCode="0.0000">
                  <c:v>1.1813288895585292</c:v>
                </c:pt>
                <c:pt idx="68" formatCode="0.0000">
                  <c:v>1.1558933107006486</c:v>
                </c:pt>
                <c:pt idx="69" formatCode="0.0000">
                  <c:v>1.1294738854216377</c:v>
                </c:pt>
                <c:pt idx="70" formatCode="0.0000">
                  <c:v>1.1028156048852229</c:v>
                </c:pt>
                <c:pt idx="71" formatCode="0.0000">
                  <c:v>1.0784434202106383</c:v>
                </c:pt>
                <c:pt idx="72" formatCode="0.0000">
                  <c:v>1.0514010906809603</c:v>
                </c:pt>
                <c:pt idx="73" formatCode="0.0000">
                  <c:v>1.0209965847504816</c:v>
                </c:pt>
                <c:pt idx="74" formatCode="0.0000">
                  <c:v>0.99228676730036958</c:v>
                </c:pt>
                <c:pt idx="75" formatCode="0.0000">
                  <c:v>0.96585404559959065</c:v>
                </c:pt>
                <c:pt idx="76" formatCode="0.0000">
                  <c:v>0.94686099884352315</c:v>
                </c:pt>
                <c:pt idx="77" formatCode="0.0000">
                  <c:v>0.92725057132731747</c:v>
                </c:pt>
                <c:pt idx="78" formatCode="0.0000">
                  <c:v>0.90683318586779882</c:v>
                </c:pt>
                <c:pt idx="79" formatCode="0.0000">
                  <c:v>0.88597981170674578</c:v>
                </c:pt>
                <c:pt idx="80" formatCode="0.0000">
                  <c:v>0.85625384067776678</c:v>
                </c:pt>
                <c:pt idx="81" formatCode="0.0000">
                  <c:v>0.82819800980449421</c:v>
                </c:pt>
                <c:pt idx="82" formatCode="0.0000">
                  <c:v>0.79448532579851039</c:v>
                </c:pt>
                <c:pt idx="83" formatCode="0.0000">
                  <c:v>0.76523991774205824</c:v>
                </c:pt>
                <c:pt idx="84" formatCode="0.0000">
                  <c:v>0.74332233440979012</c:v>
                </c:pt>
                <c:pt idx="85" formatCode="0.0000">
                  <c:v>0.72644667781262529</c:v>
                </c:pt>
                <c:pt idx="86" formatCode="0.0000">
                  <c:v>0.72156631271284555</c:v>
                </c:pt>
                <c:pt idx="87" formatCode="0.0000">
                  <c:v>0.70435056662793416</c:v>
                </c:pt>
                <c:pt idx="88" formatCode="0.0000">
                  <c:v>0.681747092355661</c:v>
                </c:pt>
                <c:pt idx="89" formatCode="0.0000">
                  <c:v>0.65773114369861618</c:v>
                </c:pt>
                <c:pt idx="90" formatCode="0.0000">
                  <c:v>0.61232889425791415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84-F74F-BDD5-9EEE46D21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8817760"/>
        <c:axId val="-2028839008"/>
      </c:scatterChart>
      <c:valAx>
        <c:axId val="-2028817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28839008"/>
        <c:crosses val="autoZero"/>
        <c:crossBetween val="midCat"/>
      </c:valAx>
      <c:valAx>
        <c:axId val="-2028839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8817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730477352303"/>
          <c:y val="3.7272317947704199E-2"/>
          <c:w val="0.80607233954910595"/>
          <c:h val="0.79242066053218796"/>
        </c:manualLayout>
      </c:layout>
      <c:scatterChart>
        <c:scatterStyle val="lineMarker"/>
        <c:varyColors val="0"/>
        <c:ser>
          <c:idx val="0"/>
          <c:order val="1"/>
          <c:spPr>
            <a:ln w="63500">
              <a:noFill/>
            </a:ln>
          </c:spPr>
          <c:marker>
            <c:symbol val="diamond"/>
            <c:size val="15"/>
            <c:spPr>
              <a:solidFill>
                <a:schemeClr val="accent5"/>
              </a:solidFill>
            </c:spPr>
          </c:marker>
          <c:xVal>
            <c:numRef>
              <c:f>GE_WL!$AH$5:$AH$179</c:f>
              <c:numCache>
                <c:formatCode>0.0000</c:formatCode>
                <c:ptCount val="175"/>
                <c:pt idx="0" formatCode="General">
                  <c:v>2.3425855213215674</c:v>
                </c:pt>
                <c:pt idx="1">
                  <c:v>3.001481022440164</c:v>
                </c:pt>
                <c:pt idx="2">
                  <c:v>3.0295143565567302</c:v>
                </c:pt>
                <c:pt idx="3">
                  <c:v>3.1842159959313361</c:v>
                </c:pt>
                <c:pt idx="4">
                  <c:v>3.1727063881024375</c:v>
                </c:pt>
                <c:pt idx="5">
                  <c:v>3.1319503382091853</c:v>
                </c:pt>
                <c:pt idx="6">
                  <c:v>2.7228466778126248</c:v>
                </c:pt>
                <c:pt idx="7">
                  <c:v>2.6588710094669961</c:v>
                </c:pt>
                <c:pt idx="8">
                  <c:v>2.5902771477230098</c:v>
                </c:pt>
                <c:pt idx="9">
                  <c:v>2.6102194843017643</c:v>
                </c:pt>
                <c:pt idx="10">
                  <c:v>2.3528955413438131</c:v>
                </c:pt>
                <c:pt idx="11">
                  <c:v>2.1916783584564272</c:v>
                </c:pt>
                <c:pt idx="12">
                  <c:v>1.6719742858665225</c:v>
                </c:pt>
                <c:pt idx="13">
                  <c:v>1.638650769200066</c:v>
                </c:pt>
                <c:pt idx="14">
                  <c:v>1.6298924910133441</c:v>
                </c:pt>
                <c:pt idx="15">
                  <c:v>1.4761350043176198</c:v>
                </c:pt>
                <c:pt idx="16" formatCode="General">
                  <c:v>0.61806955386698603</c:v>
                </c:pt>
                <c:pt idx="17" formatCode="General">
                  <c:v>2.9642855213215693</c:v>
                </c:pt>
                <c:pt idx="18" formatCode="0.000">
                  <c:v>3.1793810224401646</c:v>
                </c:pt>
                <c:pt idx="19" formatCode="0.000">
                  <c:v>3.2773143565567313</c:v>
                </c:pt>
                <c:pt idx="20" formatCode="0.000">
                  <c:v>3.3345159959313371</c:v>
                </c:pt>
                <c:pt idx="21" formatCode="0.000">
                  <c:v>3.4026063881024378</c:v>
                </c:pt>
                <c:pt idx="22" formatCode="0.000">
                  <c:v>3.4228503382091855</c:v>
                </c:pt>
                <c:pt idx="23" formatCode="0.000">
                  <c:v>3.4088947052086631</c:v>
                </c:pt>
                <c:pt idx="24" formatCode="0.000">
                  <c:v>3.3914924557679615</c:v>
                </c:pt>
                <c:pt idx="25" formatCode="0.000">
                  <c:v>3.371833767737586</c:v>
                </c:pt>
                <c:pt idx="26" formatCode="0.000">
                  <c:v>3.3511229280280386</c:v>
                </c:pt>
                <c:pt idx="27" formatCode="0.000">
                  <c:v>3.3322341775812401</c:v>
                </c:pt>
                <c:pt idx="28" formatCode="0.000">
                  <c:v>3.3132409376518037</c:v>
                </c:pt>
                <c:pt idx="29" formatCode="0.000">
                  <c:v>3.292209857675326</c:v>
                </c:pt>
                <c:pt idx="30" formatCode="0.000">
                  <c:v>3.2727624191981519</c:v>
                </c:pt>
                <c:pt idx="31" formatCode="0.000">
                  <c:v>3.2534329762465877</c:v>
                </c:pt>
                <c:pt idx="32" formatCode="0.000">
                  <c:v>3.2334466778126245</c:v>
                </c:pt>
                <c:pt idx="33" formatCode="0.000">
                  <c:v>3.2137524038752918</c:v>
                </c:pt>
                <c:pt idx="34" formatCode="0.000">
                  <c:v>3.1945710094669977</c:v>
                </c:pt>
                <c:pt idx="35" formatCode="0.000">
                  <c:v>3.1776802121516301</c:v>
                </c:pt>
                <c:pt idx="36" formatCode="0.000">
                  <c:v>3.1596771477230092</c:v>
                </c:pt>
                <c:pt idx="37" formatCode="0.000">
                  <c:v>3.1680194843017642</c:v>
                </c:pt>
                <c:pt idx="38" formatCode="0.000">
                  <c:v>3.1691288895585306</c:v>
                </c:pt>
                <c:pt idx="39" formatCode="0.000">
                  <c:v>3.1474530186407694</c:v>
                </c:pt>
                <c:pt idx="40" formatCode="0.000">
                  <c:v>3.1306487199818065</c:v>
                </c:pt>
                <c:pt idx="41" formatCode="0.000">
                  <c:v>3.1099953411213708</c:v>
                </c:pt>
                <c:pt idx="42" formatCode="0.000">
                  <c:v>3.0919184455944819</c:v>
                </c:pt>
                <c:pt idx="43" formatCode="0.000">
                  <c:v>3.0709004524185612</c:v>
                </c:pt>
                <c:pt idx="44" formatCode="0.000">
                  <c:v>3.0501161938040884</c:v>
                </c:pt>
                <c:pt idx="45" formatCode="0.000">
                  <c:v>3.0268955413438121</c:v>
                </c:pt>
                <c:pt idx="46" formatCode="0.000">
                  <c:v>3.0064748912332302</c:v>
                </c:pt>
                <c:pt idx="47" formatCode="0.000">
                  <c:v>2.9805939113679738</c:v>
                </c:pt>
                <c:pt idx="48" formatCode="0.000">
                  <c:v>2.9560266236699828</c:v>
                </c:pt>
                <c:pt idx="49" formatCode="0.000">
                  <c:v>2.928978358456428</c:v>
                </c:pt>
                <c:pt idx="50" formatCode="0.000">
                  <c:v>3.230673051636181</c:v>
                </c:pt>
                <c:pt idx="51" formatCode="0.000">
                  <c:v>3.2119814440322791</c:v>
                </c:pt>
                <c:pt idx="52" formatCode="0.000">
                  <c:v>3.1923401297129619</c:v>
                </c:pt>
                <c:pt idx="53" formatCode="0.000">
                  <c:v>3.1712155743392252</c:v>
                </c:pt>
                <c:pt idx="54" formatCode="0.000">
                  <c:v>3.1489272337360763</c:v>
                </c:pt>
                <c:pt idx="55" formatCode="0.000">
                  <c:v>3.125172024677358</c:v>
                </c:pt>
                <c:pt idx="56" formatCode="0.000">
                  <c:v>3.1047231540970941</c:v>
                </c:pt>
                <c:pt idx="57" formatCode="0.000">
                  <c:v>3.081513953762153</c:v>
                </c:pt>
                <c:pt idx="58" formatCode="0.000">
                  <c:v>3.0538722295991843</c:v>
                </c:pt>
                <c:pt idx="59" formatCode="0.000">
                  <c:v>3.0250587306052825</c:v>
                </c:pt>
                <c:pt idx="60" formatCode="0.000">
                  <c:v>2.9966634391078966</c:v>
                </c:pt>
                <c:pt idx="61" formatCode="0.000">
                  <c:v>2.9721726488416049</c:v>
                </c:pt>
                <c:pt idx="62" formatCode="0.000">
                  <c:v>2.9501452480592274</c:v>
                </c:pt>
                <c:pt idx="63" formatCode="0.000">
                  <c:v>2.9242742858665238</c:v>
                </c:pt>
                <c:pt idx="64" formatCode="0.000">
                  <c:v>2.9012507692000664</c:v>
                </c:pt>
                <c:pt idx="65" formatCode="0.000">
                  <c:v>2.8964924910133441</c:v>
                </c:pt>
                <c:pt idx="66" formatCode="0.000">
                  <c:v>2.8756663033140768</c:v>
                </c:pt>
                <c:pt idx="67" formatCode="0.000">
                  <c:v>2.8481693677426971</c:v>
                </c:pt>
                <c:pt idx="68" formatCode="0.000">
                  <c:v>2.8178550443621067</c:v>
                </c:pt>
                <c:pt idx="69" formatCode="0.000">
                  <c:v>2.7797257992832947</c:v>
                </c:pt>
                <c:pt idx="70" formatCode="0.000">
                  <c:v>2.7452350043176192</c:v>
                </c:pt>
                <c:pt idx="71" formatCode="0.000">
                  <c:v>2.7107703853027498</c:v>
                </c:pt>
                <c:pt idx="72" formatCode="0.000">
                  <c:v>2.6747358193055391</c:v>
                </c:pt>
                <c:pt idx="73" formatCode="0.000">
                  <c:v>2.6353996280318732</c:v>
                </c:pt>
                <c:pt idx="74" formatCode="0.000">
                  <c:v>2.5918202734430693</c:v>
                </c:pt>
                <c:pt idx="75" formatCode="0.000">
                  <c:v>2.588757282054349</c:v>
                </c:pt>
                <c:pt idx="76" formatCode="0.000">
                  <c:v>2.6219521919043878</c:v>
                </c:pt>
                <c:pt idx="77" formatCode="0.000">
                  <c:v>2.5973162032028565</c:v>
                </c:pt>
                <c:pt idx="78" formatCode="0.000">
                  <c:v>2.5751452457095354</c:v>
                </c:pt>
                <c:pt idx="79" formatCode="0.000">
                  <c:v>2.5535566978348676</c:v>
                </c:pt>
                <c:pt idx="80" formatCode="0.000">
                  <c:v>2.5267575104730966</c:v>
                </c:pt>
                <c:pt idx="81" formatCode="0.000">
                  <c:v>2.4946082253497934</c:v>
                </c:pt>
                <c:pt idx="82" formatCode="0.000">
                  <c:v>2.456787572889521</c:v>
                </c:pt>
                <c:pt idx="83" formatCode="0.000">
                  <c:v>2.42622888955853</c:v>
                </c:pt>
                <c:pt idx="84" formatCode="0.00">
                  <c:v>0.16656955386698569</c:v>
                </c:pt>
                <c:pt idx="85" formatCode="0.000">
                  <c:v>3.153485521321568</c:v>
                </c:pt>
                <c:pt idx="86" formatCode="0.000">
                  <c:v>3.402581022440164</c:v>
                </c:pt>
                <c:pt idx="87" formatCode="0.000">
                  <c:v>3.5956143565567311</c:v>
                </c:pt>
                <c:pt idx="88" formatCode="0.000">
                  <c:v>3.7167159959313372</c:v>
                </c:pt>
                <c:pt idx="89" formatCode="0.000">
                  <c:v>3.6890624191981507</c:v>
                </c:pt>
                <c:pt idx="90" formatCode="0.000">
                  <c:v>3.616246677812625</c:v>
                </c:pt>
                <c:pt idx="91" formatCode="0.000">
                  <c:v>3.5144710094669973</c:v>
                </c:pt>
                <c:pt idx="92" formatCode="0.000">
                  <c:v>3.4816802121516313</c:v>
                </c:pt>
                <c:pt idx="93" formatCode="0.000">
                  <c:v>3.2278004524185606</c:v>
                </c:pt>
                <c:pt idx="94" formatCode="0.000">
                  <c:v>3.0834939113679729</c:v>
                </c:pt>
                <c:pt idx="95" formatCode="0.000">
                  <c:v>3.3739726488416055</c:v>
                </c:pt>
                <c:pt idx="96" formatCode="0.000">
                  <c:v>3.339745248059228</c:v>
                </c:pt>
                <c:pt idx="97" formatCode="0.000">
                  <c:v>3.3122742858665228</c:v>
                </c:pt>
                <c:pt idx="98" formatCode="0.000">
                  <c:v>3.1658550443621065</c:v>
                </c:pt>
                <c:pt idx="99" formatCode="0.000">
                  <c:v>3.9735063881024368</c:v>
                </c:pt>
                <c:pt idx="100" formatCode="0.000">
                  <c:v>3.661432976246588</c:v>
                </c:pt>
                <c:pt idx="101" formatCode="0.000">
                  <c:v>3.5651524038752909</c:v>
                </c:pt>
                <c:pt idx="102" formatCode="0.000">
                  <c:v>3.4474771477230091</c:v>
                </c:pt>
                <c:pt idx="103" formatCode="0.000">
                  <c:v>3.1861161938040867</c:v>
                </c:pt>
                <c:pt idx="104" formatCode="0.000">
                  <c:v>3.0417266236699829</c:v>
                </c:pt>
                <c:pt idx="105" formatCode="0.000">
                  <c:v>3.2755507692000672</c:v>
                </c:pt>
                <c:pt idx="106" formatCode="0.000">
                  <c:v>3.1260257992832949</c:v>
                </c:pt>
                <c:pt idx="107" formatCode="0.00">
                  <c:v>0.25926955386698619</c:v>
                </c:pt>
                <c:pt idx="108" formatCode="0.000">
                  <c:v>2.8782855213215686</c:v>
                </c:pt>
                <c:pt idx="109" formatCode="0.000">
                  <c:v>3.1435810224401641</c:v>
                </c:pt>
                <c:pt idx="110" formatCode="0.000">
                  <c:v>3.2043143565567305</c:v>
                </c:pt>
                <c:pt idx="111" formatCode="0.000">
                  <c:v>3.2750159959313367</c:v>
                </c:pt>
                <c:pt idx="112" formatCode="0.000">
                  <c:v>3.0483624191981504</c:v>
                </c:pt>
                <c:pt idx="113" formatCode="0.000">
                  <c:v>3.0117466778126238</c:v>
                </c:pt>
                <c:pt idx="114" formatCode="0.000">
                  <c:v>2.9733710094669976</c:v>
                </c:pt>
                <c:pt idx="115" formatCode="0.000">
                  <c:v>2.9555802121516304</c:v>
                </c:pt>
                <c:pt idx="116" formatCode="0.000">
                  <c:v>2.8217004524185607</c:v>
                </c:pt>
                <c:pt idx="117" formatCode="0.000">
                  <c:v>2.7170939113679728</c:v>
                </c:pt>
                <c:pt idx="118" formatCode="0.000">
                  <c:v>2.8870726488416056</c:v>
                </c:pt>
                <c:pt idx="119" formatCode="0.000">
                  <c:v>2.8603452480592284</c:v>
                </c:pt>
                <c:pt idx="120" formatCode="0.000">
                  <c:v>2.8344742858665231</c:v>
                </c:pt>
                <c:pt idx="121" formatCode="0.000">
                  <c:v>2.7202550443621063</c:v>
                </c:pt>
                <c:pt idx="122" formatCode="0.000">
                  <c:v>3.3996063881024372</c:v>
                </c:pt>
                <c:pt idx="123" formatCode="0.000">
                  <c:v>3.0304329762465883</c:v>
                </c:pt>
                <c:pt idx="124" formatCode="0.000">
                  <c:v>2.9937524038752907</c:v>
                </c:pt>
                <c:pt idx="125" formatCode="0.000">
                  <c:v>2.9368771477230093</c:v>
                </c:pt>
                <c:pt idx="126" formatCode="0.000">
                  <c:v>2.7828161938040874</c:v>
                </c:pt>
                <c:pt idx="127" formatCode="0.000">
                  <c:v>2.681026623669982</c:v>
                </c:pt>
                <c:pt idx="128" formatCode="0.000">
                  <c:v>2.808250769200066</c:v>
                </c:pt>
                <c:pt idx="129" formatCode="0.000">
                  <c:v>2.6826257992832949</c:v>
                </c:pt>
                <c:pt idx="130" formatCode="0.000">
                  <c:v>3.2055503382091852</c:v>
                </c:pt>
                <c:pt idx="131" formatCode="0.000">
                  <c:v>2.9495194843017631</c:v>
                </c:pt>
                <c:pt idx="132" formatCode="0.000">
                  <c:v>2.7604955413438126</c:v>
                </c:pt>
                <c:pt idx="133" formatCode="0.000">
                  <c:v>2.6427783584564284</c:v>
                </c:pt>
                <c:pt idx="134" formatCode="0.000">
                  <c:v>2.797992491013344</c:v>
                </c:pt>
                <c:pt idx="135" formatCode="0.000">
                  <c:v>2.6472350043176198</c:v>
                </c:pt>
                <c:pt idx="136" formatCode="0.000">
                  <c:v>3.2147947052086621</c:v>
                </c:pt>
                <c:pt idx="137" formatCode="0.000">
                  <c:v>2.9404288895585302</c:v>
                </c:pt>
                <c:pt idx="138" formatCode="0.000">
                  <c:v>2.7414748912332292</c:v>
                </c:pt>
                <c:pt idx="139" formatCode="0.000">
                  <c:v>3.1592730516361818</c:v>
                </c:pt>
                <c:pt idx="140" formatCode="0.000">
                  <c:v>2.7761663033140755</c:v>
                </c:pt>
                <c:pt idx="141" formatCode="0.000">
                  <c:v>2.6114703853027499</c:v>
                </c:pt>
                <c:pt idx="142" formatCode="0.000">
                  <c:v>3.179992455767962</c:v>
                </c:pt>
                <c:pt idx="143" formatCode="0.000">
                  <c:v>2.9189530186407686</c:v>
                </c:pt>
                <c:pt idx="144" formatCode="0.000">
                  <c:v>3.1414814440322778</c:v>
                </c:pt>
                <c:pt idx="145" formatCode="0.000">
                  <c:v>2.7505693677426968</c:v>
                </c:pt>
                <c:pt idx="146" formatCode="0.000">
                  <c:v>2.5763358193055388</c:v>
                </c:pt>
                <c:pt idx="147" formatCode="0.000">
                  <c:v>3.1485337677375855</c:v>
                </c:pt>
                <c:pt idx="148" formatCode="0.000">
                  <c:v>2.8968487199818074</c:v>
                </c:pt>
                <c:pt idx="149" formatCode="0.000">
                  <c:v>3.1183401297129616</c:v>
                </c:pt>
                <c:pt idx="150" formatCode="0.000">
                  <c:v>2.539699628031872</c:v>
                </c:pt>
                <c:pt idx="151" formatCode="0.000">
                  <c:v>3.1297229280280372</c:v>
                </c:pt>
                <c:pt idx="152" formatCode="0.000">
                  <c:v>2.8724953411213714</c:v>
                </c:pt>
                <c:pt idx="153" formatCode="0.000">
                  <c:v>3.0934155743392249</c:v>
                </c:pt>
                <c:pt idx="154" formatCode="0.000">
                  <c:v>2.5019202734430688</c:v>
                </c:pt>
                <c:pt idx="155" formatCode="0.000">
                  <c:v>3.1196341775812395</c:v>
                </c:pt>
                <c:pt idx="156" formatCode="0.000">
                  <c:v>2.8491184455944807</c:v>
                </c:pt>
                <c:pt idx="157" formatCode="0.000">
                  <c:v>3.0679272337360763</c:v>
                </c:pt>
                <c:pt idx="158" formatCode="0.000">
                  <c:v>2.4986572820543489</c:v>
                </c:pt>
                <c:pt idx="159" formatCode="0.000">
                  <c:v>3.0979409376518041</c:v>
                </c:pt>
                <c:pt idx="160" formatCode="0.000">
                  <c:v>3.0416720246773585</c:v>
                </c:pt>
                <c:pt idx="161" formatCode="0.000">
                  <c:v>2.5224521919043883</c:v>
                </c:pt>
                <c:pt idx="162" formatCode="0.000">
                  <c:v>3.0740098576753261</c:v>
                </c:pt>
                <c:pt idx="163" formatCode="0.000">
                  <c:v>3.0159231540970928</c:v>
                </c:pt>
                <c:pt idx="164" formatCode="0.000">
                  <c:v>2.500216203202855</c:v>
                </c:pt>
                <c:pt idx="165" formatCode="0.000">
                  <c:v>2.9912139537621534</c:v>
                </c:pt>
                <c:pt idx="166" formatCode="0.000">
                  <c:v>2.4751452457095353</c:v>
                </c:pt>
                <c:pt idx="167" formatCode="0.000">
                  <c:v>2.9665722295991848</c:v>
                </c:pt>
                <c:pt idx="168" formatCode="0.000">
                  <c:v>2.4447566978348667</c:v>
                </c:pt>
                <c:pt idx="169" formatCode="0.000">
                  <c:v>2.9412587306052838</c:v>
                </c:pt>
                <c:pt idx="170" formatCode="0.000">
                  <c:v>2.4068575104730967</c:v>
                </c:pt>
                <c:pt idx="171" formatCode="0.000">
                  <c:v>2.9136634391078959</c:v>
                </c:pt>
                <c:pt idx="172" formatCode="0.000">
                  <c:v>2.3701082253497936</c:v>
                </c:pt>
                <c:pt idx="173" formatCode="0.000">
                  <c:v>2.3149875728895206</c:v>
                </c:pt>
                <c:pt idx="174" formatCode="0.000">
                  <c:v>2.2296288895585294</c:v>
                </c:pt>
              </c:numCache>
            </c:numRef>
          </c:xVal>
          <c:yVal>
            <c:numRef>
              <c:f>GE_WL!$AI$5:$AI$179</c:f>
              <c:numCache>
                <c:formatCode>0.00</c:formatCode>
                <c:ptCount val="175"/>
                <c:pt idx="1">
                  <c:v>-3.0475094849384914</c:v>
                </c:pt>
                <c:pt idx="2">
                  <c:v>0.91278088154707149</c:v>
                </c:pt>
                <c:pt idx="4">
                  <c:v>1.5919393219069451</c:v>
                </c:pt>
                <c:pt idx="5">
                  <c:v>7.0894300204181242</c:v>
                </c:pt>
                <c:pt idx="6">
                  <c:v>4.0624184451614198E-2</c:v>
                </c:pt>
                <c:pt idx="7">
                  <c:v>0.82934655473984842</c:v>
                </c:pt>
                <c:pt idx="8">
                  <c:v>-1.1655137588408215</c:v>
                </c:pt>
                <c:pt idx="9">
                  <c:v>-7.3000441576529518E-2</c:v>
                </c:pt>
                <c:pt idx="10">
                  <c:v>0.7749831953527373</c:v>
                </c:pt>
                <c:pt idx="12">
                  <c:v>1.058943944663802</c:v>
                </c:pt>
                <c:pt idx="13">
                  <c:v>1.1789106461244563</c:v>
                </c:pt>
                <c:pt idx="14">
                  <c:v>1.6232786163299595</c:v>
                </c:pt>
                <c:pt idx="15">
                  <c:v>0.64233232725065381</c:v>
                </c:pt>
                <c:pt idx="18">
                  <c:v>-8.6892460034803474</c:v>
                </c:pt>
                <c:pt idx="19">
                  <c:v>6.7771202586053292</c:v>
                </c:pt>
                <c:pt idx="20">
                  <c:v>7.9784829979624554</c:v>
                </c:pt>
                <c:pt idx="21">
                  <c:v>-2.7738947480843201</c:v>
                </c:pt>
                <c:pt idx="22">
                  <c:v>4.2742530633112654</c:v>
                </c:pt>
                <c:pt idx="23">
                  <c:v>0.50625285464152303</c:v>
                </c:pt>
                <c:pt idx="24">
                  <c:v>1.1592289323187195</c:v>
                </c:pt>
                <c:pt idx="25">
                  <c:v>1.0750730717676156</c:v>
                </c:pt>
                <c:pt idx="26">
                  <c:v>0.70414640446968635</c:v>
                </c:pt>
                <c:pt idx="27">
                  <c:v>0.52567030106860368</c:v>
                </c:pt>
                <c:pt idx="28">
                  <c:v>0.54089600162749174</c:v>
                </c:pt>
                <c:pt idx="29">
                  <c:v>0.55405076621011196</c:v>
                </c:pt>
                <c:pt idx="30">
                  <c:v>0.88096372110154597</c:v>
                </c:pt>
                <c:pt idx="31">
                  <c:v>0.58902411285490697</c:v>
                </c:pt>
                <c:pt idx="32">
                  <c:v>0.84885438943788749</c:v>
                </c:pt>
                <c:pt idx="33">
                  <c:v>0.68358631585880625</c:v>
                </c:pt>
                <c:pt idx="34">
                  <c:v>0.73742747578617829</c:v>
                </c:pt>
                <c:pt idx="35">
                  <c:v>0.76087563962627303</c:v>
                </c:pt>
                <c:pt idx="36">
                  <c:v>1.2992845975191649</c:v>
                </c:pt>
                <c:pt idx="37">
                  <c:v>0.30439894731696748</c:v>
                </c:pt>
                <c:pt idx="38">
                  <c:v>1.399451157204457</c:v>
                </c:pt>
                <c:pt idx="39">
                  <c:v>0.91284390777321478</c:v>
                </c:pt>
                <c:pt idx="40">
                  <c:v>1.3068606978510799</c:v>
                </c:pt>
                <c:pt idx="41">
                  <c:v>0.91539453249542735</c:v>
                </c:pt>
                <c:pt idx="42">
                  <c:v>1.415770734711995</c:v>
                </c:pt>
                <c:pt idx="43">
                  <c:v>1.0833188185458038</c:v>
                </c:pt>
                <c:pt idx="44">
                  <c:v>1.5434019704100923</c:v>
                </c:pt>
                <c:pt idx="45">
                  <c:v>1.6261073777602995</c:v>
                </c:pt>
                <c:pt idx="46">
                  <c:v>1.7336650977119472</c:v>
                </c:pt>
                <c:pt idx="47">
                  <c:v>1.5688933436242667</c:v>
                </c:pt>
                <c:pt idx="48">
                  <c:v>1.7887421076838685</c:v>
                </c:pt>
                <c:pt idx="49">
                  <c:v>-6.3876311921194677</c:v>
                </c:pt>
                <c:pt idx="50">
                  <c:v>0.72519084492523489</c:v>
                </c:pt>
                <c:pt idx="51">
                  <c:v>0.89616841754780729</c:v>
                </c:pt>
                <c:pt idx="52">
                  <c:v>1.1213600437946742</c:v>
                </c:pt>
                <c:pt idx="53">
                  <c:v>1.3158187002211641</c:v>
                </c:pt>
                <c:pt idx="54">
                  <c:v>1.5417711041648789</c:v>
                </c:pt>
                <c:pt idx="55">
                  <c:v>1.2240004916699454</c:v>
                </c:pt>
                <c:pt idx="56">
                  <c:v>1.5118078168765059</c:v>
                </c:pt>
                <c:pt idx="57">
                  <c:v>1.9693946521314181</c:v>
                </c:pt>
                <c:pt idx="58">
                  <c:v>1.5696777496614087</c:v>
                </c:pt>
                <c:pt idx="59">
                  <c:v>2.2403702987116967</c:v>
                </c:pt>
                <c:pt idx="60">
                  <c:v>1.7403141789377914</c:v>
                </c:pt>
                <c:pt idx="61">
                  <c:v>1.3784950405007756</c:v>
                </c:pt>
                <c:pt idx="62">
                  <c:v>1.7640568089139417</c:v>
                </c:pt>
                <c:pt idx="63">
                  <c:v>1.4801596817324467</c:v>
                </c:pt>
                <c:pt idx="64">
                  <c:v>1.6569906762648505</c:v>
                </c:pt>
                <c:pt idx="65">
                  <c:v>1.4475908850453725</c:v>
                </c:pt>
                <c:pt idx="66">
                  <c:v>1.3393556730952001</c:v>
                </c:pt>
                <c:pt idx="67">
                  <c:v>1.8910806892071095</c:v>
                </c:pt>
                <c:pt idx="68">
                  <c:v>1.7955597399709995</c:v>
                </c:pt>
                <c:pt idx="69">
                  <c:v>2.1155167385857636</c:v>
                </c:pt>
                <c:pt idx="70">
                  <c:v>2.2294272675066482</c:v>
                </c:pt>
                <c:pt idx="71">
                  <c:v>2.1866144412357187</c:v>
                </c:pt>
                <c:pt idx="72">
                  <c:v>2.5634788808385451</c:v>
                </c:pt>
                <c:pt idx="73">
                  <c:v>2.8650014306715588</c:v>
                </c:pt>
                <c:pt idx="74">
                  <c:v>-0.98847688462440475</c:v>
                </c:pt>
                <c:pt idx="75">
                  <c:v>-4.597615342329811</c:v>
                </c:pt>
                <c:pt idx="76">
                  <c:v>1.1461027322692969</c:v>
                </c:pt>
                <c:pt idx="77">
                  <c:v>1.3107660964389327</c:v>
                </c:pt>
                <c:pt idx="78">
                  <c:v>0.93071386435971459</c:v>
                </c:pt>
                <c:pt idx="79">
                  <c:v>1.2231741351618475</c:v>
                </c:pt>
                <c:pt idx="80">
                  <c:v>1.6957201727489404</c:v>
                </c:pt>
                <c:pt idx="81">
                  <c:v>2.529940140609062</c:v>
                </c:pt>
                <c:pt idx="82">
                  <c:v>2.071014398483086</c:v>
                </c:pt>
                <c:pt idx="83">
                  <c:v>2.3595608248919047</c:v>
                </c:pt>
                <c:pt idx="87" formatCode="General">
                  <c:v>7.1124501020068962</c:v>
                </c:pt>
                <c:pt idx="88" formatCode="General">
                  <c:v>-2.7658853434370307</c:v>
                </c:pt>
                <c:pt idx="89" formatCode="General">
                  <c:v>1.0890368485660638</c:v>
                </c:pt>
                <c:pt idx="90" formatCode="General">
                  <c:v>3.3351518713484039</c:v>
                </c:pt>
                <c:pt idx="91" formatCode="General">
                  <c:v>1.6192045711613319</c:v>
                </c:pt>
                <c:pt idx="92" formatCode="General">
                  <c:v>1.6156962261883479</c:v>
                </c:pt>
                <c:pt idx="93" formatCode="General">
                  <c:v>2.4786486742017049</c:v>
                </c:pt>
                <c:pt idx="94" formatCode="General">
                  <c:v>2.820729426962544</c:v>
                </c:pt>
                <c:pt idx="95" formatCode="General">
                  <c:v>1.7914244224558209</c:v>
                </c:pt>
                <c:pt idx="96" formatCode="General">
                  <c:v>0.98402266473139122</c:v>
                </c:pt>
                <c:pt idx="97" formatCode="General">
                  <c:v>1.9122669059671247</c:v>
                </c:pt>
                <c:pt idx="98" formatCode="General">
                  <c:v>1.5340212544321057</c:v>
                </c:pt>
                <c:pt idx="99" formatCode="General">
                  <c:v>-10.797234859066986</c:v>
                </c:pt>
                <c:pt idx="100" formatCode="General">
                  <c:v>2.4579943980309591</c:v>
                </c:pt>
                <c:pt idx="101" formatCode="General">
                  <c:v>3.1596886483942379</c:v>
                </c:pt>
                <c:pt idx="102" formatCode="General">
                  <c:v>2.1681114336818643</c:v>
                </c:pt>
                <c:pt idx="103" formatCode="General">
                  <c:v>1.9248509521759751</c:v>
                </c:pt>
                <c:pt idx="104" formatCode="General">
                  <c:v>2.5517038625251489</c:v>
                </c:pt>
                <c:pt idx="105" formatCode="General">
                  <c:v>2.0103522813567229</c:v>
                </c:pt>
                <c:pt idx="106" formatCode="General">
                  <c:v>0.580328799386439</c:v>
                </c:pt>
                <c:pt idx="109">
                  <c:v>-6.1038436513770584</c:v>
                </c:pt>
                <c:pt idx="111">
                  <c:v>8.7081514829446753</c:v>
                </c:pt>
                <c:pt idx="112">
                  <c:v>-1.2005924491810163</c:v>
                </c:pt>
                <c:pt idx="113">
                  <c:v>-1.2903566235950277</c:v>
                </c:pt>
                <c:pt idx="114">
                  <c:v>-1.256909529426649</c:v>
                </c:pt>
                <c:pt idx="115">
                  <c:v>-1.3455086275803958</c:v>
                </c:pt>
                <c:pt idx="116">
                  <c:v>0.41839054688435162</c:v>
                </c:pt>
                <c:pt idx="117">
                  <c:v>0.39819994192524177</c:v>
                </c:pt>
                <c:pt idx="118">
                  <c:v>-0.1115077677420091</c:v>
                </c:pt>
                <c:pt idx="119">
                  <c:v>-8.9943979492929316E-2</c:v>
                </c:pt>
                <c:pt idx="120">
                  <c:v>0.18924768096589073</c:v>
                </c:pt>
                <c:pt idx="121">
                  <c:v>0.63153638159846492</c:v>
                </c:pt>
                <c:pt idx="123">
                  <c:v>-1.3680144254648865</c:v>
                </c:pt>
                <c:pt idx="124">
                  <c:v>-1.2104046493505392</c:v>
                </c:pt>
                <c:pt idx="125">
                  <c:v>-0.88937211276340511</c:v>
                </c:pt>
                <c:pt idx="126">
                  <c:v>-1.1686428406674434</c:v>
                </c:pt>
                <c:pt idx="127">
                  <c:v>0.70398147285115398</c:v>
                </c:pt>
                <c:pt idx="128">
                  <c:v>1.1754038743129986</c:v>
                </c:pt>
                <c:pt idx="129">
                  <c:v>0.94155290821139204</c:v>
                </c:pt>
                <c:pt idx="130">
                  <c:v>2.0995878358815263</c:v>
                </c:pt>
                <c:pt idx="131">
                  <c:v>-0.53587281932828912</c:v>
                </c:pt>
                <c:pt idx="132">
                  <c:v>-1.0361936377015302</c:v>
                </c:pt>
                <c:pt idx="134">
                  <c:v>0.37484086430000274</c:v>
                </c:pt>
                <c:pt idx="135">
                  <c:v>1.1261992430409951</c:v>
                </c:pt>
                <c:pt idx="136">
                  <c:v>0.54195406509585409</c:v>
                </c:pt>
                <c:pt idx="137">
                  <c:v>-1.0553182171193645</c:v>
                </c:pt>
                <c:pt idx="138">
                  <c:v>-0.83841064212432936</c:v>
                </c:pt>
                <c:pt idx="139">
                  <c:v>-1.3860916966695789</c:v>
                </c:pt>
                <c:pt idx="140">
                  <c:v>4.3422390507913633E-2</c:v>
                </c:pt>
                <c:pt idx="141">
                  <c:v>0.89764269989083001</c:v>
                </c:pt>
                <c:pt idx="142">
                  <c:v>-0.81316758730067118</c:v>
                </c:pt>
                <c:pt idx="143">
                  <c:v>-1.4934827979861893</c:v>
                </c:pt>
                <c:pt idx="144">
                  <c:v>-0.80755960410805105</c:v>
                </c:pt>
                <c:pt idx="145">
                  <c:v>-0.51649129679547023</c:v>
                </c:pt>
                <c:pt idx="146">
                  <c:v>1.1287018854340647</c:v>
                </c:pt>
                <c:pt idx="147">
                  <c:v>-1.8394531847439834</c:v>
                </c:pt>
                <c:pt idx="148">
                  <c:v>-0.54631381358665632</c:v>
                </c:pt>
                <c:pt idx="149">
                  <c:v>-0.3798904867642765</c:v>
                </c:pt>
                <c:pt idx="150">
                  <c:v>1.1547139143188097</c:v>
                </c:pt>
                <c:pt idx="151">
                  <c:v>-2.4695976845197039</c:v>
                </c:pt>
                <c:pt idx="152">
                  <c:v>-0.80884284270011353</c:v>
                </c:pt>
                <c:pt idx="153">
                  <c:v>-9.5686504933702565E-2</c:v>
                </c:pt>
                <c:pt idx="154">
                  <c:v>-2.2781676565297966</c:v>
                </c:pt>
                <c:pt idx="155">
                  <c:v>-1.0651381288299109</c:v>
                </c:pt>
                <c:pt idx="156">
                  <c:v>-0.56831329959123922</c:v>
                </c:pt>
                <c:pt idx="157">
                  <c:v>-0.31456925909300182</c:v>
                </c:pt>
                <c:pt idx="158">
                  <c:v>-5.0349999742444318</c:v>
                </c:pt>
                <c:pt idx="159">
                  <c:v>-0.59892787746201748</c:v>
                </c:pt>
                <c:pt idx="160">
                  <c:v>-0.3020030762041106</c:v>
                </c:pt>
                <c:pt idx="161">
                  <c:v>-0.49042285873313674</c:v>
                </c:pt>
                <c:pt idx="162">
                  <c:v>-0.18437699289918186</c:v>
                </c:pt>
                <c:pt idx="163">
                  <c:v>-0.55699775531487106</c:v>
                </c:pt>
                <c:pt idx="164">
                  <c:v>-0.26824852694965351</c:v>
                </c:pt>
                <c:pt idx="165">
                  <c:v>-0.58996450647456555</c:v>
                </c:pt>
                <c:pt idx="166">
                  <c:v>0.2357336890413686</c:v>
                </c:pt>
                <c:pt idx="167">
                  <c:v>-0.35767398137029938</c:v>
                </c:pt>
                <c:pt idx="168">
                  <c:v>9.6746017342390633E-2</c:v>
                </c:pt>
                <c:pt idx="169">
                  <c:v>-0.45512925890862688</c:v>
                </c:pt>
                <c:pt idx="170">
                  <c:v>1.1696818889693983</c:v>
                </c:pt>
                <c:pt idx="171">
                  <c:v>-0.37774367011921406</c:v>
                </c:pt>
                <c:pt idx="172">
                  <c:v>1.5622743532361145</c:v>
                </c:pt>
                <c:pt idx="173">
                  <c:v>5.262614024707073</c:v>
                </c:pt>
                <c:pt idx="174">
                  <c:v>6.0837632906680676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9C-564B-84E5-7FB53DE7CD2C}"/>
            </c:ext>
          </c:extLst>
        </c:ser>
        <c:ser>
          <c:idx val="1"/>
          <c:order val="0"/>
          <c:spPr>
            <a:ln w="63500">
              <a:noFill/>
            </a:ln>
            <a:effectLst/>
          </c:spPr>
          <c:marker>
            <c:symbol val="diamond"/>
            <c:size val="15"/>
            <c:spPr>
              <a:solidFill>
                <a:schemeClr val="accent3"/>
              </a:solidFill>
              <a:ln>
                <a:solidFill>
                  <a:schemeClr val="accent1"/>
                </a:solidFill>
              </a:ln>
              <a:effectLst/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50366325586113303"/>
                  <c:y val="-0.19357262719209301"/>
                </c:manualLayout>
              </c:layout>
              <c:tx>
                <c:rich>
                  <a:bodyPr/>
                  <a:lstStyle/>
                  <a:p>
                    <a:pPr>
                      <a:defRPr sz="1600"/>
                    </a:pPr>
                    <a:r>
                      <a:rPr lang="en-US" sz="1600" baseline="0"/>
                      <a:t>y = 0.9x - 0.7
R² = 0.33</a:t>
                    </a:r>
                    <a:endParaRPr lang="en-US" sz="16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solidFill>
                    <a:srgbClr val="000000"/>
                  </a:solidFill>
                </a:ln>
              </c:spPr>
            </c:trendlineLbl>
          </c:trendline>
          <c:xVal>
            <c:numRef>
              <c:f>GE_WL!$AH$180:$AH$441</c:f>
              <c:numCache>
                <c:formatCode>0.0000</c:formatCode>
                <c:ptCount val="262"/>
                <c:pt idx="0">
                  <c:v>3.0868947052086626</c:v>
                </c:pt>
                <c:pt idx="1">
                  <c:v>2.6960524038752909</c:v>
                </c:pt>
                <c:pt idx="2">
                  <c:v>2.6246802121516297</c:v>
                </c:pt>
                <c:pt idx="3">
                  <c:v>2.6013288895585291</c:v>
                </c:pt>
                <c:pt idx="4">
                  <c:v>2.3232748912332295</c:v>
                </c:pt>
                <c:pt idx="5">
                  <c:v>2.2556730516361818</c:v>
                </c:pt>
                <c:pt idx="6">
                  <c:v>1.5979663033140761</c:v>
                </c:pt>
                <c:pt idx="7">
                  <c:v>1.4483703853027508</c:v>
                </c:pt>
                <c:pt idx="8">
                  <c:v>3.0421924557679625</c:v>
                </c:pt>
                <c:pt idx="9">
                  <c:v>2.56585301864077</c:v>
                </c:pt>
                <c:pt idx="10">
                  <c:v>2.2819939113679717</c:v>
                </c:pt>
                <c:pt idx="11">
                  <c:v>2.2130814440322788</c:v>
                </c:pt>
                <c:pt idx="12">
                  <c:v>1.567169367742697</c:v>
                </c:pt>
                <c:pt idx="13">
                  <c:v>1.4215358193055381</c:v>
                </c:pt>
                <c:pt idx="14">
                  <c:v>2.9996337677375871</c:v>
                </c:pt>
                <c:pt idx="15">
                  <c:v>2.531948719981806</c:v>
                </c:pt>
                <c:pt idx="16">
                  <c:v>2.2373266236699831</c:v>
                </c:pt>
                <c:pt idx="17">
                  <c:v>2.1686401297129607</c:v>
                </c:pt>
                <c:pt idx="18">
                  <c:v>1.5350550443621054</c:v>
                </c:pt>
                <c:pt idx="19">
                  <c:v>1.394499628031872</c:v>
                </c:pt>
                <c:pt idx="20">
                  <c:v>2.9609229280280371</c:v>
                </c:pt>
                <c:pt idx="21">
                  <c:v>2.4993953411213714</c:v>
                </c:pt>
                <c:pt idx="22">
                  <c:v>2.1246155743392241</c:v>
                </c:pt>
                <c:pt idx="23">
                  <c:v>1.5037257992832953</c:v>
                </c:pt>
                <c:pt idx="24">
                  <c:v>1.3708202734430697</c:v>
                </c:pt>
                <c:pt idx="25">
                  <c:v>2.9154341775812385</c:v>
                </c:pt>
                <c:pt idx="26">
                  <c:v>2.4632184455944803</c:v>
                </c:pt>
                <c:pt idx="27">
                  <c:v>2.0702272337360754</c:v>
                </c:pt>
                <c:pt idx="28">
                  <c:v>1.3670572820543492</c:v>
                </c:pt>
                <c:pt idx="29">
                  <c:v>2.8776409376518033</c:v>
                </c:pt>
                <c:pt idx="30">
                  <c:v>2.4248004524185611</c:v>
                </c:pt>
                <c:pt idx="31">
                  <c:v>2.0150720246773575</c:v>
                </c:pt>
                <c:pt idx="32">
                  <c:v>1.3745521919043875</c:v>
                </c:pt>
                <c:pt idx="33">
                  <c:v>2.8401098576753268</c:v>
                </c:pt>
                <c:pt idx="34">
                  <c:v>2.3878161938040869</c:v>
                </c:pt>
                <c:pt idx="35">
                  <c:v>1.9673231540970932</c:v>
                </c:pt>
                <c:pt idx="36">
                  <c:v>1.3461162032028562</c:v>
                </c:pt>
                <c:pt idx="37">
                  <c:v>2.7989624191981517</c:v>
                </c:pt>
                <c:pt idx="38">
                  <c:v>1.919013953762152</c:v>
                </c:pt>
                <c:pt idx="39">
                  <c:v>1.3168452457095339</c:v>
                </c:pt>
                <c:pt idx="40">
                  <c:v>2.7607329762465871</c:v>
                </c:pt>
                <c:pt idx="41">
                  <c:v>1.8739722295991847</c:v>
                </c:pt>
                <c:pt idx="42">
                  <c:v>1.2877566978348676</c:v>
                </c:pt>
                <c:pt idx="43">
                  <c:v>1.8367587306052831</c:v>
                </c:pt>
                <c:pt idx="44">
                  <c:v>1.2599575104730953</c:v>
                </c:pt>
                <c:pt idx="45">
                  <c:v>1.7994634391078965</c:v>
                </c:pt>
                <c:pt idx="46">
                  <c:v>1.2310082253497936</c:v>
                </c:pt>
                <c:pt idx="47">
                  <c:v>1.7632726488416055</c:v>
                </c:pt>
                <c:pt idx="48">
                  <c:v>1.2057875728895202</c:v>
                </c:pt>
                <c:pt idx="49">
                  <c:v>1.7149452480592271</c:v>
                </c:pt>
                <c:pt idx="50">
                  <c:v>1.1813288895585292</c:v>
                </c:pt>
                <c:pt idx="51">
                  <c:v>1.1558933107006486</c:v>
                </c:pt>
                <c:pt idx="52">
                  <c:v>1.1294738854216377</c:v>
                </c:pt>
                <c:pt idx="53">
                  <c:v>1.1028156048852229</c:v>
                </c:pt>
                <c:pt idx="54">
                  <c:v>1.0784434202106383</c:v>
                </c:pt>
                <c:pt idx="55">
                  <c:v>1.0514010906809603</c:v>
                </c:pt>
                <c:pt idx="56">
                  <c:v>1.0209965847504816</c:v>
                </c:pt>
                <c:pt idx="57">
                  <c:v>0.99228676730036958</c:v>
                </c:pt>
                <c:pt idx="58">
                  <c:v>0.96585404559959065</c:v>
                </c:pt>
                <c:pt idx="59">
                  <c:v>0.94686099884352315</c:v>
                </c:pt>
                <c:pt idx="60">
                  <c:v>0.92725057132731747</c:v>
                </c:pt>
                <c:pt idx="61">
                  <c:v>0.90683318586779882</c:v>
                </c:pt>
                <c:pt idx="62">
                  <c:v>0.88597981170674578</c:v>
                </c:pt>
                <c:pt idx="63">
                  <c:v>0.85625384067776678</c:v>
                </c:pt>
                <c:pt idx="64">
                  <c:v>0.82819800980449421</c:v>
                </c:pt>
                <c:pt idx="65">
                  <c:v>0.79448532579851039</c:v>
                </c:pt>
                <c:pt idx="66">
                  <c:v>0.76523991774205824</c:v>
                </c:pt>
                <c:pt idx="67">
                  <c:v>0.74332233440979012</c:v>
                </c:pt>
                <c:pt idx="68">
                  <c:v>0.72644667781262529</c:v>
                </c:pt>
                <c:pt idx="69">
                  <c:v>0.72156631271284555</c:v>
                </c:pt>
                <c:pt idx="70">
                  <c:v>0.70435056662793416</c:v>
                </c:pt>
                <c:pt idx="71">
                  <c:v>0.681747092355661</c:v>
                </c:pt>
                <c:pt idx="72">
                  <c:v>0.65773114369861618</c:v>
                </c:pt>
                <c:pt idx="73">
                  <c:v>0.61232889425791415</c:v>
                </c:pt>
                <c:pt idx="74" formatCode="0.000">
                  <c:v>2.3935933107006484</c:v>
                </c:pt>
                <c:pt idx="75" formatCode="0.000">
                  <c:v>2.3505738854216389</c:v>
                </c:pt>
                <c:pt idx="76" formatCode="0.000">
                  <c:v>2.3118156048852239</c:v>
                </c:pt>
                <c:pt idx="77" formatCode="0.000">
                  <c:v>2.2767434202106376</c:v>
                </c:pt>
                <c:pt idx="78" formatCode="0.000">
                  <c:v>2.2421010906809613</c:v>
                </c:pt>
                <c:pt idx="79" formatCode="0.000">
                  <c:v>2.2058965847504819</c:v>
                </c:pt>
                <c:pt idx="80" formatCode="0.000">
                  <c:v>2.1696867673003695</c:v>
                </c:pt>
                <c:pt idx="81" formatCode="0.000">
                  <c:v>2.1281540455995902</c:v>
                </c:pt>
                <c:pt idx="82" formatCode="0.000">
                  <c:v>2.0889609988435236</c:v>
                </c:pt>
                <c:pt idx="83" formatCode="0.000">
                  <c:v>2.0485505713273184</c:v>
                </c:pt>
                <c:pt idx="84" formatCode="0.000">
                  <c:v>2.0045331858677997</c:v>
                </c:pt>
                <c:pt idx="85" formatCode="0.000">
                  <c:v>1.9808798117067459</c:v>
                </c:pt>
                <c:pt idx="86" formatCode="0.000">
                  <c:v>1.9578538406777672</c:v>
                </c:pt>
                <c:pt idx="87" formatCode="0.000">
                  <c:v>1.9360980098044942</c:v>
                </c:pt>
                <c:pt idx="88" formatCode="0.000">
                  <c:v>1.9113853257985107</c:v>
                </c:pt>
                <c:pt idx="89" formatCode="0.000">
                  <c:v>1.887739917742058</c:v>
                </c:pt>
                <c:pt idx="90" formatCode="0.000">
                  <c:v>1.8694223344097904</c:v>
                </c:pt>
                <c:pt idx="91" formatCode="0.000">
                  <c:v>1.6491466778126254</c:v>
                </c:pt>
                <c:pt idx="92" formatCode="0.000">
                  <c:v>1.8071663127128443</c:v>
                </c:pt>
                <c:pt idx="93" formatCode="0.000">
                  <c:v>1.8004505666279333</c:v>
                </c:pt>
                <c:pt idx="94" formatCode="0.000">
                  <c:v>1.7729470923556627</c:v>
                </c:pt>
                <c:pt idx="95" formatCode="0.000">
                  <c:v>1.1646311436986172</c:v>
                </c:pt>
                <c:pt idx="96" formatCode="0.000">
                  <c:v>1.1184288942579135</c:v>
                </c:pt>
                <c:pt idx="97" formatCode="0.000">
                  <c:v>4.0705503382091868</c:v>
                </c:pt>
                <c:pt idx="98" formatCode="0.000">
                  <c:v>3.4445194843017637</c:v>
                </c:pt>
                <c:pt idx="99" formatCode="0.000">
                  <c:v>3.1516955413438135</c:v>
                </c:pt>
                <c:pt idx="100" formatCode="0.000">
                  <c:v>3.0008783584564283</c:v>
                </c:pt>
                <c:pt idx="101" formatCode="0.000">
                  <c:v>3.2615924910133449</c:v>
                </c:pt>
                <c:pt idx="102" formatCode="0.000">
                  <c:v>3.0964350043176188</c:v>
                </c:pt>
                <c:pt idx="103" formatCode="0.000">
                  <c:v>4.0373947052086629</c:v>
                </c:pt>
                <c:pt idx="104" formatCode="0.000">
                  <c:v>3.42052888955853</c:v>
                </c:pt>
                <c:pt idx="105" formatCode="0.000">
                  <c:v>3.1205748912332298</c:v>
                </c:pt>
                <c:pt idx="106" formatCode="0.000">
                  <c:v>3.7856730516361816</c:v>
                </c:pt>
                <c:pt idx="107" formatCode="0.000">
                  <c:v>3.2337663033140762</c:v>
                </c:pt>
                <c:pt idx="108" formatCode="0.000">
                  <c:v>3.0696703853027509</c:v>
                </c:pt>
                <c:pt idx="109" formatCode="0.000">
                  <c:v>3.9870924557679617</c:v>
                </c:pt>
                <c:pt idx="110" formatCode="0.000">
                  <c:v>3.3864530186407693</c:v>
                </c:pt>
                <c:pt idx="111" formatCode="0.000">
                  <c:v>3.7786814440322791</c:v>
                </c:pt>
                <c:pt idx="112" formatCode="0.000">
                  <c:v>3.2027693677426976</c:v>
                </c:pt>
                <c:pt idx="113" formatCode="0.000">
                  <c:v>3.0310358193055391</c:v>
                </c:pt>
                <c:pt idx="114" formatCode="0.000">
                  <c:v>3.9363337677375876</c:v>
                </c:pt>
                <c:pt idx="115" formatCode="0.000">
                  <c:v>3.3481487199818067</c:v>
                </c:pt>
                <c:pt idx="116" formatCode="0.000">
                  <c:v>3.7410401297129612</c:v>
                </c:pt>
                <c:pt idx="117" formatCode="0.000">
                  <c:v>2.9960996280318719</c:v>
                </c:pt>
                <c:pt idx="118" formatCode="0.000">
                  <c:v>3.8828229280280384</c:v>
                </c:pt>
                <c:pt idx="119" formatCode="0.000">
                  <c:v>3.3074953411213714</c:v>
                </c:pt>
                <c:pt idx="120" formatCode="0.000">
                  <c:v>3.7009155743392244</c:v>
                </c:pt>
                <c:pt idx="121" formatCode="0.000">
                  <c:v>2.9535202734430692</c:v>
                </c:pt>
                <c:pt idx="122" formatCode="0.000">
                  <c:v>3.8284341775812392</c:v>
                </c:pt>
                <c:pt idx="123" formatCode="0.000">
                  <c:v>3.2686184455944813</c:v>
                </c:pt>
                <c:pt idx="124" formatCode="0.000">
                  <c:v>3.660127233736076</c:v>
                </c:pt>
                <c:pt idx="125" formatCode="0.000">
                  <c:v>2.9459572820543505</c:v>
                </c:pt>
                <c:pt idx="126" formatCode="0.000">
                  <c:v>3.7887409376518049</c:v>
                </c:pt>
                <c:pt idx="127" formatCode="0.000">
                  <c:v>3.6221720246773588</c:v>
                </c:pt>
                <c:pt idx="128" formatCode="0.000">
                  <c:v>2.9589521919043884</c:v>
                </c:pt>
                <c:pt idx="129" formatCode="0.000">
                  <c:v>3.7360098576753265</c:v>
                </c:pt>
                <c:pt idx="130" formatCode="0.000">
                  <c:v>3.5806231540970943</c:v>
                </c:pt>
                <c:pt idx="131" formatCode="0.000">
                  <c:v>2.9403162032028556</c:v>
                </c:pt>
                <c:pt idx="132" formatCode="0.000">
                  <c:v>3.5398139537621534</c:v>
                </c:pt>
                <c:pt idx="133" formatCode="0.000">
                  <c:v>2.9093452457095355</c:v>
                </c:pt>
                <c:pt idx="134" formatCode="0.000">
                  <c:v>3.5004722295991852</c:v>
                </c:pt>
                <c:pt idx="135" formatCode="0.000">
                  <c:v>2.8816566978348677</c:v>
                </c:pt>
                <c:pt idx="136" formatCode="0.000">
                  <c:v>3.4643587306052828</c:v>
                </c:pt>
                <c:pt idx="137" formatCode="0.000">
                  <c:v>2.8446575104730956</c:v>
                </c:pt>
                <c:pt idx="138" formatCode="0.000">
                  <c:v>3.4180634391078977</c:v>
                </c:pt>
                <c:pt idx="139" formatCode="0.000">
                  <c:v>2.8065082253497939</c:v>
                </c:pt>
                <c:pt idx="140" formatCode="0.000">
                  <c:v>2.7656875728895214</c:v>
                </c:pt>
                <c:pt idx="141" formatCode="0.000">
                  <c:v>2.7222288895585303</c:v>
                </c:pt>
                <c:pt idx="142" formatCode="0.000">
                  <c:v>2.677693310700648</c:v>
                </c:pt>
                <c:pt idx="143" formatCode="0.000">
                  <c:v>2.6445738854216385</c:v>
                </c:pt>
                <c:pt idx="144" formatCode="0.000">
                  <c:v>2.6126156048852236</c:v>
                </c:pt>
                <c:pt idx="145" formatCode="0.000">
                  <c:v>2.5780434202106379</c:v>
                </c:pt>
                <c:pt idx="146" formatCode="0.000">
                  <c:v>2.5453010906809608</c:v>
                </c:pt>
                <c:pt idx="147" formatCode="0.000">
                  <c:v>2.5081965847504817</c:v>
                </c:pt>
                <c:pt idx="148" formatCode="0.000">
                  <c:v>2.4690867673003689</c:v>
                </c:pt>
                <c:pt idx="149" formatCode="0.000">
                  <c:v>2.4298540455995914</c:v>
                </c:pt>
                <c:pt idx="150" formatCode="0.000">
                  <c:v>2.3931609988435225</c:v>
                </c:pt>
                <c:pt idx="151" formatCode="0.000">
                  <c:v>2.3502505713273179</c:v>
                </c:pt>
                <c:pt idx="152" formatCode="0.000">
                  <c:v>2.3023331858677993</c:v>
                </c:pt>
                <c:pt idx="153" formatCode="0.000">
                  <c:v>2.2695798117067456</c:v>
                </c:pt>
                <c:pt idx="154" formatCode="0.000">
                  <c:v>2.2397538406777668</c:v>
                </c:pt>
                <c:pt idx="155" formatCode="0.000">
                  <c:v>2.2115980098044945</c:v>
                </c:pt>
                <c:pt idx="156" formatCode="0.000">
                  <c:v>2.1831853257985108</c:v>
                </c:pt>
                <c:pt idx="157" formatCode="0.000">
                  <c:v>2.1525399177420583</c:v>
                </c:pt>
                <c:pt idx="158" formatCode="0.000">
                  <c:v>2.1216223344097918</c:v>
                </c:pt>
                <c:pt idx="159" formatCode="0.000">
                  <c:v>2.0977466778126255</c:v>
                </c:pt>
                <c:pt idx="160" formatCode="0.000">
                  <c:v>2.0814663127128457</c:v>
                </c:pt>
                <c:pt idx="161" formatCode="0.000">
                  <c:v>2.055550566627935</c:v>
                </c:pt>
                <c:pt idx="162" formatCode="0.000">
                  <c:v>2.0289470923556623</c:v>
                </c:pt>
                <c:pt idx="163" formatCode="0.000">
                  <c:v>2.0001311436986162</c:v>
                </c:pt>
                <c:pt idx="164" formatCode="0.000">
                  <c:v>1.9718288942579132</c:v>
                </c:pt>
                <c:pt idx="165" formatCode="0.000">
                  <c:v>1.94464341316156</c:v>
                </c:pt>
                <c:pt idx="166" formatCode="0.000">
                  <c:v>1.9197092617073845</c:v>
                </c:pt>
                <c:pt idx="167" formatCode="0.000">
                  <c:v>1.8912460747956057</c:v>
                </c:pt>
                <c:pt idx="168" formatCode="0.000">
                  <c:v>1.8654438253549059</c:v>
                </c:pt>
                <c:pt idx="169" formatCode="0.000">
                  <c:v>1.8430272572329993</c:v>
                </c:pt>
                <c:pt idx="170" formatCode="0.000">
                  <c:v>1.8197387187570999</c:v>
                </c:pt>
                <c:pt idx="171" formatCode="0.000">
                  <c:v>1.7965307456034256</c:v>
                </c:pt>
                <c:pt idx="172" formatCode="0.000">
                  <c:v>1.7742712355360541</c:v>
                </c:pt>
                <c:pt idx="173" formatCode="0.000">
                  <c:v>1.7503448476143439</c:v>
                </c:pt>
                <c:pt idx="174" formatCode="0.000">
                  <c:v>1.7278583466082462</c:v>
                </c:pt>
                <c:pt idx="175" formatCode="0.000">
                  <c:v>1.7063139702099981</c:v>
                </c:pt>
                <c:pt idx="176" formatCode="0.000">
                  <c:v>1.6838859452633741</c:v>
                </c:pt>
                <c:pt idx="177" formatCode="0.000">
                  <c:v>1.6634575198718646</c:v>
                </c:pt>
                <c:pt idx="178" formatCode="0.000">
                  <c:v>1.6420783796036555</c:v>
                </c:pt>
                <c:pt idx="179" formatCode="0.000">
                  <c:v>1.6201814463819708</c:v>
                </c:pt>
                <c:pt idx="180" formatCode="0.000">
                  <c:v>1.5991260277020405</c:v>
                </c:pt>
                <c:pt idx="181" formatCode="0.000">
                  <c:v>1.5776430056676023</c:v>
                </c:pt>
                <c:pt idx="182" formatCode="0.000">
                  <c:v>1.5563562973899845</c:v>
                </c:pt>
                <c:pt idx="183" formatCode="0.000">
                  <c:v>1.5351661054413257</c:v>
                </c:pt>
                <c:pt idx="184" formatCode="0.000">
                  <c:v>1.5152657026467513</c:v>
                </c:pt>
                <c:pt idx="185" formatCode="0.000">
                  <c:v>1.4951765329575299</c:v>
                </c:pt>
                <c:pt idx="186" formatCode="0.000">
                  <c:v>1.4721573055512711</c:v>
                </c:pt>
                <c:pt idx="187" formatCode="0.000">
                  <c:v>1.4525552539833169</c:v>
                </c:pt>
                <c:pt idx="188" formatCode="0.000">
                  <c:v>1.4321198800472623</c:v>
                </c:pt>
                <c:pt idx="189" formatCode="0.000">
                  <c:v>1.4101740691962346</c:v>
                </c:pt>
                <c:pt idx="190" formatCode="0.000">
                  <c:v>1.3890292876537189</c:v>
                </c:pt>
                <c:pt idx="191" formatCode="0.000">
                  <c:v>1.3675225346322315</c:v>
                </c:pt>
                <c:pt idx="192" formatCode="0.000">
                  <c:v>1.3459656861989058</c:v>
                </c:pt>
                <c:pt idx="193" formatCode="0.000">
                  <c:v>1.3257501426861293</c:v>
                </c:pt>
                <c:pt idx="194" formatCode="0.000">
                  <c:v>1.3051910354133338</c:v>
                </c:pt>
                <c:pt idx="195" formatCode="0.000">
                  <c:v>1.2847067908970122</c:v>
                </c:pt>
                <c:pt idx="196" formatCode="0.000">
                  <c:v>1.2617270452620954</c:v>
                </c:pt>
                <c:pt idx="197" formatCode="0.000">
                  <c:v>1.2418932989521871</c:v>
                </c:pt>
                <c:pt idx="198" formatCode="0.000">
                  <c:v>1.2223783631558125</c:v>
                </c:pt>
                <c:pt idx="199" formatCode="0.000">
                  <c:v>1.2017894124865713</c:v>
                </c:pt>
                <c:pt idx="200" formatCode="0.000">
                  <c:v>1.1800295043240081</c:v>
                </c:pt>
                <c:pt idx="201" formatCode="0.000">
                  <c:v>1.1658444354209991</c:v>
                </c:pt>
                <c:pt idx="202" formatCode="0.000">
                  <c:v>2.1447933107006487</c:v>
                </c:pt>
                <c:pt idx="203" formatCode="0.000">
                  <c:v>2.076373885421638</c:v>
                </c:pt>
                <c:pt idx="204" formatCode="0.000">
                  <c:v>2.0227156048852222</c:v>
                </c:pt>
                <c:pt idx="205" formatCode="0.000">
                  <c:v>1.9766434202106367</c:v>
                </c:pt>
                <c:pt idx="206" formatCode="0.000">
                  <c:v>1.9459010906809602</c:v>
                </c:pt>
                <c:pt idx="207" formatCode="0.000">
                  <c:v>1.9260965847504816</c:v>
                </c:pt>
                <c:pt idx="208" formatCode="0.000">
                  <c:v>1.9073867673003693</c:v>
                </c:pt>
                <c:pt idx="209" formatCode="0.000">
                  <c:v>1.8889540455995912</c:v>
                </c:pt>
                <c:pt idx="210" formatCode="0.000">
                  <c:v>1.8552609988435225</c:v>
                </c:pt>
                <c:pt idx="211" formatCode="0.000">
                  <c:v>1.8162505713273176</c:v>
                </c:pt>
                <c:pt idx="212" formatCode="0.000">
                  <c:v>1.7785331858677984</c:v>
                </c:pt>
                <c:pt idx="213" formatCode="0.000">
                  <c:v>1.744879811706745</c:v>
                </c:pt>
                <c:pt idx="214" formatCode="0.000">
                  <c:v>1.7175538406777657</c:v>
                </c:pt>
                <c:pt idx="215" formatCode="0.000">
                  <c:v>1.6927980098044944</c:v>
                </c:pt>
                <c:pt idx="216" formatCode="0.000">
                  <c:v>1.6738853257985116</c:v>
                </c:pt>
                <c:pt idx="217" formatCode="0.000">
                  <c:v>1.6540399177420588</c:v>
                </c:pt>
                <c:pt idx="218" formatCode="0.000">
                  <c:v>1.6342223344097913</c:v>
                </c:pt>
                <c:pt idx="219" formatCode="0.000">
                  <c:v>1.6170466778126253</c:v>
                </c:pt>
                <c:pt idx="220" formatCode="0.000">
                  <c:v>1.6136663127128439</c:v>
                </c:pt>
                <c:pt idx="221" formatCode="0.000">
                  <c:v>1.5972505666279342</c:v>
                </c:pt>
                <c:pt idx="222" formatCode="0.000">
                  <c:v>1.5800470923556609</c:v>
                </c:pt>
                <c:pt idx="223" formatCode="0.000">
                  <c:v>1.5642311436986165</c:v>
                </c:pt>
                <c:pt idx="224" formatCode="0.000">
                  <c:v>1.5474288942579135</c:v>
                </c:pt>
                <c:pt idx="225" formatCode="0.000">
                  <c:v>1.5286434131615603</c:v>
                </c:pt>
                <c:pt idx="226" formatCode="0.000">
                  <c:v>1.5106092617073847</c:v>
                </c:pt>
                <c:pt idx="227" formatCode="0.000">
                  <c:v>1.4923460747956052</c:v>
                </c:pt>
                <c:pt idx="228" formatCode="0.000">
                  <c:v>1.4737438253549064</c:v>
                </c:pt>
                <c:pt idx="229" formatCode="0.000">
                  <c:v>1.4548272572329988</c:v>
                </c:pt>
                <c:pt idx="230" formatCode="0.000">
                  <c:v>1.434738718757099</c:v>
                </c:pt>
                <c:pt idx="231" formatCode="0.000">
                  <c:v>1.4139307456034245</c:v>
                </c:pt>
                <c:pt idx="232" formatCode="0.000">
                  <c:v>1.3935712355360539</c:v>
                </c:pt>
                <c:pt idx="233" formatCode="0.000">
                  <c:v>1.3718448476143439</c:v>
                </c:pt>
                <c:pt idx="234" formatCode="0.000">
                  <c:v>1.3499583466082465</c:v>
                </c:pt>
                <c:pt idx="235" formatCode="0.000">
                  <c:v>1.3276139702099985</c:v>
                </c:pt>
                <c:pt idx="236" formatCode="0.000">
                  <c:v>1.305385945263374</c:v>
                </c:pt>
                <c:pt idx="237" formatCode="0.000">
                  <c:v>1.2829575198718639</c:v>
                </c:pt>
                <c:pt idx="238" formatCode="0.000">
                  <c:v>1.2593783796036564</c:v>
                </c:pt>
                <c:pt idx="239" formatCode="0.000">
                  <c:v>1.2354814463819692</c:v>
                </c:pt>
                <c:pt idx="240" formatCode="0.000">
                  <c:v>1.2124260277020418</c:v>
                </c:pt>
                <c:pt idx="241" formatCode="0.000">
                  <c:v>1.1877430056676022</c:v>
                </c:pt>
                <c:pt idx="242" formatCode="0.000">
                  <c:v>1.1624562973899848</c:v>
                </c:pt>
                <c:pt idx="243" formatCode="0.000">
                  <c:v>1.1376661054413257</c:v>
                </c:pt>
                <c:pt idx="244" formatCode="0.000">
                  <c:v>1.112165702646752</c:v>
                </c:pt>
                <c:pt idx="245" formatCode="0.000">
                  <c:v>1.08927653295753</c:v>
                </c:pt>
                <c:pt idx="246" formatCode="0.000">
                  <c:v>1.0646573055512696</c:v>
                </c:pt>
                <c:pt idx="247" formatCode="0.000">
                  <c:v>1.0399552539833183</c:v>
                </c:pt>
                <c:pt idx="248" formatCode="0.000">
                  <c:v>1.0165198800472619</c:v>
                </c:pt>
                <c:pt idx="249" formatCode="0.000">
                  <c:v>0.99477406919623368</c:v>
                </c:pt>
                <c:pt idx="250" formatCode="0.000">
                  <c:v>0.97102928765371876</c:v>
                </c:pt>
                <c:pt idx="251" formatCode="0.000">
                  <c:v>0.94512253463223272</c:v>
                </c:pt>
                <c:pt idx="252" formatCode="0.000">
                  <c:v>0.92076568619890642</c:v>
                </c:pt>
                <c:pt idx="253" formatCode="0.000">
                  <c:v>0.89365014268613008</c:v>
                </c:pt>
                <c:pt idx="254" formatCode="0.000">
                  <c:v>0.86809103541333377</c:v>
                </c:pt>
                <c:pt idx="255" formatCode="0.000">
                  <c:v>0.84340679089701309</c:v>
                </c:pt>
                <c:pt idx="256" formatCode="0.000">
                  <c:v>0.81532704526209576</c:v>
                </c:pt>
                <c:pt idx="257" formatCode="0.000">
                  <c:v>0.78949329895218723</c:v>
                </c:pt>
                <c:pt idx="258" formatCode="0.000">
                  <c:v>0.76517836315581134</c:v>
                </c:pt>
                <c:pt idx="259" formatCode="0.000">
                  <c:v>0.74098941248656969</c:v>
                </c:pt>
                <c:pt idx="260" formatCode="0.000">
                  <c:v>0.71552950432400797</c:v>
                </c:pt>
                <c:pt idx="261" formatCode="0.000">
                  <c:v>0.69674443542099906</c:v>
                </c:pt>
              </c:numCache>
            </c:numRef>
          </c:xVal>
          <c:yVal>
            <c:numRef>
              <c:f>GE_WL!$AI$180:$AI$441</c:f>
              <c:numCache>
                <c:formatCode>0.00</c:formatCode>
                <c:ptCount val="262"/>
                <c:pt idx="0">
                  <c:v>1.4154516202041334</c:v>
                </c:pt>
                <c:pt idx="1">
                  <c:v>0.90354307632750341</c:v>
                </c:pt>
                <c:pt idx="2">
                  <c:v>0.70477947891964465</c:v>
                </c:pt>
                <c:pt idx="3">
                  <c:v>0.92837845983527378</c:v>
                </c:pt>
                <c:pt idx="4">
                  <c:v>1.2969365667025636</c:v>
                </c:pt>
                <c:pt idx="5">
                  <c:v>1.5723226922029543</c:v>
                </c:pt>
                <c:pt idx="6">
                  <c:v>0.8999968063649697</c:v>
                </c:pt>
                <c:pt idx="7">
                  <c:v>0.62344630833039139</c:v>
                </c:pt>
                <c:pt idx="8">
                  <c:v>1.2480904203521725</c:v>
                </c:pt>
                <c:pt idx="9">
                  <c:v>0.6839133827870354</c:v>
                </c:pt>
                <c:pt idx="10">
                  <c:v>1.6841106005933897</c:v>
                </c:pt>
                <c:pt idx="11">
                  <c:v>1.7271546831429982</c:v>
                </c:pt>
                <c:pt idx="12">
                  <c:v>1.0554734185815757</c:v>
                </c:pt>
                <c:pt idx="13">
                  <c:v>0.95809129748864352</c:v>
                </c:pt>
                <c:pt idx="14">
                  <c:v>0.9101579654641454</c:v>
                </c:pt>
                <c:pt idx="15">
                  <c:v>0.5740736246635314</c:v>
                </c:pt>
                <c:pt idx="16">
                  <c:v>1.8385673577457906</c:v>
                </c:pt>
                <c:pt idx="17">
                  <c:v>1.9258001675288745</c:v>
                </c:pt>
                <c:pt idx="18">
                  <c:v>0.67966510994523821</c:v>
                </c:pt>
                <c:pt idx="19">
                  <c:v>0.75904884507735049</c:v>
                </c:pt>
                <c:pt idx="20">
                  <c:v>1.6341429045416045</c:v>
                </c:pt>
                <c:pt idx="21">
                  <c:v>0.9615609672864438</c:v>
                </c:pt>
                <c:pt idx="22">
                  <c:v>2.8313129909996566</c:v>
                </c:pt>
                <c:pt idx="23">
                  <c:v>0.23280580405790197</c:v>
                </c:pt>
                <c:pt idx="24">
                  <c:v>-1.3251543685711176</c:v>
                </c:pt>
                <c:pt idx="25">
                  <c:v>0.913093895886675</c:v>
                </c:pt>
                <c:pt idx="26">
                  <c:v>1.2128302897433327</c:v>
                </c:pt>
                <c:pt idx="27">
                  <c:v>2.7853442590257771</c:v>
                </c:pt>
                <c:pt idx="28">
                  <c:v>-2.5770297340586223</c:v>
                </c:pt>
                <c:pt idx="29">
                  <c:v>0.93359198423635403</c:v>
                </c:pt>
                <c:pt idx="30">
                  <c:v>1.0866267822689588</c:v>
                </c:pt>
                <c:pt idx="31">
                  <c:v>1.9248494432963237</c:v>
                </c:pt>
                <c:pt idx="32">
                  <c:v>0.92055386043178222</c:v>
                </c:pt>
                <c:pt idx="33">
                  <c:v>1.2573000756535802</c:v>
                </c:pt>
                <c:pt idx="34">
                  <c:v>1.1469914943837574</c:v>
                </c:pt>
                <c:pt idx="35">
                  <c:v>2.0564767384894242</c:v>
                </c:pt>
                <c:pt idx="36">
                  <c:v>0.87132815394478991</c:v>
                </c:pt>
                <c:pt idx="37">
                  <c:v>0.92911168399625987</c:v>
                </c:pt>
                <c:pt idx="38">
                  <c:v>2.4721938495631433</c:v>
                </c:pt>
                <c:pt idx="39">
                  <c:v>0.89640674203299264</c:v>
                </c:pt>
                <c:pt idx="40">
                  <c:v>0.91881907975527088</c:v>
                </c:pt>
                <c:pt idx="41">
                  <c:v>1.1410251786160979</c:v>
                </c:pt>
                <c:pt idx="42">
                  <c:v>0.70789213415719754</c:v>
                </c:pt>
                <c:pt idx="43">
                  <c:v>1.4178522630184323</c:v>
                </c:pt>
                <c:pt idx="44">
                  <c:v>0.83642274920172532</c:v>
                </c:pt>
                <c:pt idx="45">
                  <c:v>0.80350280149195719</c:v>
                </c:pt>
                <c:pt idx="46">
                  <c:v>0.5959488818825418</c:v>
                </c:pt>
                <c:pt idx="47">
                  <c:v>1.0393431137677616</c:v>
                </c:pt>
                <c:pt idx="48">
                  <c:v>0.56622401522079313</c:v>
                </c:pt>
                <c:pt idx="49">
                  <c:v>1.7035418375885922</c:v>
                </c:pt>
                <c:pt idx="50">
                  <c:v>0.60938117859142316</c:v>
                </c:pt>
                <c:pt idx="51">
                  <c:v>1.1015175688425534</c:v>
                </c:pt>
                <c:pt idx="52">
                  <c:v>0.56947444958647386</c:v>
                </c:pt>
                <c:pt idx="53">
                  <c:v>0.39303599212226015</c:v>
                </c:pt>
                <c:pt idx="54">
                  <c:v>0.5057443635654395</c:v>
                </c:pt>
                <c:pt idx="55">
                  <c:v>1.6355713718672651</c:v>
                </c:pt>
                <c:pt idx="56">
                  <c:v>0.87777292866804757</c:v>
                </c:pt>
                <c:pt idx="57">
                  <c:v>0.76843228316337764</c:v>
                </c:pt>
                <c:pt idx="58">
                  <c:v>0.16242659840085238</c:v>
                </c:pt>
                <c:pt idx="59">
                  <c:v>0.27139643798940738</c:v>
                </c:pt>
                <c:pt idx="60">
                  <c:v>-0.2883326986762702</c:v>
                </c:pt>
                <c:pt idx="61">
                  <c:v>-0.78232290841960905</c:v>
                </c:pt>
                <c:pt idx="62">
                  <c:v>-0.48853298888598173</c:v>
                </c:pt>
                <c:pt idx="63">
                  <c:v>-6.2650090333922215E-3</c:v>
                </c:pt>
                <c:pt idx="64">
                  <c:v>0.25864402271873166</c:v>
                </c:pt>
                <c:pt idx="65">
                  <c:v>0.79932721657620842</c:v>
                </c:pt>
                <c:pt idx="66">
                  <c:v>1.33632</c:v>
                </c:pt>
                <c:pt idx="67">
                  <c:v>0.99173523473489589</c:v>
                </c:pt>
                <c:pt idx="68">
                  <c:v>-4.8186006758389244E-2</c:v>
                </c:pt>
                <c:pt idx="69">
                  <c:v>1.3449600000000002</c:v>
                </c:pt>
                <c:pt idx="70">
                  <c:v>1.3204800000000001</c:v>
                </c:pt>
                <c:pt idx="71">
                  <c:v>0.51407999999999987</c:v>
                </c:pt>
                <c:pt idx="72">
                  <c:v>0.30240000000000045</c:v>
                </c:pt>
                <c:pt idx="74">
                  <c:v>3.2293127129462342</c:v>
                </c:pt>
                <c:pt idx="75">
                  <c:v>2.6349965501658623</c:v>
                </c:pt>
                <c:pt idx="76">
                  <c:v>2.0602434062651653</c:v>
                </c:pt>
                <c:pt idx="77">
                  <c:v>2.8535780423817458</c:v>
                </c:pt>
                <c:pt idx="78">
                  <c:v>2.2215100794748581</c:v>
                </c:pt>
                <c:pt idx="79">
                  <c:v>1.8489628663529076</c:v>
                </c:pt>
                <c:pt idx="80">
                  <c:v>1.6639015834679181</c:v>
                </c:pt>
                <c:pt idx="81">
                  <c:v>3.4811482193524226</c:v>
                </c:pt>
                <c:pt idx="82">
                  <c:v>0.90378747644363466</c:v>
                </c:pt>
                <c:pt idx="83">
                  <c:v>1.5727804140015467</c:v>
                </c:pt>
                <c:pt idx="84">
                  <c:v>0.32688450912724321</c:v>
                </c:pt>
                <c:pt idx="85">
                  <c:v>0.99278997740990227</c:v>
                </c:pt>
                <c:pt idx="86">
                  <c:v>0.50041994278655544</c:v>
                </c:pt>
                <c:pt idx="87">
                  <c:v>0.95706882410562466</c:v>
                </c:pt>
                <c:pt idx="88">
                  <c:v>1.0083357123997592</c:v>
                </c:pt>
                <c:pt idx="89">
                  <c:v>0.49559293197706089</c:v>
                </c:pt>
                <c:pt idx="92">
                  <c:v>-0.60032232136566965</c:v>
                </c:pt>
                <c:pt idx="93">
                  <c:v>1.4961209645573195</c:v>
                </c:pt>
                <c:pt idx="94">
                  <c:v>-0.52110750501723047</c:v>
                </c:pt>
                <c:pt idx="95">
                  <c:v>-0.60700000000001042</c:v>
                </c:pt>
                <c:pt idx="96">
                  <c:v>-0.50699999999999923</c:v>
                </c:pt>
                <c:pt idx="97" formatCode="General">
                  <c:v>7.6576000522258889</c:v>
                </c:pt>
                <c:pt idx="98" formatCode="General">
                  <c:v>2.5114055757523621</c:v>
                </c:pt>
                <c:pt idx="99" formatCode="General">
                  <c:v>2.1670585310559929</c:v>
                </c:pt>
                <c:pt idx="101" formatCode="General">
                  <c:v>1.1842903438868602</c:v>
                </c:pt>
                <c:pt idx="102" formatCode="General">
                  <c:v>0.53204751586813881</c:v>
                </c:pt>
                <c:pt idx="103" formatCode="General">
                  <c:v>3.2727602890206309</c:v>
                </c:pt>
                <c:pt idx="104" formatCode="General">
                  <c:v>1.79241308816195</c:v>
                </c:pt>
                <c:pt idx="105" formatCode="General">
                  <c:v>2.5352211692552666</c:v>
                </c:pt>
                <c:pt idx="106" formatCode="General">
                  <c:v>-1.2559589110109535</c:v>
                </c:pt>
                <c:pt idx="107" formatCode="General">
                  <c:v>0.53413838918235657</c:v>
                </c:pt>
                <c:pt idx="108" formatCode="General">
                  <c:v>1.6332581756374496</c:v>
                </c:pt>
                <c:pt idx="109" formatCode="General">
                  <c:v>3.3176623044260181</c:v>
                </c:pt>
                <c:pt idx="110" formatCode="General">
                  <c:v>2.4099202472238548</c:v>
                </c:pt>
                <c:pt idx="111" formatCode="General">
                  <c:v>1.6215926195515196</c:v>
                </c:pt>
                <c:pt idx="112" formatCode="General">
                  <c:v>1.1272754696107126</c:v>
                </c:pt>
                <c:pt idx="113" formatCode="General">
                  <c:v>1.4194379491099323</c:v>
                </c:pt>
                <c:pt idx="114" formatCode="General">
                  <c:v>3.5923110136285521</c:v>
                </c:pt>
                <c:pt idx="115" formatCode="General">
                  <c:v>2.5849687140150812</c:v>
                </c:pt>
                <c:pt idx="116" formatCode="General">
                  <c:v>2.2671957312482216</c:v>
                </c:pt>
                <c:pt idx="117" formatCode="General">
                  <c:v>2.1596694523603741</c:v>
                </c:pt>
                <c:pt idx="118" formatCode="General">
                  <c:v>4.3428434144931023</c:v>
                </c:pt>
                <c:pt idx="119" formatCode="General">
                  <c:v>2.357247889535663</c:v>
                </c:pt>
                <c:pt idx="120" formatCode="General">
                  <c:v>2.7310272233608659</c:v>
                </c:pt>
                <c:pt idx="121" formatCode="General">
                  <c:v>-1.3943928251726381</c:v>
                </c:pt>
                <c:pt idx="122" formatCode="General">
                  <c:v>2.7474285785189858</c:v>
                </c:pt>
                <c:pt idx="123" formatCode="General">
                  <c:v>2.4177093906381546</c:v>
                </c:pt>
                <c:pt idx="124" formatCode="General">
                  <c:v>2.4868161403737918</c:v>
                </c:pt>
                <c:pt idx="125" formatCode="General">
                  <c:v>-3.5079443078957273</c:v>
                </c:pt>
                <c:pt idx="126" formatCode="General">
                  <c:v>3.9255544551259103</c:v>
                </c:pt>
                <c:pt idx="127" formatCode="General">
                  <c:v>2.5163349535879447</c:v>
                </c:pt>
                <c:pt idx="128" formatCode="General">
                  <c:v>-0.35594380909003265</c:v>
                </c:pt>
                <c:pt idx="129" formatCode="General">
                  <c:v>3.4074644537712255</c:v>
                </c:pt>
                <c:pt idx="130" formatCode="General">
                  <c:v>2.8757220906537446</c:v>
                </c:pt>
                <c:pt idx="131" formatCode="General">
                  <c:v>0.77159145993558065</c:v>
                </c:pt>
                <c:pt idx="132" formatCode="General">
                  <c:v>2.4897078554911189</c:v>
                </c:pt>
                <c:pt idx="133" formatCode="General">
                  <c:v>1.5112910128221571</c:v>
                </c:pt>
                <c:pt idx="134" formatCode="General">
                  <c:v>1.7566663861910565</c:v>
                </c:pt>
                <c:pt idx="135" formatCode="General">
                  <c:v>1.5739227997893952</c:v>
                </c:pt>
                <c:pt idx="136" formatCode="General">
                  <c:v>2.319710623450967</c:v>
                </c:pt>
                <c:pt idx="137" formatCode="General">
                  <c:v>1.6099028971229741</c:v>
                </c:pt>
                <c:pt idx="138" formatCode="General">
                  <c:v>2.3794553762568071</c:v>
                </c:pt>
                <c:pt idx="139" formatCode="General">
                  <c:v>1.7906845772023496</c:v>
                </c:pt>
                <c:pt idx="140" formatCode="General">
                  <c:v>2.0015187029673589</c:v>
                </c:pt>
                <c:pt idx="141" formatCode="General">
                  <c:v>2.9193934360205995</c:v>
                </c:pt>
                <c:pt idx="142" formatCode="General">
                  <c:v>1.5777037055302723</c:v>
                </c:pt>
                <c:pt idx="143" formatCode="General">
                  <c:v>1.4864436727347068</c:v>
                </c:pt>
                <c:pt idx="144" formatCode="General">
                  <c:v>1.4098371767342979</c:v>
                </c:pt>
                <c:pt idx="145" formatCode="General">
                  <c:v>1.4931207691465183</c:v>
                </c:pt>
                <c:pt idx="146" formatCode="General">
                  <c:v>1.1733069915397629</c:v>
                </c:pt>
                <c:pt idx="147" formatCode="General">
                  <c:v>1.3886855674006373</c:v>
                </c:pt>
                <c:pt idx="148" formatCode="General">
                  <c:v>2.0090834447837604</c:v>
                </c:pt>
                <c:pt idx="149" formatCode="General">
                  <c:v>0.97471852729933239</c:v>
                </c:pt>
                <c:pt idx="150" formatCode="General">
                  <c:v>2.0572191929802992</c:v>
                </c:pt>
                <c:pt idx="151" formatCode="General">
                  <c:v>2.294508238372603</c:v>
                </c:pt>
                <c:pt idx="152" formatCode="General">
                  <c:v>0.97535549717860937</c:v>
                </c:pt>
                <c:pt idx="153" formatCode="General">
                  <c:v>0.8130560206943076</c:v>
                </c:pt>
                <c:pt idx="154" formatCode="General">
                  <c:v>0.86026939967923921</c:v>
                </c:pt>
                <c:pt idx="155" formatCode="General">
                  <c:v>1.0946237297955292</c:v>
                </c:pt>
                <c:pt idx="156" formatCode="General">
                  <c:v>1.3589583779788437</c:v>
                </c:pt>
                <c:pt idx="157" formatCode="General">
                  <c:v>1.2228366820038494</c:v>
                </c:pt>
                <c:pt idx="158" formatCode="General">
                  <c:v>0.72839827802081403</c:v>
                </c:pt>
                <c:pt idx="159" formatCode="General">
                  <c:v>5.0879672029718437E-2</c:v>
                </c:pt>
                <c:pt idx="160" formatCode="General">
                  <c:v>1.337378577976011</c:v>
                </c:pt>
                <c:pt idx="161" formatCode="General">
                  <c:v>1.2449419530532713</c:v>
                </c:pt>
                <c:pt idx="162" formatCode="General">
                  <c:v>1.0391201934159273</c:v>
                </c:pt>
                <c:pt idx="163" formatCode="General">
                  <c:v>1.0384080211698601</c:v>
                </c:pt>
                <c:pt idx="164" formatCode="General">
                  <c:v>0.72196983464759823</c:v>
                </c:pt>
                <c:pt idx="165" formatCode="General">
                  <c:v>1.3419423188444295</c:v>
                </c:pt>
                <c:pt idx="166" formatCode="General">
                  <c:v>1.3272920470254472</c:v>
                </c:pt>
                <c:pt idx="167" formatCode="General">
                  <c:v>1.0102926714582252</c:v>
                </c:pt>
                <c:pt idx="168" formatCode="General">
                  <c:v>1.0201309896267592</c:v>
                </c:pt>
                <c:pt idx="169" formatCode="General">
                  <c:v>0.74483004024267152</c:v>
                </c:pt>
                <c:pt idx="170" formatCode="General">
                  <c:v>0.56576661193491162</c:v>
                </c:pt>
                <c:pt idx="171" formatCode="General">
                  <c:v>0.56816344768324645</c:v>
                </c:pt>
                <c:pt idx="172" formatCode="General">
                  <c:v>0.59808424612383937</c:v>
                </c:pt>
                <c:pt idx="173" formatCode="General">
                  <c:v>0.52868427880805724</c:v>
                </c:pt>
                <c:pt idx="174" formatCode="General">
                  <c:v>0.34658347167495518</c:v>
                </c:pt>
                <c:pt idx="175" formatCode="General">
                  <c:v>0.34718426852914019</c:v>
                </c:pt>
                <c:pt idx="176" formatCode="General">
                  <c:v>-0.47807999999999984</c:v>
                </c:pt>
                <c:pt idx="177" formatCode="General">
                  <c:v>-0.15983999999999998</c:v>
                </c:pt>
                <c:pt idx="178" formatCode="General">
                  <c:v>-0.4104000000000001</c:v>
                </c:pt>
                <c:pt idx="179" formatCode="General">
                  <c:v>-0.24191999999999991</c:v>
                </c:pt>
                <c:pt idx="180" formatCode="General">
                  <c:v>-0.23328000000000015</c:v>
                </c:pt>
                <c:pt idx="181" formatCode="General">
                  <c:v>-7.185599999999992E-2</c:v>
                </c:pt>
                <c:pt idx="182" formatCode="General">
                  <c:v>-0.14371199999999984</c:v>
                </c:pt>
                <c:pt idx="183" formatCode="General">
                  <c:v>-6.3072000000000017E-2</c:v>
                </c:pt>
                <c:pt idx="184" formatCode="General">
                  <c:v>5.731200000000003E-2</c:v>
                </c:pt>
                <c:pt idx="185" formatCode="General">
                  <c:v>0.11203200000000013</c:v>
                </c:pt>
                <c:pt idx="186" formatCode="General">
                  <c:v>-0.7128000000000001</c:v>
                </c:pt>
                <c:pt idx="187" formatCode="General">
                  <c:v>-0.66528000000000009</c:v>
                </c:pt>
                <c:pt idx="188" formatCode="General">
                  <c:v>-1.2369599999999998</c:v>
                </c:pt>
                <c:pt idx="189" formatCode="General">
                  <c:v>-1.0411200000000003</c:v>
                </c:pt>
                <c:pt idx="190" formatCode="General">
                  <c:v>-0.87695999999999996</c:v>
                </c:pt>
                <c:pt idx="191" formatCode="General">
                  <c:v>-0.98351999999999995</c:v>
                </c:pt>
                <c:pt idx="192" formatCode="General">
                  <c:v>-1.0526400000000002</c:v>
                </c:pt>
                <c:pt idx="193" formatCode="General">
                  <c:v>-0.98064000000000018</c:v>
                </c:pt>
                <c:pt idx="194" formatCode="General">
                  <c:v>-8.524799999999999E-2</c:v>
                </c:pt>
                <c:pt idx="195" formatCode="General">
                  <c:v>0.12196799999999985</c:v>
                </c:pt>
                <c:pt idx="196" formatCode="General">
                  <c:v>0.74015999999999993</c:v>
                </c:pt>
                <c:pt idx="197" formatCode="General">
                  <c:v>0.22320000000000007</c:v>
                </c:pt>
                <c:pt idx="198" formatCode="General">
                  <c:v>0.19584000000000001</c:v>
                </c:pt>
                <c:pt idx="199" formatCode="General">
                  <c:v>0.52127999999999997</c:v>
                </c:pt>
                <c:pt idx="200" formatCode="General">
                  <c:v>7.6608000000000231E-3</c:v>
                </c:pt>
                <c:pt idx="201" formatCode="General">
                  <c:v>-0.13852799999999998</c:v>
                </c:pt>
                <c:pt idx="202">
                  <c:v>5.4372652006950917</c:v>
                </c:pt>
                <c:pt idx="203">
                  <c:v>4.9679999999999991</c:v>
                </c:pt>
                <c:pt idx="204">
                  <c:v>3.5424000000000002</c:v>
                </c:pt>
                <c:pt idx="205">
                  <c:v>2.3939984227144446</c:v>
                </c:pt>
                <c:pt idx="206">
                  <c:v>1.6847999999999999</c:v>
                </c:pt>
                <c:pt idx="207">
                  <c:v>0.91871999999999998</c:v>
                </c:pt>
                <c:pt idx="208">
                  <c:v>0.97055999999999998</c:v>
                </c:pt>
                <c:pt idx="209">
                  <c:v>0.9979199999999997</c:v>
                </c:pt>
                <c:pt idx="210">
                  <c:v>3.528</c:v>
                </c:pt>
                <c:pt idx="211">
                  <c:v>2.8512</c:v>
                </c:pt>
                <c:pt idx="212">
                  <c:v>2.4471695916804177</c:v>
                </c:pt>
                <c:pt idx="213">
                  <c:v>1.7568000000000001</c:v>
                </c:pt>
                <c:pt idx="214">
                  <c:v>1.8863999999999999</c:v>
                </c:pt>
                <c:pt idx="215">
                  <c:v>1.4327999999999999</c:v>
                </c:pt>
                <c:pt idx="216">
                  <c:v>1.2312000000000001</c:v>
                </c:pt>
                <c:pt idx="217">
                  <c:v>0.7545599999999999</c:v>
                </c:pt>
                <c:pt idx="218">
                  <c:v>0.81496190140176283</c:v>
                </c:pt>
                <c:pt idx="219">
                  <c:v>-0.50834847130751692</c:v>
                </c:pt>
                <c:pt idx="220">
                  <c:v>1.3881599999999998</c:v>
                </c:pt>
                <c:pt idx="221">
                  <c:v>0.98639999999999994</c:v>
                </c:pt>
                <c:pt idx="222">
                  <c:v>0.63648000000000005</c:v>
                </c:pt>
                <c:pt idx="223">
                  <c:v>0.58607999999999993</c:v>
                </c:pt>
                <c:pt idx="224">
                  <c:v>0.78336000000000006</c:v>
                </c:pt>
                <c:pt idx="225">
                  <c:v>0.62783999999999995</c:v>
                </c:pt>
                <c:pt idx="226">
                  <c:v>0.54143999999999992</c:v>
                </c:pt>
                <c:pt idx="227">
                  <c:v>0.64511999999999992</c:v>
                </c:pt>
                <c:pt idx="228">
                  <c:v>1.1059199999999998</c:v>
                </c:pt>
                <c:pt idx="229">
                  <c:v>0.93023999999999996</c:v>
                </c:pt>
                <c:pt idx="230">
                  <c:v>0.70991999999999988</c:v>
                </c:pt>
                <c:pt idx="231">
                  <c:v>0.60624000000000011</c:v>
                </c:pt>
                <c:pt idx="232">
                  <c:v>0.48527999999999993</c:v>
                </c:pt>
                <c:pt idx="233">
                  <c:v>0.36143999999999998</c:v>
                </c:pt>
                <c:pt idx="234">
                  <c:v>0.42255134218871415</c:v>
                </c:pt>
                <c:pt idx="235">
                  <c:v>0.42623999999999995</c:v>
                </c:pt>
                <c:pt idx="236">
                  <c:v>1.0396800000000002</c:v>
                </c:pt>
                <c:pt idx="237">
                  <c:v>-2.6784000000000141E-2</c:v>
                </c:pt>
                <c:pt idx="238">
                  <c:v>-1.2830399999999909E-2</c:v>
                </c:pt>
                <c:pt idx="239">
                  <c:v>9.6191999999999833E-2</c:v>
                </c:pt>
                <c:pt idx="240">
                  <c:v>0.18432000000000004</c:v>
                </c:pt>
                <c:pt idx="241">
                  <c:v>-3.8736000000000104E-2</c:v>
                </c:pt>
                <c:pt idx="242">
                  <c:v>0.11231999999999998</c:v>
                </c:pt>
                <c:pt idx="243">
                  <c:v>0.30527999999999977</c:v>
                </c:pt>
                <c:pt idx="244">
                  <c:v>-0.17711999999999994</c:v>
                </c:pt>
                <c:pt idx="245">
                  <c:v>-4.8528000000000127E-2</c:v>
                </c:pt>
                <c:pt idx="246">
                  <c:v>0.12844800000000012</c:v>
                </c:pt>
                <c:pt idx="247">
                  <c:v>-0.22319999999999984</c:v>
                </c:pt>
                <c:pt idx="248">
                  <c:v>-0.97775999999999996</c:v>
                </c:pt>
                <c:pt idx="249">
                  <c:v>-0.54576000000000002</c:v>
                </c:pt>
                <c:pt idx="250">
                  <c:v>-0.30527999999999977</c:v>
                </c:pt>
                <c:pt idx="251">
                  <c:v>-0.45359999999999978</c:v>
                </c:pt>
                <c:pt idx="252">
                  <c:v>-0.6120000000000001</c:v>
                </c:pt>
                <c:pt idx="253">
                  <c:v>-0.93455999999999984</c:v>
                </c:pt>
                <c:pt idx="254">
                  <c:v>-0.12124800000000002</c:v>
                </c:pt>
                <c:pt idx="255">
                  <c:v>0.30384000000000011</c:v>
                </c:pt>
                <c:pt idx="256">
                  <c:v>1.6992</c:v>
                </c:pt>
                <c:pt idx="257">
                  <c:v>-0.3024</c:v>
                </c:pt>
                <c:pt idx="258">
                  <c:v>-0.26495999999999986</c:v>
                </c:pt>
                <c:pt idx="259">
                  <c:v>0.71711999999999998</c:v>
                </c:pt>
                <c:pt idx="260">
                  <c:v>0.28224000000000005</c:v>
                </c:pt>
                <c:pt idx="261">
                  <c:v>-1.1664000000000003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9C-564B-84E5-7FB53DE7C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802768"/>
        <c:axId val="-2035812384"/>
      </c:scatterChart>
      <c:valAx>
        <c:axId val="-2035802768"/>
        <c:scaling>
          <c:orientation val="minMax"/>
          <c:max val="4.5"/>
          <c:min val="0.5"/>
        </c:scaling>
        <c:delete val="0"/>
        <c:axPos val="b"/>
        <c:title>
          <c:tx>
            <c:rich>
              <a:bodyPr/>
              <a:lstStyle/>
              <a:p>
                <a:pPr>
                  <a:defRPr sz="1800" b="0"/>
                </a:pPr>
                <a:r>
                  <a:rPr lang="en-US" sz="1800" b="0"/>
                  <a:t>Tank Water Level (m)</a:t>
                </a:r>
              </a:p>
            </c:rich>
          </c:tx>
          <c:layout>
            <c:manualLayout>
              <c:xMode val="edge"/>
              <c:yMode val="edge"/>
              <c:x val="0.41400547757617301"/>
              <c:y val="0.90866506904028299"/>
            </c:manualLayout>
          </c:layout>
          <c:overlay val="0"/>
        </c:title>
        <c:numFmt formatCode="#,##0.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35812384"/>
        <c:crossesAt val="-3"/>
        <c:crossBetween val="midCat"/>
        <c:majorUnit val="1"/>
      </c:valAx>
      <c:valAx>
        <c:axId val="-2035812384"/>
        <c:scaling>
          <c:orientation val="minMax"/>
          <c:max val="6"/>
          <c:min val="-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 b="0"/>
                </a:pPr>
                <a:r>
                  <a:rPr lang="en-US" sz="1800" b="0"/>
                  <a:t>Groundwater Exchange (cm/day)</a:t>
                </a:r>
              </a:p>
            </c:rich>
          </c:tx>
          <c:layout>
            <c:manualLayout>
              <c:xMode val="edge"/>
              <c:yMode val="edge"/>
              <c:x val="3.82925685014011E-2"/>
              <c:y val="0.109782404248649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35802768"/>
        <c:crosses val="autoZero"/>
        <c:crossBetween val="midCat"/>
        <c:majorUnit val="3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730477352303"/>
          <c:y val="3.7272317947704199E-2"/>
          <c:w val="0.80607233954910595"/>
          <c:h val="0.79242066053218796"/>
        </c:manualLayout>
      </c:layout>
      <c:scatterChart>
        <c:scatterStyle val="lineMarker"/>
        <c:varyColors val="0"/>
        <c:ser>
          <c:idx val="0"/>
          <c:order val="1"/>
          <c:spPr>
            <a:ln w="63500">
              <a:noFill/>
            </a:ln>
          </c:spPr>
          <c:marker>
            <c:symbol val="diamond"/>
            <c:size val="14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</a:ln>
            </c:spPr>
          </c:marker>
          <c:xVal>
            <c:numRef>
              <c:f>GE_WL!$AH$5:$AH$179</c:f>
              <c:numCache>
                <c:formatCode>0.0000</c:formatCode>
                <c:ptCount val="175"/>
                <c:pt idx="0" formatCode="General">
                  <c:v>2.3425855213215674</c:v>
                </c:pt>
                <c:pt idx="1">
                  <c:v>3.001481022440164</c:v>
                </c:pt>
                <c:pt idx="2">
                  <c:v>3.0295143565567302</c:v>
                </c:pt>
                <c:pt idx="3">
                  <c:v>3.1842159959313361</c:v>
                </c:pt>
                <c:pt idx="4">
                  <c:v>3.1727063881024375</c:v>
                </c:pt>
                <c:pt idx="5">
                  <c:v>3.1319503382091853</c:v>
                </c:pt>
                <c:pt idx="6">
                  <c:v>2.7228466778126248</c:v>
                </c:pt>
                <c:pt idx="7">
                  <c:v>2.6588710094669961</c:v>
                </c:pt>
                <c:pt idx="8">
                  <c:v>2.5902771477230098</c:v>
                </c:pt>
                <c:pt idx="9">
                  <c:v>2.6102194843017643</c:v>
                </c:pt>
                <c:pt idx="10">
                  <c:v>2.3528955413438131</c:v>
                </c:pt>
                <c:pt idx="11">
                  <c:v>2.1916783584564272</c:v>
                </c:pt>
                <c:pt idx="12">
                  <c:v>1.6719742858665225</c:v>
                </c:pt>
                <c:pt idx="13">
                  <c:v>1.638650769200066</c:v>
                </c:pt>
                <c:pt idx="14">
                  <c:v>1.6298924910133441</c:v>
                </c:pt>
                <c:pt idx="15">
                  <c:v>1.4761350043176198</c:v>
                </c:pt>
                <c:pt idx="16" formatCode="General">
                  <c:v>0.61806955386698603</c:v>
                </c:pt>
                <c:pt idx="17" formatCode="General">
                  <c:v>2.9642855213215693</c:v>
                </c:pt>
                <c:pt idx="18" formatCode="0.000">
                  <c:v>3.1793810224401646</c:v>
                </c:pt>
                <c:pt idx="19" formatCode="0.000">
                  <c:v>3.2773143565567313</c:v>
                </c:pt>
                <c:pt idx="20" formatCode="0.000">
                  <c:v>3.3345159959313371</c:v>
                </c:pt>
                <c:pt idx="21" formatCode="0.000">
                  <c:v>3.4026063881024378</c:v>
                </c:pt>
                <c:pt idx="22" formatCode="0.000">
                  <c:v>3.4228503382091855</c:v>
                </c:pt>
                <c:pt idx="23" formatCode="0.000">
                  <c:v>3.4088947052086631</c:v>
                </c:pt>
                <c:pt idx="24" formatCode="0.000">
                  <c:v>3.3914924557679615</c:v>
                </c:pt>
                <c:pt idx="25" formatCode="0.000">
                  <c:v>3.371833767737586</c:v>
                </c:pt>
                <c:pt idx="26" formatCode="0.000">
                  <c:v>3.3511229280280386</c:v>
                </c:pt>
                <c:pt idx="27" formatCode="0.000">
                  <c:v>3.3322341775812401</c:v>
                </c:pt>
                <c:pt idx="28" formatCode="0.000">
                  <c:v>3.3132409376518037</c:v>
                </c:pt>
                <c:pt idx="29" formatCode="0.000">
                  <c:v>3.292209857675326</c:v>
                </c:pt>
                <c:pt idx="30" formatCode="0.000">
                  <c:v>3.2727624191981519</c:v>
                </c:pt>
                <c:pt idx="31" formatCode="0.000">
                  <c:v>3.2534329762465877</c:v>
                </c:pt>
                <c:pt idx="32" formatCode="0.000">
                  <c:v>3.2334466778126245</c:v>
                </c:pt>
                <c:pt idx="33" formatCode="0.000">
                  <c:v>3.2137524038752918</c:v>
                </c:pt>
                <c:pt idx="34" formatCode="0.000">
                  <c:v>3.1945710094669977</c:v>
                </c:pt>
                <c:pt idx="35" formatCode="0.000">
                  <c:v>3.1776802121516301</c:v>
                </c:pt>
                <c:pt idx="36" formatCode="0.000">
                  <c:v>3.1596771477230092</c:v>
                </c:pt>
                <c:pt idx="37" formatCode="0.000">
                  <c:v>3.1680194843017642</c:v>
                </c:pt>
                <c:pt idx="38" formatCode="0.000">
                  <c:v>3.1691288895585306</c:v>
                </c:pt>
                <c:pt idx="39" formatCode="0.000">
                  <c:v>3.1474530186407694</c:v>
                </c:pt>
                <c:pt idx="40" formatCode="0.000">
                  <c:v>3.1306487199818065</c:v>
                </c:pt>
                <c:pt idx="41" formatCode="0.000">
                  <c:v>3.1099953411213708</c:v>
                </c:pt>
                <c:pt idx="42" formatCode="0.000">
                  <c:v>3.0919184455944819</c:v>
                </c:pt>
                <c:pt idx="43" formatCode="0.000">
                  <c:v>3.0709004524185612</c:v>
                </c:pt>
                <c:pt idx="44" formatCode="0.000">
                  <c:v>3.0501161938040884</c:v>
                </c:pt>
                <c:pt idx="45" formatCode="0.000">
                  <c:v>3.0268955413438121</c:v>
                </c:pt>
                <c:pt idx="46" formatCode="0.000">
                  <c:v>3.0064748912332302</c:v>
                </c:pt>
                <c:pt idx="47" formatCode="0.000">
                  <c:v>2.9805939113679738</c:v>
                </c:pt>
                <c:pt idx="48" formatCode="0.000">
                  <c:v>2.9560266236699828</c:v>
                </c:pt>
                <c:pt idx="49" formatCode="0.000">
                  <c:v>2.928978358456428</c:v>
                </c:pt>
                <c:pt idx="50" formatCode="0.000">
                  <c:v>3.230673051636181</c:v>
                </c:pt>
                <c:pt idx="51" formatCode="0.000">
                  <c:v>3.2119814440322791</c:v>
                </c:pt>
                <c:pt idx="52" formatCode="0.000">
                  <c:v>3.1923401297129619</c:v>
                </c:pt>
                <c:pt idx="53" formatCode="0.000">
                  <c:v>3.1712155743392252</c:v>
                </c:pt>
                <c:pt idx="54" formatCode="0.000">
                  <c:v>3.1489272337360763</c:v>
                </c:pt>
                <c:pt idx="55" formatCode="0.000">
                  <c:v>3.125172024677358</c:v>
                </c:pt>
                <c:pt idx="56" formatCode="0.000">
                  <c:v>3.1047231540970941</c:v>
                </c:pt>
                <c:pt idx="57" formatCode="0.000">
                  <c:v>3.081513953762153</c:v>
                </c:pt>
                <c:pt idx="58" formatCode="0.000">
                  <c:v>3.0538722295991843</c:v>
                </c:pt>
                <c:pt idx="59" formatCode="0.000">
                  <c:v>3.0250587306052825</c:v>
                </c:pt>
                <c:pt idx="60" formatCode="0.000">
                  <c:v>2.9966634391078966</c:v>
                </c:pt>
                <c:pt idx="61" formatCode="0.000">
                  <c:v>2.9721726488416049</c:v>
                </c:pt>
                <c:pt idx="62" formatCode="0.000">
                  <c:v>2.9501452480592274</c:v>
                </c:pt>
                <c:pt idx="63" formatCode="0.000">
                  <c:v>2.9242742858665238</c:v>
                </c:pt>
                <c:pt idx="64" formatCode="0.000">
                  <c:v>2.9012507692000664</c:v>
                </c:pt>
                <c:pt idx="65" formatCode="0.000">
                  <c:v>2.8964924910133441</c:v>
                </c:pt>
                <c:pt idx="66" formatCode="0.000">
                  <c:v>2.8756663033140768</c:v>
                </c:pt>
                <c:pt idx="67" formatCode="0.000">
                  <c:v>2.8481693677426971</c:v>
                </c:pt>
                <c:pt idx="68" formatCode="0.000">
                  <c:v>2.8178550443621067</c:v>
                </c:pt>
                <c:pt idx="69" formatCode="0.000">
                  <c:v>2.7797257992832947</c:v>
                </c:pt>
                <c:pt idx="70" formatCode="0.000">
                  <c:v>2.7452350043176192</c:v>
                </c:pt>
                <c:pt idx="71" formatCode="0.000">
                  <c:v>2.7107703853027498</c:v>
                </c:pt>
                <c:pt idx="72" formatCode="0.000">
                  <c:v>2.6747358193055391</c:v>
                </c:pt>
                <c:pt idx="73" formatCode="0.000">
                  <c:v>2.6353996280318732</c:v>
                </c:pt>
                <c:pt idx="74" formatCode="0.000">
                  <c:v>2.5918202734430693</c:v>
                </c:pt>
                <c:pt idx="75" formatCode="0.000">
                  <c:v>2.588757282054349</c:v>
                </c:pt>
                <c:pt idx="76" formatCode="0.000">
                  <c:v>2.6219521919043878</c:v>
                </c:pt>
                <c:pt idx="77" formatCode="0.000">
                  <c:v>2.5973162032028565</c:v>
                </c:pt>
                <c:pt idx="78" formatCode="0.000">
                  <c:v>2.5751452457095354</c:v>
                </c:pt>
                <c:pt idx="79" formatCode="0.000">
                  <c:v>2.5535566978348676</c:v>
                </c:pt>
                <c:pt idx="80" formatCode="0.000">
                  <c:v>2.5267575104730966</c:v>
                </c:pt>
                <c:pt idx="81" formatCode="0.000">
                  <c:v>2.4946082253497934</c:v>
                </c:pt>
                <c:pt idx="82" formatCode="0.000">
                  <c:v>2.456787572889521</c:v>
                </c:pt>
                <c:pt idx="83" formatCode="0.000">
                  <c:v>2.42622888955853</c:v>
                </c:pt>
                <c:pt idx="84" formatCode="0.00">
                  <c:v>0.16656955386698569</c:v>
                </c:pt>
                <c:pt idx="85" formatCode="0.000">
                  <c:v>3.153485521321568</c:v>
                </c:pt>
                <c:pt idx="86" formatCode="0.000">
                  <c:v>3.402581022440164</c:v>
                </c:pt>
                <c:pt idx="87" formatCode="0.000">
                  <c:v>3.5956143565567311</c:v>
                </c:pt>
                <c:pt idx="88" formatCode="0.000">
                  <c:v>3.7167159959313372</c:v>
                </c:pt>
                <c:pt idx="89" formatCode="0.000">
                  <c:v>3.6890624191981507</c:v>
                </c:pt>
                <c:pt idx="90" formatCode="0.000">
                  <c:v>3.616246677812625</c:v>
                </c:pt>
                <c:pt idx="91" formatCode="0.000">
                  <c:v>3.5144710094669973</c:v>
                </c:pt>
                <c:pt idx="92" formatCode="0.000">
                  <c:v>3.4816802121516313</c:v>
                </c:pt>
                <c:pt idx="93" formatCode="0.000">
                  <c:v>3.2278004524185606</c:v>
                </c:pt>
                <c:pt idx="94" formatCode="0.000">
                  <c:v>3.0834939113679729</c:v>
                </c:pt>
                <c:pt idx="95" formatCode="0.000">
                  <c:v>3.3739726488416055</c:v>
                </c:pt>
                <c:pt idx="96" formatCode="0.000">
                  <c:v>3.339745248059228</c:v>
                </c:pt>
                <c:pt idx="97" formatCode="0.000">
                  <c:v>3.3122742858665228</c:v>
                </c:pt>
                <c:pt idx="98" formatCode="0.000">
                  <c:v>3.1658550443621065</c:v>
                </c:pt>
                <c:pt idx="99" formatCode="0.000">
                  <c:v>3.9735063881024368</c:v>
                </c:pt>
                <c:pt idx="100" formatCode="0.000">
                  <c:v>3.661432976246588</c:v>
                </c:pt>
                <c:pt idx="101" formatCode="0.000">
                  <c:v>3.5651524038752909</c:v>
                </c:pt>
                <c:pt idx="102" formatCode="0.000">
                  <c:v>3.4474771477230091</c:v>
                </c:pt>
                <c:pt idx="103" formatCode="0.000">
                  <c:v>3.1861161938040867</c:v>
                </c:pt>
                <c:pt idx="104" formatCode="0.000">
                  <c:v>3.0417266236699829</c:v>
                </c:pt>
                <c:pt idx="105" formatCode="0.000">
                  <c:v>3.2755507692000672</c:v>
                </c:pt>
                <c:pt idx="106" formatCode="0.000">
                  <c:v>3.1260257992832949</c:v>
                </c:pt>
                <c:pt idx="107" formatCode="0.00">
                  <c:v>0.25926955386698619</c:v>
                </c:pt>
                <c:pt idx="108" formatCode="0.000">
                  <c:v>2.8782855213215686</c:v>
                </c:pt>
                <c:pt idx="109" formatCode="0.000">
                  <c:v>3.1435810224401641</c:v>
                </c:pt>
                <c:pt idx="110" formatCode="0.000">
                  <c:v>3.2043143565567305</c:v>
                </c:pt>
                <c:pt idx="111" formatCode="0.000">
                  <c:v>3.2750159959313367</c:v>
                </c:pt>
                <c:pt idx="112" formatCode="0.000">
                  <c:v>3.0483624191981504</c:v>
                </c:pt>
                <c:pt idx="113" formatCode="0.000">
                  <c:v>3.0117466778126238</c:v>
                </c:pt>
                <c:pt idx="114" formatCode="0.000">
                  <c:v>2.9733710094669976</c:v>
                </c:pt>
                <c:pt idx="115" formatCode="0.000">
                  <c:v>2.9555802121516304</c:v>
                </c:pt>
                <c:pt idx="116" formatCode="0.000">
                  <c:v>2.8217004524185607</c:v>
                </c:pt>
                <c:pt idx="117" formatCode="0.000">
                  <c:v>2.7170939113679728</c:v>
                </c:pt>
                <c:pt idx="118" formatCode="0.000">
                  <c:v>2.8870726488416056</c:v>
                </c:pt>
                <c:pt idx="119" formatCode="0.000">
                  <c:v>2.8603452480592284</c:v>
                </c:pt>
                <c:pt idx="120" formatCode="0.000">
                  <c:v>2.8344742858665231</c:v>
                </c:pt>
                <c:pt idx="121" formatCode="0.000">
                  <c:v>2.7202550443621063</c:v>
                </c:pt>
                <c:pt idx="122" formatCode="0.000">
                  <c:v>3.3996063881024372</c:v>
                </c:pt>
                <c:pt idx="123" formatCode="0.000">
                  <c:v>3.0304329762465883</c:v>
                </c:pt>
                <c:pt idx="124" formatCode="0.000">
                  <c:v>2.9937524038752907</c:v>
                </c:pt>
                <c:pt idx="125" formatCode="0.000">
                  <c:v>2.9368771477230093</c:v>
                </c:pt>
                <c:pt idx="126" formatCode="0.000">
                  <c:v>2.7828161938040874</c:v>
                </c:pt>
                <c:pt idx="127" formatCode="0.000">
                  <c:v>2.681026623669982</c:v>
                </c:pt>
                <c:pt idx="128" formatCode="0.000">
                  <c:v>2.808250769200066</c:v>
                </c:pt>
                <c:pt idx="129" formatCode="0.000">
                  <c:v>2.6826257992832949</c:v>
                </c:pt>
                <c:pt idx="130" formatCode="0.000">
                  <c:v>3.2055503382091852</c:v>
                </c:pt>
                <c:pt idx="131" formatCode="0.000">
                  <c:v>2.9495194843017631</c:v>
                </c:pt>
                <c:pt idx="132" formatCode="0.000">
                  <c:v>2.7604955413438126</c:v>
                </c:pt>
                <c:pt idx="133" formatCode="0.000">
                  <c:v>2.6427783584564284</c:v>
                </c:pt>
                <c:pt idx="134" formatCode="0.000">
                  <c:v>2.797992491013344</c:v>
                </c:pt>
                <c:pt idx="135" formatCode="0.000">
                  <c:v>2.6472350043176198</c:v>
                </c:pt>
                <c:pt idx="136" formatCode="0.000">
                  <c:v>3.2147947052086621</c:v>
                </c:pt>
                <c:pt idx="137" formatCode="0.000">
                  <c:v>2.9404288895585302</c:v>
                </c:pt>
                <c:pt idx="138" formatCode="0.000">
                  <c:v>2.7414748912332292</c:v>
                </c:pt>
                <c:pt idx="139" formatCode="0.000">
                  <c:v>3.1592730516361818</c:v>
                </c:pt>
                <c:pt idx="140" formatCode="0.000">
                  <c:v>2.7761663033140755</c:v>
                </c:pt>
                <c:pt idx="141" formatCode="0.000">
                  <c:v>2.6114703853027499</c:v>
                </c:pt>
                <c:pt idx="142" formatCode="0.000">
                  <c:v>3.179992455767962</c:v>
                </c:pt>
                <c:pt idx="143" formatCode="0.000">
                  <c:v>2.9189530186407686</c:v>
                </c:pt>
                <c:pt idx="144" formatCode="0.000">
                  <c:v>3.1414814440322778</c:v>
                </c:pt>
                <c:pt idx="145" formatCode="0.000">
                  <c:v>2.7505693677426968</c:v>
                </c:pt>
                <c:pt idx="146" formatCode="0.000">
                  <c:v>2.5763358193055388</c:v>
                </c:pt>
                <c:pt idx="147" formatCode="0.000">
                  <c:v>3.1485337677375855</c:v>
                </c:pt>
                <c:pt idx="148" formatCode="0.000">
                  <c:v>2.8968487199818074</c:v>
                </c:pt>
                <c:pt idx="149" formatCode="0.000">
                  <c:v>3.1183401297129616</c:v>
                </c:pt>
                <c:pt idx="150" formatCode="0.000">
                  <c:v>2.539699628031872</c:v>
                </c:pt>
                <c:pt idx="151" formatCode="0.000">
                  <c:v>3.1297229280280372</c:v>
                </c:pt>
                <c:pt idx="152" formatCode="0.000">
                  <c:v>2.8724953411213714</c:v>
                </c:pt>
                <c:pt idx="153" formatCode="0.000">
                  <c:v>3.0934155743392249</c:v>
                </c:pt>
                <c:pt idx="154" formatCode="0.000">
                  <c:v>2.5019202734430688</c:v>
                </c:pt>
                <c:pt idx="155" formatCode="0.000">
                  <c:v>3.1196341775812395</c:v>
                </c:pt>
                <c:pt idx="156" formatCode="0.000">
                  <c:v>2.8491184455944807</c:v>
                </c:pt>
                <c:pt idx="157" formatCode="0.000">
                  <c:v>3.0679272337360763</c:v>
                </c:pt>
                <c:pt idx="158" formatCode="0.000">
                  <c:v>2.4986572820543489</c:v>
                </c:pt>
                <c:pt idx="159" formatCode="0.000">
                  <c:v>3.0979409376518041</c:v>
                </c:pt>
                <c:pt idx="160" formatCode="0.000">
                  <c:v>3.0416720246773585</c:v>
                </c:pt>
                <c:pt idx="161" formatCode="0.000">
                  <c:v>2.5224521919043883</c:v>
                </c:pt>
                <c:pt idx="162" formatCode="0.000">
                  <c:v>3.0740098576753261</c:v>
                </c:pt>
                <c:pt idx="163" formatCode="0.000">
                  <c:v>3.0159231540970928</c:v>
                </c:pt>
                <c:pt idx="164" formatCode="0.000">
                  <c:v>2.500216203202855</c:v>
                </c:pt>
                <c:pt idx="165" formatCode="0.000">
                  <c:v>2.9912139537621534</c:v>
                </c:pt>
                <c:pt idx="166" formatCode="0.000">
                  <c:v>2.4751452457095353</c:v>
                </c:pt>
                <c:pt idx="167" formatCode="0.000">
                  <c:v>2.9665722295991848</c:v>
                </c:pt>
                <c:pt idx="168" formatCode="0.000">
                  <c:v>2.4447566978348667</c:v>
                </c:pt>
                <c:pt idx="169" formatCode="0.000">
                  <c:v>2.9412587306052838</c:v>
                </c:pt>
                <c:pt idx="170" formatCode="0.000">
                  <c:v>2.4068575104730967</c:v>
                </c:pt>
                <c:pt idx="171" formatCode="0.000">
                  <c:v>2.9136634391078959</c:v>
                </c:pt>
                <c:pt idx="172" formatCode="0.000">
                  <c:v>2.3701082253497936</c:v>
                </c:pt>
                <c:pt idx="173" formatCode="0.000">
                  <c:v>2.3149875728895206</c:v>
                </c:pt>
                <c:pt idx="174" formatCode="0.000">
                  <c:v>2.2296288895585294</c:v>
                </c:pt>
              </c:numCache>
            </c:numRef>
          </c:xVal>
          <c:yVal>
            <c:numRef>
              <c:f>GE_WL!$AJ$5:$AJ$179</c:f>
              <c:numCache>
                <c:formatCode>0.00</c:formatCode>
                <c:ptCount val="175"/>
                <c:pt idx="1">
                  <c:v>-30.475094849384913</c:v>
                </c:pt>
                <c:pt idx="2">
                  <c:v>9.1278088154707149</c:v>
                </c:pt>
                <c:pt idx="4">
                  <c:v>15.919393219069452</c:v>
                </c:pt>
                <c:pt idx="5">
                  <c:v>70.894300204181235</c:v>
                </c:pt>
                <c:pt idx="6">
                  <c:v>0.40624184451614198</c:v>
                </c:pt>
                <c:pt idx="7">
                  <c:v>8.2934655473984833</c:v>
                </c:pt>
                <c:pt idx="8">
                  <c:v>-11.655137588408216</c:v>
                </c:pt>
                <c:pt idx="9">
                  <c:v>-0.73000441576529518</c:v>
                </c:pt>
                <c:pt idx="10">
                  <c:v>7.749831953527373</c:v>
                </c:pt>
                <c:pt idx="12">
                  <c:v>10.589439446638021</c:v>
                </c:pt>
                <c:pt idx="13">
                  <c:v>11.789106461244563</c:v>
                </c:pt>
                <c:pt idx="14">
                  <c:v>16.232786163299593</c:v>
                </c:pt>
                <c:pt idx="15">
                  <c:v>6.4233232725065381</c:v>
                </c:pt>
                <c:pt idx="18">
                  <c:v>-86.892460034803477</c:v>
                </c:pt>
                <c:pt idx="19">
                  <c:v>67.771202586053292</c:v>
                </c:pt>
                <c:pt idx="20">
                  <c:v>79.784829979624561</c:v>
                </c:pt>
                <c:pt idx="21">
                  <c:v>-27.738947480843201</c:v>
                </c:pt>
                <c:pt idx="22">
                  <c:v>42.742530633112651</c:v>
                </c:pt>
                <c:pt idx="23">
                  <c:v>5.0625285464152299</c:v>
                </c:pt>
                <c:pt idx="24">
                  <c:v>11.592289323187195</c:v>
                </c:pt>
                <c:pt idx="25">
                  <c:v>10.750730717676156</c:v>
                </c:pt>
                <c:pt idx="26">
                  <c:v>7.0414640446968635</c:v>
                </c:pt>
                <c:pt idx="27">
                  <c:v>5.2567030106860368</c:v>
                </c:pt>
                <c:pt idx="28">
                  <c:v>5.4089600162749178</c:v>
                </c:pt>
                <c:pt idx="29">
                  <c:v>5.5405076621011196</c:v>
                </c:pt>
                <c:pt idx="30">
                  <c:v>8.8096372110154597</c:v>
                </c:pt>
                <c:pt idx="31">
                  <c:v>5.8902411285490697</c:v>
                </c:pt>
                <c:pt idx="32">
                  <c:v>8.4885438943788749</c:v>
                </c:pt>
                <c:pt idx="33">
                  <c:v>6.8358631585880625</c:v>
                </c:pt>
                <c:pt idx="34">
                  <c:v>7.3742747578617829</c:v>
                </c:pt>
                <c:pt idx="35">
                  <c:v>7.6087563962627307</c:v>
                </c:pt>
                <c:pt idx="36">
                  <c:v>12.992845975191649</c:v>
                </c:pt>
                <c:pt idx="37">
                  <c:v>3.0439894731696748</c:v>
                </c:pt>
                <c:pt idx="38">
                  <c:v>13.994511572044569</c:v>
                </c:pt>
                <c:pt idx="39">
                  <c:v>9.128439077732148</c:v>
                </c:pt>
                <c:pt idx="40">
                  <c:v>13.0686069785108</c:v>
                </c:pt>
                <c:pt idx="41">
                  <c:v>9.1539453249542735</c:v>
                </c:pt>
                <c:pt idx="42">
                  <c:v>14.157707347119949</c:v>
                </c:pt>
                <c:pt idx="43">
                  <c:v>10.833188185458038</c:v>
                </c:pt>
                <c:pt idx="44">
                  <c:v>15.434019704100923</c:v>
                </c:pt>
                <c:pt idx="45">
                  <c:v>16.261073777602995</c:v>
                </c:pt>
                <c:pt idx="46">
                  <c:v>17.336650977119472</c:v>
                </c:pt>
                <c:pt idx="47">
                  <c:v>15.688933436242667</c:v>
                </c:pt>
                <c:pt idx="48">
                  <c:v>17.887421076838685</c:v>
                </c:pt>
                <c:pt idx="49">
                  <c:v>-63.876311921194677</c:v>
                </c:pt>
                <c:pt idx="50">
                  <c:v>7.2519084492523493</c:v>
                </c:pt>
                <c:pt idx="51">
                  <c:v>8.9616841754780729</c:v>
                </c:pt>
                <c:pt idx="52">
                  <c:v>11.213600437946742</c:v>
                </c:pt>
                <c:pt idx="53">
                  <c:v>13.158187002211641</c:v>
                </c:pt>
                <c:pt idx="54">
                  <c:v>15.41771104164879</c:v>
                </c:pt>
                <c:pt idx="55">
                  <c:v>12.240004916699455</c:v>
                </c:pt>
                <c:pt idx="56">
                  <c:v>15.118078168765059</c:v>
                </c:pt>
                <c:pt idx="57">
                  <c:v>19.693946521314182</c:v>
                </c:pt>
                <c:pt idx="58">
                  <c:v>15.696777496614088</c:v>
                </c:pt>
                <c:pt idx="59">
                  <c:v>22.403702987116965</c:v>
                </c:pt>
                <c:pt idx="60">
                  <c:v>17.403141789377912</c:v>
                </c:pt>
                <c:pt idx="61">
                  <c:v>13.784950405007756</c:v>
                </c:pt>
                <c:pt idx="62">
                  <c:v>17.640568089139418</c:v>
                </c:pt>
                <c:pt idx="63">
                  <c:v>14.801596817324468</c:v>
                </c:pt>
                <c:pt idx="64">
                  <c:v>16.569906762648504</c:v>
                </c:pt>
                <c:pt idx="65">
                  <c:v>14.475908850453724</c:v>
                </c:pt>
                <c:pt idx="66">
                  <c:v>13.393556730952001</c:v>
                </c:pt>
                <c:pt idx="67">
                  <c:v>18.910806892071093</c:v>
                </c:pt>
                <c:pt idx="68">
                  <c:v>17.955597399709994</c:v>
                </c:pt>
                <c:pt idx="69">
                  <c:v>21.155167385857638</c:v>
                </c:pt>
                <c:pt idx="70">
                  <c:v>22.29427267506648</c:v>
                </c:pt>
                <c:pt idx="71">
                  <c:v>21.866144412357187</c:v>
                </c:pt>
                <c:pt idx="72">
                  <c:v>25.634788808385451</c:v>
                </c:pt>
                <c:pt idx="73">
                  <c:v>28.650014306715587</c:v>
                </c:pt>
                <c:pt idx="74">
                  <c:v>-9.8847688462440466</c:v>
                </c:pt>
                <c:pt idx="75">
                  <c:v>-45.976153423298108</c:v>
                </c:pt>
                <c:pt idx="76">
                  <c:v>11.461027322692969</c:v>
                </c:pt>
                <c:pt idx="77">
                  <c:v>13.107660964389327</c:v>
                </c:pt>
                <c:pt idx="78">
                  <c:v>9.3071386435971455</c:v>
                </c:pt>
                <c:pt idx="79">
                  <c:v>12.231741351618474</c:v>
                </c:pt>
                <c:pt idx="80">
                  <c:v>16.957201727489405</c:v>
                </c:pt>
                <c:pt idx="81">
                  <c:v>25.29940140609062</c:v>
                </c:pt>
                <c:pt idx="82">
                  <c:v>20.710143984830861</c:v>
                </c:pt>
                <c:pt idx="83">
                  <c:v>23.595608248919046</c:v>
                </c:pt>
                <c:pt idx="87">
                  <c:v>71.124501020068962</c:v>
                </c:pt>
                <c:pt idx="88">
                  <c:v>-27.658853434370307</c:v>
                </c:pt>
                <c:pt idx="89">
                  <c:v>10.890368485660638</c:v>
                </c:pt>
                <c:pt idx="90">
                  <c:v>33.35151871348404</c:v>
                </c:pt>
                <c:pt idx="91">
                  <c:v>16.192045711613318</c:v>
                </c:pt>
                <c:pt idx="92">
                  <c:v>16.156962261883479</c:v>
                </c:pt>
                <c:pt idx="93">
                  <c:v>24.786486742017047</c:v>
                </c:pt>
                <c:pt idx="94">
                  <c:v>28.207294269625439</c:v>
                </c:pt>
                <c:pt idx="95">
                  <c:v>17.91424422455821</c:v>
                </c:pt>
                <c:pt idx="96">
                  <c:v>9.8402266473139122</c:v>
                </c:pt>
                <c:pt idx="97">
                  <c:v>19.122669059671246</c:v>
                </c:pt>
                <c:pt idx="98">
                  <c:v>15.340212544321057</c:v>
                </c:pt>
                <c:pt idx="99">
                  <c:v>-107.97234859066987</c:v>
                </c:pt>
                <c:pt idx="100">
                  <c:v>24.57994398030959</c:v>
                </c:pt>
                <c:pt idx="101">
                  <c:v>31.596886483942377</c:v>
                </c:pt>
                <c:pt idx="102">
                  <c:v>21.681114336818645</c:v>
                </c:pt>
                <c:pt idx="103">
                  <c:v>19.24850952175975</c:v>
                </c:pt>
                <c:pt idx="104">
                  <c:v>25.517038625251487</c:v>
                </c:pt>
                <c:pt idx="105">
                  <c:v>20.103522813567231</c:v>
                </c:pt>
                <c:pt idx="106">
                  <c:v>5.80328799386439</c:v>
                </c:pt>
                <c:pt idx="109">
                  <c:v>-61.038436513770584</c:v>
                </c:pt>
                <c:pt idx="111">
                  <c:v>87.081514829446746</c:v>
                </c:pt>
                <c:pt idx="112">
                  <c:v>-12.005924491810163</c:v>
                </c:pt>
                <c:pt idx="113">
                  <c:v>-12.903566235950276</c:v>
                </c:pt>
                <c:pt idx="114">
                  <c:v>-12.569095294266489</c:v>
                </c:pt>
                <c:pt idx="115">
                  <c:v>-13.455086275803957</c:v>
                </c:pt>
                <c:pt idx="116">
                  <c:v>4.1839054688435162</c:v>
                </c:pt>
                <c:pt idx="117">
                  <c:v>3.9819994192524177</c:v>
                </c:pt>
                <c:pt idx="118">
                  <c:v>-1.115077677420091</c:v>
                </c:pt>
                <c:pt idx="119">
                  <c:v>-0.89943979492929316</c:v>
                </c:pt>
                <c:pt idx="120">
                  <c:v>1.8924768096589073</c:v>
                </c:pt>
                <c:pt idx="121">
                  <c:v>6.3153638159846492</c:v>
                </c:pt>
                <c:pt idx="123">
                  <c:v>-13.680144254648866</c:v>
                </c:pt>
                <c:pt idx="124">
                  <c:v>-12.104046493505392</c:v>
                </c:pt>
                <c:pt idx="125">
                  <c:v>-8.893721127634052</c:v>
                </c:pt>
                <c:pt idx="126">
                  <c:v>-11.686428406674434</c:v>
                </c:pt>
                <c:pt idx="127">
                  <c:v>7.0398147285115398</c:v>
                </c:pt>
                <c:pt idx="128">
                  <c:v>11.754038743129986</c:v>
                </c:pt>
                <c:pt idx="129">
                  <c:v>9.4155290821139204</c:v>
                </c:pt>
                <c:pt idx="130">
                  <c:v>20.995878358815261</c:v>
                </c:pt>
                <c:pt idx="131">
                  <c:v>-5.3587281932828912</c:v>
                </c:pt>
                <c:pt idx="132">
                  <c:v>-10.361936377015301</c:v>
                </c:pt>
                <c:pt idx="134">
                  <c:v>3.7484086430000274</c:v>
                </c:pt>
                <c:pt idx="135">
                  <c:v>11.261992430409951</c:v>
                </c:pt>
                <c:pt idx="136">
                  <c:v>5.4195406509585409</c:v>
                </c:pt>
                <c:pt idx="137">
                  <c:v>-10.553182171193644</c:v>
                </c:pt>
                <c:pt idx="138">
                  <c:v>-8.3841064212432936</c:v>
                </c:pt>
                <c:pt idx="139">
                  <c:v>-13.86091696669579</c:v>
                </c:pt>
                <c:pt idx="140">
                  <c:v>0.43422390507913633</c:v>
                </c:pt>
                <c:pt idx="141">
                  <c:v>8.9764269989083001</c:v>
                </c:pt>
                <c:pt idx="142">
                  <c:v>-8.1316758730067118</c:v>
                </c:pt>
                <c:pt idx="143">
                  <c:v>-14.934827979861893</c:v>
                </c:pt>
                <c:pt idx="144">
                  <c:v>-8.0755960410805105</c:v>
                </c:pt>
                <c:pt idx="145">
                  <c:v>-5.1649129679547023</c:v>
                </c:pt>
                <c:pt idx="146">
                  <c:v>11.287018854340648</c:v>
                </c:pt>
                <c:pt idx="147">
                  <c:v>-18.394531847439836</c:v>
                </c:pt>
                <c:pt idx="148">
                  <c:v>-5.4631381358665632</c:v>
                </c:pt>
                <c:pt idx="149">
                  <c:v>-3.798904867642765</c:v>
                </c:pt>
                <c:pt idx="150">
                  <c:v>11.547139143188097</c:v>
                </c:pt>
                <c:pt idx="151">
                  <c:v>-24.695976845197038</c:v>
                </c:pt>
                <c:pt idx="152">
                  <c:v>-8.0884284270011353</c:v>
                </c:pt>
                <c:pt idx="153">
                  <c:v>-0.95686504933702565</c:v>
                </c:pt>
                <c:pt idx="154">
                  <c:v>-22.781676565297964</c:v>
                </c:pt>
                <c:pt idx="155">
                  <c:v>-10.65138128829911</c:v>
                </c:pt>
                <c:pt idx="156">
                  <c:v>-5.6831329959123922</c:v>
                </c:pt>
                <c:pt idx="157">
                  <c:v>-3.1456925909300182</c:v>
                </c:pt>
                <c:pt idx="158">
                  <c:v>-50.349999742444318</c:v>
                </c:pt>
                <c:pt idx="159">
                  <c:v>-5.9892787746201748</c:v>
                </c:pt>
                <c:pt idx="160">
                  <c:v>-3.020030762041106</c:v>
                </c:pt>
                <c:pt idx="161">
                  <c:v>-4.9042285873313674</c:v>
                </c:pt>
                <c:pt idx="162">
                  <c:v>-1.8437699289918186</c:v>
                </c:pt>
                <c:pt idx="163">
                  <c:v>-5.5699775531487106</c:v>
                </c:pt>
                <c:pt idx="164">
                  <c:v>-2.6824852694965351</c:v>
                </c:pt>
                <c:pt idx="165">
                  <c:v>-5.8996450647456555</c:v>
                </c:pt>
                <c:pt idx="166">
                  <c:v>2.357336890413686</c:v>
                </c:pt>
                <c:pt idx="167">
                  <c:v>-3.5767398137029938</c:v>
                </c:pt>
                <c:pt idx="168">
                  <c:v>0.96746017342390633</c:v>
                </c:pt>
                <c:pt idx="169">
                  <c:v>-4.5512925890862688</c:v>
                </c:pt>
                <c:pt idx="170">
                  <c:v>11.696818889693983</c:v>
                </c:pt>
                <c:pt idx="171">
                  <c:v>-3.7774367011921406</c:v>
                </c:pt>
                <c:pt idx="172">
                  <c:v>15.622743532361145</c:v>
                </c:pt>
                <c:pt idx="173">
                  <c:v>52.62614024707073</c:v>
                </c:pt>
                <c:pt idx="174">
                  <c:v>60.837632906680675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8-124F-ABB5-42C61AF3AD3D}"/>
            </c:ext>
          </c:extLst>
        </c:ser>
        <c:ser>
          <c:idx val="1"/>
          <c:order val="0"/>
          <c:spPr>
            <a:ln w="63500">
              <a:noFill/>
            </a:ln>
            <a:effectLst/>
          </c:spPr>
          <c:marker>
            <c:symbol val="diamond"/>
            <c:size val="14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50366325586113303"/>
                  <c:y val="-0.19357262719209301"/>
                </c:manualLayout>
              </c:layout>
              <c:tx>
                <c:rich>
                  <a:bodyPr/>
                  <a:lstStyle/>
                  <a:p>
                    <a:pPr>
                      <a:defRPr sz="1600"/>
                    </a:pPr>
                    <a:r>
                      <a:rPr lang="en-US" sz="1600" baseline="0"/>
                      <a:t>y = 8.6x - 6.9
R² = 0.33</a:t>
                    </a:r>
                    <a:endParaRPr lang="en-US" sz="1600"/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>
                  <a:solidFill>
                    <a:srgbClr val="000000"/>
                  </a:solidFill>
                </a:ln>
              </c:spPr>
            </c:trendlineLbl>
          </c:trendline>
          <c:xVal>
            <c:numRef>
              <c:f>GE_WL!$AH$180:$AH$441</c:f>
              <c:numCache>
                <c:formatCode>0.0000</c:formatCode>
                <c:ptCount val="262"/>
                <c:pt idx="0">
                  <c:v>3.0868947052086626</c:v>
                </c:pt>
                <c:pt idx="1">
                  <c:v>2.6960524038752909</c:v>
                </c:pt>
                <c:pt idx="2">
                  <c:v>2.6246802121516297</c:v>
                </c:pt>
                <c:pt idx="3">
                  <c:v>2.6013288895585291</c:v>
                </c:pt>
                <c:pt idx="4">
                  <c:v>2.3232748912332295</c:v>
                </c:pt>
                <c:pt idx="5">
                  <c:v>2.2556730516361818</c:v>
                </c:pt>
                <c:pt idx="6">
                  <c:v>1.5979663033140761</c:v>
                </c:pt>
                <c:pt idx="7">
                  <c:v>1.4483703853027508</c:v>
                </c:pt>
                <c:pt idx="8">
                  <c:v>3.0421924557679625</c:v>
                </c:pt>
                <c:pt idx="9">
                  <c:v>2.56585301864077</c:v>
                </c:pt>
                <c:pt idx="10">
                  <c:v>2.2819939113679717</c:v>
                </c:pt>
                <c:pt idx="11">
                  <c:v>2.2130814440322788</c:v>
                </c:pt>
                <c:pt idx="12">
                  <c:v>1.567169367742697</c:v>
                </c:pt>
                <c:pt idx="13">
                  <c:v>1.4215358193055381</c:v>
                </c:pt>
                <c:pt idx="14">
                  <c:v>2.9996337677375871</c:v>
                </c:pt>
                <c:pt idx="15">
                  <c:v>2.531948719981806</c:v>
                </c:pt>
                <c:pt idx="16">
                  <c:v>2.2373266236699831</c:v>
                </c:pt>
                <c:pt idx="17">
                  <c:v>2.1686401297129607</c:v>
                </c:pt>
                <c:pt idx="18">
                  <c:v>1.5350550443621054</c:v>
                </c:pt>
                <c:pt idx="19">
                  <c:v>1.394499628031872</c:v>
                </c:pt>
                <c:pt idx="20">
                  <c:v>2.9609229280280371</c:v>
                </c:pt>
                <c:pt idx="21">
                  <c:v>2.4993953411213714</c:v>
                </c:pt>
                <c:pt idx="22">
                  <c:v>2.1246155743392241</c:v>
                </c:pt>
                <c:pt idx="23">
                  <c:v>1.5037257992832953</c:v>
                </c:pt>
                <c:pt idx="24">
                  <c:v>1.3708202734430697</c:v>
                </c:pt>
                <c:pt idx="25">
                  <c:v>2.9154341775812385</c:v>
                </c:pt>
                <c:pt idx="26">
                  <c:v>2.4632184455944803</c:v>
                </c:pt>
                <c:pt idx="27">
                  <c:v>2.0702272337360754</c:v>
                </c:pt>
                <c:pt idx="28">
                  <c:v>1.3670572820543492</c:v>
                </c:pt>
                <c:pt idx="29">
                  <c:v>2.8776409376518033</c:v>
                </c:pt>
                <c:pt idx="30">
                  <c:v>2.4248004524185611</c:v>
                </c:pt>
                <c:pt idx="31">
                  <c:v>2.0150720246773575</c:v>
                </c:pt>
                <c:pt idx="32">
                  <c:v>1.3745521919043875</c:v>
                </c:pt>
                <c:pt idx="33">
                  <c:v>2.8401098576753268</c:v>
                </c:pt>
                <c:pt idx="34">
                  <c:v>2.3878161938040869</c:v>
                </c:pt>
                <c:pt idx="35">
                  <c:v>1.9673231540970932</c:v>
                </c:pt>
                <c:pt idx="36">
                  <c:v>1.3461162032028562</c:v>
                </c:pt>
                <c:pt idx="37">
                  <c:v>2.7989624191981517</c:v>
                </c:pt>
                <c:pt idx="38">
                  <c:v>1.919013953762152</c:v>
                </c:pt>
                <c:pt idx="39">
                  <c:v>1.3168452457095339</c:v>
                </c:pt>
                <c:pt idx="40">
                  <c:v>2.7607329762465871</c:v>
                </c:pt>
                <c:pt idx="41">
                  <c:v>1.8739722295991847</c:v>
                </c:pt>
                <c:pt idx="42">
                  <c:v>1.2877566978348676</c:v>
                </c:pt>
                <c:pt idx="43">
                  <c:v>1.8367587306052831</c:v>
                </c:pt>
                <c:pt idx="44">
                  <c:v>1.2599575104730953</c:v>
                </c:pt>
                <c:pt idx="45">
                  <c:v>1.7994634391078965</c:v>
                </c:pt>
                <c:pt idx="46">
                  <c:v>1.2310082253497936</c:v>
                </c:pt>
                <c:pt idx="47">
                  <c:v>1.7632726488416055</c:v>
                </c:pt>
                <c:pt idx="48">
                  <c:v>1.2057875728895202</c:v>
                </c:pt>
                <c:pt idx="49">
                  <c:v>1.7149452480592271</c:v>
                </c:pt>
                <c:pt idx="50">
                  <c:v>1.1813288895585292</c:v>
                </c:pt>
                <c:pt idx="51">
                  <c:v>1.1558933107006486</c:v>
                </c:pt>
                <c:pt idx="52">
                  <c:v>1.1294738854216377</c:v>
                </c:pt>
                <c:pt idx="53">
                  <c:v>1.1028156048852229</c:v>
                </c:pt>
                <c:pt idx="54">
                  <c:v>1.0784434202106383</c:v>
                </c:pt>
                <c:pt idx="55">
                  <c:v>1.0514010906809603</c:v>
                </c:pt>
                <c:pt idx="56">
                  <c:v>1.0209965847504816</c:v>
                </c:pt>
                <c:pt idx="57">
                  <c:v>0.99228676730036958</c:v>
                </c:pt>
                <c:pt idx="58">
                  <c:v>0.96585404559959065</c:v>
                </c:pt>
                <c:pt idx="59">
                  <c:v>0.94686099884352315</c:v>
                </c:pt>
                <c:pt idx="60">
                  <c:v>0.92725057132731747</c:v>
                </c:pt>
                <c:pt idx="61">
                  <c:v>0.90683318586779882</c:v>
                </c:pt>
                <c:pt idx="62">
                  <c:v>0.88597981170674578</c:v>
                </c:pt>
                <c:pt idx="63">
                  <c:v>0.85625384067776678</c:v>
                </c:pt>
                <c:pt idx="64">
                  <c:v>0.82819800980449421</c:v>
                </c:pt>
                <c:pt idx="65">
                  <c:v>0.79448532579851039</c:v>
                </c:pt>
                <c:pt idx="66">
                  <c:v>0.76523991774205824</c:v>
                </c:pt>
                <c:pt idx="67">
                  <c:v>0.74332233440979012</c:v>
                </c:pt>
                <c:pt idx="68">
                  <c:v>0.72644667781262529</c:v>
                </c:pt>
                <c:pt idx="69">
                  <c:v>0.72156631271284555</c:v>
                </c:pt>
                <c:pt idx="70">
                  <c:v>0.70435056662793416</c:v>
                </c:pt>
                <c:pt idx="71">
                  <c:v>0.681747092355661</c:v>
                </c:pt>
                <c:pt idx="72">
                  <c:v>0.65773114369861618</c:v>
                </c:pt>
                <c:pt idx="73">
                  <c:v>0.61232889425791415</c:v>
                </c:pt>
                <c:pt idx="74" formatCode="0.000">
                  <c:v>2.3935933107006484</c:v>
                </c:pt>
                <c:pt idx="75" formatCode="0.000">
                  <c:v>2.3505738854216389</c:v>
                </c:pt>
                <c:pt idx="76" formatCode="0.000">
                  <c:v>2.3118156048852239</c:v>
                </c:pt>
                <c:pt idx="77" formatCode="0.000">
                  <c:v>2.2767434202106376</c:v>
                </c:pt>
                <c:pt idx="78" formatCode="0.000">
                  <c:v>2.2421010906809613</c:v>
                </c:pt>
                <c:pt idx="79" formatCode="0.000">
                  <c:v>2.2058965847504819</c:v>
                </c:pt>
                <c:pt idx="80" formatCode="0.000">
                  <c:v>2.1696867673003695</c:v>
                </c:pt>
                <c:pt idx="81" formatCode="0.000">
                  <c:v>2.1281540455995902</c:v>
                </c:pt>
                <c:pt idx="82" formatCode="0.000">
                  <c:v>2.0889609988435236</c:v>
                </c:pt>
                <c:pt idx="83" formatCode="0.000">
                  <c:v>2.0485505713273184</c:v>
                </c:pt>
                <c:pt idx="84" formatCode="0.000">
                  <c:v>2.0045331858677997</c:v>
                </c:pt>
                <c:pt idx="85" formatCode="0.000">
                  <c:v>1.9808798117067459</c:v>
                </c:pt>
                <c:pt idx="86" formatCode="0.000">
                  <c:v>1.9578538406777672</c:v>
                </c:pt>
                <c:pt idx="87" formatCode="0.000">
                  <c:v>1.9360980098044942</c:v>
                </c:pt>
                <c:pt idx="88" formatCode="0.000">
                  <c:v>1.9113853257985107</c:v>
                </c:pt>
                <c:pt idx="89" formatCode="0.000">
                  <c:v>1.887739917742058</c:v>
                </c:pt>
                <c:pt idx="90" formatCode="0.000">
                  <c:v>1.8694223344097904</c:v>
                </c:pt>
                <c:pt idx="91" formatCode="0.000">
                  <c:v>1.6491466778126254</c:v>
                </c:pt>
                <c:pt idx="92" formatCode="0.000">
                  <c:v>1.8071663127128443</c:v>
                </c:pt>
                <c:pt idx="93" formatCode="0.000">
                  <c:v>1.8004505666279333</c:v>
                </c:pt>
                <c:pt idx="94" formatCode="0.000">
                  <c:v>1.7729470923556627</c:v>
                </c:pt>
                <c:pt idx="95" formatCode="0.000">
                  <c:v>1.1646311436986172</c:v>
                </c:pt>
                <c:pt idx="96" formatCode="0.000">
                  <c:v>1.1184288942579135</c:v>
                </c:pt>
                <c:pt idx="97" formatCode="0.000">
                  <c:v>4.0705503382091868</c:v>
                </c:pt>
                <c:pt idx="98" formatCode="0.000">
                  <c:v>3.4445194843017637</c:v>
                </c:pt>
                <c:pt idx="99" formatCode="0.000">
                  <c:v>3.1516955413438135</c:v>
                </c:pt>
                <c:pt idx="100" formatCode="0.000">
                  <c:v>3.0008783584564283</c:v>
                </c:pt>
                <c:pt idx="101" formatCode="0.000">
                  <c:v>3.2615924910133449</c:v>
                </c:pt>
                <c:pt idx="102" formatCode="0.000">
                  <c:v>3.0964350043176188</c:v>
                </c:pt>
                <c:pt idx="103" formatCode="0.000">
                  <c:v>4.0373947052086629</c:v>
                </c:pt>
                <c:pt idx="104" formatCode="0.000">
                  <c:v>3.42052888955853</c:v>
                </c:pt>
                <c:pt idx="105" formatCode="0.000">
                  <c:v>3.1205748912332298</c:v>
                </c:pt>
                <c:pt idx="106" formatCode="0.000">
                  <c:v>3.7856730516361816</c:v>
                </c:pt>
                <c:pt idx="107" formatCode="0.000">
                  <c:v>3.2337663033140762</c:v>
                </c:pt>
                <c:pt idx="108" formatCode="0.000">
                  <c:v>3.0696703853027509</c:v>
                </c:pt>
                <c:pt idx="109" formatCode="0.000">
                  <c:v>3.9870924557679617</c:v>
                </c:pt>
                <c:pt idx="110" formatCode="0.000">
                  <c:v>3.3864530186407693</c:v>
                </c:pt>
                <c:pt idx="111" formatCode="0.000">
                  <c:v>3.7786814440322791</c:v>
                </c:pt>
                <c:pt idx="112" formatCode="0.000">
                  <c:v>3.2027693677426976</c:v>
                </c:pt>
                <c:pt idx="113" formatCode="0.000">
                  <c:v>3.0310358193055391</c:v>
                </c:pt>
                <c:pt idx="114" formatCode="0.000">
                  <c:v>3.9363337677375876</c:v>
                </c:pt>
                <c:pt idx="115" formatCode="0.000">
                  <c:v>3.3481487199818067</c:v>
                </c:pt>
                <c:pt idx="116" formatCode="0.000">
                  <c:v>3.7410401297129612</c:v>
                </c:pt>
                <c:pt idx="117" formatCode="0.000">
                  <c:v>2.9960996280318719</c:v>
                </c:pt>
                <c:pt idx="118" formatCode="0.000">
                  <c:v>3.8828229280280384</c:v>
                </c:pt>
                <c:pt idx="119" formatCode="0.000">
                  <c:v>3.3074953411213714</c:v>
                </c:pt>
                <c:pt idx="120" formatCode="0.000">
                  <c:v>3.7009155743392244</c:v>
                </c:pt>
                <c:pt idx="121" formatCode="0.000">
                  <c:v>2.9535202734430692</c:v>
                </c:pt>
                <c:pt idx="122" formatCode="0.000">
                  <c:v>3.8284341775812392</c:v>
                </c:pt>
                <c:pt idx="123" formatCode="0.000">
                  <c:v>3.2686184455944813</c:v>
                </c:pt>
                <c:pt idx="124" formatCode="0.000">
                  <c:v>3.660127233736076</c:v>
                </c:pt>
                <c:pt idx="125" formatCode="0.000">
                  <c:v>2.9459572820543505</c:v>
                </c:pt>
                <c:pt idx="126" formatCode="0.000">
                  <c:v>3.7887409376518049</c:v>
                </c:pt>
                <c:pt idx="127" formatCode="0.000">
                  <c:v>3.6221720246773588</c:v>
                </c:pt>
                <c:pt idx="128" formatCode="0.000">
                  <c:v>2.9589521919043884</c:v>
                </c:pt>
                <c:pt idx="129" formatCode="0.000">
                  <c:v>3.7360098576753265</c:v>
                </c:pt>
                <c:pt idx="130" formatCode="0.000">
                  <c:v>3.5806231540970943</c:v>
                </c:pt>
                <c:pt idx="131" formatCode="0.000">
                  <c:v>2.9403162032028556</c:v>
                </c:pt>
                <c:pt idx="132" formatCode="0.000">
                  <c:v>3.5398139537621534</c:v>
                </c:pt>
                <c:pt idx="133" formatCode="0.000">
                  <c:v>2.9093452457095355</c:v>
                </c:pt>
                <c:pt idx="134" formatCode="0.000">
                  <c:v>3.5004722295991852</c:v>
                </c:pt>
                <c:pt idx="135" formatCode="0.000">
                  <c:v>2.8816566978348677</c:v>
                </c:pt>
                <c:pt idx="136" formatCode="0.000">
                  <c:v>3.4643587306052828</c:v>
                </c:pt>
                <c:pt idx="137" formatCode="0.000">
                  <c:v>2.8446575104730956</c:v>
                </c:pt>
                <c:pt idx="138" formatCode="0.000">
                  <c:v>3.4180634391078977</c:v>
                </c:pt>
                <c:pt idx="139" formatCode="0.000">
                  <c:v>2.8065082253497939</c:v>
                </c:pt>
                <c:pt idx="140" formatCode="0.000">
                  <c:v>2.7656875728895214</c:v>
                </c:pt>
                <c:pt idx="141" formatCode="0.000">
                  <c:v>2.7222288895585303</c:v>
                </c:pt>
                <c:pt idx="142" formatCode="0.000">
                  <c:v>2.677693310700648</c:v>
                </c:pt>
                <c:pt idx="143" formatCode="0.000">
                  <c:v>2.6445738854216385</c:v>
                </c:pt>
                <c:pt idx="144" formatCode="0.000">
                  <c:v>2.6126156048852236</c:v>
                </c:pt>
                <c:pt idx="145" formatCode="0.000">
                  <c:v>2.5780434202106379</c:v>
                </c:pt>
                <c:pt idx="146" formatCode="0.000">
                  <c:v>2.5453010906809608</c:v>
                </c:pt>
                <c:pt idx="147" formatCode="0.000">
                  <c:v>2.5081965847504817</c:v>
                </c:pt>
                <c:pt idx="148" formatCode="0.000">
                  <c:v>2.4690867673003689</c:v>
                </c:pt>
                <c:pt idx="149" formatCode="0.000">
                  <c:v>2.4298540455995914</c:v>
                </c:pt>
                <c:pt idx="150" formatCode="0.000">
                  <c:v>2.3931609988435225</c:v>
                </c:pt>
                <c:pt idx="151" formatCode="0.000">
                  <c:v>2.3502505713273179</c:v>
                </c:pt>
                <c:pt idx="152" formatCode="0.000">
                  <c:v>2.3023331858677993</c:v>
                </c:pt>
                <c:pt idx="153" formatCode="0.000">
                  <c:v>2.2695798117067456</c:v>
                </c:pt>
                <c:pt idx="154" formatCode="0.000">
                  <c:v>2.2397538406777668</c:v>
                </c:pt>
                <c:pt idx="155" formatCode="0.000">
                  <c:v>2.2115980098044945</c:v>
                </c:pt>
                <c:pt idx="156" formatCode="0.000">
                  <c:v>2.1831853257985108</c:v>
                </c:pt>
                <c:pt idx="157" formatCode="0.000">
                  <c:v>2.1525399177420583</c:v>
                </c:pt>
                <c:pt idx="158" formatCode="0.000">
                  <c:v>2.1216223344097918</c:v>
                </c:pt>
                <c:pt idx="159" formatCode="0.000">
                  <c:v>2.0977466778126255</c:v>
                </c:pt>
                <c:pt idx="160" formatCode="0.000">
                  <c:v>2.0814663127128457</c:v>
                </c:pt>
                <c:pt idx="161" formatCode="0.000">
                  <c:v>2.055550566627935</c:v>
                </c:pt>
                <c:pt idx="162" formatCode="0.000">
                  <c:v>2.0289470923556623</c:v>
                </c:pt>
                <c:pt idx="163" formatCode="0.000">
                  <c:v>2.0001311436986162</c:v>
                </c:pt>
                <c:pt idx="164" formatCode="0.000">
                  <c:v>1.9718288942579132</c:v>
                </c:pt>
                <c:pt idx="165" formatCode="0.000">
                  <c:v>1.94464341316156</c:v>
                </c:pt>
                <c:pt idx="166" formatCode="0.000">
                  <c:v>1.9197092617073845</c:v>
                </c:pt>
                <c:pt idx="167" formatCode="0.000">
                  <c:v>1.8912460747956057</c:v>
                </c:pt>
                <c:pt idx="168" formatCode="0.000">
                  <c:v>1.8654438253549059</c:v>
                </c:pt>
                <c:pt idx="169" formatCode="0.000">
                  <c:v>1.8430272572329993</c:v>
                </c:pt>
                <c:pt idx="170" formatCode="0.000">
                  <c:v>1.8197387187570999</c:v>
                </c:pt>
                <c:pt idx="171" formatCode="0.000">
                  <c:v>1.7965307456034256</c:v>
                </c:pt>
                <c:pt idx="172" formatCode="0.000">
                  <c:v>1.7742712355360541</c:v>
                </c:pt>
                <c:pt idx="173" formatCode="0.000">
                  <c:v>1.7503448476143439</c:v>
                </c:pt>
                <c:pt idx="174" formatCode="0.000">
                  <c:v>1.7278583466082462</c:v>
                </c:pt>
                <c:pt idx="175" formatCode="0.000">
                  <c:v>1.7063139702099981</c:v>
                </c:pt>
                <c:pt idx="176" formatCode="0.000">
                  <c:v>1.6838859452633741</c:v>
                </c:pt>
                <c:pt idx="177" formatCode="0.000">
                  <c:v>1.6634575198718646</c:v>
                </c:pt>
                <c:pt idx="178" formatCode="0.000">
                  <c:v>1.6420783796036555</c:v>
                </c:pt>
                <c:pt idx="179" formatCode="0.000">
                  <c:v>1.6201814463819708</c:v>
                </c:pt>
                <c:pt idx="180" formatCode="0.000">
                  <c:v>1.5991260277020405</c:v>
                </c:pt>
                <c:pt idx="181" formatCode="0.000">
                  <c:v>1.5776430056676023</c:v>
                </c:pt>
                <c:pt idx="182" formatCode="0.000">
                  <c:v>1.5563562973899845</c:v>
                </c:pt>
                <c:pt idx="183" formatCode="0.000">
                  <c:v>1.5351661054413257</c:v>
                </c:pt>
                <c:pt idx="184" formatCode="0.000">
                  <c:v>1.5152657026467513</c:v>
                </c:pt>
                <c:pt idx="185" formatCode="0.000">
                  <c:v>1.4951765329575299</c:v>
                </c:pt>
                <c:pt idx="186" formatCode="0.000">
                  <c:v>1.4721573055512711</c:v>
                </c:pt>
                <c:pt idx="187" formatCode="0.000">
                  <c:v>1.4525552539833169</c:v>
                </c:pt>
                <c:pt idx="188" formatCode="0.000">
                  <c:v>1.4321198800472623</c:v>
                </c:pt>
                <c:pt idx="189" formatCode="0.000">
                  <c:v>1.4101740691962346</c:v>
                </c:pt>
                <c:pt idx="190" formatCode="0.000">
                  <c:v>1.3890292876537189</c:v>
                </c:pt>
                <c:pt idx="191" formatCode="0.000">
                  <c:v>1.3675225346322315</c:v>
                </c:pt>
                <c:pt idx="192" formatCode="0.000">
                  <c:v>1.3459656861989058</c:v>
                </c:pt>
                <c:pt idx="193" formatCode="0.000">
                  <c:v>1.3257501426861293</c:v>
                </c:pt>
                <c:pt idx="194" formatCode="0.000">
                  <c:v>1.3051910354133338</c:v>
                </c:pt>
                <c:pt idx="195" formatCode="0.000">
                  <c:v>1.2847067908970122</c:v>
                </c:pt>
                <c:pt idx="196" formatCode="0.000">
                  <c:v>1.2617270452620954</c:v>
                </c:pt>
                <c:pt idx="197" formatCode="0.000">
                  <c:v>1.2418932989521871</c:v>
                </c:pt>
                <c:pt idx="198" formatCode="0.000">
                  <c:v>1.2223783631558125</c:v>
                </c:pt>
                <c:pt idx="199" formatCode="0.000">
                  <c:v>1.2017894124865713</c:v>
                </c:pt>
                <c:pt idx="200" formatCode="0.000">
                  <c:v>1.1800295043240081</c:v>
                </c:pt>
                <c:pt idx="201" formatCode="0.000">
                  <c:v>1.1658444354209991</c:v>
                </c:pt>
                <c:pt idx="202" formatCode="0.000">
                  <c:v>2.1447933107006487</c:v>
                </c:pt>
                <c:pt idx="203" formatCode="0.000">
                  <c:v>2.076373885421638</c:v>
                </c:pt>
                <c:pt idx="204" formatCode="0.000">
                  <c:v>2.0227156048852222</c:v>
                </c:pt>
                <c:pt idx="205" formatCode="0.000">
                  <c:v>1.9766434202106367</c:v>
                </c:pt>
                <c:pt idx="206" formatCode="0.000">
                  <c:v>1.9459010906809602</c:v>
                </c:pt>
                <c:pt idx="207" formatCode="0.000">
                  <c:v>1.9260965847504816</c:v>
                </c:pt>
                <c:pt idx="208" formatCode="0.000">
                  <c:v>1.9073867673003693</c:v>
                </c:pt>
                <c:pt idx="209" formatCode="0.000">
                  <c:v>1.8889540455995912</c:v>
                </c:pt>
                <c:pt idx="210" formatCode="0.000">
                  <c:v>1.8552609988435225</c:v>
                </c:pt>
                <c:pt idx="211" formatCode="0.000">
                  <c:v>1.8162505713273176</c:v>
                </c:pt>
                <c:pt idx="212" formatCode="0.000">
                  <c:v>1.7785331858677984</c:v>
                </c:pt>
                <c:pt idx="213" formatCode="0.000">
                  <c:v>1.744879811706745</c:v>
                </c:pt>
                <c:pt idx="214" formatCode="0.000">
                  <c:v>1.7175538406777657</c:v>
                </c:pt>
                <c:pt idx="215" formatCode="0.000">
                  <c:v>1.6927980098044944</c:v>
                </c:pt>
                <c:pt idx="216" formatCode="0.000">
                  <c:v>1.6738853257985116</c:v>
                </c:pt>
                <c:pt idx="217" formatCode="0.000">
                  <c:v>1.6540399177420588</c:v>
                </c:pt>
                <c:pt idx="218" formatCode="0.000">
                  <c:v>1.6342223344097913</c:v>
                </c:pt>
                <c:pt idx="219" formatCode="0.000">
                  <c:v>1.6170466778126253</c:v>
                </c:pt>
                <c:pt idx="220" formatCode="0.000">
                  <c:v>1.6136663127128439</c:v>
                </c:pt>
                <c:pt idx="221" formatCode="0.000">
                  <c:v>1.5972505666279342</c:v>
                </c:pt>
                <c:pt idx="222" formatCode="0.000">
                  <c:v>1.5800470923556609</c:v>
                </c:pt>
                <c:pt idx="223" formatCode="0.000">
                  <c:v>1.5642311436986165</c:v>
                </c:pt>
                <c:pt idx="224" formatCode="0.000">
                  <c:v>1.5474288942579135</c:v>
                </c:pt>
                <c:pt idx="225" formatCode="0.000">
                  <c:v>1.5286434131615603</c:v>
                </c:pt>
                <c:pt idx="226" formatCode="0.000">
                  <c:v>1.5106092617073847</c:v>
                </c:pt>
                <c:pt idx="227" formatCode="0.000">
                  <c:v>1.4923460747956052</c:v>
                </c:pt>
                <c:pt idx="228" formatCode="0.000">
                  <c:v>1.4737438253549064</c:v>
                </c:pt>
                <c:pt idx="229" formatCode="0.000">
                  <c:v>1.4548272572329988</c:v>
                </c:pt>
                <c:pt idx="230" formatCode="0.000">
                  <c:v>1.434738718757099</c:v>
                </c:pt>
                <c:pt idx="231" formatCode="0.000">
                  <c:v>1.4139307456034245</c:v>
                </c:pt>
                <c:pt idx="232" formatCode="0.000">
                  <c:v>1.3935712355360539</c:v>
                </c:pt>
                <c:pt idx="233" formatCode="0.000">
                  <c:v>1.3718448476143439</c:v>
                </c:pt>
                <c:pt idx="234" formatCode="0.000">
                  <c:v>1.3499583466082465</c:v>
                </c:pt>
                <c:pt idx="235" formatCode="0.000">
                  <c:v>1.3276139702099985</c:v>
                </c:pt>
                <c:pt idx="236" formatCode="0.000">
                  <c:v>1.305385945263374</c:v>
                </c:pt>
                <c:pt idx="237" formatCode="0.000">
                  <c:v>1.2829575198718639</c:v>
                </c:pt>
                <c:pt idx="238" formatCode="0.000">
                  <c:v>1.2593783796036564</c:v>
                </c:pt>
                <c:pt idx="239" formatCode="0.000">
                  <c:v>1.2354814463819692</c:v>
                </c:pt>
                <c:pt idx="240" formatCode="0.000">
                  <c:v>1.2124260277020418</c:v>
                </c:pt>
                <c:pt idx="241" formatCode="0.000">
                  <c:v>1.1877430056676022</c:v>
                </c:pt>
                <c:pt idx="242" formatCode="0.000">
                  <c:v>1.1624562973899848</c:v>
                </c:pt>
                <c:pt idx="243" formatCode="0.000">
                  <c:v>1.1376661054413257</c:v>
                </c:pt>
                <c:pt idx="244" formatCode="0.000">
                  <c:v>1.112165702646752</c:v>
                </c:pt>
                <c:pt idx="245" formatCode="0.000">
                  <c:v>1.08927653295753</c:v>
                </c:pt>
                <c:pt idx="246" formatCode="0.000">
                  <c:v>1.0646573055512696</c:v>
                </c:pt>
                <c:pt idx="247" formatCode="0.000">
                  <c:v>1.0399552539833183</c:v>
                </c:pt>
                <c:pt idx="248" formatCode="0.000">
                  <c:v>1.0165198800472619</c:v>
                </c:pt>
                <c:pt idx="249" formatCode="0.000">
                  <c:v>0.99477406919623368</c:v>
                </c:pt>
                <c:pt idx="250" formatCode="0.000">
                  <c:v>0.97102928765371876</c:v>
                </c:pt>
                <c:pt idx="251" formatCode="0.000">
                  <c:v>0.94512253463223272</c:v>
                </c:pt>
                <c:pt idx="252" formatCode="0.000">
                  <c:v>0.92076568619890642</c:v>
                </c:pt>
                <c:pt idx="253" formatCode="0.000">
                  <c:v>0.89365014268613008</c:v>
                </c:pt>
                <c:pt idx="254" formatCode="0.000">
                  <c:v>0.86809103541333377</c:v>
                </c:pt>
                <c:pt idx="255" formatCode="0.000">
                  <c:v>0.84340679089701309</c:v>
                </c:pt>
                <c:pt idx="256" formatCode="0.000">
                  <c:v>0.81532704526209576</c:v>
                </c:pt>
                <c:pt idx="257" formatCode="0.000">
                  <c:v>0.78949329895218723</c:v>
                </c:pt>
                <c:pt idx="258" formatCode="0.000">
                  <c:v>0.76517836315581134</c:v>
                </c:pt>
                <c:pt idx="259" formatCode="0.000">
                  <c:v>0.74098941248656969</c:v>
                </c:pt>
                <c:pt idx="260" formatCode="0.000">
                  <c:v>0.71552950432400797</c:v>
                </c:pt>
                <c:pt idx="261" formatCode="0.000">
                  <c:v>0.69674443542099906</c:v>
                </c:pt>
              </c:numCache>
            </c:numRef>
          </c:xVal>
          <c:yVal>
            <c:numRef>
              <c:f>GE_WL!$AJ$180:$AJ$441</c:f>
              <c:numCache>
                <c:formatCode>0.00</c:formatCode>
                <c:ptCount val="262"/>
                <c:pt idx="0">
                  <c:v>14.154516202041334</c:v>
                </c:pt>
                <c:pt idx="1">
                  <c:v>9.0354307632750341</c:v>
                </c:pt>
                <c:pt idx="2">
                  <c:v>7.0477947891964465</c:v>
                </c:pt>
                <c:pt idx="3">
                  <c:v>9.2837845983527387</c:v>
                </c:pt>
                <c:pt idx="4">
                  <c:v>12.969365667025636</c:v>
                </c:pt>
                <c:pt idx="5">
                  <c:v>15.723226922029543</c:v>
                </c:pt>
                <c:pt idx="6">
                  <c:v>8.9999680636496961</c:v>
                </c:pt>
                <c:pt idx="7">
                  <c:v>6.2344630833039139</c:v>
                </c:pt>
                <c:pt idx="8">
                  <c:v>12.480904203521725</c:v>
                </c:pt>
                <c:pt idx="9">
                  <c:v>6.839133827870354</c:v>
                </c:pt>
                <c:pt idx="10">
                  <c:v>16.841106005933895</c:v>
                </c:pt>
                <c:pt idx="11">
                  <c:v>17.271546831429983</c:v>
                </c:pt>
                <c:pt idx="12">
                  <c:v>10.554734185815757</c:v>
                </c:pt>
                <c:pt idx="13">
                  <c:v>9.5809129748864343</c:v>
                </c:pt>
                <c:pt idx="14">
                  <c:v>9.1015796546414549</c:v>
                </c:pt>
                <c:pt idx="15">
                  <c:v>5.740736246635314</c:v>
                </c:pt>
                <c:pt idx="16">
                  <c:v>18.385673577457908</c:v>
                </c:pt>
                <c:pt idx="17">
                  <c:v>19.258001675288746</c:v>
                </c:pt>
                <c:pt idx="18">
                  <c:v>6.7966510994523821</c:v>
                </c:pt>
                <c:pt idx="19">
                  <c:v>7.5904884507735044</c:v>
                </c:pt>
                <c:pt idx="20">
                  <c:v>16.341429045416046</c:v>
                </c:pt>
                <c:pt idx="21">
                  <c:v>9.6156096728644371</c:v>
                </c:pt>
                <c:pt idx="22">
                  <c:v>28.313129909996565</c:v>
                </c:pt>
                <c:pt idx="23">
                  <c:v>2.3280580405790197</c:v>
                </c:pt>
                <c:pt idx="24">
                  <c:v>-13.251543685711177</c:v>
                </c:pt>
                <c:pt idx="25">
                  <c:v>9.13093895886675</c:v>
                </c:pt>
                <c:pt idx="26">
                  <c:v>12.128302897433327</c:v>
                </c:pt>
                <c:pt idx="27">
                  <c:v>27.853442590257771</c:v>
                </c:pt>
                <c:pt idx="28">
                  <c:v>-25.770297340586225</c:v>
                </c:pt>
                <c:pt idx="29">
                  <c:v>9.3359198423635412</c:v>
                </c:pt>
                <c:pt idx="30">
                  <c:v>10.866267822689588</c:v>
                </c:pt>
                <c:pt idx="31">
                  <c:v>19.248494432963238</c:v>
                </c:pt>
                <c:pt idx="32">
                  <c:v>9.2055386043178231</c:v>
                </c:pt>
                <c:pt idx="33">
                  <c:v>12.573000756535802</c:v>
                </c:pt>
                <c:pt idx="34">
                  <c:v>11.469914943837573</c:v>
                </c:pt>
                <c:pt idx="35">
                  <c:v>20.564767384894242</c:v>
                </c:pt>
                <c:pt idx="36">
                  <c:v>8.7132815394478982</c:v>
                </c:pt>
                <c:pt idx="37">
                  <c:v>9.2911168399625979</c:v>
                </c:pt>
                <c:pt idx="38">
                  <c:v>24.721938495631434</c:v>
                </c:pt>
                <c:pt idx="39">
                  <c:v>8.9640674203299255</c:v>
                </c:pt>
                <c:pt idx="40">
                  <c:v>9.1881907975527088</c:v>
                </c:pt>
                <c:pt idx="41">
                  <c:v>11.410251786160979</c:v>
                </c:pt>
                <c:pt idx="42">
                  <c:v>7.0789213415719754</c:v>
                </c:pt>
                <c:pt idx="43">
                  <c:v>14.178522630184322</c:v>
                </c:pt>
                <c:pt idx="44">
                  <c:v>8.3642274920172532</c:v>
                </c:pt>
                <c:pt idx="45">
                  <c:v>8.0350280149195719</c:v>
                </c:pt>
                <c:pt idx="46">
                  <c:v>5.9594888188254185</c:v>
                </c:pt>
                <c:pt idx="47">
                  <c:v>10.393431137677617</c:v>
                </c:pt>
                <c:pt idx="48">
                  <c:v>5.6622401522079313</c:v>
                </c:pt>
                <c:pt idx="49">
                  <c:v>17.035418375885921</c:v>
                </c:pt>
                <c:pt idx="50">
                  <c:v>6.093811785914232</c:v>
                </c:pt>
                <c:pt idx="51">
                  <c:v>11.015175688425533</c:v>
                </c:pt>
                <c:pt idx="52">
                  <c:v>5.6947444958647386</c:v>
                </c:pt>
                <c:pt idx="53">
                  <c:v>3.9303599212226015</c:v>
                </c:pt>
                <c:pt idx="54">
                  <c:v>5.057443635654395</c:v>
                </c:pt>
                <c:pt idx="55">
                  <c:v>16.35571371867265</c:v>
                </c:pt>
                <c:pt idx="56">
                  <c:v>8.7777292866804757</c:v>
                </c:pt>
                <c:pt idx="57">
                  <c:v>7.6843228316337768</c:v>
                </c:pt>
                <c:pt idx="58">
                  <c:v>1.6242659840085238</c:v>
                </c:pt>
                <c:pt idx="59">
                  <c:v>2.7139643798940738</c:v>
                </c:pt>
                <c:pt idx="60">
                  <c:v>-2.883326986762702</c:v>
                </c:pt>
                <c:pt idx="61">
                  <c:v>-7.8232290841960905</c:v>
                </c:pt>
                <c:pt idx="62">
                  <c:v>-4.8853298888598173</c:v>
                </c:pt>
                <c:pt idx="63">
                  <c:v>-6.2650090333922215E-2</c:v>
                </c:pt>
                <c:pt idx="64">
                  <c:v>2.5864402271873166</c:v>
                </c:pt>
                <c:pt idx="65">
                  <c:v>7.9932721657620842</c:v>
                </c:pt>
                <c:pt idx="66">
                  <c:v>13.363199999999999</c:v>
                </c:pt>
                <c:pt idx="67">
                  <c:v>9.9173523473489595</c:v>
                </c:pt>
                <c:pt idx="68">
                  <c:v>-0.48186006758389244</c:v>
                </c:pt>
                <c:pt idx="69">
                  <c:v>13.449600000000002</c:v>
                </c:pt>
                <c:pt idx="70">
                  <c:v>13.204800000000001</c:v>
                </c:pt>
                <c:pt idx="71">
                  <c:v>5.1407999999999987</c:v>
                </c:pt>
                <c:pt idx="72">
                  <c:v>3.0240000000000045</c:v>
                </c:pt>
                <c:pt idx="73">
                  <c:v>0</c:v>
                </c:pt>
                <c:pt idx="74">
                  <c:v>32.293127129462341</c:v>
                </c:pt>
                <c:pt idx="75">
                  <c:v>26.349965501658623</c:v>
                </c:pt>
                <c:pt idx="76">
                  <c:v>20.602434062651653</c:v>
                </c:pt>
                <c:pt idx="77">
                  <c:v>28.535780423817457</c:v>
                </c:pt>
                <c:pt idx="78">
                  <c:v>22.215100794748579</c:v>
                </c:pt>
                <c:pt idx="79">
                  <c:v>18.489628663529075</c:v>
                </c:pt>
                <c:pt idx="80">
                  <c:v>16.639015834679181</c:v>
                </c:pt>
                <c:pt idx="81">
                  <c:v>34.811482193524228</c:v>
                </c:pt>
                <c:pt idx="82">
                  <c:v>9.0378747644363457</c:v>
                </c:pt>
                <c:pt idx="83">
                  <c:v>15.727804140015467</c:v>
                </c:pt>
                <c:pt idx="84">
                  <c:v>3.2688450912724321</c:v>
                </c:pt>
                <c:pt idx="85">
                  <c:v>9.9278997740990231</c:v>
                </c:pt>
                <c:pt idx="86">
                  <c:v>5.0041994278655544</c:v>
                </c:pt>
                <c:pt idx="87">
                  <c:v>9.5706882410562457</c:v>
                </c:pt>
                <c:pt idx="88">
                  <c:v>10.083357123997592</c:v>
                </c:pt>
                <c:pt idx="89">
                  <c:v>4.9559293197706094</c:v>
                </c:pt>
                <c:pt idx="92">
                  <c:v>-6.0032232136566961</c:v>
                </c:pt>
                <c:pt idx="93">
                  <c:v>14.961209645573195</c:v>
                </c:pt>
                <c:pt idx="94">
                  <c:v>-5.2110750501723047</c:v>
                </c:pt>
                <c:pt idx="95">
                  <c:v>-6.0700000000001042</c:v>
                </c:pt>
                <c:pt idx="96">
                  <c:v>-5.0699999999999923</c:v>
                </c:pt>
                <c:pt idx="97">
                  <c:v>76.576000522258894</c:v>
                </c:pt>
                <c:pt idx="98">
                  <c:v>25.114055757523623</c:v>
                </c:pt>
                <c:pt idx="99">
                  <c:v>21.670585310559929</c:v>
                </c:pt>
                <c:pt idx="101">
                  <c:v>11.842903438868602</c:v>
                </c:pt>
                <c:pt idx="102">
                  <c:v>5.3204751586813881</c:v>
                </c:pt>
                <c:pt idx="103">
                  <c:v>32.727602890206306</c:v>
                </c:pt>
                <c:pt idx="104">
                  <c:v>17.924130881619501</c:v>
                </c:pt>
                <c:pt idx="105">
                  <c:v>25.352211692552665</c:v>
                </c:pt>
                <c:pt idx="106">
                  <c:v>-12.559589110109535</c:v>
                </c:pt>
                <c:pt idx="107">
                  <c:v>5.3413838918235657</c:v>
                </c:pt>
                <c:pt idx="108">
                  <c:v>16.332581756374495</c:v>
                </c:pt>
                <c:pt idx="109">
                  <c:v>33.176623044260182</c:v>
                </c:pt>
                <c:pt idx="110">
                  <c:v>24.099202472238549</c:v>
                </c:pt>
                <c:pt idx="111">
                  <c:v>16.215926195515195</c:v>
                </c:pt>
                <c:pt idx="112">
                  <c:v>11.272754696107125</c:v>
                </c:pt>
                <c:pt idx="113">
                  <c:v>14.194379491099323</c:v>
                </c:pt>
                <c:pt idx="114">
                  <c:v>35.923110136285523</c:v>
                </c:pt>
                <c:pt idx="115">
                  <c:v>25.849687140150813</c:v>
                </c:pt>
                <c:pt idx="116">
                  <c:v>22.671957312482217</c:v>
                </c:pt>
                <c:pt idx="117">
                  <c:v>21.596694523603741</c:v>
                </c:pt>
                <c:pt idx="118">
                  <c:v>43.428434144931025</c:v>
                </c:pt>
                <c:pt idx="119">
                  <c:v>23.572478895356632</c:v>
                </c:pt>
                <c:pt idx="120">
                  <c:v>27.310272233608657</c:v>
                </c:pt>
                <c:pt idx="121">
                  <c:v>-13.94392825172638</c:v>
                </c:pt>
                <c:pt idx="122">
                  <c:v>27.474285785189856</c:v>
                </c:pt>
                <c:pt idx="123">
                  <c:v>24.177093906381547</c:v>
                </c:pt>
                <c:pt idx="124">
                  <c:v>24.868161403737918</c:v>
                </c:pt>
                <c:pt idx="125">
                  <c:v>-35.079443078957276</c:v>
                </c:pt>
                <c:pt idx="126">
                  <c:v>39.255544551259106</c:v>
                </c:pt>
                <c:pt idx="127">
                  <c:v>25.163349535879448</c:v>
                </c:pt>
                <c:pt idx="128">
                  <c:v>-3.5594380909003265</c:v>
                </c:pt>
                <c:pt idx="129">
                  <c:v>34.074644537712253</c:v>
                </c:pt>
                <c:pt idx="130">
                  <c:v>28.757220906537448</c:v>
                </c:pt>
                <c:pt idx="131">
                  <c:v>7.7159145993558065</c:v>
                </c:pt>
                <c:pt idx="132">
                  <c:v>24.897078554911189</c:v>
                </c:pt>
                <c:pt idx="133">
                  <c:v>15.112910128221571</c:v>
                </c:pt>
                <c:pt idx="134">
                  <c:v>17.566663861910566</c:v>
                </c:pt>
                <c:pt idx="135">
                  <c:v>15.739227997893952</c:v>
                </c:pt>
                <c:pt idx="136">
                  <c:v>23.197106234509668</c:v>
                </c:pt>
                <c:pt idx="137">
                  <c:v>16.099028971229743</c:v>
                </c:pt>
                <c:pt idx="138">
                  <c:v>23.794553762568071</c:v>
                </c:pt>
                <c:pt idx="139">
                  <c:v>17.906845772023495</c:v>
                </c:pt>
                <c:pt idx="140">
                  <c:v>20.015187029673591</c:v>
                </c:pt>
                <c:pt idx="141">
                  <c:v>29.193934360205994</c:v>
                </c:pt>
                <c:pt idx="142">
                  <c:v>15.777037055302722</c:v>
                </c:pt>
                <c:pt idx="143">
                  <c:v>14.864436727347067</c:v>
                </c:pt>
                <c:pt idx="144">
                  <c:v>14.098371767342979</c:v>
                </c:pt>
                <c:pt idx="145">
                  <c:v>14.931207691465183</c:v>
                </c:pt>
                <c:pt idx="146">
                  <c:v>11.733069915397628</c:v>
                </c:pt>
                <c:pt idx="147">
                  <c:v>13.886855674006373</c:v>
                </c:pt>
                <c:pt idx="148">
                  <c:v>20.090834447837604</c:v>
                </c:pt>
                <c:pt idx="149">
                  <c:v>9.7471852729933239</c:v>
                </c:pt>
                <c:pt idx="150">
                  <c:v>20.57219192980299</c:v>
                </c:pt>
                <c:pt idx="151">
                  <c:v>22.945082383726032</c:v>
                </c:pt>
                <c:pt idx="152">
                  <c:v>9.7535549717860945</c:v>
                </c:pt>
                <c:pt idx="153">
                  <c:v>8.1305602069430769</c:v>
                </c:pt>
                <c:pt idx="154">
                  <c:v>8.602693996792393</c:v>
                </c:pt>
                <c:pt idx="155">
                  <c:v>10.946237297955292</c:v>
                </c:pt>
                <c:pt idx="156">
                  <c:v>13.589583779788438</c:v>
                </c:pt>
                <c:pt idx="157">
                  <c:v>12.228366820038495</c:v>
                </c:pt>
                <c:pt idx="158">
                  <c:v>7.2839827802081398</c:v>
                </c:pt>
                <c:pt idx="159">
                  <c:v>0.50879672029718437</c:v>
                </c:pt>
                <c:pt idx="160">
                  <c:v>13.373785779760111</c:v>
                </c:pt>
                <c:pt idx="161">
                  <c:v>12.449419530532712</c:v>
                </c:pt>
                <c:pt idx="162">
                  <c:v>10.391201934159273</c:v>
                </c:pt>
                <c:pt idx="163">
                  <c:v>10.384080211698601</c:v>
                </c:pt>
                <c:pt idx="164">
                  <c:v>7.2196983464759823</c:v>
                </c:pt>
                <c:pt idx="165">
                  <c:v>13.419423188444295</c:v>
                </c:pt>
                <c:pt idx="166">
                  <c:v>13.272920470254473</c:v>
                </c:pt>
                <c:pt idx="167">
                  <c:v>10.102926714582253</c:v>
                </c:pt>
                <c:pt idx="168">
                  <c:v>10.201309896267592</c:v>
                </c:pt>
                <c:pt idx="169">
                  <c:v>7.4483004024267156</c:v>
                </c:pt>
                <c:pt idx="170">
                  <c:v>5.6576661193491162</c:v>
                </c:pt>
                <c:pt idx="171">
                  <c:v>5.681634476832464</c:v>
                </c:pt>
                <c:pt idx="172">
                  <c:v>5.9808424612383941</c:v>
                </c:pt>
                <c:pt idx="173">
                  <c:v>5.2868427880805724</c:v>
                </c:pt>
                <c:pt idx="174">
                  <c:v>3.4658347167495518</c:v>
                </c:pt>
                <c:pt idx="175">
                  <c:v>3.4718426852914019</c:v>
                </c:pt>
                <c:pt idx="176">
                  <c:v>-4.7807999999999984</c:v>
                </c:pt>
                <c:pt idx="177">
                  <c:v>-1.5983999999999998</c:v>
                </c:pt>
                <c:pt idx="178">
                  <c:v>-4.104000000000001</c:v>
                </c:pt>
                <c:pt idx="179">
                  <c:v>-2.4191999999999991</c:v>
                </c:pt>
                <c:pt idx="180">
                  <c:v>-2.3328000000000015</c:v>
                </c:pt>
                <c:pt idx="181">
                  <c:v>-0.7185599999999992</c:v>
                </c:pt>
                <c:pt idx="182">
                  <c:v>-1.4371199999999984</c:v>
                </c:pt>
                <c:pt idx="183">
                  <c:v>-0.63072000000000017</c:v>
                </c:pt>
                <c:pt idx="184">
                  <c:v>0.5731200000000003</c:v>
                </c:pt>
                <c:pt idx="185">
                  <c:v>1.1203200000000013</c:v>
                </c:pt>
                <c:pt idx="186">
                  <c:v>-7.128000000000001</c:v>
                </c:pt>
                <c:pt idx="187">
                  <c:v>-6.6528000000000009</c:v>
                </c:pt>
                <c:pt idx="188">
                  <c:v>-12.369599999999998</c:v>
                </c:pt>
                <c:pt idx="189">
                  <c:v>-10.411200000000003</c:v>
                </c:pt>
                <c:pt idx="190">
                  <c:v>-8.7696000000000005</c:v>
                </c:pt>
                <c:pt idx="191">
                  <c:v>-9.8352000000000004</c:v>
                </c:pt>
                <c:pt idx="192">
                  <c:v>-10.526400000000002</c:v>
                </c:pt>
                <c:pt idx="193">
                  <c:v>-9.8064000000000018</c:v>
                </c:pt>
                <c:pt idx="194">
                  <c:v>-0.8524799999999999</c:v>
                </c:pt>
                <c:pt idx="195">
                  <c:v>1.2196799999999985</c:v>
                </c:pt>
                <c:pt idx="196">
                  <c:v>7.4015999999999993</c:v>
                </c:pt>
                <c:pt idx="197">
                  <c:v>2.2320000000000007</c:v>
                </c:pt>
                <c:pt idx="198">
                  <c:v>1.9584000000000001</c:v>
                </c:pt>
                <c:pt idx="199">
                  <c:v>5.2127999999999997</c:v>
                </c:pt>
                <c:pt idx="200">
                  <c:v>7.6608000000000231E-2</c:v>
                </c:pt>
                <c:pt idx="201">
                  <c:v>-1.3852799999999998</c:v>
                </c:pt>
                <c:pt idx="202">
                  <c:v>54.372652006950915</c:v>
                </c:pt>
                <c:pt idx="203">
                  <c:v>49.679999999999993</c:v>
                </c:pt>
                <c:pt idx="204">
                  <c:v>35.423999999999999</c:v>
                </c:pt>
                <c:pt idx="205">
                  <c:v>23.939984227144446</c:v>
                </c:pt>
                <c:pt idx="206">
                  <c:v>16.847999999999999</c:v>
                </c:pt>
                <c:pt idx="207">
                  <c:v>9.1872000000000007</c:v>
                </c:pt>
                <c:pt idx="208">
                  <c:v>9.7056000000000004</c:v>
                </c:pt>
                <c:pt idx="209">
                  <c:v>9.979199999999997</c:v>
                </c:pt>
                <c:pt idx="210">
                  <c:v>35.28</c:v>
                </c:pt>
                <c:pt idx="211">
                  <c:v>28.512</c:v>
                </c:pt>
                <c:pt idx="212">
                  <c:v>24.471695916804176</c:v>
                </c:pt>
                <c:pt idx="213">
                  <c:v>17.568000000000001</c:v>
                </c:pt>
                <c:pt idx="214">
                  <c:v>18.863999999999997</c:v>
                </c:pt>
                <c:pt idx="215">
                  <c:v>14.327999999999999</c:v>
                </c:pt>
                <c:pt idx="216">
                  <c:v>12.312000000000001</c:v>
                </c:pt>
                <c:pt idx="217">
                  <c:v>7.5455999999999985</c:v>
                </c:pt>
                <c:pt idx="218">
                  <c:v>8.1496190140176274</c:v>
                </c:pt>
                <c:pt idx="219">
                  <c:v>-5.083484713075169</c:v>
                </c:pt>
                <c:pt idx="220">
                  <c:v>13.881599999999999</c:v>
                </c:pt>
                <c:pt idx="221">
                  <c:v>9.863999999999999</c:v>
                </c:pt>
                <c:pt idx="222">
                  <c:v>6.3648000000000007</c:v>
                </c:pt>
                <c:pt idx="223">
                  <c:v>5.8607999999999993</c:v>
                </c:pt>
                <c:pt idx="224">
                  <c:v>7.8336000000000006</c:v>
                </c:pt>
                <c:pt idx="225">
                  <c:v>6.2783999999999995</c:v>
                </c:pt>
                <c:pt idx="226">
                  <c:v>5.4143999999999988</c:v>
                </c:pt>
                <c:pt idx="227">
                  <c:v>6.4511999999999992</c:v>
                </c:pt>
                <c:pt idx="228">
                  <c:v>11.059199999999997</c:v>
                </c:pt>
                <c:pt idx="229">
                  <c:v>9.3023999999999987</c:v>
                </c:pt>
                <c:pt idx="230">
                  <c:v>7.0991999999999988</c:v>
                </c:pt>
                <c:pt idx="231">
                  <c:v>6.0624000000000011</c:v>
                </c:pt>
                <c:pt idx="232">
                  <c:v>4.8527999999999993</c:v>
                </c:pt>
                <c:pt idx="233">
                  <c:v>3.6143999999999998</c:v>
                </c:pt>
                <c:pt idx="234">
                  <c:v>4.2255134218871415</c:v>
                </c:pt>
                <c:pt idx="235">
                  <c:v>4.2623999999999995</c:v>
                </c:pt>
                <c:pt idx="236">
                  <c:v>10.396800000000002</c:v>
                </c:pt>
                <c:pt idx="237">
                  <c:v>-0.26784000000000141</c:v>
                </c:pt>
                <c:pt idx="238">
                  <c:v>-0.12830399999999909</c:v>
                </c:pt>
                <c:pt idx="239">
                  <c:v>0.96191999999999833</c:v>
                </c:pt>
                <c:pt idx="240">
                  <c:v>1.8432000000000004</c:v>
                </c:pt>
                <c:pt idx="241">
                  <c:v>-0.38736000000000104</c:v>
                </c:pt>
                <c:pt idx="242">
                  <c:v>1.1231999999999998</c:v>
                </c:pt>
                <c:pt idx="243">
                  <c:v>3.0527999999999977</c:v>
                </c:pt>
                <c:pt idx="244">
                  <c:v>-1.7711999999999994</c:v>
                </c:pt>
                <c:pt idx="245">
                  <c:v>-0.48528000000000127</c:v>
                </c:pt>
                <c:pt idx="246">
                  <c:v>1.2844800000000012</c:v>
                </c:pt>
                <c:pt idx="247">
                  <c:v>-2.2319999999999984</c:v>
                </c:pt>
                <c:pt idx="248">
                  <c:v>-9.7775999999999996</c:v>
                </c:pt>
                <c:pt idx="249">
                  <c:v>-5.4576000000000002</c:v>
                </c:pt>
                <c:pt idx="250">
                  <c:v>-3.0527999999999977</c:v>
                </c:pt>
                <c:pt idx="251">
                  <c:v>-4.5359999999999978</c:v>
                </c:pt>
                <c:pt idx="252">
                  <c:v>-6.120000000000001</c:v>
                </c:pt>
                <c:pt idx="253">
                  <c:v>-9.3455999999999975</c:v>
                </c:pt>
                <c:pt idx="254">
                  <c:v>-1.2124800000000002</c:v>
                </c:pt>
                <c:pt idx="255">
                  <c:v>3.0384000000000011</c:v>
                </c:pt>
                <c:pt idx="256">
                  <c:v>16.992000000000001</c:v>
                </c:pt>
                <c:pt idx="257">
                  <c:v>-3.024</c:v>
                </c:pt>
                <c:pt idx="258">
                  <c:v>-2.6495999999999986</c:v>
                </c:pt>
                <c:pt idx="259">
                  <c:v>7.1711999999999998</c:v>
                </c:pt>
                <c:pt idx="260">
                  <c:v>2.8224000000000005</c:v>
                </c:pt>
                <c:pt idx="261">
                  <c:v>-11.664000000000003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8-124F-ABB5-42C61AF3A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8988000"/>
        <c:axId val="-2028936048"/>
      </c:scatterChart>
      <c:valAx>
        <c:axId val="-2028988000"/>
        <c:scaling>
          <c:orientation val="minMax"/>
          <c:max val="4.5"/>
          <c:min val="0.5"/>
        </c:scaling>
        <c:delete val="0"/>
        <c:axPos val="b"/>
        <c:numFmt formatCode="#,##0.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8936048"/>
        <c:crossesAt val="-30"/>
        <c:crossBetween val="midCat"/>
        <c:majorUnit val="1"/>
      </c:valAx>
      <c:valAx>
        <c:axId val="-2028936048"/>
        <c:scaling>
          <c:orientation val="minMax"/>
          <c:max val="60"/>
          <c:min val="-30"/>
        </c:scaling>
        <c:delete val="0"/>
        <c:axPos val="l"/>
        <c:numFmt formatCode="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8988000"/>
        <c:crosses val="autoZero"/>
        <c:crossBetween val="midCat"/>
        <c:majorUnit val="15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sz="2800"/>
              <a:t>Tank</a:t>
            </a:r>
            <a:r>
              <a:rPr lang="en-US" sz="2800" baseline="0"/>
              <a:t> 1 </a:t>
            </a:r>
          </a:p>
          <a:p>
            <a:pPr algn="ctr">
              <a:defRPr/>
            </a:pPr>
            <a:endParaRPr lang="en-US" sz="2800"/>
          </a:p>
        </c:rich>
      </c:tx>
      <c:layout>
        <c:manualLayout>
          <c:xMode val="edge"/>
          <c:yMode val="edge"/>
          <c:x val="0.45090695058466501"/>
          <c:y val="9.933774834437079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09378335380701"/>
          <c:y val="0.101894326293325"/>
          <c:w val="0.86428217572547705"/>
          <c:h val="0.61365310177349297"/>
        </c:manualLayout>
      </c:layout>
      <c:areaChart>
        <c:grouping val="standard"/>
        <c:varyColors val="0"/>
        <c:ser>
          <c:idx val="3"/>
          <c:order val="3"/>
          <c:spPr>
            <a:solidFill>
              <a:schemeClr val="accent1">
                <a:lumMod val="75000"/>
              </a:schemeClr>
            </a:solidFill>
            <a:ln w="63500"/>
          </c:spPr>
          <c:dPt>
            <c:idx val="68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B417-6A4F-ACAE-40AEDBD8A7DA}"/>
              </c:ext>
            </c:extLst>
          </c:dPt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17-6A4F-ACAE-40AEDBD8A7DA}"/>
            </c:ext>
          </c:extLst>
        </c:ser>
        <c:ser>
          <c:idx val="2"/>
          <c:order val="2"/>
          <c:spPr>
            <a:solidFill>
              <a:schemeClr val="bg1">
                <a:lumMod val="75000"/>
                <a:alpha val="41000"/>
              </a:schemeClr>
            </a:solidFill>
            <a:ln w="127000" cmpd="sng">
              <a:noFill/>
            </a:ln>
          </c:spPr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 (2)'!$E$23:$E$117</c:f>
              <c:numCache>
                <c:formatCode>0.0000</c:formatCode>
                <c:ptCount val="95"/>
                <c:pt idx="0">
                  <c:v>3.001481022440164</c:v>
                </c:pt>
                <c:pt idx="1">
                  <c:v>3.0295143565567302</c:v>
                </c:pt>
                <c:pt idx="2">
                  <c:v>3.1842159959313361</c:v>
                </c:pt>
                <c:pt idx="3">
                  <c:v>3.1727063881024375</c:v>
                </c:pt>
                <c:pt idx="4">
                  <c:v>3.1319503382091853</c:v>
                </c:pt>
                <c:pt idx="5">
                  <c:v>3.0868947052086626</c:v>
                </c:pt>
                <c:pt idx="6">
                  <c:v>3.0421924557679625</c:v>
                </c:pt>
                <c:pt idx="7">
                  <c:v>2.9996337677375871</c:v>
                </c:pt>
                <c:pt idx="8">
                  <c:v>2.9609229280280371</c:v>
                </c:pt>
                <c:pt idx="9">
                  <c:v>2.9154341775812385</c:v>
                </c:pt>
                <c:pt idx="10">
                  <c:v>2.8776409376518033</c:v>
                </c:pt>
                <c:pt idx="11">
                  <c:v>2.8401098576753268</c:v>
                </c:pt>
                <c:pt idx="12">
                  <c:v>2.7989624191981517</c:v>
                </c:pt>
                <c:pt idx="13">
                  <c:v>2.7607329762465871</c:v>
                </c:pt>
                <c:pt idx="14">
                  <c:v>2.7228466778126248</c:v>
                </c:pt>
                <c:pt idx="15">
                  <c:v>2.6960524038752909</c:v>
                </c:pt>
                <c:pt idx="16">
                  <c:v>2.6588710094669961</c:v>
                </c:pt>
                <c:pt idx="17">
                  <c:v>2.6246802121516297</c:v>
                </c:pt>
                <c:pt idx="18">
                  <c:v>2.5902771477230098</c:v>
                </c:pt>
                <c:pt idx="19">
                  <c:v>2.6102194843017643</c:v>
                </c:pt>
                <c:pt idx="20">
                  <c:v>2.6013288895585291</c:v>
                </c:pt>
                <c:pt idx="21">
                  <c:v>2.56585301864077</c:v>
                </c:pt>
                <c:pt idx="22">
                  <c:v>2.531948719981806</c:v>
                </c:pt>
                <c:pt idx="23">
                  <c:v>2.4993953411213714</c:v>
                </c:pt>
                <c:pt idx="24">
                  <c:v>2.4632184455944803</c:v>
                </c:pt>
                <c:pt idx="25">
                  <c:v>2.4248004524185611</c:v>
                </c:pt>
                <c:pt idx="26">
                  <c:v>2.3878161938040869</c:v>
                </c:pt>
                <c:pt idx="27">
                  <c:v>2.3528955413438131</c:v>
                </c:pt>
                <c:pt idx="28">
                  <c:v>2.3232748912332295</c:v>
                </c:pt>
                <c:pt idx="29">
                  <c:v>2.2819939113679717</c:v>
                </c:pt>
                <c:pt idx="30">
                  <c:v>2.2373266236699831</c:v>
                </c:pt>
                <c:pt idx="31">
                  <c:v>2.1916783584564272</c:v>
                </c:pt>
                <c:pt idx="32">
                  <c:v>2.2556730516361818</c:v>
                </c:pt>
                <c:pt idx="33">
                  <c:v>2.2130814440322788</c:v>
                </c:pt>
                <c:pt idx="34">
                  <c:v>2.1686401297129607</c:v>
                </c:pt>
                <c:pt idx="35">
                  <c:v>2.1246155743392241</c:v>
                </c:pt>
                <c:pt idx="36">
                  <c:v>2.0702272337360754</c:v>
                </c:pt>
                <c:pt idx="37">
                  <c:v>2.0150720246773575</c:v>
                </c:pt>
                <c:pt idx="38">
                  <c:v>1.9673231540970932</c:v>
                </c:pt>
                <c:pt idx="39">
                  <c:v>1.919013953762152</c:v>
                </c:pt>
                <c:pt idx="40">
                  <c:v>1.8739722295991847</c:v>
                </c:pt>
                <c:pt idx="41">
                  <c:v>1.8367587306052831</c:v>
                </c:pt>
                <c:pt idx="42">
                  <c:v>1.7994634391078965</c:v>
                </c:pt>
                <c:pt idx="43">
                  <c:v>1.7632726488416055</c:v>
                </c:pt>
                <c:pt idx="44">
                  <c:v>1.7149452480592271</c:v>
                </c:pt>
                <c:pt idx="45">
                  <c:v>1.6719742858665225</c:v>
                </c:pt>
                <c:pt idx="46">
                  <c:v>1.638650769200066</c:v>
                </c:pt>
                <c:pt idx="47">
                  <c:v>1.6298924910133441</c:v>
                </c:pt>
                <c:pt idx="48">
                  <c:v>1.5979663033140761</c:v>
                </c:pt>
                <c:pt idx="49">
                  <c:v>1.567169367742697</c:v>
                </c:pt>
                <c:pt idx="50">
                  <c:v>1.5350550443621054</c:v>
                </c:pt>
                <c:pt idx="51">
                  <c:v>1.5037257992832953</c:v>
                </c:pt>
                <c:pt idx="52">
                  <c:v>1.4761350043176198</c:v>
                </c:pt>
                <c:pt idx="53">
                  <c:v>1.4483703853027508</c:v>
                </c:pt>
                <c:pt idx="54">
                  <c:v>1.4215358193055381</c:v>
                </c:pt>
                <c:pt idx="55">
                  <c:v>1.394499628031872</c:v>
                </c:pt>
                <c:pt idx="56">
                  <c:v>1.3708202734430697</c:v>
                </c:pt>
                <c:pt idx="57">
                  <c:v>1.3670572820543492</c:v>
                </c:pt>
                <c:pt idx="58">
                  <c:v>1.3745521919043875</c:v>
                </c:pt>
                <c:pt idx="59">
                  <c:v>1.3461162032028562</c:v>
                </c:pt>
                <c:pt idx="60">
                  <c:v>1.3168452457095339</c:v>
                </c:pt>
                <c:pt idx="61">
                  <c:v>1.2877566978348676</c:v>
                </c:pt>
                <c:pt idx="62">
                  <c:v>1.2599575104730953</c:v>
                </c:pt>
                <c:pt idx="63">
                  <c:v>1.2310082253497936</c:v>
                </c:pt>
                <c:pt idx="64">
                  <c:v>1.2057875728895202</c:v>
                </c:pt>
                <c:pt idx="65">
                  <c:v>1.1813288895585292</c:v>
                </c:pt>
                <c:pt idx="66">
                  <c:v>1.1558933107006486</c:v>
                </c:pt>
                <c:pt idx="67">
                  <c:v>1.1294738854216377</c:v>
                </c:pt>
                <c:pt idx="68">
                  <c:v>1.1028156048852229</c:v>
                </c:pt>
                <c:pt idx="69">
                  <c:v>1.0784434202106383</c:v>
                </c:pt>
                <c:pt idx="70">
                  <c:v>1.0514010906809603</c:v>
                </c:pt>
                <c:pt idx="71">
                  <c:v>1.0209965847504816</c:v>
                </c:pt>
                <c:pt idx="72">
                  <c:v>0.99228676730036958</c:v>
                </c:pt>
                <c:pt idx="73">
                  <c:v>0.96585404559959065</c:v>
                </c:pt>
                <c:pt idx="74">
                  <c:v>0.94686099884352315</c:v>
                </c:pt>
                <c:pt idx="75">
                  <c:v>0.92725057132731747</c:v>
                </c:pt>
                <c:pt idx="76">
                  <c:v>0.90683318586779882</c:v>
                </c:pt>
                <c:pt idx="77">
                  <c:v>0.88597981170674578</c:v>
                </c:pt>
                <c:pt idx="78">
                  <c:v>0.85625384067776678</c:v>
                </c:pt>
                <c:pt idx="79">
                  <c:v>0.82819800980449421</c:v>
                </c:pt>
                <c:pt idx="80">
                  <c:v>0.79448532579851039</c:v>
                </c:pt>
                <c:pt idx="81">
                  <c:v>0.76523991774205824</c:v>
                </c:pt>
                <c:pt idx="82">
                  <c:v>0.74332233440979012</c:v>
                </c:pt>
                <c:pt idx="83">
                  <c:v>0.72644667781262529</c:v>
                </c:pt>
                <c:pt idx="84">
                  <c:v>0.72156631271284555</c:v>
                </c:pt>
                <c:pt idx="85">
                  <c:v>0.70435056662793416</c:v>
                </c:pt>
                <c:pt idx="86">
                  <c:v>0.681747092355661</c:v>
                </c:pt>
                <c:pt idx="87">
                  <c:v>0.65773114369861618</c:v>
                </c:pt>
                <c:pt idx="88">
                  <c:v>0.61232889425791415</c:v>
                </c:pt>
                <c:pt idx="89">
                  <c:v>0.53664341316156028</c:v>
                </c:pt>
                <c:pt idx="90">
                  <c:v>0.45490926170738405</c:v>
                </c:pt>
                <c:pt idx="91">
                  <c:v>0.40644607479560563</c:v>
                </c:pt>
                <c:pt idx="92">
                  <c:v>0.30954382535490638</c:v>
                </c:pt>
                <c:pt idx="93">
                  <c:v>0.21282725723299883</c:v>
                </c:pt>
                <c:pt idx="94">
                  <c:v>0.21143871875709991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17-6A4F-ACAE-40AEDBD8A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777856"/>
        <c:axId val="-2029785968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15875" cmpd="sng">
              <a:solidFill>
                <a:schemeClr val="tx2"/>
              </a:solidFill>
            </a:ln>
            <a:effectLst/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15875" cmpd="sng"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17-6A4F-ACAE-40AEDBD8A7DA}"/>
              </c:ext>
            </c:extLst>
          </c:dPt>
          <c:cat>
            <c:numRef>
              <c:f>'Tank Data (2)'!$A$23:$A$117</c:f>
              <c:numCache>
                <c:formatCode>m/d/yy</c:formatCode>
                <c:ptCount val="95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</c:numCache>
            </c:numRef>
          </c:cat>
          <c:val>
            <c:numRef>
              <c:f>'Tank Data (2)'!$H$23:$H$117</c:f>
              <c:numCache>
                <c:formatCode>0.00</c:formatCode>
                <c:ptCount val="95"/>
                <c:pt idx="0">
                  <c:v>1.7711551975033282</c:v>
                </c:pt>
                <c:pt idx="1">
                  <c:v>1.7930211981142499</c:v>
                </c:pt>
                <c:pt idx="2">
                  <c:v>1.9136884768264424</c:v>
                </c:pt>
                <c:pt idx="3">
                  <c:v>0.91848402806157492</c:v>
                </c:pt>
                <c:pt idx="4">
                  <c:v>1.8729212638031649</c:v>
                </c:pt>
                <c:pt idx="5">
                  <c:v>1.8377778700627569</c:v>
                </c:pt>
                <c:pt idx="6">
                  <c:v>2.2701909498638466</c:v>
                </c:pt>
                <c:pt idx="7">
                  <c:v>2.5694279933329804</c:v>
                </c:pt>
                <c:pt idx="8">
                  <c:v>1.7395198838618691</c:v>
                </c:pt>
                <c:pt idx="9">
                  <c:v>2.6504932343162024</c:v>
                </c:pt>
                <c:pt idx="10">
                  <c:v>0.93359198423635414</c:v>
                </c:pt>
                <c:pt idx="11">
                  <c:v>2.5577823743381316</c:v>
                </c:pt>
                <c:pt idx="12">
                  <c:v>0.92911168399625976</c:v>
                </c:pt>
                <c:pt idx="13">
                  <c:v>0.10635699537308238</c:v>
                </c:pt>
                <c:pt idx="14">
                  <c:v>0.74969166322419867</c:v>
                </c:pt>
                <c:pt idx="15">
                  <c:v>0.29869594916039588</c:v>
                </c:pt>
                <c:pt idx="16">
                  <c:v>-2.154938442393628</c:v>
                </c:pt>
                <c:pt idx="17">
                  <c:v>1.5423033251960923</c:v>
                </c:pt>
                <c:pt idx="18">
                  <c:v>3.141594661762821</c:v>
                </c:pt>
                <c:pt idx="19">
                  <c:v>0.94624301992055493</c:v>
                </c:pt>
                <c:pt idx="20">
                  <c:v>-2.1767254810551031</c:v>
                </c:pt>
                <c:pt idx="21">
                  <c:v>0.34551898676532106</c:v>
                </c:pt>
                <c:pt idx="22">
                  <c:v>1.1396746723523268</c:v>
                </c:pt>
                <c:pt idx="23">
                  <c:v>1.3562738121871754</c:v>
                </c:pt>
                <c:pt idx="24">
                  <c:v>1.5734568335988315</c:v>
                </c:pt>
                <c:pt idx="25">
                  <c:v>1.0866267822689588</c:v>
                </c:pt>
                <c:pt idx="26">
                  <c:v>1.1469914943837571</c:v>
                </c:pt>
                <c:pt idx="27">
                  <c:v>-1.7289241514120932</c:v>
                </c:pt>
                <c:pt idx="28">
                  <c:v>1.293736566702564</c:v>
                </c:pt>
                <c:pt idx="29">
                  <c:v>1.675045510786445</c:v>
                </c:pt>
                <c:pt idx="30">
                  <c:v>-2.2104182908647521</c:v>
                </c:pt>
                <c:pt idx="31">
                  <c:v>1.1395091195960134</c:v>
                </c:pt>
                <c:pt idx="32">
                  <c:v>-2.2276773077970455</c:v>
                </c:pt>
                <c:pt idx="33">
                  <c:v>1.7271546831429982</c:v>
                </c:pt>
                <c:pt idx="34">
                  <c:v>1.9258001675288745</c:v>
                </c:pt>
                <c:pt idx="35">
                  <c:v>1.563878308276037</c:v>
                </c:pt>
                <c:pt idx="36">
                  <c:v>3.614966570962816</c:v>
                </c:pt>
                <c:pt idx="37">
                  <c:v>1.9248494432963237</c:v>
                </c:pt>
                <c:pt idx="38">
                  <c:v>-2.0435232615105754</c:v>
                </c:pt>
                <c:pt idx="39">
                  <c:v>2.4721938495631433</c:v>
                </c:pt>
                <c:pt idx="40">
                  <c:v>1.1410251786160983</c:v>
                </c:pt>
                <c:pt idx="41">
                  <c:v>1.417852263018432</c:v>
                </c:pt>
                <c:pt idx="42">
                  <c:v>0.80350280149195752</c:v>
                </c:pt>
                <c:pt idx="43">
                  <c:v>1.0393431137677618</c:v>
                </c:pt>
                <c:pt idx="44">
                  <c:v>2.1578132536715544</c:v>
                </c:pt>
                <c:pt idx="45">
                  <c:v>0.50832981460289406</c:v>
                </c:pt>
                <c:pt idx="46">
                  <c:v>0.7081475999760517</c:v>
                </c:pt>
                <c:pt idx="47">
                  <c:v>0.53709930060946731</c:v>
                </c:pt>
                <c:pt idx="48">
                  <c:v>-1.6900031936350302</c:v>
                </c:pt>
                <c:pt idx="49">
                  <c:v>1.0554734185815755</c:v>
                </c:pt>
                <c:pt idx="50">
                  <c:v>0.6796651099452381</c:v>
                </c:pt>
                <c:pt idx="51">
                  <c:v>0.23280580405790169</c:v>
                </c:pt>
                <c:pt idx="52">
                  <c:v>1.0229842819484782</c:v>
                </c:pt>
                <c:pt idx="53">
                  <c:v>0.35117972705717326</c:v>
                </c:pt>
                <c:pt idx="54">
                  <c:v>0.52344322039709068</c:v>
                </c:pt>
                <c:pt idx="55">
                  <c:v>0.75904884507735049</c:v>
                </c:pt>
                <c:pt idx="56">
                  <c:v>4.7392024050065332E-2</c:v>
                </c:pt>
                <c:pt idx="57">
                  <c:v>-1.3544231449485595</c:v>
                </c:pt>
                <c:pt idx="58">
                  <c:v>0.64572383353403107</c:v>
                </c:pt>
                <c:pt idx="59">
                  <c:v>0.87132815394478991</c:v>
                </c:pt>
                <c:pt idx="60">
                  <c:v>0.89640674203299264</c:v>
                </c:pt>
                <c:pt idx="61">
                  <c:v>0.70789213415719776</c:v>
                </c:pt>
                <c:pt idx="62">
                  <c:v>0.83642274920172555</c:v>
                </c:pt>
                <c:pt idx="63">
                  <c:v>0.5959488818825418</c:v>
                </c:pt>
                <c:pt idx="64">
                  <c:v>0.56622401522079313</c:v>
                </c:pt>
                <c:pt idx="65">
                  <c:v>0.60938117859142304</c:v>
                </c:pt>
                <c:pt idx="66">
                  <c:v>1.1015175688425534</c:v>
                </c:pt>
                <c:pt idx="67">
                  <c:v>0.56947444958647375</c:v>
                </c:pt>
                <c:pt idx="68">
                  <c:v>0.39303599212225993</c:v>
                </c:pt>
                <c:pt idx="69">
                  <c:v>0.5057443635654395</c:v>
                </c:pt>
                <c:pt idx="70">
                  <c:v>1.6355713718672651</c:v>
                </c:pt>
                <c:pt idx="71">
                  <c:v>0.87777292866804757</c:v>
                </c:pt>
                <c:pt idx="72">
                  <c:v>0.76843228316337775</c:v>
                </c:pt>
                <c:pt idx="73">
                  <c:v>0.16242659840085255</c:v>
                </c:pt>
                <c:pt idx="74">
                  <c:v>0.27139643798940749</c:v>
                </c:pt>
                <c:pt idx="75">
                  <c:v>-0.28833269867627037</c:v>
                </c:pt>
                <c:pt idx="76">
                  <c:v>-0.21255647110296877</c:v>
                </c:pt>
                <c:pt idx="77">
                  <c:v>-0.48853298888598162</c:v>
                </c:pt>
                <c:pt idx="78">
                  <c:v>-6.2650090333920497E-3</c:v>
                </c:pt>
                <c:pt idx="79">
                  <c:v>0.25864402271873183</c:v>
                </c:pt>
                <c:pt idx="80">
                  <c:v>0.79932721657620853</c:v>
                </c:pt>
                <c:pt idx="81">
                  <c:v>1.33632</c:v>
                </c:pt>
                <c:pt idx="82">
                  <c:v>0.10900799999999999</c:v>
                </c:pt>
                <c:pt idx="83">
                  <c:v>-0.61199999999999999</c:v>
                </c:pt>
                <c:pt idx="84">
                  <c:v>1.3449600000000002</c:v>
                </c:pt>
                <c:pt idx="85">
                  <c:v>1.3204800000000001</c:v>
                </c:pt>
                <c:pt idx="86">
                  <c:v>0.51407999999999998</c:v>
                </c:pt>
                <c:pt idx="87">
                  <c:v>0.3024</c:v>
                </c:pt>
                <c:pt idx="88">
                  <c:v>3.8736000000000002</c:v>
                </c:pt>
                <c:pt idx="89">
                  <c:v>-0.15141813773398294</c:v>
                </c:pt>
                <c:pt idx="90">
                  <c:v>-0.68332176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17-6A4F-ACAE-40AEDBD8A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777856"/>
        <c:axId val="-2029785968"/>
      </c:barChart>
      <c:barChart>
        <c:barDir val="col"/>
        <c:grouping val="clustered"/>
        <c:varyColors val="0"/>
        <c:ser>
          <c:idx val="1"/>
          <c:order val="1"/>
          <c:spPr>
            <a:ln w="15875" cmpd="sng">
              <a:solidFill>
                <a:srgbClr val="FF0000"/>
              </a:solidFill>
            </a:ln>
            <a:effectLst/>
          </c:spPr>
          <c:invertIfNegative val="0"/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 (2)'!$AH$23:$AH$150</c:f>
              <c:numCache>
                <c:formatCode>###0.00;###0.00</c:formatCode>
                <c:ptCount val="128"/>
                <c:pt idx="0">
                  <c:v>-11.4</c:v>
                </c:pt>
                <c:pt idx="1">
                  <c:v>-24.05</c:v>
                </c:pt>
                <c:pt idx="2">
                  <c:v>-25.749999999999901</c:v>
                </c:pt>
                <c:pt idx="3">
                  <c:v>-2</c:v>
                </c:pt>
                <c:pt idx="4">
                  <c:v>-10.466666666666701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-2.06</c:v>
                </c:pt>
                <c:pt idx="15">
                  <c:v>-0.1</c:v>
                </c:pt>
                <c:pt idx="16">
                  <c:v>-2.1</c:v>
                </c:pt>
                <c:pt idx="17">
                  <c:v>-0.4</c:v>
                </c:pt>
                <c:pt idx="18">
                  <c:v>-22.5</c:v>
                </c:pt>
                <c:pt idx="19">
                  <c:v>-4.75</c:v>
                </c:pt>
                <c:pt idx="20">
                  <c:v>-0.3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 formatCode="General">
                  <c:v>0</c:v>
                </c:pt>
                <c:pt idx="27">
                  <c:v>-4</c:v>
                </c:pt>
                <c:pt idx="28">
                  <c:v>0</c:v>
                </c:pt>
                <c:pt idx="29">
                  <c:v>0</c:v>
                </c:pt>
                <c:pt idx="30">
                  <c:v>-0.05</c:v>
                </c:pt>
                <c:pt idx="31">
                  <c:v>-63.6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0.55000000000000004</c:v>
                </c:pt>
                <c:pt idx="45">
                  <c:v>-2.4500000000000002</c:v>
                </c:pt>
                <c:pt idx="46">
                  <c:v>-15.1</c:v>
                </c:pt>
                <c:pt idx="47">
                  <c:v>-1.95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-1.65</c:v>
                </c:pt>
                <c:pt idx="53">
                  <c:v>-0.1</c:v>
                </c:pt>
                <c:pt idx="54">
                  <c:v>-0.95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-0.3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17-6A4F-ACAE-40AEDBD8A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843568"/>
        <c:axId val="-2025438016"/>
      </c:barChart>
      <c:dateAx>
        <c:axId val="-2029777856"/>
        <c:scaling>
          <c:orientation val="minMax"/>
          <c:max val="41691"/>
        </c:scaling>
        <c:delete val="0"/>
        <c:axPos val="b"/>
        <c:numFmt formatCode="m/d/yy" sourceLinked="1"/>
        <c:majorTickMark val="out"/>
        <c:minorTickMark val="none"/>
        <c:tickLblPos val="low"/>
        <c:txPr>
          <a:bodyPr/>
          <a:lstStyle/>
          <a:p>
            <a:pPr>
              <a:defRPr sz="1400" b="1"/>
            </a:pPr>
            <a:endParaRPr lang="en-US"/>
          </a:p>
        </c:txPr>
        <c:crossAx val="-2029785968"/>
        <c:crossesAt val="0"/>
        <c:auto val="0"/>
        <c:lblOffset val="100"/>
        <c:baseTimeUnit val="days"/>
        <c:majorUnit val="7"/>
        <c:majorTimeUnit val="days"/>
      </c:dateAx>
      <c:valAx>
        <c:axId val="-2029785968"/>
        <c:scaling>
          <c:orientation val="minMax"/>
          <c:max val="6.4"/>
          <c:min val="-2.6"/>
        </c:scaling>
        <c:delete val="0"/>
        <c:axPos val="l"/>
        <c:majorGridlines/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9777856"/>
        <c:crosses val="autoZero"/>
        <c:crossBetween val="between"/>
        <c:majorUnit val="1"/>
      </c:valAx>
      <c:valAx>
        <c:axId val="-2025438016"/>
        <c:scaling>
          <c:orientation val="minMax"/>
          <c:max val="0"/>
          <c:min val="-125"/>
        </c:scaling>
        <c:delete val="0"/>
        <c:axPos val="r"/>
        <c:numFmt formatCode="###0.00;###0.00" sourceLinked="1"/>
        <c:majorTickMark val="in"/>
        <c:minorTickMark val="none"/>
        <c:tickLblPos val="none"/>
        <c:spPr>
          <a:ln w="19050">
            <a:solidFill>
              <a:schemeClr val="tx1"/>
            </a:solidFill>
          </a:ln>
        </c:spPr>
        <c:crossAx val="-2029843568"/>
        <c:crosses val="max"/>
        <c:crossBetween val="between"/>
      </c:valAx>
      <c:dateAx>
        <c:axId val="-2029843568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5438016"/>
        <c:crosses val="max"/>
        <c:auto val="1"/>
        <c:lblOffset val="100"/>
        <c:baseTimeUnit val="days"/>
      </c:dateAx>
      <c:spPr>
        <a:ln w="12700" cmpd="sng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09377410048699"/>
          <c:y val="6.5711035492422701E-2"/>
          <c:w val="0.79632819270372301"/>
          <c:h val="0.785874450995132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63500"/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125E-FB45-B881-B006F83AA582}"/>
              </c:ext>
            </c:extLst>
          </c:dPt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E-FB45-B881-B006F83AA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476240"/>
        <c:axId val="-2029473168"/>
      </c:barChart>
      <c:dateAx>
        <c:axId val="-202947624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txPr>
          <a:bodyPr/>
          <a:lstStyle/>
          <a:p>
            <a:pPr>
              <a:defRPr sz="1800" b="0"/>
            </a:pPr>
            <a:endParaRPr lang="en-US"/>
          </a:p>
        </c:txPr>
        <c:crossAx val="-2029473168"/>
        <c:crossesAt val="0"/>
        <c:auto val="1"/>
        <c:lblOffset val="100"/>
        <c:baseTimeUnit val="days"/>
        <c:majorUnit val="7"/>
        <c:majorTimeUnit val="days"/>
      </c:dateAx>
      <c:valAx>
        <c:axId val="-2029473168"/>
        <c:scaling>
          <c:orientation val="minMax"/>
          <c:max val="5.5"/>
          <c:min val="-1.5"/>
        </c:scaling>
        <c:delete val="0"/>
        <c:axPos val="l"/>
        <c:majorGridlines/>
        <c:numFmt formatCode="#,##0.0;[Red]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9476240"/>
        <c:crosses val="autoZero"/>
        <c:crossBetween val="between"/>
        <c:majorUnit val="1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09378335380701"/>
          <c:y val="0.101894326293325"/>
          <c:w val="0.84765813480476104"/>
          <c:h val="0.8144282139966150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63500"/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7677-8247-AF4A-13E15B2E7DE0}"/>
              </c:ext>
            </c:extLst>
          </c:dPt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7-8247-AF4A-13E15B2E7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005280"/>
        <c:axId val="-2028305344"/>
      </c:barChart>
      <c:dateAx>
        <c:axId val="-20280052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one"/>
        <c:txPr>
          <a:bodyPr/>
          <a:lstStyle/>
          <a:p>
            <a:pPr>
              <a:defRPr sz="1800" b="0"/>
            </a:pPr>
            <a:endParaRPr lang="en-US"/>
          </a:p>
        </c:txPr>
        <c:crossAx val="-2028305344"/>
        <c:crossesAt val="0"/>
        <c:auto val="1"/>
        <c:lblOffset val="100"/>
        <c:baseTimeUnit val="days"/>
        <c:majorUnit val="7"/>
        <c:majorTimeUnit val="days"/>
      </c:dateAx>
      <c:valAx>
        <c:axId val="-2028305344"/>
        <c:scaling>
          <c:orientation val="minMax"/>
          <c:max val="5.5"/>
          <c:min val="-1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000"/>
                  <a:t>Recharge (cm/day)</a:t>
                </a:r>
              </a:p>
            </c:rich>
          </c:tx>
          <c:layout>
            <c:manualLayout>
              <c:xMode val="edge"/>
              <c:yMode val="edge"/>
              <c:x val="5.1150895140665001E-3"/>
              <c:y val="0.15585996257194301"/>
            </c:manualLayout>
          </c:layout>
          <c:overlay val="0"/>
        </c:title>
        <c:numFmt formatCode="#,##0.0;[Red]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8005280"/>
        <c:crosses val="autoZero"/>
        <c:crossBetween val="between"/>
        <c:majorUnit val="1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09378335380701"/>
          <c:y val="0.101894326293325"/>
          <c:w val="0.86428217572547705"/>
          <c:h val="0.613653101773492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63500"/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4378-D742-A0E4-611A936DA9E9}"/>
              </c:ext>
            </c:extLst>
          </c:dPt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8-D742-A0E4-611A936DA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5850144"/>
        <c:axId val="-2035860480"/>
      </c:barChart>
      <c:dateAx>
        <c:axId val="-203585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Date</a:t>
                </a:r>
              </a:p>
            </c:rich>
          </c:tx>
          <c:layout>
            <c:manualLayout>
              <c:xMode val="edge"/>
              <c:yMode val="edge"/>
              <c:x val="0.480156189492707"/>
              <c:y val="0.91076233183856503"/>
            </c:manualLayout>
          </c:layout>
          <c:overlay val="0"/>
        </c:title>
        <c:numFmt formatCode="m/d/yy" sourceLinked="1"/>
        <c:majorTickMark val="out"/>
        <c:minorTickMark val="none"/>
        <c:tickLblPos val="low"/>
        <c:txPr>
          <a:bodyPr/>
          <a:lstStyle/>
          <a:p>
            <a:pPr>
              <a:defRPr sz="1800" b="0"/>
            </a:pPr>
            <a:endParaRPr lang="en-US"/>
          </a:p>
        </c:txPr>
        <c:crossAx val="-2035860480"/>
        <c:crossesAt val="0"/>
        <c:auto val="1"/>
        <c:lblOffset val="100"/>
        <c:baseTimeUnit val="days"/>
        <c:majorUnit val="7"/>
        <c:majorTimeUnit val="days"/>
      </c:dateAx>
      <c:valAx>
        <c:axId val="-2035860480"/>
        <c:scaling>
          <c:orientation val="minMax"/>
          <c:max val="5.5"/>
          <c:min val="-1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400"/>
                  <a:t>Recharge (cm/day)</a:t>
                </a:r>
              </a:p>
            </c:rich>
          </c:tx>
          <c:layout>
            <c:manualLayout>
              <c:xMode val="edge"/>
              <c:yMode val="edge"/>
              <c:x val="5.1150895140665001E-3"/>
              <c:y val="0.15585996257194301"/>
            </c:manualLayout>
          </c:layout>
          <c:overlay val="0"/>
        </c:title>
        <c:numFmt formatCode="#,##0.0;[Red]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5850144"/>
        <c:crosses val="autoZero"/>
        <c:crossBetween val="between"/>
        <c:majorUnit val="1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800"/>
              <a:t>Tank</a:t>
            </a:r>
            <a:r>
              <a:rPr lang="en-US" sz="2800" baseline="0"/>
              <a:t> 2 </a:t>
            </a:r>
          </a:p>
          <a:p>
            <a:pPr>
              <a:defRPr/>
            </a:pPr>
            <a:endParaRPr lang="en-US" sz="2800"/>
          </a:p>
        </c:rich>
      </c:tx>
      <c:layout>
        <c:manualLayout>
          <c:xMode val="edge"/>
          <c:yMode val="edge"/>
          <c:x val="0.45422920972087799"/>
          <c:y val="1.65562913907284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09378335380701"/>
          <c:y val="0.101894326293325"/>
          <c:w val="0.86428217572547705"/>
          <c:h val="0.61365310177349297"/>
        </c:manualLayout>
      </c:layout>
      <c:areaChart>
        <c:grouping val="standard"/>
        <c:varyColors val="0"/>
        <c:ser>
          <c:idx val="3"/>
          <c:order val="3"/>
          <c:spPr>
            <a:solidFill>
              <a:schemeClr val="accent1">
                <a:lumMod val="75000"/>
              </a:schemeClr>
            </a:solidFill>
            <a:ln w="63500"/>
          </c:spPr>
          <c:dPt>
            <c:idx val="68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E1B9-5C45-A8B9-D2674CE14D5C}"/>
              </c:ext>
            </c:extLst>
          </c:dPt>
          <c:cat>
            <c:numRef>
              <c:f>'Tank Data (2)'!$A$23:$A$111</c:f>
              <c:numCache>
                <c:formatCode>m/d/yy</c:formatCode>
                <c:ptCount val="89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9-5C45-A8B9-D2674CE14D5C}"/>
            </c:ext>
          </c:extLst>
        </c:ser>
        <c:ser>
          <c:idx val="2"/>
          <c:order val="2"/>
          <c:spPr>
            <a:solidFill>
              <a:schemeClr val="bg1">
                <a:lumMod val="75000"/>
                <a:alpha val="41000"/>
              </a:schemeClr>
            </a:solidFill>
            <a:ln w="127000" cmpd="sng">
              <a:noFill/>
            </a:ln>
          </c:spPr>
          <c:cat>
            <c:numRef>
              <c:f>'Tank Data (2)'!$A$23:$A$111</c:f>
              <c:numCache>
                <c:formatCode>m/d/yy</c:formatCode>
                <c:ptCount val="89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</c:numCache>
            </c:numRef>
          </c:cat>
          <c:val>
            <c:numRef>
              <c:f>'Tank Data (2)'!$M$23:$M$111</c:f>
              <c:numCache>
                <c:formatCode>0.00E+00</c:formatCode>
                <c:ptCount val="89"/>
                <c:pt idx="0">
                  <c:v>3.1793810224401646</c:v>
                </c:pt>
                <c:pt idx="1">
                  <c:v>3.2773143565567313</c:v>
                </c:pt>
                <c:pt idx="2">
                  <c:v>3.3345159959313371</c:v>
                </c:pt>
                <c:pt idx="3">
                  <c:v>3.4026063881024378</c:v>
                </c:pt>
                <c:pt idx="4">
                  <c:v>3.4228503382091855</c:v>
                </c:pt>
                <c:pt idx="5">
                  <c:v>3.4088947052086631</c:v>
                </c:pt>
                <c:pt idx="6">
                  <c:v>3.3914924557679615</c:v>
                </c:pt>
                <c:pt idx="7">
                  <c:v>3.371833767737586</c:v>
                </c:pt>
                <c:pt idx="8">
                  <c:v>3.3511229280280386</c:v>
                </c:pt>
                <c:pt idx="9">
                  <c:v>3.3322341775812401</c:v>
                </c:pt>
                <c:pt idx="10">
                  <c:v>3.3132409376518037</c:v>
                </c:pt>
                <c:pt idx="11">
                  <c:v>3.292209857675326</c:v>
                </c:pt>
                <c:pt idx="12">
                  <c:v>3.2727624191981519</c:v>
                </c:pt>
                <c:pt idx="13">
                  <c:v>3.2534329762465877</c:v>
                </c:pt>
                <c:pt idx="14">
                  <c:v>3.2334466778126245</c:v>
                </c:pt>
                <c:pt idx="15">
                  <c:v>3.2137524038752918</c:v>
                </c:pt>
                <c:pt idx="16">
                  <c:v>3.1945710094669977</c:v>
                </c:pt>
                <c:pt idx="17">
                  <c:v>3.1776802121516301</c:v>
                </c:pt>
                <c:pt idx="18">
                  <c:v>3.1596771477230092</c:v>
                </c:pt>
                <c:pt idx="19">
                  <c:v>3.1680194843017642</c:v>
                </c:pt>
                <c:pt idx="20">
                  <c:v>3.1691288895585306</c:v>
                </c:pt>
                <c:pt idx="21">
                  <c:v>3.1474530186407694</c:v>
                </c:pt>
                <c:pt idx="22">
                  <c:v>3.1306487199818065</c:v>
                </c:pt>
                <c:pt idx="23">
                  <c:v>3.1099953411213708</c:v>
                </c:pt>
                <c:pt idx="24">
                  <c:v>3.0919184455944819</c:v>
                </c:pt>
                <c:pt idx="25">
                  <c:v>3.0709004524185612</c:v>
                </c:pt>
                <c:pt idx="26">
                  <c:v>3.0501161938040884</c:v>
                </c:pt>
                <c:pt idx="27">
                  <c:v>3.0268955413438121</c:v>
                </c:pt>
                <c:pt idx="28">
                  <c:v>3.0064748912332302</c:v>
                </c:pt>
                <c:pt idx="29">
                  <c:v>2.9805939113679738</c:v>
                </c:pt>
                <c:pt idx="30">
                  <c:v>2.9560266236699828</c:v>
                </c:pt>
                <c:pt idx="31">
                  <c:v>2.928978358456428</c:v>
                </c:pt>
                <c:pt idx="32">
                  <c:v>3.230673051636181</c:v>
                </c:pt>
                <c:pt idx="33">
                  <c:v>3.2119814440322791</c:v>
                </c:pt>
                <c:pt idx="34">
                  <c:v>3.1923401297129619</c:v>
                </c:pt>
                <c:pt idx="35">
                  <c:v>3.1712155743392252</c:v>
                </c:pt>
                <c:pt idx="36">
                  <c:v>3.1489272337360763</c:v>
                </c:pt>
                <c:pt idx="37">
                  <c:v>3.125172024677358</c:v>
                </c:pt>
                <c:pt idx="38">
                  <c:v>3.1047231540970941</c:v>
                </c:pt>
                <c:pt idx="39">
                  <c:v>3.081513953762153</c:v>
                </c:pt>
                <c:pt idx="40">
                  <c:v>3.0538722295991843</c:v>
                </c:pt>
                <c:pt idx="41">
                  <c:v>3.0250587306052825</c:v>
                </c:pt>
                <c:pt idx="42">
                  <c:v>2.9966634391078966</c:v>
                </c:pt>
                <c:pt idx="43">
                  <c:v>2.9721726488416049</c:v>
                </c:pt>
                <c:pt idx="44">
                  <c:v>2.9501452480592274</c:v>
                </c:pt>
                <c:pt idx="45">
                  <c:v>2.9242742858665238</c:v>
                </c:pt>
                <c:pt idx="46">
                  <c:v>2.9012507692000664</c:v>
                </c:pt>
                <c:pt idx="47">
                  <c:v>2.8964924910133441</c:v>
                </c:pt>
                <c:pt idx="48">
                  <c:v>2.8756663033140768</c:v>
                </c:pt>
                <c:pt idx="49">
                  <c:v>2.8481693677426971</c:v>
                </c:pt>
                <c:pt idx="50">
                  <c:v>2.8178550443621067</c:v>
                </c:pt>
                <c:pt idx="51">
                  <c:v>2.7797257992832947</c:v>
                </c:pt>
                <c:pt idx="52">
                  <c:v>2.7452350043176192</c:v>
                </c:pt>
                <c:pt idx="53">
                  <c:v>2.7107703853027498</c:v>
                </c:pt>
                <c:pt idx="54">
                  <c:v>2.6747358193055391</c:v>
                </c:pt>
                <c:pt idx="55">
                  <c:v>2.6353996280318732</c:v>
                </c:pt>
                <c:pt idx="56">
                  <c:v>2.5918202734430693</c:v>
                </c:pt>
                <c:pt idx="57">
                  <c:v>2.588757282054349</c:v>
                </c:pt>
                <c:pt idx="58">
                  <c:v>2.6219521919043878</c:v>
                </c:pt>
                <c:pt idx="59">
                  <c:v>2.5973162032028565</c:v>
                </c:pt>
                <c:pt idx="60">
                  <c:v>2.5751452457095354</c:v>
                </c:pt>
                <c:pt idx="61">
                  <c:v>2.5535566978348676</c:v>
                </c:pt>
                <c:pt idx="62">
                  <c:v>2.5267575104730966</c:v>
                </c:pt>
                <c:pt idx="63">
                  <c:v>2.4946082253497934</c:v>
                </c:pt>
                <c:pt idx="64">
                  <c:v>2.456787572889521</c:v>
                </c:pt>
                <c:pt idx="65">
                  <c:v>2.42622888955853</c:v>
                </c:pt>
                <c:pt idx="66">
                  <c:v>2.3935933107006484</c:v>
                </c:pt>
                <c:pt idx="67">
                  <c:v>2.3505738854216389</c:v>
                </c:pt>
                <c:pt idx="68">
                  <c:v>2.3118156048852239</c:v>
                </c:pt>
                <c:pt idx="69">
                  <c:v>2.2767434202106376</c:v>
                </c:pt>
                <c:pt idx="70">
                  <c:v>2.2421010906809613</c:v>
                </c:pt>
                <c:pt idx="71">
                  <c:v>2.2058965847504819</c:v>
                </c:pt>
                <c:pt idx="72">
                  <c:v>2.1696867673003695</c:v>
                </c:pt>
                <c:pt idx="73">
                  <c:v>2.1281540455995902</c:v>
                </c:pt>
                <c:pt idx="74">
                  <c:v>2.0889609988435236</c:v>
                </c:pt>
                <c:pt idx="75">
                  <c:v>2.0485505713273184</c:v>
                </c:pt>
                <c:pt idx="76">
                  <c:v>2.0045331858677997</c:v>
                </c:pt>
                <c:pt idx="77">
                  <c:v>1.9808798117067459</c:v>
                </c:pt>
                <c:pt idx="78">
                  <c:v>1.9578538406777672</c:v>
                </c:pt>
                <c:pt idx="79">
                  <c:v>1.9360980098044942</c:v>
                </c:pt>
                <c:pt idx="80">
                  <c:v>1.9113853257985107</c:v>
                </c:pt>
                <c:pt idx="81">
                  <c:v>1.887739917742058</c:v>
                </c:pt>
                <c:pt idx="82">
                  <c:v>1.8694223344097904</c:v>
                </c:pt>
                <c:pt idx="83">
                  <c:v>1.6491466778126254</c:v>
                </c:pt>
                <c:pt idx="84">
                  <c:v>1.8071663127128443</c:v>
                </c:pt>
                <c:pt idx="85">
                  <c:v>1.8004505666279333</c:v>
                </c:pt>
                <c:pt idx="86">
                  <c:v>1.7729470923556627</c:v>
                </c:pt>
                <c:pt idx="87">
                  <c:v>1.1646311436986172</c:v>
                </c:pt>
                <c:pt idx="88">
                  <c:v>1.1184288942579135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B9-5C45-A8B9-D2674CE14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7304912"/>
        <c:axId val="-2027309888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12700" cmpd="sng">
              <a:solidFill>
                <a:schemeClr val="tx2"/>
              </a:solidFill>
            </a:ln>
            <a:effectLst/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12700" cmpd="sng"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B9-5C45-A8B9-D2674CE14D5C}"/>
              </c:ext>
            </c:extLst>
          </c:dPt>
          <c:cat>
            <c:numRef>
              <c:f>'Tank Data (2)'!$A$23:$A$111</c:f>
              <c:numCache>
                <c:formatCode>m/d/yy</c:formatCode>
                <c:ptCount val="89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</c:numCache>
            </c:numRef>
          </c:cat>
          <c:val>
            <c:numRef>
              <c:f>'Tank Data (2)'!$P$23:$P$111</c:f>
              <c:numCache>
                <c:formatCode>0.00</c:formatCode>
                <c:ptCount val="89"/>
                <c:pt idx="0">
                  <c:v>-0.88314910135540747</c:v>
                </c:pt>
                <c:pt idx="1">
                  <c:v>-0.57516019990114819</c:v>
                </c:pt>
                <c:pt idx="2">
                  <c:v>-0.62316410559212232</c:v>
                </c:pt>
                <c:pt idx="3">
                  <c:v>-0.635000034959049</c:v>
                </c:pt>
                <c:pt idx="4">
                  <c:v>2.2377769851101101</c:v>
                </c:pt>
                <c:pt idx="5">
                  <c:v>-0.7749720894286336</c:v>
                </c:pt>
                <c:pt idx="6">
                  <c:v>1.1592289323187195</c:v>
                </c:pt>
                <c:pt idx="7">
                  <c:v>1.4383277025029755</c:v>
                </c:pt>
                <c:pt idx="8">
                  <c:v>-0.75872023986750337</c:v>
                </c:pt>
                <c:pt idx="9">
                  <c:v>2.372024507120182</c:v>
                </c:pt>
                <c:pt idx="10">
                  <c:v>0.54089600162749185</c:v>
                </c:pt>
                <c:pt idx="11">
                  <c:v>0.55405076621011184</c:v>
                </c:pt>
                <c:pt idx="12">
                  <c:v>0.88096372110154575</c:v>
                </c:pt>
                <c:pt idx="13">
                  <c:v>0.58902411285490686</c:v>
                </c:pt>
                <c:pt idx="14">
                  <c:v>1.1504522115011855</c:v>
                </c:pt>
                <c:pt idx="15">
                  <c:v>0.5845375594932577</c:v>
                </c:pt>
                <c:pt idx="16">
                  <c:v>-0.44674844017861903</c:v>
                </c:pt>
                <c:pt idx="17">
                  <c:v>1.7487213921147433</c:v>
                </c:pt>
                <c:pt idx="18">
                  <c:v>2.7876186765111797</c:v>
                </c:pt>
                <c:pt idx="19">
                  <c:v>0.59485447298956218</c:v>
                </c:pt>
                <c:pt idx="20">
                  <c:v>-0.60597602973553355</c:v>
                </c:pt>
                <c:pt idx="21">
                  <c:v>1.124951927920494</c:v>
                </c:pt>
                <c:pt idx="22">
                  <c:v>1.3068606978510799</c:v>
                </c:pt>
                <c:pt idx="23">
                  <c:v>0.91539453249542757</c:v>
                </c:pt>
                <c:pt idx="24">
                  <c:v>1.4157707347119952</c:v>
                </c:pt>
                <c:pt idx="25">
                  <c:v>1.0833188185458038</c:v>
                </c:pt>
                <c:pt idx="26">
                  <c:v>1.5434019704100923</c:v>
                </c:pt>
                <c:pt idx="27">
                  <c:v>2.1172788453851186</c:v>
                </c:pt>
                <c:pt idx="28">
                  <c:v>1.8192705629589592</c:v>
                </c:pt>
                <c:pt idx="29">
                  <c:v>-6.792871529669349E-3</c:v>
                </c:pt>
                <c:pt idx="30">
                  <c:v>-0.53789157038311841</c:v>
                </c:pt>
                <c:pt idx="31">
                  <c:v>-1.3120120153889441</c:v>
                </c:pt>
                <c:pt idx="32">
                  <c:v>-0.71480915507476506</c:v>
                </c:pt>
                <c:pt idx="33">
                  <c:v>-1.5706122176233204</c:v>
                </c:pt>
                <c:pt idx="34">
                  <c:v>1.3040453395520135</c:v>
                </c:pt>
                <c:pt idx="35">
                  <c:v>1.602315509407696</c:v>
                </c:pt>
                <c:pt idx="36">
                  <c:v>1.5417711041648792</c:v>
                </c:pt>
                <c:pt idx="37">
                  <c:v>1.6123134336435554</c:v>
                </c:pt>
                <c:pt idx="38">
                  <c:v>-0.65111221661760565</c:v>
                </c:pt>
                <c:pt idx="39">
                  <c:v>1.9693946521314183</c:v>
                </c:pt>
                <c:pt idx="40">
                  <c:v>1.5696777496614089</c:v>
                </c:pt>
                <c:pt idx="41">
                  <c:v>2.6264411489731012</c:v>
                </c:pt>
                <c:pt idx="42">
                  <c:v>1.7403141789377914</c:v>
                </c:pt>
                <c:pt idx="43">
                  <c:v>1.9612697439769873</c:v>
                </c:pt>
                <c:pt idx="44">
                  <c:v>1.9182961022535756</c:v>
                </c:pt>
                <c:pt idx="45">
                  <c:v>5.4432920212540703E-2</c:v>
                </c:pt>
                <c:pt idx="46">
                  <c:v>2.6562571377535624</c:v>
                </c:pt>
                <c:pt idx="47">
                  <c:v>0.18097591520841705</c:v>
                </c:pt>
                <c:pt idx="48">
                  <c:v>-0.47064432690479996</c:v>
                </c:pt>
                <c:pt idx="49">
                  <c:v>1.8910806892071093</c:v>
                </c:pt>
                <c:pt idx="50">
                  <c:v>1.7955597399709997</c:v>
                </c:pt>
                <c:pt idx="51">
                  <c:v>2.1155167385857632</c:v>
                </c:pt>
                <c:pt idx="52">
                  <c:v>2.591343904873546</c:v>
                </c:pt>
                <c:pt idx="53">
                  <c:v>2.5315566899617452</c:v>
                </c:pt>
                <c:pt idx="54">
                  <c:v>2.2937077389417553</c:v>
                </c:pt>
                <c:pt idx="55">
                  <c:v>2.8650014306715583</c:v>
                </c:pt>
                <c:pt idx="56">
                  <c:v>3.8552695079968808</c:v>
                </c:pt>
                <c:pt idx="57">
                  <c:v>-7.5916511839244916E-2</c:v>
                </c:pt>
                <c:pt idx="58">
                  <c:v>1.8776933058828862</c:v>
                </c:pt>
                <c:pt idx="59">
                  <c:v>1.3107660964389327</c:v>
                </c:pt>
                <c:pt idx="60">
                  <c:v>0.9307138643597147</c:v>
                </c:pt>
                <c:pt idx="61">
                  <c:v>1.2231741351618473</c:v>
                </c:pt>
                <c:pt idx="62">
                  <c:v>1.6957201727489404</c:v>
                </c:pt>
                <c:pt idx="63">
                  <c:v>-0.53015078812508709</c:v>
                </c:pt>
                <c:pt idx="64">
                  <c:v>2.0710143984830864</c:v>
                </c:pt>
                <c:pt idx="65">
                  <c:v>2.3595608248919042</c:v>
                </c:pt>
                <c:pt idx="66">
                  <c:v>4.7218631547601193</c:v>
                </c:pt>
                <c:pt idx="67">
                  <c:v>2.6349965501658628</c:v>
                </c:pt>
                <c:pt idx="68">
                  <c:v>2.0602434062651653</c:v>
                </c:pt>
                <c:pt idx="69">
                  <c:v>2.8535780423817458</c:v>
                </c:pt>
                <c:pt idx="70">
                  <c:v>2.2215100794748581</c:v>
                </c:pt>
                <c:pt idx="71">
                  <c:v>1.8489628663529076</c:v>
                </c:pt>
                <c:pt idx="72">
                  <c:v>1.6639015834679183</c:v>
                </c:pt>
                <c:pt idx="73">
                  <c:v>3.481148219352423</c:v>
                </c:pt>
                <c:pt idx="74">
                  <c:v>0.90378747644363489</c:v>
                </c:pt>
                <c:pt idx="75">
                  <c:v>1.5727804140015467</c:v>
                </c:pt>
                <c:pt idx="76">
                  <c:v>2.0980921728077071</c:v>
                </c:pt>
                <c:pt idx="77">
                  <c:v>0.99278997740990216</c:v>
                </c:pt>
                <c:pt idx="78">
                  <c:v>0.50041994278655555</c:v>
                </c:pt>
                <c:pt idx="79">
                  <c:v>0.95706882410562466</c:v>
                </c:pt>
                <c:pt idx="80">
                  <c:v>1.0083357123997592</c:v>
                </c:pt>
                <c:pt idx="81">
                  <c:v>-3.3215271288057117E-2</c:v>
                </c:pt>
                <c:pt idx="82">
                  <c:v>-2.2394556034582805E-2</c:v>
                </c:pt>
                <c:pt idx="83">
                  <c:v>0</c:v>
                </c:pt>
                <c:pt idx="84">
                  <c:v>-2.2205988269460639</c:v>
                </c:pt>
                <c:pt idx="85">
                  <c:v>1.4961209645573192</c:v>
                </c:pt>
                <c:pt idx="86">
                  <c:v>0.80287084501868222</c:v>
                </c:pt>
                <c:pt idx="87">
                  <c:v>1.9151999999999998</c:v>
                </c:pt>
                <c:pt idx="88">
                  <c:v>3.1680000000000001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B9-5C45-A8B9-D2674CE14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7304912"/>
        <c:axId val="-2027309888"/>
      </c:barChart>
      <c:barChart>
        <c:barDir val="col"/>
        <c:grouping val="clustered"/>
        <c:varyColors val="0"/>
        <c:ser>
          <c:idx val="1"/>
          <c:order val="1"/>
          <c:spPr>
            <a:ln>
              <a:solidFill>
                <a:srgbClr val="FF0000"/>
              </a:solidFill>
            </a:ln>
            <a:effectLst/>
          </c:spPr>
          <c:invertIfNegative val="0"/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 (2)'!$AH$23:$AH$150</c:f>
              <c:numCache>
                <c:formatCode>###0.00;###0.00</c:formatCode>
                <c:ptCount val="128"/>
                <c:pt idx="0">
                  <c:v>-11.4</c:v>
                </c:pt>
                <c:pt idx="1">
                  <c:v>-24.05</c:v>
                </c:pt>
                <c:pt idx="2">
                  <c:v>-25.749999999999901</c:v>
                </c:pt>
                <c:pt idx="3">
                  <c:v>-2</c:v>
                </c:pt>
                <c:pt idx="4">
                  <c:v>-10.466666666666701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-2.06</c:v>
                </c:pt>
                <c:pt idx="15">
                  <c:v>-0.1</c:v>
                </c:pt>
                <c:pt idx="16">
                  <c:v>-2.1</c:v>
                </c:pt>
                <c:pt idx="17">
                  <c:v>-0.4</c:v>
                </c:pt>
                <c:pt idx="18">
                  <c:v>-22.5</c:v>
                </c:pt>
                <c:pt idx="19">
                  <c:v>-4.75</c:v>
                </c:pt>
                <c:pt idx="20">
                  <c:v>-0.3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 formatCode="General">
                  <c:v>0</c:v>
                </c:pt>
                <c:pt idx="27">
                  <c:v>-4</c:v>
                </c:pt>
                <c:pt idx="28">
                  <c:v>0</c:v>
                </c:pt>
                <c:pt idx="29">
                  <c:v>0</c:v>
                </c:pt>
                <c:pt idx="30">
                  <c:v>-0.05</c:v>
                </c:pt>
                <c:pt idx="31">
                  <c:v>-63.6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0.55000000000000004</c:v>
                </c:pt>
                <c:pt idx="45">
                  <c:v>-2.4500000000000002</c:v>
                </c:pt>
                <c:pt idx="46">
                  <c:v>-15.1</c:v>
                </c:pt>
                <c:pt idx="47">
                  <c:v>-1.95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-1.65</c:v>
                </c:pt>
                <c:pt idx="53">
                  <c:v>-0.1</c:v>
                </c:pt>
                <c:pt idx="54">
                  <c:v>-0.95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-0.3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B9-5C45-A8B9-D2674CE14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7225152"/>
        <c:axId val="-2027320608"/>
      </c:barChart>
      <c:dateAx>
        <c:axId val="-2027304912"/>
        <c:scaling>
          <c:orientation val="minMax"/>
          <c:max val="41691"/>
        </c:scaling>
        <c:delete val="0"/>
        <c:axPos val="b"/>
        <c:numFmt formatCode="m/d/yy" sourceLinked="1"/>
        <c:majorTickMark val="out"/>
        <c:minorTickMark val="none"/>
        <c:tickLblPos val="low"/>
        <c:txPr>
          <a:bodyPr/>
          <a:lstStyle/>
          <a:p>
            <a:pPr>
              <a:defRPr sz="1400" b="1"/>
            </a:pPr>
            <a:endParaRPr lang="en-US"/>
          </a:p>
        </c:txPr>
        <c:crossAx val="-2027309888"/>
        <c:crossesAt val="0"/>
        <c:auto val="0"/>
        <c:lblOffset val="100"/>
        <c:baseTimeUnit val="days"/>
        <c:majorUnit val="7"/>
        <c:majorTimeUnit val="days"/>
      </c:dateAx>
      <c:valAx>
        <c:axId val="-2027309888"/>
        <c:scaling>
          <c:orientation val="minMax"/>
          <c:max val="6.4"/>
          <c:min val="-2.6"/>
        </c:scaling>
        <c:delete val="0"/>
        <c:axPos val="l"/>
        <c:majorGridlines/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7304912"/>
        <c:crosses val="autoZero"/>
        <c:crossBetween val="between"/>
        <c:majorUnit val="1"/>
      </c:valAx>
      <c:valAx>
        <c:axId val="-2027320608"/>
        <c:scaling>
          <c:orientation val="minMax"/>
          <c:max val="0"/>
          <c:min val="-125"/>
        </c:scaling>
        <c:delete val="0"/>
        <c:axPos val="r"/>
        <c:numFmt formatCode="###0.00;###0.00" sourceLinked="1"/>
        <c:majorTickMark val="in"/>
        <c:minorTickMark val="none"/>
        <c:tickLblPos val="none"/>
        <c:spPr>
          <a:ln w="19050">
            <a:solidFill>
              <a:schemeClr val="tx1"/>
            </a:solidFill>
          </a:ln>
        </c:spPr>
        <c:crossAx val="-2027225152"/>
        <c:crosses val="max"/>
        <c:crossBetween val="between"/>
      </c:valAx>
      <c:dateAx>
        <c:axId val="-2027225152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7320608"/>
        <c:crosses val="max"/>
        <c:auto val="1"/>
        <c:lblOffset val="100"/>
        <c:baseTimeUnit val="days"/>
      </c:date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'Tank Data (2)'!$BG$54</c:f>
              <c:strCache>
                <c:ptCount val="1"/>
                <c:pt idx="0">
                  <c:v>RF</c:v>
                </c:pt>
              </c:strCache>
            </c:strRef>
          </c:tx>
          <c:marker>
            <c:symbol val="none"/>
          </c:marker>
          <c:xVal>
            <c:numRef>
              <c:f>'Tank Data (2)'!$BF$55:$BF$64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</c:numCache>
            </c:numRef>
          </c:xVal>
          <c:yVal>
            <c:numRef>
              <c:f>'Tank Data (2)'!$BG$55:$BG$64</c:f>
              <c:numCache>
                <c:formatCode>General</c:formatCode>
                <c:ptCount val="10"/>
                <c:pt idx="0">
                  <c:v>0.54900000000000004</c:v>
                </c:pt>
                <c:pt idx="1">
                  <c:v>0.7360000000000001</c:v>
                </c:pt>
                <c:pt idx="2">
                  <c:v>0.86099999999999999</c:v>
                </c:pt>
                <c:pt idx="3">
                  <c:v>0.92399999999999993</c:v>
                </c:pt>
                <c:pt idx="4">
                  <c:v>0.92500000000000004</c:v>
                </c:pt>
                <c:pt idx="5">
                  <c:v>0.8640000000000001</c:v>
                </c:pt>
                <c:pt idx="6">
                  <c:v>0.74099999999999999</c:v>
                </c:pt>
                <c:pt idx="7">
                  <c:v>0.55600000000000016</c:v>
                </c:pt>
                <c:pt idx="8">
                  <c:v>0.30900000000000027</c:v>
                </c:pt>
                <c:pt idx="9">
                  <c:v>3.7747582837255316E-16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12-A343-8282-59EB7C5E2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5912368"/>
        <c:axId val="-2035917680"/>
      </c:scatterChart>
      <c:valAx>
        <c:axId val="-203591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5917680"/>
        <c:crosses val="autoZero"/>
        <c:crossBetween val="midCat"/>
      </c:valAx>
      <c:valAx>
        <c:axId val="-2035917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5912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sz="2800"/>
              <a:t>Tank</a:t>
            </a:r>
            <a:r>
              <a:rPr lang="en-US" sz="2800" baseline="0"/>
              <a:t> 3 </a:t>
            </a:r>
          </a:p>
          <a:p>
            <a:pPr algn="ctr">
              <a:defRPr/>
            </a:pPr>
            <a:endParaRPr lang="en-US" sz="2800"/>
          </a:p>
        </c:rich>
      </c:tx>
      <c:layout>
        <c:manualLayout>
          <c:xMode val="edge"/>
          <c:yMode val="edge"/>
          <c:x val="0.45090695058466501"/>
          <c:y val="9.933774834437079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09378335380701"/>
          <c:y val="0.101894326293325"/>
          <c:w val="0.86428217572547705"/>
          <c:h val="0.61365310177349297"/>
        </c:manualLayout>
      </c:layout>
      <c:areaChart>
        <c:grouping val="standard"/>
        <c:varyColors val="0"/>
        <c:ser>
          <c:idx val="3"/>
          <c:order val="3"/>
          <c:spPr>
            <a:solidFill>
              <a:schemeClr val="accent1">
                <a:lumMod val="75000"/>
              </a:schemeClr>
            </a:solidFill>
            <a:ln w="63500"/>
          </c:spPr>
          <c:dPt>
            <c:idx val="68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EA79-DC4E-BCD0-4DACDE33993F}"/>
              </c:ext>
            </c:extLst>
          </c:dPt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79-DC4E-BCD0-4DACDE33993F}"/>
            </c:ext>
          </c:extLst>
        </c:ser>
        <c:ser>
          <c:idx val="2"/>
          <c:order val="2"/>
          <c:spPr>
            <a:solidFill>
              <a:schemeClr val="bg1">
                <a:lumMod val="75000"/>
                <a:alpha val="41000"/>
              </a:schemeClr>
            </a:solidFill>
            <a:ln w="127000" cmpd="sng">
              <a:noFill/>
            </a:ln>
          </c:spPr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 (2)'!$E$23:$E$117</c:f>
              <c:numCache>
                <c:formatCode>0.0000</c:formatCode>
                <c:ptCount val="95"/>
                <c:pt idx="0">
                  <c:v>3.001481022440164</c:v>
                </c:pt>
                <c:pt idx="1">
                  <c:v>3.0295143565567302</c:v>
                </c:pt>
                <c:pt idx="2">
                  <c:v>3.1842159959313361</c:v>
                </c:pt>
                <c:pt idx="3">
                  <c:v>3.1727063881024375</c:v>
                </c:pt>
                <c:pt idx="4">
                  <c:v>3.1319503382091853</c:v>
                </c:pt>
                <c:pt idx="5">
                  <c:v>3.0868947052086626</c:v>
                </c:pt>
                <c:pt idx="6">
                  <c:v>3.0421924557679625</c:v>
                </c:pt>
                <c:pt idx="7">
                  <c:v>2.9996337677375871</c:v>
                </c:pt>
                <c:pt idx="8">
                  <c:v>2.9609229280280371</c:v>
                </c:pt>
                <c:pt idx="9">
                  <c:v>2.9154341775812385</c:v>
                </c:pt>
                <c:pt idx="10">
                  <c:v>2.8776409376518033</c:v>
                </c:pt>
                <c:pt idx="11">
                  <c:v>2.8401098576753268</c:v>
                </c:pt>
                <c:pt idx="12">
                  <c:v>2.7989624191981517</c:v>
                </c:pt>
                <c:pt idx="13">
                  <c:v>2.7607329762465871</c:v>
                </c:pt>
                <c:pt idx="14">
                  <c:v>2.7228466778126248</c:v>
                </c:pt>
                <c:pt idx="15">
                  <c:v>2.6960524038752909</c:v>
                </c:pt>
                <c:pt idx="16">
                  <c:v>2.6588710094669961</c:v>
                </c:pt>
                <c:pt idx="17">
                  <c:v>2.6246802121516297</c:v>
                </c:pt>
                <c:pt idx="18">
                  <c:v>2.5902771477230098</c:v>
                </c:pt>
                <c:pt idx="19">
                  <c:v>2.6102194843017643</c:v>
                </c:pt>
                <c:pt idx="20">
                  <c:v>2.6013288895585291</c:v>
                </c:pt>
                <c:pt idx="21">
                  <c:v>2.56585301864077</c:v>
                </c:pt>
                <c:pt idx="22">
                  <c:v>2.531948719981806</c:v>
                </c:pt>
                <c:pt idx="23">
                  <c:v>2.4993953411213714</c:v>
                </c:pt>
                <c:pt idx="24">
                  <c:v>2.4632184455944803</c:v>
                </c:pt>
                <c:pt idx="25">
                  <c:v>2.4248004524185611</c:v>
                </c:pt>
                <c:pt idx="26">
                  <c:v>2.3878161938040869</c:v>
                </c:pt>
                <c:pt idx="27">
                  <c:v>2.3528955413438131</c:v>
                </c:pt>
                <c:pt idx="28">
                  <c:v>2.3232748912332295</c:v>
                </c:pt>
                <c:pt idx="29">
                  <c:v>2.2819939113679717</c:v>
                </c:pt>
                <c:pt idx="30">
                  <c:v>2.2373266236699831</c:v>
                </c:pt>
                <c:pt idx="31">
                  <c:v>2.1916783584564272</c:v>
                </c:pt>
                <c:pt idx="32">
                  <c:v>2.2556730516361818</c:v>
                </c:pt>
                <c:pt idx="33">
                  <c:v>2.2130814440322788</c:v>
                </c:pt>
                <c:pt idx="34">
                  <c:v>2.1686401297129607</c:v>
                </c:pt>
                <c:pt idx="35">
                  <c:v>2.1246155743392241</c:v>
                </c:pt>
                <c:pt idx="36">
                  <c:v>2.0702272337360754</c:v>
                </c:pt>
                <c:pt idx="37">
                  <c:v>2.0150720246773575</c:v>
                </c:pt>
                <c:pt idx="38">
                  <c:v>1.9673231540970932</c:v>
                </c:pt>
                <c:pt idx="39">
                  <c:v>1.919013953762152</c:v>
                </c:pt>
                <c:pt idx="40">
                  <c:v>1.8739722295991847</c:v>
                </c:pt>
                <c:pt idx="41">
                  <c:v>1.8367587306052831</c:v>
                </c:pt>
                <c:pt idx="42">
                  <c:v>1.7994634391078965</c:v>
                </c:pt>
                <c:pt idx="43">
                  <c:v>1.7632726488416055</c:v>
                </c:pt>
                <c:pt idx="44">
                  <c:v>1.7149452480592271</c:v>
                </c:pt>
                <c:pt idx="45">
                  <c:v>1.6719742858665225</c:v>
                </c:pt>
                <c:pt idx="46">
                  <c:v>1.638650769200066</c:v>
                </c:pt>
                <c:pt idx="47">
                  <c:v>1.6298924910133441</c:v>
                </c:pt>
                <c:pt idx="48">
                  <c:v>1.5979663033140761</c:v>
                </c:pt>
                <c:pt idx="49">
                  <c:v>1.567169367742697</c:v>
                </c:pt>
                <c:pt idx="50">
                  <c:v>1.5350550443621054</c:v>
                </c:pt>
                <c:pt idx="51">
                  <c:v>1.5037257992832953</c:v>
                </c:pt>
                <c:pt idx="52">
                  <c:v>1.4761350043176198</c:v>
                </c:pt>
                <c:pt idx="53">
                  <c:v>1.4483703853027508</c:v>
                </c:pt>
                <c:pt idx="54">
                  <c:v>1.4215358193055381</c:v>
                </c:pt>
                <c:pt idx="55">
                  <c:v>1.394499628031872</c:v>
                </c:pt>
                <c:pt idx="56">
                  <c:v>1.3708202734430697</c:v>
                </c:pt>
                <c:pt idx="57">
                  <c:v>1.3670572820543492</c:v>
                </c:pt>
                <c:pt idx="58">
                  <c:v>1.3745521919043875</c:v>
                </c:pt>
                <c:pt idx="59">
                  <c:v>1.3461162032028562</c:v>
                </c:pt>
                <c:pt idx="60">
                  <c:v>1.3168452457095339</c:v>
                </c:pt>
                <c:pt idx="61">
                  <c:v>1.2877566978348676</c:v>
                </c:pt>
                <c:pt idx="62">
                  <c:v>1.2599575104730953</c:v>
                </c:pt>
                <c:pt idx="63">
                  <c:v>1.2310082253497936</c:v>
                </c:pt>
                <c:pt idx="64">
                  <c:v>1.2057875728895202</c:v>
                </c:pt>
                <c:pt idx="65">
                  <c:v>1.1813288895585292</c:v>
                </c:pt>
                <c:pt idx="66">
                  <c:v>1.1558933107006486</c:v>
                </c:pt>
                <c:pt idx="67">
                  <c:v>1.1294738854216377</c:v>
                </c:pt>
                <c:pt idx="68">
                  <c:v>1.1028156048852229</c:v>
                </c:pt>
                <c:pt idx="69">
                  <c:v>1.0784434202106383</c:v>
                </c:pt>
                <c:pt idx="70">
                  <c:v>1.0514010906809603</c:v>
                </c:pt>
                <c:pt idx="71">
                  <c:v>1.0209965847504816</c:v>
                </c:pt>
                <c:pt idx="72">
                  <c:v>0.99228676730036958</c:v>
                </c:pt>
                <c:pt idx="73">
                  <c:v>0.96585404559959065</c:v>
                </c:pt>
                <c:pt idx="74">
                  <c:v>0.94686099884352315</c:v>
                </c:pt>
                <c:pt idx="75">
                  <c:v>0.92725057132731747</c:v>
                </c:pt>
                <c:pt idx="76">
                  <c:v>0.90683318586779882</c:v>
                </c:pt>
                <c:pt idx="77">
                  <c:v>0.88597981170674578</c:v>
                </c:pt>
                <c:pt idx="78">
                  <c:v>0.85625384067776678</c:v>
                </c:pt>
                <c:pt idx="79">
                  <c:v>0.82819800980449421</c:v>
                </c:pt>
                <c:pt idx="80">
                  <c:v>0.79448532579851039</c:v>
                </c:pt>
                <c:pt idx="81">
                  <c:v>0.76523991774205824</c:v>
                </c:pt>
                <c:pt idx="82">
                  <c:v>0.74332233440979012</c:v>
                </c:pt>
                <c:pt idx="83">
                  <c:v>0.72644667781262529</c:v>
                </c:pt>
                <c:pt idx="84">
                  <c:v>0.72156631271284555</c:v>
                </c:pt>
                <c:pt idx="85">
                  <c:v>0.70435056662793416</c:v>
                </c:pt>
                <c:pt idx="86">
                  <c:v>0.681747092355661</c:v>
                </c:pt>
                <c:pt idx="87">
                  <c:v>0.65773114369861618</c:v>
                </c:pt>
                <c:pt idx="88">
                  <c:v>0.61232889425791415</c:v>
                </c:pt>
                <c:pt idx="89">
                  <c:v>0.53664341316156028</c:v>
                </c:pt>
                <c:pt idx="90">
                  <c:v>0.45490926170738405</c:v>
                </c:pt>
                <c:pt idx="91">
                  <c:v>0.40644607479560563</c:v>
                </c:pt>
                <c:pt idx="92">
                  <c:v>0.30954382535490638</c:v>
                </c:pt>
                <c:pt idx="93">
                  <c:v>0.21282725723299883</c:v>
                </c:pt>
                <c:pt idx="94">
                  <c:v>0.21143871875709991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79-DC4E-BCD0-4DACDE339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7275328"/>
        <c:axId val="-2027298784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15875" cmpd="sng">
              <a:solidFill>
                <a:schemeClr val="tx2"/>
              </a:solidFill>
            </a:ln>
            <a:effectLst/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15875" cmpd="sng"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79-DC4E-BCD0-4DACDE33993F}"/>
              </c:ext>
            </c:extLst>
          </c:dPt>
          <c:cat>
            <c:numRef>
              <c:f>'Tank Data (2)'!$A$23:$A$117</c:f>
              <c:numCache>
                <c:formatCode>m/d/yy</c:formatCode>
                <c:ptCount val="95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</c:numCache>
            </c:numRef>
          </c:cat>
          <c:val>
            <c:numRef>
              <c:f>'Tank Data (2)'!$X$23:$X$150</c:f>
              <c:numCache>
                <c:formatCode>0.00</c:formatCode>
                <c:ptCount val="128"/>
                <c:pt idx="0">
                  <c:v>-1.1937921311402873</c:v>
                </c:pt>
                <c:pt idx="1">
                  <c:v>-0.54958162010032618</c:v>
                </c:pt>
                <c:pt idx="2">
                  <c:v>-0.57439820260958019</c:v>
                </c:pt>
                <c:pt idx="3">
                  <c:v>-1.0242593375262787</c:v>
                </c:pt>
                <c:pt idx="4">
                  <c:v>3.4651910869511395</c:v>
                </c:pt>
                <c:pt idx="5">
                  <c:v>-0.9254646550494966</c:v>
                </c:pt>
                <c:pt idx="6">
                  <c:v>-0.53735081068916879</c:v>
                </c:pt>
                <c:pt idx="7">
                  <c:v>-0.52679714906714559</c:v>
                </c:pt>
                <c:pt idx="8">
                  <c:v>-0.92715658550689728</c:v>
                </c:pt>
                <c:pt idx="9">
                  <c:v>-0.53073249036743231</c:v>
                </c:pt>
                <c:pt idx="10">
                  <c:v>3.9255544551259103</c:v>
                </c:pt>
                <c:pt idx="11">
                  <c:v>3.4074644537712251</c:v>
                </c:pt>
                <c:pt idx="12">
                  <c:v>3.1631793989667374</c:v>
                </c:pt>
                <c:pt idx="13">
                  <c:v>2.4579943980309591</c:v>
                </c:pt>
                <c:pt idx="14">
                  <c:v>4.0335201005823755</c:v>
                </c:pt>
                <c:pt idx="15">
                  <c:v>-0.53317662366672636</c:v>
                </c:pt>
                <c:pt idx="16">
                  <c:v>-0.65593879402388233</c:v>
                </c:pt>
                <c:pt idx="17">
                  <c:v>2.8750361763326175</c:v>
                </c:pt>
                <c:pt idx="18">
                  <c:v>3.2549124248734582</c:v>
                </c:pt>
                <c:pt idx="19">
                  <c:v>0.92107433639617486</c:v>
                </c:pt>
                <c:pt idx="20">
                  <c:v>-0.80184736719235794</c:v>
                </c:pt>
                <c:pt idx="21">
                  <c:v>2.4099202472238552</c:v>
                </c:pt>
                <c:pt idx="22">
                  <c:v>2.5849687140150812</c:v>
                </c:pt>
                <c:pt idx="23">
                  <c:v>2.357247889535663</c:v>
                </c:pt>
                <c:pt idx="24">
                  <c:v>2.4177093906381546</c:v>
                </c:pt>
                <c:pt idx="25">
                  <c:v>2.4786486742017049</c:v>
                </c:pt>
                <c:pt idx="26">
                  <c:v>2.5400356092888066</c:v>
                </c:pt>
                <c:pt idx="27">
                  <c:v>0.90020159063837024</c:v>
                </c:pt>
                <c:pt idx="28">
                  <c:v>2.5324211692552661</c:v>
                </c:pt>
                <c:pt idx="29">
                  <c:v>2.5079453327704595</c:v>
                </c:pt>
                <c:pt idx="30">
                  <c:v>-0.87690759898252901</c:v>
                </c:pt>
                <c:pt idx="31">
                  <c:v>-1.3316499607401688</c:v>
                </c:pt>
                <c:pt idx="32">
                  <c:v>-0.92723492855062883</c:v>
                </c:pt>
                <c:pt idx="33">
                  <c:v>1.6215926195515196</c:v>
                </c:pt>
                <c:pt idx="34">
                  <c:v>3.5082229399978564</c:v>
                </c:pt>
                <c:pt idx="35">
                  <c:v>2.7310272233608663</c:v>
                </c:pt>
                <c:pt idx="36">
                  <c:v>2.4868161403737918</c:v>
                </c:pt>
                <c:pt idx="37">
                  <c:v>2.5163349535879447</c:v>
                </c:pt>
                <c:pt idx="38">
                  <c:v>-0.9242779093462552</c:v>
                </c:pt>
                <c:pt idx="39">
                  <c:v>2.4897078554911189</c:v>
                </c:pt>
                <c:pt idx="40">
                  <c:v>1.7566663861910563</c:v>
                </c:pt>
                <c:pt idx="41">
                  <c:v>2.319710623450967</c:v>
                </c:pt>
                <c:pt idx="42">
                  <c:v>2.3794553762568076</c:v>
                </c:pt>
                <c:pt idx="43">
                  <c:v>1.7914244224558209</c:v>
                </c:pt>
                <c:pt idx="44">
                  <c:v>1.7264823717806985</c:v>
                </c:pt>
                <c:pt idx="45">
                  <c:v>1.2517731344668657</c:v>
                </c:pt>
                <c:pt idx="46">
                  <c:v>2.4471284727742457</c:v>
                </c:pt>
                <c:pt idx="47">
                  <c:v>-8.0046435156153395E-2</c:v>
                </c:pt>
                <c:pt idx="48">
                  <c:v>-0.90586161081764338</c:v>
                </c:pt>
                <c:pt idx="49">
                  <c:v>1.1272754696107128</c:v>
                </c:pt>
                <c:pt idx="50">
                  <c:v>1.5340212544321055</c:v>
                </c:pt>
                <c:pt idx="51">
                  <c:v>2.1430160008998009</c:v>
                </c:pt>
                <c:pt idx="52">
                  <c:v>2.4399965208552561</c:v>
                </c:pt>
                <c:pt idx="53">
                  <c:v>1.9931770880777431</c:v>
                </c:pt>
                <c:pt idx="54">
                  <c:v>2.0674252486948252</c:v>
                </c:pt>
                <c:pt idx="55">
                  <c:v>2.1596694523603741</c:v>
                </c:pt>
                <c:pt idx="56">
                  <c:v>2.195033567448692</c:v>
                </c:pt>
                <c:pt idx="57">
                  <c:v>-0.87093771878579362</c:v>
                </c:pt>
                <c:pt idx="58">
                  <c:v>-0.59803434481955664</c:v>
                </c:pt>
                <c:pt idx="59">
                  <c:v>0.77159145993558076</c:v>
                </c:pt>
                <c:pt idx="60">
                  <c:v>1.5112910128221568</c:v>
                </c:pt>
                <c:pt idx="61">
                  <c:v>1.573922799789395</c:v>
                </c:pt>
                <c:pt idx="62">
                  <c:v>1.6099028971229741</c:v>
                </c:pt>
                <c:pt idx="63">
                  <c:v>1.7906845772023492</c:v>
                </c:pt>
                <c:pt idx="64">
                  <c:v>2.0015187029673589</c:v>
                </c:pt>
                <c:pt idx="65">
                  <c:v>2.9193934360205995</c:v>
                </c:pt>
                <c:pt idx="66">
                  <c:v>1.5777037055302721</c:v>
                </c:pt>
                <c:pt idx="67">
                  <c:v>1.4864436727347066</c:v>
                </c:pt>
                <c:pt idx="68">
                  <c:v>1.4098371767342981</c:v>
                </c:pt>
                <c:pt idx="69">
                  <c:v>1.4931207691465183</c:v>
                </c:pt>
                <c:pt idx="70">
                  <c:v>1.1733069915397627</c:v>
                </c:pt>
                <c:pt idx="71">
                  <c:v>1.3886855674006375</c:v>
                </c:pt>
                <c:pt idx="72">
                  <c:v>2.0090834447837609</c:v>
                </c:pt>
                <c:pt idx="73">
                  <c:v>0.97471852729933206</c:v>
                </c:pt>
                <c:pt idx="74">
                  <c:v>2.0572191929802996</c:v>
                </c:pt>
                <c:pt idx="75">
                  <c:v>2.294508238372603</c:v>
                </c:pt>
                <c:pt idx="76">
                  <c:v>3.3222481895557006</c:v>
                </c:pt>
                <c:pt idx="77">
                  <c:v>0.8130560206943076</c:v>
                </c:pt>
                <c:pt idx="78">
                  <c:v>0.86026939967923932</c:v>
                </c:pt>
                <c:pt idx="79">
                  <c:v>1.094623729795529</c:v>
                </c:pt>
                <c:pt idx="80">
                  <c:v>1.3589583779788437</c:v>
                </c:pt>
                <c:pt idx="81">
                  <c:v>1.2228366820038492</c:v>
                </c:pt>
                <c:pt idx="82">
                  <c:v>1.1026630432856455</c:v>
                </c:pt>
                <c:pt idx="83">
                  <c:v>-0.62409807888486579</c:v>
                </c:pt>
                <c:pt idx="84">
                  <c:v>1.337378577976011</c:v>
                </c:pt>
                <c:pt idx="85">
                  <c:v>1.2449419530532713</c:v>
                </c:pt>
                <c:pt idx="86">
                  <c:v>1.0391201934159273</c:v>
                </c:pt>
                <c:pt idx="87">
                  <c:v>1.0384080211698601</c:v>
                </c:pt>
                <c:pt idx="88">
                  <c:v>0.72196983464759812</c:v>
                </c:pt>
                <c:pt idx="89">
                  <c:v>1.3419423188444295</c:v>
                </c:pt>
                <c:pt idx="90">
                  <c:v>1.3272920470254472</c:v>
                </c:pt>
                <c:pt idx="91">
                  <c:v>1.010292671458225</c:v>
                </c:pt>
                <c:pt idx="92">
                  <c:v>1.0201309896267592</c:v>
                </c:pt>
                <c:pt idx="93">
                  <c:v>0.74483004024267152</c:v>
                </c:pt>
                <c:pt idx="94">
                  <c:v>0.56576661193491162</c:v>
                </c:pt>
                <c:pt idx="95">
                  <c:v>0.56816344768324634</c:v>
                </c:pt>
                <c:pt idx="96">
                  <c:v>0.59808424612383948</c:v>
                </c:pt>
                <c:pt idx="97">
                  <c:v>0.52868427880805713</c:v>
                </c:pt>
                <c:pt idx="98">
                  <c:v>4.4321294862278964E-3</c:v>
                </c:pt>
                <c:pt idx="99">
                  <c:v>0.34718426852914031</c:v>
                </c:pt>
                <c:pt idx="100">
                  <c:v>-0.47808</c:v>
                </c:pt>
                <c:pt idx="101">
                  <c:v>-0.15984000000000001</c:v>
                </c:pt>
                <c:pt idx="102">
                  <c:v>-0.41039999999999999</c:v>
                </c:pt>
                <c:pt idx="103">
                  <c:v>-0.24191999999999997</c:v>
                </c:pt>
                <c:pt idx="104">
                  <c:v>-0.23327999999999999</c:v>
                </c:pt>
                <c:pt idx="105">
                  <c:v>-7.1856000000000003E-2</c:v>
                </c:pt>
                <c:pt idx="106">
                  <c:v>-0.14371200000000001</c:v>
                </c:pt>
                <c:pt idx="107">
                  <c:v>-6.3072000000000003E-2</c:v>
                </c:pt>
                <c:pt idx="108">
                  <c:v>5.7312000000000002E-2</c:v>
                </c:pt>
                <c:pt idx="109">
                  <c:v>0.11203199999999999</c:v>
                </c:pt>
                <c:pt idx="110">
                  <c:v>-0.71279999999999999</c:v>
                </c:pt>
                <c:pt idx="111">
                  <c:v>-0.66527999999999998</c:v>
                </c:pt>
                <c:pt idx="112">
                  <c:v>-1.2369600000000001</c:v>
                </c:pt>
                <c:pt idx="113">
                  <c:v>-1.04112</c:v>
                </c:pt>
                <c:pt idx="114">
                  <c:v>-0.87696000000000007</c:v>
                </c:pt>
                <c:pt idx="115">
                  <c:v>-0.98352000000000006</c:v>
                </c:pt>
                <c:pt idx="116">
                  <c:v>-1.05264</c:v>
                </c:pt>
                <c:pt idx="117">
                  <c:v>-0.98063999999999996</c:v>
                </c:pt>
                <c:pt idx="118">
                  <c:v>-8.524799999999999E-2</c:v>
                </c:pt>
                <c:pt idx="119">
                  <c:v>0.12196799999999999</c:v>
                </c:pt>
                <c:pt idx="120">
                  <c:v>0.74015999999999993</c:v>
                </c:pt>
                <c:pt idx="121">
                  <c:v>0.22320000000000001</c:v>
                </c:pt>
                <c:pt idx="122">
                  <c:v>0.19583999999999999</c:v>
                </c:pt>
                <c:pt idx="123">
                  <c:v>0.52127999999999997</c:v>
                </c:pt>
                <c:pt idx="124">
                  <c:v>7.6607999999999997E-3</c:v>
                </c:pt>
                <c:pt idx="125">
                  <c:v>-0.13852800000000001</c:v>
                </c:pt>
                <c:pt idx="126">
                  <c:v>3.0096000000000001E-2</c:v>
                </c:pt>
                <c:pt idx="127">
                  <c:v>0.16847999999999999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79-DC4E-BCD0-4DACDE339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7275328"/>
        <c:axId val="-2027298784"/>
      </c:barChart>
      <c:barChart>
        <c:barDir val="col"/>
        <c:grouping val="clustered"/>
        <c:varyColors val="0"/>
        <c:ser>
          <c:idx val="1"/>
          <c:order val="1"/>
          <c:spPr>
            <a:ln w="15875" cmpd="sng">
              <a:solidFill>
                <a:srgbClr val="FF0000"/>
              </a:solidFill>
            </a:ln>
            <a:effectLst/>
          </c:spPr>
          <c:invertIfNegative val="0"/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 (2)'!$AH$23:$AH$150</c:f>
              <c:numCache>
                <c:formatCode>###0.00;###0.00</c:formatCode>
                <c:ptCount val="128"/>
                <c:pt idx="0">
                  <c:v>-11.4</c:v>
                </c:pt>
                <c:pt idx="1">
                  <c:v>-24.05</c:v>
                </c:pt>
                <c:pt idx="2">
                  <c:v>-25.749999999999901</c:v>
                </c:pt>
                <c:pt idx="3">
                  <c:v>-2</c:v>
                </c:pt>
                <c:pt idx="4">
                  <c:v>-10.466666666666701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-2.06</c:v>
                </c:pt>
                <c:pt idx="15">
                  <c:v>-0.1</c:v>
                </c:pt>
                <c:pt idx="16">
                  <c:v>-2.1</c:v>
                </c:pt>
                <c:pt idx="17">
                  <c:v>-0.4</c:v>
                </c:pt>
                <c:pt idx="18">
                  <c:v>-22.5</c:v>
                </c:pt>
                <c:pt idx="19">
                  <c:v>-4.75</c:v>
                </c:pt>
                <c:pt idx="20">
                  <c:v>-0.3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 formatCode="General">
                  <c:v>0</c:v>
                </c:pt>
                <c:pt idx="27">
                  <c:v>-4</c:v>
                </c:pt>
                <c:pt idx="28">
                  <c:v>0</c:v>
                </c:pt>
                <c:pt idx="29">
                  <c:v>0</c:v>
                </c:pt>
                <c:pt idx="30">
                  <c:v>-0.05</c:v>
                </c:pt>
                <c:pt idx="31">
                  <c:v>-63.6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0.55000000000000004</c:v>
                </c:pt>
                <c:pt idx="45">
                  <c:v>-2.4500000000000002</c:v>
                </c:pt>
                <c:pt idx="46">
                  <c:v>-15.1</c:v>
                </c:pt>
                <c:pt idx="47">
                  <c:v>-1.95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-1.65</c:v>
                </c:pt>
                <c:pt idx="53">
                  <c:v>-0.1</c:v>
                </c:pt>
                <c:pt idx="54">
                  <c:v>-0.95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-0.3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79-DC4E-BCD0-4DACDE339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639872"/>
        <c:axId val="-2027295920"/>
      </c:barChart>
      <c:dateAx>
        <c:axId val="-2027275328"/>
        <c:scaling>
          <c:orientation val="minMax"/>
          <c:max val="41691"/>
        </c:scaling>
        <c:delete val="0"/>
        <c:axPos val="b"/>
        <c:numFmt formatCode="m/d/yy" sourceLinked="1"/>
        <c:majorTickMark val="out"/>
        <c:minorTickMark val="none"/>
        <c:tickLblPos val="low"/>
        <c:txPr>
          <a:bodyPr/>
          <a:lstStyle/>
          <a:p>
            <a:pPr>
              <a:defRPr sz="1400" b="1"/>
            </a:pPr>
            <a:endParaRPr lang="en-US"/>
          </a:p>
        </c:txPr>
        <c:crossAx val="-2027298784"/>
        <c:crossesAt val="0"/>
        <c:auto val="0"/>
        <c:lblOffset val="100"/>
        <c:baseTimeUnit val="days"/>
        <c:majorUnit val="7"/>
        <c:majorTimeUnit val="days"/>
      </c:dateAx>
      <c:valAx>
        <c:axId val="-2027298784"/>
        <c:scaling>
          <c:orientation val="minMax"/>
          <c:max val="6.4"/>
          <c:min val="-2.6"/>
        </c:scaling>
        <c:delete val="0"/>
        <c:axPos val="l"/>
        <c:majorGridlines/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27275328"/>
        <c:crosses val="autoZero"/>
        <c:crossBetween val="between"/>
        <c:majorUnit val="1"/>
      </c:valAx>
      <c:valAx>
        <c:axId val="-2027295920"/>
        <c:scaling>
          <c:orientation val="minMax"/>
          <c:max val="0"/>
          <c:min val="-125"/>
        </c:scaling>
        <c:delete val="0"/>
        <c:axPos val="r"/>
        <c:numFmt formatCode="###0.00;###0.00" sourceLinked="1"/>
        <c:majorTickMark val="in"/>
        <c:minorTickMark val="none"/>
        <c:tickLblPos val="none"/>
        <c:spPr>
          <a:ln w="19050">
            <a:solidFill>
              <a:schemeClr val="tx1"/>
            </a:solidFill>
          </a:ln>
        </c:spPr>
        <c:crossAx val="-2029639872"/>
        <c:crosses val="max"/>
        <c:crossBetween val="between"/>
      </c:valAx>
      <c:dateAx>
        <c:axId val="-2029639872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7295920"/>
        <c:crosses val="max"/>
        <c:auto val="1"/>
        <c:lblOffset val="100"/>
        <c:baseTimeUnit val="days"/>
      </c:dateAx>
      <c:spPr>
        <a:ln w="12700" cmpd="sng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sz="2800"/>
              <a:t>Tank</a:t>
            </a:r>
            <a:r>
              <a:rPr lang="en-US" sz="2800" baseline="0"/>
              <a:t> 4 </a:t>
            </a:r>
          </a:p>
          <a:p>
            <a:pPr algn="ctr">
              <a:defRPr/>
            </a:pPr>
            <a:endParaRPr lang="en-US" sz="2800"/>
          </a:p>
        </c:rich>
      </c:tx>
      <c:layout>
        <c:manualLayout>
          <c:xMode val="edge"/>
          <c:yMode val="edge"/>
          <c:x val="0.45090695058466501"/>
          <c:y val="9.933774834437079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09378335380701"/>
          <c:y val="0.101894326293325"/>
          <c:w val="0.86428217572547705"/>
          <c:h val="0.61365310177349297"/>
        </c:manualLayout>
      </c:layout>
      <c:areaChart>
        <c:grouping val="standard"/>
        <c:varyColors val="0"/>
        <c:ser>
          <c:idx val="3"/>
          <c:order val="3"/>
          <c:spPr>
            <a:solidFill>
              <a:schemeClr val="accent1">
                <a:lumMod val="75000"/>
              </a:schemeClr>
            </a:solidFill>
            <a:ln w="63500"/>
          </c:spPr>
          <c:dPt>
            <c:idx val="68"/>
            <c:bubble3D val="0"/>
            <c:spPr>
              <a:solidFill>
                <a:srgbClr val="376092"/>
              </a:solidFill>
              <a:ln w="63500"/>
            </c:spPr>
            <c:extLst>
              <c:ext xmlns:c16="http://schemas.microsoft.com/office/drawing/2014/chart" uri="{C3380CC4-5D6E-409C-BE32-E72D297353CC}">
                <c16:uniqueId val="{00000001-B4EB-CC42-99BD-77DD373B0B5C}"/>
              </c:ext>
            </c:extLst>
          </c:dPt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EB-CC42-99BD-77DD373B0B5C}"/>
            </c:ext>
          </c:extLst>
        </c:ser>
        <c:ser>
          <c:idx val="2"/>
          <c:order val="2"/>
          <c:spPr>
            <a:solidFill>
              <a:schemeClr val="bg1">
                <a:lumMod val="75000"/>
                <a:alpha val="41000"/>
              </a:schemeClr>
            </a:solidFill>
            <a:ln w="127000" cmpd="sng">
              <a:noFill/>
            </a:ln>
          </c:spPr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 (2)'!$E$23:$E$117</c:f>
              <c:numCache>
                <c:formatCode>0.0000</c:formatCode>
                <c:ptCount val="95"/>
                <c:pt idx="0">
                  <c:v>3.001481022440164</c:v>
                </c:pt>
                <c:pt idx="1">
                  <c:v>3.0295143565567302</c:v>
                </c:pt>
                <c:pt idx="2">
                  <c:v>3.1842159959313361</c:v>
                </c:pt>
                <c:pt idx="3">
                  <c:v>3.1727063881024375</c:v>
                </c:pt>
                <c:pt idx="4">
                  <c:v>3.1319503382091853</c:v>
                </c:pt>
                <c:pt idx="5">
                  <c:v>3.0868947052086626</c:v>
                </c:pt>
                <c:pt idx="6">
                  <c:v>3.0421924557679625</c:v>
                </c:pt>
                <c:pt idx="7">
                  <c:v>2.9996337677375871</c:v>
                </c:pt>
                <c:pt idx="8">
                  <c:v>2.9609229280280371</c:v>
                </c:pt>
                <c:pt idx="9">
                  <c:v>2.9154341775812385</c:v>
                </c:pt>
                <c:pt idx="10">
                  <c:v>2.8776409376518033</c:v>
                </c:pt>
                <c:pt idx="11">
                  <c:v>2.8401098576753268</c:v>
                </c:pt>
                <c:pt idx="12">
                  <c:v>2.7989624191981517</c:v>
                </c:pt>
                <c:pt idx="13">
                  <c:v>2.7607329762465871</c:v>
                </c:pt>
                <c:pt idx="14">
                  <c:v>2.7228466778126248</c:v>
                </c:pt>
                <c:pt idx="15">
                  <c:v>2.6960524038752909</c:v>
                </c:pt>
                <c:pt idx="16">
                  <c:v>2.6588710094669961</c:v>
                </c:pt>
                <c:pt idx="17">
                  <c:v>2.6246802121516297</c:v>
                </c:pt>
                <c:pt idx="18">
                  <c:v>2.5902771477230098</c:v>
                </c:pt>
                <c:pt idx="19">
                  <c:v>2.6102194843017643</c:v>
                </c:pt>
                <c:pt idx="20">
                  <c:v>2.6013288895585291</c:v>
                </c:pt>
                <c:pt idx="21">
                  <c:v>2.56585301864077</c:v>
                </c:pt>
                <c:pt idx="22">
                  <c:v>2.531948719981806</c:v>
                </c:pt>
                <c:pt idx="23">
                  <c:v>2.4993953411213714</c:v>
                </c:pt>
                <c:pt idx="24">
                  <c:v>2.4632184455944803</c:v>
                </c:pt>
                <c:pt idx="25">
                  <c:v>2.4248004524185611</c:v>
                </c:pt>
                <c:pt idx="26">
                  <c:v>2.3878161938040869</c:v>
                </c:pt>
                <c:pt idx="27">
                  <c:v>2.3528955413438131</c:v>
                </c:pt>
                <c:pt idx="28">
                  <c:v>2.3232748912332295</c:v>
                </c:pt>
                <c:pt idx="29">
                  <c:v>2.2819939113679717</c:v>
                </c:pt>
                <c:pt idx="30">
                  <c:v>2.2373266236699831</c:v>
                </c:pt>
                <c:pt idx="31">
                  <c:v>2.1916783584564272</c:v>
                </c:pt>
                <c:pt idx="32">
                  <c:v>2.2556730516361818</c:v>
                </c:pt>
                <c:pt idx="33">
                  <c:v>2.2130814440322788</c:v>
                </c:pt>
                <c:pt idx="34">
                  <c:v>2.1686401297129607</c:v>
                </c:pt>
                <c:pt idx="35">
                  <c:v>2.1246155743392241</c:v>
                </c:pt>
                <c:pt idx="36">
                  <c:v>2.0702272337360754</c:v>
                </c:pt>
                <c:pt idx="37">
                  <c:v>2.0150720246773575</c:v>
                </c:pt>
                <c:pt idx="38">
                  <c:v>1.9673231540970932</c:v>
                </c:pt>
                <c:pt idx="39">
                  <c:v>1.919013953762152</c:v>
                </c:pt>
                <c:pt idx="40">
                  <c:v>1.8739722295991847</c:v>
                </c:pt>
                <c:pt idx="41">
                  <c:v>1.8367587306052831</c:v>
                </c:pt>
                <c:pt idx="42">
                  <c:v>1.7994634391078965</c:v>
                </c:pt>
                <c:pt idx="43">
                  <c:v>1.7632726488416055</c:v>
                </c:pt>
                <c:pt idx="44">
                  <c:v>1.7149452480592271</c:v>
                </c:pt>
                <c:pt idx="45">
                  <c:v>1.6719742858665225</c:v>
                </c:pt>
                <c:pt idx="46">
                  <c:v>1.638650769200066</c:v>
                </c:pt>
                <c:pt idx="47">
                  <c:v>1.6298924910133441</c:v>
                </c:pt>
                <c:pt idx="48">
                  <c:v>1.5979663033140761</c:v>
                </c:pt>
                <c:pt idx="49">
                  <c:v>1.567169367742697</c:v>
                </c:pt>
                <c:pt idx="50">
                  <c:v>1.5350550443621054</c:v>
                </c:pt>
                <c:pt idx="51">
                  <c:v>1.5037257992832953</c:v>
                </c:pt>
                <c:pt idx="52">
                  <c:v>1.4761350043176198</c:v>
                </c:pt>
                <c:pt idx="53">
                  <c:v>1.4483703853027508</c:v>
                </c:pt>
                <c:pt idx="54">
                  <c:v>1.4215358193055381</c:v>
                </c:pt>
                <c:pt idx="55">
                  <c:v>1.394499628031872</c:v>
                </c:pt>
                <c:pt idx="56">
                  <c:v>1.3708202734430697</c:v>
                </c:pt>
                <c:pt idx="57">
                  <c:v>1.3670572820543492</c:v>
                </c:pt>
                <c:pt idx="58">
                  <c:v>1.3745521919043875</c:v>
                </c:pt>
                <c:pt idx="59">
                  <c:v>1.3461162032028562</c:v>
                </c:pt>
                <c:pt idx="60">
                  <c:v>1.3168452457095339</c:v>
                </c:pt>
                <c:pt idx="61">
                  <c:v>1.2877566978348676</c:v>
                </c:pt>
                <c:pt idx="62">
                  <c:v>1.2599575104730953</c:v>
                </c:pt>
                <c:pt idx="63">
                  <c:v>1.2310082253497936</c:v>
                </c:pt>
                <c:pt idx="64">
                  <c:v>1.2057875728895202</c:v>
                </c:pt>
                <c:pt idx="65">
                  <c:v>1.1813288895585292</c:v>
                </c:pt>
                <c:pt idx="66">
                  <c:v>1.1558933107006486</c:v>
                </c:pt>
                <c:pt idx="67">
                  <c:v>1.1294738854216377</c:v>
                </c:pt>
                <c:pt idx="68">
                  <c:v>1.1028156048852229</c:v>
                </c:pt>
                <c:pt idx="69">
                  <c:v>1.0784434202106383</c:v>
                </c:pt>
                <c:pt idx="70">
                  <c:v>1.0514010906809603</c:v>
                </c:pt>
                <c:pt idx="71">
                  <c:v>1.0209965847504816</c:v>
                </c:pt>
                <c:pt idx="72">
                  <c:v>0.99228676730036958</c:v>
                </c:pt>
                <c:pt idx="73">
                  <c:v>0.96585404559959065</c:v>
                </c:pt>
                <c:pt idx="74">
                  <c:v>0.94686099884352315</c:v>
                </c:pt>
                <c:pt idx="75">
                  <c:v>0.92725057132731747</c:v>
                </c:pt>
                <c:pt idx="76">
                  <c:v>0.90683318586779882</c:v>
                </c:pt>
                <c:pt idx="77">
                  <c:v>0.88597981170674578</c:v>
                </c:pt>
                <c:pt idx="78">
                  <c:v>0.85625384067776678</c:v>
                </c:pt>
                <c:pt idx="79">
                  <c:v>0.82819800980449421</c:v>
                </c:pt>
                <c:pt idx="80">
                  <c:v>0.79448532579851039</c:v>
                </c:pt>
                <c:pt idx="81">
                  <c:v>0.76523991774205824</c:v>
                </c:pt>
                <c:pt idx="82">
                  <c:v>0.74332233440979012</c:v>
                </c:pt>
                <c:pt idx="83">
                  <c:v>0.72644667781262529</c:v>
                </c:pt>
                <c:pt idx="84">
                  <c:v>0.72156631271284555</c:v>
                </c:pt>
                <c:pt idx="85">
                  <c:v>0.70435056662793416</c:v>
                </c:pt>
                <c:pt idx="86">
                  <c:v>0.681747092355661</c:v>
                </c:pt>
                <c:pt idx="87">
                  <c:v>0.65773114369861618</c:v>
                </c:pt>
                <c:pt idx="88">
                  <c:v>0.61232889425791415</c:v>
                </c:pt>
                <c:pt idx="89">
                  <c:v>0.53664341316156028</c:v>
                </c:pt>
                <c:pt idx="90">
                  <c:v>0.45490926170738405</c:v>
                </c:pt>
                <c:pt idx="91">
                  <c:v>0.40644607479560563</c:v>
                </c:pt>
                <c:pt idx="92">
                  <c:v>0.30954382535490638</c:v>
                </c:pt>
                <c:pt idx="93">
                  <c:v>0.21282725723299883</c:v>
                </c:pt>
                <c:pt idx="94">
                  <c:v>0.21143871875709991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EB-CC42-99BD-77DD373B0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6071712"/>
        <c:axId val="-2036075648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 w="15875" cmpd="sng">
              <a:solidFill>
                <a:schemeClr val="tx2"/>
              </a:solidFill>
            </a:ln>
            <a:effectLst/>
          </c:spPr>
          <c:invertIfNegative val="0"/>
          <c:dPt>
            <c:idx val="68"/>
            <c:invertIfNegative val="0"/>
            <c:bubble3D val="0"/>
            <c:spPr>
              <a:solidFill>
                <a:srgbClr val="376092"/>
              </a:solidFill>
              <a:ln w="15875" cmpd="sng"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EB-CC42-99BD-77DD373B0B5C}"/>
              </c:ext>
            </c:extLst>
          </c:dPt>
          <c:cat>
            <c:numRef>
              <c:f>'Tank Data (2)'!$A$23:$A$117</c:f>
              <c:numCache>
                <c:formatCode>m/d/yy</c:formatCode>
                <c:ptCount val="95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</c:numCache>
            </c:numRef>
          </c:cat>
          <c:val>
            <c:numRef>
              <c:f>'Tank Data (2)'!$AF$23:$AF$150</c:f>
              <c:numCache>
                <c:formatCode>0.00</c:formatCode>
                <c:ptCount val="128"/>
                <c:pt idx="0">
                  <c:v>-0.98682521443194926</c:v>
                </c:pt>
                <c:pt idx="1">
                  <c:v>-0.57258551570025118</c:v>
                </c:pt>
                <c:pt idx="2">
                  <c:v>-0.47210832188453072</c:v>
                </c:pt>
                <c:pt idx="3">
                  <c:v>-0.18754720991359014</c:v>
                </c:pt>
                <c:pt idx="4">
                  <c:v>1.8775958161902748</c:v>
                </c:pt>
                <c:pt idx="5">
                  <c:v>-2.4452708789741555</c:v>
                </c:pt>
                <c:pt idx="6">
                  <c:v>-0.81316758730067096</c:v>
                </c:pt>
                <c:pt idx="7">
                  <c:v>5.7906656274811161E-2</c:v>
                </c:pt>
                <c:pt idx="8">
                  <c:v>-2.4658539082898603</c:v>
                </c:pt>
                <c:pt idx="9">
                  <c:v>0.23953170807214652</c:v>
                </c:pt>
                <c:pt idx="10">
                  <c:v>0.10653296367176025</c:v>
                </c:pt>
                <c:pt idx="11">
                  <c:v>-0.18437699289918197</c:v>
                </c:pt>
                <c:pt idx="12">
                  <c:v>-0.47444989878023047</c:v>
                </c:pt>
                <c:pt idx="13">
                  <c:v>-1.3680144254648863</c:v>
                </c:pt>
                <c:pt idx="14">
                  <c:v>-0.26292365532306733</c:v>
                </c:pt>
                <c:pt idx="15">
                  <c:v>-1.4033359205361855</c:v>
                </c:pt>
                <c:pt idx="16">
                  <c:v>-2.1593532157819788</c:v>
                </c:pt>
                <c:pt idx="17">
                  <c:v>-0.52532183695556334</c:v>
                </c:pt>
                <c:pt idx="18">
                  <c:v>2.5276564337949594</c:v>
                </c:pt>
                <c:pt idx="19">
                  <c:v>-0.23219958135409469</c:v>
                </c:pt>
                <c:pt idx="20">
                  <c:v>-2.3314457524622174</c:v>
                </c:pt>
                <c:pt idx="21">
                  <c:v>-1.4934827979861893</c:v>
                </c:pt>
                <c:pt idx="22">
                  <c:v>-0.54631381358665609</c:v>
                </c:pt>
                <c:pt idx="23">
                  <c:v>-6.363185087767502E-2</c:v>
                </c:pt>
                <c:pt idx="24">
                  <c:v>0.72275058579618356</c:v>
                </c:pt>
                <c:pt idx="25">
                  <c:v>0.4183905468843514</c:v>
                </c:pt>
                <c:pt idx="26">
                  <c:v>1.0451309710629426</c:v>
                </c:pt>
                <c:pt idx="27">
                  <c:v>-1.6354295593622028</c:v>
                </c:pt>
                <c:pt idx="28">
                  <c:v>0.42655682172897669</c:v>
                </c:pt>
                <c:pt idx="29">
                  <c:v>0.14474981881563398</c:v>
                </c:pt>
                <c:pt idx="30">
                  <c:v>-2.3152909280970708</c:v>
                </c:pt>
                <c:pt idx="31">
                  <c:v>-1.2617135730550211</c:v>
                </c:pt>
                <c:pt idx="32">
                  <c:v>-2.4597342214388913</c:v>
                </c:pt>
                <c:pt idx="33">
                  <c:v>-0.80755960410805083</c:v>
                </c:pt>
                <c:pt idx="34">
                  <c:v>-0.37989048676427656</c:v>
                </c:pt>
                <c:pt idx="35">
                  <c:v>-9.5686504933702524E-2</c:v>
                </c:pt>
                <c:pt idx="36">
                  <c:v>-0.31456925909300187</c:v>
                </c:pt>
                <c:pt idx="37">
                  <c:v>-0.30200307620411071</c:v>
                </c:pt>
                <c:pt idx="38">
                  <c:v>-2.476997755314871</c:v>
                </c:pt>
                <c:pt idx="39">
                  <c:v>-0.58996450647456522</c:v>
                </c:pt>
                <c:pt idx="40">
                  <c:v>-0.35767398137029927</c:v>
                </c:pt>
                <c:pt idx="41">
                  <c:v>-0.45512925890862677</c:v>
                </c:pt>
                <c:pt idx="42">
                  <c:v>-0.37774367011921411</c:v>
                </c:pt>
                <c:pt idx="43">
                  <c:v>-0.11150776774200913</c:v>
                </c:pt>
                <c:pt idx="44">
                  <c:v>-0.13915567292868863</c:v>
                </c:pt>
                <c:pt idx="45">
                  <c:v>-1.180156444785271</c:v>
                </c:pt>
                <c:pt idx="46">
                  <c:v>1.7870903920482992</c:v>
                </c:pt>
                <c:pt idx="47">
                  <c:v>-1.3582876873768961</c:v>
                </c:pt>
                <c:pt idx="48">
                  <c:v>-2.4065776094920865</c:v>
                </c:pt>
                <c:pt idx="49">
                  <c:v>-0.51649129679547001</c:v>
                </c:pt>
                <c:pt idx="50">
                  <c:v>0.63153638159846492</c:v>
                </c:pt>
                <c:pt idx="51">
                  <c:v>0.94155290821139181</c:v>
                </c:pt>
                <c:pt idx="52">
                  <c:v>1.2052346005942227</c:v>
                </c:pt>
                <c:pt idx="53">
                  <c:v>0.67758327403646434</c:v>
                </c:pt>
                <c:pt idx="54">
                  <c:v>0.91640422321728754</c:v>
                </c:pt>
                <c:pt idx="55">
                  <c:v>1.7822660783882269</c:v>
                </c:pt>
                <c:pt idx="56">
                  <c:v>0.99522285914351061</c:v>
                </c:pt>
                <c:pt idx="57">
                  <c:v>-2.0360173030996389</c:v>
                </c:pt>
                <c:pt idx="58">
                  <c:v>-0.72372216629408659</c:v>
                </c:pt>
                <c:pt idx="59">
                  <c:v>-0.26824852694965379</c:v>
                </c:pt>
                <c:pt idx="60">
                  <c:v>0.23573368904136854</c:v>
                </c:pt>
                <c:pt idx="61">
                  <c:v>9.6746017342390703E-2</c:v>
                </c:pt>
                <c:pt idx="62">
                  <c:v>1.1696818889693983</c:v>
                </c:pt>
                <c:pt idx="63">
                  <c:v>1.5622743532361143</c:v>
                </c:pt>
                <c:pt idx="64">
                  <c:v>-0.51238723721159707</c:v>
                </c:pt>
                <c:pt idx="65">
                  <c:v>-0.50900437397322729</c:v>
                </c:pt>
                <c:pt idx="66">
                  <c:v>-0.51410746180865008</c:v>
                </c:pt>
                <c:pt idx="67">
                  <c:v>-0.53124959999999999</c:v>
                </c:pt>
                <c:pt idx="68">
                  <c:v>3.5424000000000002</c:v>
                </c:pt>
                <c:pt idx="69">
                  <c:v>3.4416000000000002</c:v>
                </c:pt>
                <c:pt idx="70">
                  <c:v>1.6847999999999999</c:v>
                </c:pt>
                <c:pt idx="71">
                  <c:v>0.91871999999999998</c:v>
                </c:pt>
                <c:pt idx="72">
                  <c:v>0.97055999999999998</c:v>
                </c:pt>
                <c:pt idx="73">
                  <c:v>0.99791999999999992</c:v>
                </c:pt>
                <c:pt idx="74">
                  <c:v>3.528</c:v>
                </c:pt>
                <c:pt idx="75">
                  <c:v>2.8512</c:v>
                </c:pt>
                <c:pt idx="76">
                  <c:v>2.8018186958116629</c:v>
                </c:pt>
                <c:pt idx="77">
                  <c:v>1.7568000000000001</c:v>
                </c:pt>
                <c:pt idx="78">
                  <c:v>1.8863999999999999</c:v>
                </c:pt>
                <c:pt idx="79">
                  <c:v>1.4327999999999999</c:v>
                </c:pt>
                <c:pt idx="80">
                  <c:v>1.2312000000000001</c:v>
                </c:pt>
                <c:pt idx="81">
                  <c:v>0.7545599999999999</c:v>
                </c:pt>
                <c:pt idx="82">
                  <c:v>0.99504000000000004</c:v>
                </c:pt>
                <c:pt idx="83">
                  <c:v>-1.2182400000000002</c:v>
                </c:pt>
                <c:pt idx="84">
                  <c:v>1.3881599999999998</c:v>
                </c:pt>
                <c:pt idx="85">
                  <c:v>0.98639999999999994</c:v>
                </c:pt>
                <c:pt idx="86">
                  <c:v>0.63648000000000005</c:v>
                </c:pt>
                <c:pt idx="87">
                  <c:v>0.58608000000000005</c:v>
                </c:pt>
                <c:pt idx="88">
                  <c:v>0.78335999999999995</c:v>
                </c:pt>
                <c:pt idx="89">
                  <c:v>0.62783999999999995</c:v>
                </c:pt>
                <c:pt idx="90">
                  <c:v>0.54143999999999992</c:v>
                </c:pt>
                <c:pt idx="91">
                  <c:v>0.64512000000000003</c:v>
                </c:pt>
                <c:pt idx="92">
                  <c:v>1.1059199999999998</c:v>
                </c:pt>
                <c:pt idx="93">
                  <c:v>0.93024000000000007</c:v>
                </c:pt>
                <c:pt idx="94">
                  <c:v>0.70992</c:v>
                </c:pt>
                <c:pt idx="95">
                  <c:v>0.60624000000000011</c:v>
                </c:pt>
                <c:pt idx="96">
                  <c:v>0.48527999999999999</c:v>
                </c:pt>
                <c:pt idx="97">
                  <c:v>0.36144000000000004</c:v>
                </c:pt>
                <c:pt idx="98">
                  <c:v>6.3072000000000003E-2</c:v>
                </c:pt>
                <c:pt idx="99">
                  <c:v>0.42624000000000006</c:v>
                </c:pt>
                <c:pt idx="100">
                  <c:v>1.0396800000000002</c:v>
                </c:pt>
                <c:pt idx="101">
                  <c:v>-2.6783999999999999E-2</c:v>
                </c:pt>
                <c:pt idx="102">
                  <c:v>-1.2830399999999999E-2</c:v>
                </c:pt>
                <c:pt idx="103">
                  <c:v>9.6192E-2</c:v>
                </c:pt>
                <c:pt idx="104">
                  <c:v>0.18432000000000001</c:v>
                </c:pt>
                <c:pt idx="105">
                  <c:v>-3.8736E-2</c:v>
                </c:pt>
                <c:pt idx="106">
                  <c:v>0.11232</c:v>
                </c:pt>
                <c:pt idx="107">
                  <c:v>0.30528</c:v>
                </c:pt>
                <c:pt idx="108">
                  <c:v>-0.17712</c:v>
                </c:pt>
                <c:pt idx="109">
                  <c:v>-4.8528000000000002E-2</c:v>
                </c:pt>
                <c:pt idx="110">
                  <c:v>0.12844800000000001</c:v>
                </c:pt>
                <c:pt idx="111">
                  <c:v>-0.22320000000000001</c:v>
                </c:pt>
                <c:pt idx="112">
                  <c:v>-0.97776000000000007</c:v>
                </c:pt>
                <c:pt idx="113">
                  <c:v>-0.54576000000000002</c:v>
                </c:pt>
                <c:pt idx="114">
                  <c:v>-0.30528</c:v>
                </c:pt>
                <c:pt idx="115">
                  <c:v>-0.4536</c:v>
                </c:pt>
                <c:pt idx="116">
                  <c:v>-0.61199999999999999</c:v>
                </c:pt>
                <c:pt idx="117">
                  <c:v>-0.93455999999999995</c:v>
                </c:pt>
                <c:pt idx="118">
                  <c:v>-0.12124800000000002</c:v>
                </c:pt>
                <c:pt idx="119">
                  <c:v>0.30384</c:v>
                </c:pt>
                <c:pt idx="120">
                  <c:v>1.6992</c:v>
                </c:pt>
                <c:pt idx="121">
                  <c:v>-0.3024</c:v>
                </c:pt>
                <c:pt idx="122">
                  <c:v>-0.26495999999999997</c:v>
                </c:pt>
                <c:pt idx="123">
                  <c:v>0.71711999999999998</c:v>
                </c:pt>
                <c:pt idx="124">
                  <c:v>0.28223999999999999</c:v>
                </c:pt>
                <c:pt idx="125">
                  <c:v>-1.1664000000000001</c:v>
                </c:pt>
                <c:pt idx="126">
                  <c:v>-6.6096000000000002E-2</c:v>
                </c:pt>
                <c:pt idx="127">
                  <c:v>-1.0728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EB-CC42-99BD-77DD373B0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6071712"/>
        <c:axId val="-2036075648"/>
      </c:barChart>
      <c:barChart>
        <c:barDir val="col"/>
        <c:grouping val="clustered"/>
        <c:varyColors val="0"/>
        <c:ser>
          <c:idx val="1"/>
          <c:order val="1"/>
          <c:spPr>
            <a:ln w="15875" cmpd="sng">
              <a:solidFill>
                <a:srgbClr val="FF0000"/>
              </a:solidFill>
            </a:ln>
            <a:effectLst/>
          </c:spPr>
          <c:invertIfNegative val="0"/>
          <c:cat>
            <c:numRef>
              <c:f>'Tank Data (2)'!$A$23:$A$150</c:f>
              <c:numCache>
                <c:formatCode>m/d/yy</c:formatCode>
                <c:ptCount val="128"/>
                <c:pt idx="0">
                  <c:v>41564</c:v>
                </c:pt>
                <c:pt idx="1">
                  <c:v>41565</c:v>
                </c:pt>
                <c:pt idx="2">
                  <c:v>41566</c:v>
                </c:pt>
                <c:pt idx="3">
                  <c:v>41567</c:v>
                </c:pt>
                <c:pt idx="4">
                  <c:v>41568</c:v>
                </c:pt>
                <c:pt idx="5">
                  <c:v>41569</c:v>
                </c:pt>
                <c:pt idx="6">
                  <c:v>41570</c:v>
                </c:pt>
                <c:pt idx="7">
                  <c:v>41571</c:v>
                </c:pt>
                <c:pt idx="8">
                  <c:v>41572</c:v>
                </c:pt>
                <c:pt idx="9">
                  <c:v>41573</c:v>
                </c:pt>
                <c:pt idx="10">
                  <c:v>41574</c:v>
                </c:pt>
                <c:pt idx="11">
                  <c:v>41575</c:v>
                </c:pt>
                <c:pt idx="12">
                  <c:v>41576</c:v>
                </c:pt>
                <c:pt idx="13">
                  <c:v>41577</c:v>
                </c:pt>
                <c:pt idx="14">
                  <c:v>41578</c:v>
                </c:pt>
                <c:pt idx="15">
                  <c:v>41579</c:v>
                </c:pt>
                <c:pt idx="16">
                  <c:v>41580</c:v>
                </c:pt>
                <c:pt idx="17">
                  <c:v>41581</c:v>
                </c:pt>
                <c:pt idx="18">
                  <c:v>41582</c:v>
                </c:pt>
                <c:pt idx="19">
                  <c:v>41583</c:v>
                </c:pt>
                <c:pt idx="20">
                  <c:v>41584</c:v>
                </c:pt>
                <c:pt idx="21">
                  <c:v>41585</c:v>
                </c:pt>
                <c:pt idx="22">
                  <c:v>41586</c:v>
                </c:pt>
                <c:pt idx="23">
                  <c:v>41587</c:v>
                </c:pt>
                <c:pt idx="24">
                  <c:v>41588</c:v>
                </c:pt>
                <c:pt idx="25">
                  <c:v>41589</c:v>
                </c:pt>
                <c:pt idx="26">
                  <c:v>41590</c:v>
                </c:pt>
                <c:pt idx="27">
                  <c:v>41591</c:v>
                </c:pt>
                <c:pt idx="28">
                  <c:v>41592</c:v>
                </c:pt>
                <c:pt idx="29">
                  <c:v>41593</c:v>
                </c:pt>
                <c:pt idx="30">
                  <c:v>41594</c:v>
                </c:pt>
                <c:pt idx="31">
                  <c:v>41595</c:v>
                </c:pt>
                <c:pt idx="32">
                  <c:v>41596</c:v>
                </c:pt>
                <c:pt idx="33">
                  <c:v>41597</c:v>
                </c:pt>
                <c:pt idx="34">
                  <c:v>41598</c:v>
                </c:pt>
                <c:pt idx="35">
                  <c:v>41599</c:v>
                </c:pt>
                <c:pt idx="36">
                  <c:v>41600</c:v>
                </c:pt>
                <c:pt idx="37">
                  <c:v>41601</c:v>
                </c:pt>
                <c:pt idx="38">
                  <c:v>41602</c:v>
                </c:pt>
                <c:pt idx="39">
                  <c:v>41603</c:v>
                </c:pt>
                <c:pt idx="40">
                  <c:v>41604</c:v>
                </c:pt>
                <c:pt idx="41">
                  <c:v>41605</c:v>
                </c:pt>
                <c:pt idx="42">
                  <c:v>41606</c:v>
                </c:pt>
                <c:pt idx="43">
                  <c:v>41607</c:v>
                </c:pt>
                <c:pt idx="44">
                  <c:v>41608</c:v>
                </c:pt>
                <c:pt idx="45">
                  <c:v>41609</c:v>
                </c:pt>
                <c:pt idx="46">
                  <c:v>41610</c:v>
                </c:pt>
                <c:pt idx="47">
                  <c:v>41611</c:v>
                </c:pt>
                <c:pt idx="48">
                  <c:v>41612</c:v>
                </c:pt>
                <c:pt idx="49">
                  <c:v>41613</c:v>
                </c:pt>
                <c:pt idx="50">
                  <c:v>41614</c:v>
                </c:pt>
                <c:pt idx="51">
                  <c:v>41615</c:v>
                </c:pt>
                <c:pt idx="52">
                  <c:v>41616</c:v>
                </c:pt>
                <c:pt idx="53">
                  <c:v>41617</c:v>
                </c:pt>
                <c:pt idx="54">
                  <c:v>41618</c:v>
                </c:pt>
                <c:pt idx="55">
                  <c:v>41619</c:v>
                </c:pt>
                <c:pt idx="56">
                  <c:v>41620</c:v>
                </c:pt>
                <c:pt idx="57">
                  <c:v>41621</c:v>
                </c:pt>
                <c:pt idx="58">
                  <c:v>41622</c:v>
                </c:pt>
                <c:pt idx="59">
                  <c:v>41623</c:v>
                </c:pt>
                <c:pt idx="60">
                  <c:v>41624</c:v>
                </c:pt>
                <c:pt idx="61">
                  <c:v>41625</c:v>
                </c:pt>
                <c:pt idx="62">
                  <c:v>41626</c:v>
                </c:pt>
                <c:pt idx="63">
                  <c:v>41627</c:v>
                </c:pt>
                <c:pt idx="64">
                  <c:v>41628</c:v>
                </c:pt>
                <c:pt idx="65">
                  <c:v>41629</c:v>
                </c:pt>
                <c:pt idx="66">
                  <c:v>41630</c:v>
                </c:pt>
                <c:pt idx="67">
                  <c:v>41631</c:v>
                </c:pt>
                <c:pt idx="68">
                  <c:v>41632</c:v>
                </c:pt>
                <c:pt idx="69">
                  <c:v>41633</c:v>
                </c:pt>
                <c:pt idx="70">
                  <c:v>41634</c:v>
                </c:pt>
                <c:pt idx="71">
                  <c:v>41635</c:v>
                </c:pt>
                <c:pt idx="72">
                  <c:v>41636</c:v>
                </c:pt>
                <c:pt idx="73">
                  <c:v>41637</c:v>
                </c:pt>
                <c:pt idx="74">
                  <c:v>41638</c:v>
                </c:pt>
                <c:pt idx="75">
                  <c:v>41639</c:v>
                </c:pt>
                <c:pt idx="76">
                  <c:v>41640</c:v>
                </c:pt>
                <c:pt idx="77">
                  <c:v>41641</c:v>
                </c:pt>
                <c:pt idx="78">
                  <c:v>41642</c:v>
                </c:pt>
                <c:pt idx="79">
                  <c:v>41643</c:v>
                </c:pt>
                <c:pt idx="80">
                  <c:v>41644</c:v>
                </c:pt>
                <c:pt idx="81">
                  <c:v>41645</c:v>
                </c:pt>
                <c:pt idx="82">
                  <c:v>41646</c:v>
                </c:pt>
                <c:pt idx="83">
                  <c:v>41647</c:v>
                </c:pt>
                <c:pt idx="84">
                  <c:v>41648</c:v>
                </c:pt>
                <c:pt idx="85">
                  <c:v>41649</c:v>
                </c:pt>
                <c:pt idx="86">
                  <c:v>41650</c:v>
                </c:pt>
                <c:pt idx="87">
                  <c:v>41651</c:v>
                </c:pt>
                <c:pt idx="88">
                  <c:v>41652</c:v>
                </c:pt>
                <c:pt idx="89">
                  <c:v>41653</c:v>
                </c:pt>
                <c:pt idx="90">
                  <c:v>41654</c:v>
                </c:pt>
                <c:pt idx="91">
                  <c:v>41655</c:v>
                </c:pt>
                <c:pt idx="92">
                  <c:v>41656</c:v>
                </c:pt>
                <c:pt idx="93">
                  <c:v>41657</c:v>
                </c:pt>
                <c:pt idx="94">
                  <c:v>41658</c:v>
                </c:pt>
                <c:pt idx="95">
                  <c:v>41659</c:v>
                </c:pt>
                <c:pt idx="96">
                  <c:v>41660</c:v>
                </c:pt>
                <c:pt idx="97">
                  <c:v>41661</c:v>
                </c:pt>
                <c:pt idx="98">
                  <c:v>41662</c:v>
                </c:pt>
                <c:pt idx="99">
                  <c:v>41663</c:v>
                </c:pt>
                <c:pt idx="100">
                  <c:v>41664</c:v>
                </c:pt>
                <c:pt idx="101">
                  <c:v>41665</c:v>
                </c:pt>
                <c:pt idx="102">
                  <c:v>41666</c:v>
                </c:pt>
                <c:pt idx="103">
                  <c:v>41667</c:v>
                </c:pt>
                <c:pt idx="104">
                  <c:v>41668</c:v>
                </c:pt>
                <c:pt idx="105">
                  <c:v>41669</c:v>
                </c:pt>
                <c:pt idx="106">
                  <c:v>41670</c:v>
                </c:pt>
                <c:pt idx="107">
                  <c:v>41671</c:v>
                </c:pt>
                <c:pt idx="108">
                  <c:v>41672</c:v>
                </c:pt>
                <c:pt idx="109">
                  <c:v>41673</c:v>
                </c:pt>
                <c:pt idx="110">
                  <c:v>41674</c:v>
                </c:pt>
                <c:pt idx="111">
                  <c:v>41675</c:v>
                </c:pt>
                <c:pt idx="112">
                  <c:v>41676</c:v>
                </c:pt>
                <c:pt idx="113">
                  <c:v>41677</c:v>
                </c:pt>
                <c:pt idx="114">
                  <c:v>41678</c:v>
                </c:pt>
                <c:pt idx="115">
                  <c:v>41679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41685</c:v>
                </c:pt>
                <c:pt idx="122">
                  <c:v>41686</c:v>
                </c:pt>
                <c:pt idx="123">
                  <c:v>41687</c:v>
                </c:pt>
                <c:pt idx="124">
                  <c:v>41688</c:v>
                </c:pt>
                <c:pt idx="125">
                  <c:v>41689</c:v>
                </c:pt>
                <c:pt idx="126">
                  <c:v>41690</c:v>
                </c:pt>
                <c:pt idx="127">
                  <c:v>41691</c:v>
                </c:pt>
              </c:numCache>
            </c:numRef>
          </c:cat>
          <c:val>
            <c:numRef>
              <c:f>'Tank Data (2)'!$AH$23:$AH$150</c:f>
              <c:numCache>
                <c:formatCode>###0.00;###0.00</c:formatCode>
                <c:ptCount val="128"/>
                <c:pt idx="0">
                  <c:v>-11.4</c:v>
                </c:pt>
                <c:pt idx="1">
                  <c:v>-24.05</c:v>
                </c:pt>
                <c:pt idx="2">
                  <c:v>-25.749999999999901</c:v>
                </c:pt>
                <c:pt idx="3">
                  <c:v>-2</c:v>
                </c:pt>
                <c:pt idx="4">
                  <c:v>-10.466666666666701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-2.06</c:v>
                </c:pt>
                <c:pt idx="15">
                  <c:v>-0.1</c:v>
                </c:pt>
                <c:pt idx="16">
                  <c:v>-2.1</c:v>
                </c:pt>
                <c:pt idx="17">
                  <c:v>-0.4</c:v>
                </c:pt>
                <c:pt idx="18">
                  <c:v>-22.5</c:v>
                </c:pt>
                <c:pt idx="19">
                  <c:v>-4.75</c:v>
                </c:pt>
                <c:pt idx="20">
                  <c:v>-0.3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 formatCode="General">
                  <c:v>0</c:v>
                </c:pt>
                <c:pt idx="27">
                  <c:v>-4</c:v>
                </c:pt>
                <c:pt idx="28">
                  <c:v>0</c:v>
                </c:pt>
                <c:pt idx="29">
                  <c:v>0</c:v>
                </c:pt>
                <c:pt idx="30">
                  <c:v>-0.05</c:v>
                </c:pt>
                <c:pt idx="31">
                  <c:v>-63.6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0.55000000000000004</c:v>
                </c:pt>
                <c:pt idx="45">
                  <c:v>-2.4500000000000002</c:v>
                </c:pt>
                <c:pt idx="46">
                  <c:v>-15.1</c:v>
                </c:pt>
                <c:pt idx="47">
                  <c:v>-1.95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-1.65</c:v>
                </c:pt>
                <c:pt idx="53">
                  <c:v>-0.1</c:v>
                </c:pt>
                <c:pt idx="54">
                  <c:v>-0.95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-0.3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EB-CC42-99BD-77DD373B0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6083392"/>
        <c:axId val="-2036086288"/>
      </c:barChart>
      <c:dateAx>
        <c:axId val="-2036071712"/>
        <c:scaling>
          <c:orientation val="minMax"/>
          <c:max val="41691"/>
        </c:scaling>
        <c:delete val="0"/>
        <c:axPos val="b"/>
        <c:numFmt formatCode="m/d/yy" sourceLinked="1"/>
        <c:majorTickMark val="out"/>
        <c:minorTickMark val="none"/>
        <c:tickLblPos val="low"/>
        <c:txPr>
          <a:bodyPr/>
          <a:lstStyle/>
          <a:p>
            <a:pPr>
              <a:defRPr sz="1400" b="1"/>
            </a:pPr>
            <a:endParaRPr lang="en-US"/>
          </a:p>
        </c:txPr>
        <c:crossAx val="-2036075648"/>
        <c:crossesAt val="0"/>
        <c:auto val="0"/>
        <c:lblOffset val="100"/>
        <c:baseTimeUnit val="days"/>
        <c:majorUnit val="7"/>
        <c:majorTimeUnit val="days"/>
      </c:dateAx>
      <c:valAx>
        <c:axId val="-2036075648"/>
        <c:scaling>
          <c:orientation val="minMax"/>
          <c:max val="6.4"/>
          <c:min val="-2.6"/>
        </c:scaling>
        <c:delete val="0"/>
        <c:axPos val="l"/>
        <c:majorGridlines/>
        <c:numFmt formatCode="#,##0.0" sourceLinked="0"/>
        <c:majorTickMark val="in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-2036071712"/>
        <c:crosses val="autoZero"/>
        <c:crossBetween val="between"/>
        <c:majorUnit val="1"/>
      </c:valAx>
      <c:valAx>
        <c:axId val="-2036086288"/>
        <c:scaling>
          <c:orientation val="minMax"/>
          <c:max val="0"/>
          <c:min val="-125"/>
        </c:scaling>
        <c:delete val="0"/>
        <c:axPos val="r"/>
        <c:numFmt formatCode="###0.00;###0.00" sourceLinked="1"/>
        <c:majorTickMark val="in"/>
        <c:minorTickMark val="none"/>
        <c:tickLblPos val="none"/>
        <c:spPr>
          <a:ln w="19050">
            <a:solidFill>
              <a:schemeClr val="tx1"/>
            </a:solidFill>
          </a:ln>
        </c:spPr>
        <c:crossAx val="-2036083392"/>
        <c:crosses val="max"/>
        <c:crossBetween val="between"/>
      </c:valAx>
      <c:dateAx>
        <c:axId val="-2036083392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36086288"/>
        <c:crosses val="max"/>
        <c:auto val="1"/>
        <c:lblOffset val="100"/>
        <c:baseTimeUnit val="days"/>
      </c:dateAx>
      <c:spPr>
        <a:ln w="12700" cmpd="sng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81747889621901"/>
          <c:y val="0.10412160077928399"/>
          <c:w val="0.62951940938889495"/>
          <c:h val="0.73989236139296999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'Fig 5 WL Plot'!$F$1</c:f>
              <c:strCache>
                <c:ptCount val="1"/>
                <c:pt idx="0">
                  <c:v>Rainfall</c:v>
                </c:pt>
              </c:strCache>
            </c:strRef>
          </c:tx>
          <c:spPr>
            <a:solidFill>
              <a:schemeClr val="accent2"/>
            </a:solidFill>
            <a:ln w="25400">
              <a:solidFill>
                <a:srgbClr val="FF0000"/>
              </a:solidFill>
            </a:ln>
            <a:effectLst/>
          </c:spPr>
          <c:invertIfNegative val="0"/>
          <c:cat>
            <c:numRef>
              <c:f>'Fig 5 WL Plot'!$A$2:$A$139</c:f>
              <c:numCache>
                <c:formatCode>d\-mmm</c:formatCode>
                <c:ptCount val="138"/>
                <c:pt idx="0" formatCode="m/d/yy">
                  <c:v>41561</c:v>
                </c:pt>
                <c:pt idx="1">
                  <c:v>41562</c:v>
                </c:pt>
                <c:pt idx="2" formatCode="m/d/yy">
                  <c:v>41563</c:v>
                </c:pt>
                <c:pt idx="3" formatCode="m/d/yy">
                  <c:v>41564</c:v>
                </c:pt>
                <c:pt idx="4" formatCode="m/d/yy">
                  <c:v>41565</c:v>
                </c:pt>
                <c:pt idx="5" formatCode="m/d/yy">
                  <c:v>41566</c:v>
                </c:pt>
                <c:pt idx="6" formatCode="m/d/yy">
                  <c:v>41567</c:v>
                </c:pt>
                <c:pt idx="7" formatCode="m/d/yy">
                  <c:v>41568</c:v>
                </c:pt>
                <c:pt idx="8" formatCode="m/d/yy">
                  <c:v>41569</c:v>
                </c:pt>
                <c:pt idx="9" formatCode="m/d/yy">
                  <c:v>41570</c:v>
                </c:pt>
                <c:pt idx="10" formatCode="m/d/yy">
                  <c:v>41571</c:v>
                </c:pt>
                <c:pt idx="11" formatCode="m/d/yy">
                  <c:v>41572</c:v>
                </c:pt>
                <c:pt idx="12" formatCode="m/d/yy">
                  <c:v>41573</c:v>
                </c:pt>
                <c:pt idx="13" formatCode="m/d/yy">
                  <c:v>41574</c:v>
                </c:pt>
                <c:pt idx="14" formatCode="m/d/yy">
                  <c:v>41575</c:v>
                </c:pt>
                <c:pt idx="15" formatCode="m/d/yy">
                  <c:v>41576</c:v>
                </c:pt>
                <c:pt idx="16" formatCode="m/d/yy">
                  <c:v>41577</c:v>
                </c:pt>
                <c:pt idx="17" formatCode="m/d/yy">
                  <c:v>41578</c:v>
                </c:pt>
                <c:pt idx="18" formatCode="m/d/yy">
                  <c:v>41579</c:v>
                </c:pt>
                <c:pt idx="19" formatCode="m/d/yy">
                  <c:v>41580</c:v>
                </c:pt>
                <c:pt idx="20" formatCode="m/d/yy">
                  <c:v>41581</c:v>
                </c:pt>
                <c:pt idx="21" formatCode="m/d/yy">
                  <c:v>41582</c:v>
                </c:pt>
                <c:pt idx="22" formatCode="m/d/yy">
                  <c:v>41583</c:v>
                </c:pt>
                <c:pt idx="23" formatCode="m/d/yy">
                  <c:v>41584</c:v>
                </c:pt>
                <c:pt idx="24" formatCode="m/d/yy">
                  <c:v>41585</c:v>
                </c:pt>
                <c:pt idx="25" formatCode="m/d/yy">
                  <c:v>41586</c:v>
                </c:pt>
                <c:pt idx="26" formatCode="m/d/yy">
                  <c:v>41587</c:v>
                </c:pt>
                <c:pt idx="27" formatCode="m/d/yy">
                  <c:v>41588</c:v>
                </c:pt>
                <c:pt idx="28" formatCode="m/d/yy">
                  <c:v>41589</c:v>
                </c:pt>
                <c:pt idx="29" formatCode="m/d/yy">
                  <c:v>41590</c:v>
                </c:pt>
                <c:pt idx="30" formatCode="m/d/yy">
                  <c:v>41591</c:v>
                </c:pt>
                <c:pt idx="31" formatCode="m/d/yy">
                  <c:v>41592</c:v>
                </c:pt>
                <c:pt idx="32" formatCode="m/d/yy">
                  <c:v>41593</c:v>
                </c:pt>
                <c:pt idx="33" formatCode="m/d/yy">
                  <c:v>41594</c:v>
                </c:pt>
                <c:pt idx="34" formatCode="m/d/yy">
                  <c:v>41595</c:v>
                </c:pt>
                <c:pt idx="35" formatCode="m/d/yy">
                  <c:v>41596</c:v>
                </c:pt>
                <c:pt idx="36" formatCode="m/d/yy">
                  <c:v>41597</c:v>
                </c:pt>
                <c:pt idx="37" formatCode="m/d/yy">
                  <c:v>41598</c:v>
                </c:pt>
                <c:pt idx="38" formatCode="m/d/yy">
                  <c:v>41599</c:v>
                </c:pt>
                <c:pt idx="39" formatCode="m/d/yy">
                  <c:v>41600</c:v>
                </c:pt>
                <c:pt idx="40" formatCode="m/d/yy">
                  <c:v>41601</c:v>
                </c:pt>
                <c:pt idx="41" formatCode="m/d/yy">
                  <c:v>41602</c:v>
                </c:pt>
                <c:pt idx="42" formatCode="m/d/yy">
                  <c:v>41603</c:v>
                </c:pt>
                <c:pt idx="43" formatCode="m/d/yy">
                  <c:v>41604</c:v>
                </c:pt>
                <c:pt idx="44" formatCode="m/d/yy">
                  <c:v>41605</c:v>
                </c:pt>
                <c:pt idx="45" formatCode="m/d/yy">
                  <c:v>41606</c:v>
                </c:pt>
                <c:pt idx="46" formatCode="m/d/yy">
                  <c:v>41607</c:v>
                </c:pt>
                <c:pt idx="47" formatCode="m/d/yy">
                  <c:v>41608</c:v>
                </c:pt>
                <c:pt idx="48" formatCode="m/d/yy">
                  <c:v>41609</c:v>
                </c:pt>
                <c:pt idx="49" formatCode="m/d/yy">
                  <c:v>41610</c:v>
                </c:pt>
                <c:pt idx="50" formatCode="m/d/yy">
                  <c:v>41611</c:v>
                </c:pt>
                <c:pt idx="51" formatCode="m/d/yy">
                  <c:v>41612</c:v>
                </c:pt>
                <c:pt idx="52" formatCode="m/d/yy">
                  <c:v>41613</c:v>
                </c:pt>
                <c:pt idx="53" formatCode="m/d/yy">
                  <c:v>41614</c:v>
                </c:pt>
                <c:pt idx="54" formatCode="m/d/yy">
                  <c:v>41615</c:v>
                </c:pt>
                <c:pt idx="55" formatCode="m/d/yy">
                  <c:v>41616</c:v>
                </c:pt>
                <c:pt idx="56" formatCode="m/d/yy">
                  <c:v>41617</c:v>
                </c:pt>
                <c:pt idx="57" formatCode="m/d/yy">
                  <c:v>41618</c:v>
                </c:pt>
                <c:pt idx="58" formatCode="m/d/yy">
                  <c:v>41619</c:v>
                </c:pt>
                <c:pt idx="59" formatCode="m/d/yy">
                  <c:v>41620</c:v>
                </c:pt>
                <c:pt idx="60" formatCode="m/d/yy">
                  <c:v>41621</c:v>
                </c:pt>
                <c:pt idx="61" formatCode="m/d/yy">
                  <c:v>41622</c:v>
                </c:pt>
                <c:pt idx="62" formatCode="m/d/yy">
                  <c:v>41623</c:v>
                </c:pt>
                <c:pt idx="63" formatCode="m/d/yy">
                  <c:v>41624</c:v>
                </c:pt>
                <c:pt idx="64" formatCode="m/d/yy">
                  <c:v>41625</c:v>
                </c:pt>
                <c:pt idx="65" formatCode="m/d/yy">
                  <c:v>41626</c:v>
                </c:pt>
                <c:pt idx="66" formatCode="m/d/yy">
                  <c:v>41627</c:v>
                </c:pt>
                <c:pt idx="67" formatCode="m/d/yy">
                  <c:v>41628</c:v>
                </c:pt>
                <c:pt idx="68" formatCode="m/d/yy">
                  <c:v>41629</c:v>
                </c:pt>
                <c:pt idx="69" formatCode="m/d/yy">
                  <c:v>41630</c:v>
                </c:pt>
                <c:pt idx="70" formatCode="m/d/yy">
                  <c:v>41631</c:v>
                </c:pt>
                <c:pt idx="71" formatCode="m/d/yy">
                  <c:v>41632</c:v>
                </c:pt>
                <c:pt idx="72" formatCode="m/d/yy">
                  <c:v>41633</c:v>
                </c:pt>
                <c:pt idx="73" formatCode="m/d/yy">
                  <c:v>41634</c:v>
                </c:pt>
                <c:pt idx="74" formatCode="m/d/yy">
                  <c:v>41635</c:v>
                </c:pt>
                <c:pt idx="75" formatCode="m/d/yy">
                  <c:v>41636</c:v>
                </c:pt>
                <c:pt idx="76" formatCode="m/d/yy">
                  <c:v>41637</c:v>
                </c:pt>
                <c:pt idx="77" formatCode="m/d/yy">
                  <c:v>41638</c:v>
                </c:pt>
                <c:pt idx="78" formatCode="m/d/yy">
                  <c:v>41639</c:v>
                </c:pt>
                <c:pt idx="79" formatCode="m/d/yy">
                  <c:v>41640</c:v>
                </c:pt>
                <c:pt idx="80" formatCode="m/d/yy">
                  <c:v>41641</c:v>
                </c:pt>
                <c:pt idx="81" formatCode="m/d/yy">
                  <c:v>41642</c:v>
                </c:pt>
                <c:pt idx="82" formatCode="m/d/yy">
                  <c:v>41643</c:v>
                </c:pt>
                <c:pt idx="83" formatCode="m/d/yy">
                  <c:v>41644</c:v>
                </c:pt>
                <c:pt idx="84" formatCode="m/d/yy">
                  <c:v>41645</c:v>
                </c:pt>
                <c:pt idx="85" formatCode="m/d/yy">
                  <c:v>41646</c:v>
                </c:pt>
                <c:pt idx="86" formatCode="m/d/yy">
                  <c:v>41647</c:v>
                </c:pt>
                <c:pt idx="87" formatCode="m/d/yy">
                  <c:v>41648</c:v>
                </c:pt>
                <c:pt idx="88" formatCode="m/d/yy">
                  <c:v>41649</c:v>
                </c:pt>
                <c:pt idx="89" formatCode="m/d/yy">
                  <c:v>41650</c:v>
                </c:pt>
                <c:pt idx="90" formatCode="m/d/yy">
                  <c:v>41651</c:v>
                </c:pt>
                <c:pt idx="91" formatCode="m/d/yy">
                  <c:v>41652</c:v>
                </c:pt>
                <c:pt idx="92" formatCode="m/d/yy">
                  <c:v>41653</c:v>
                </c:pt>
                <c:pt idx="93" formatCode="m/d/yy">
                  <c:v>41654</c:v>
                </c:pt>
                <c:pt idx="94" formatCode="m/d/yy">
                  <c:v>41655</c:v>
                </c:pt>
                <c:pt idx="95" formatCode="m/d/yy">
                  <c:v>41656</c:v>
                </c:pt>
                <c:pt idx="96" formatCode="m/d/yy">
                  <c:v>41657</c:v>
                </c:pt>
                <c:pt idx="97" formatCode="m/d/yy">
                  <c:v>41658</c:v>
                </c:pt>
                <c:pt idx="98" formatCode="m/d/yy">
                  <c:v>41659</c:v>
                </c:pt>
                <c:pt idx="99" formatCode="m/d/yy">
                  <c:v>41660</c:v>
                </c:pt>
                <c:pt idx="100" formatCode="m/d/yy">
                  <c:v>41661</c:v>
                </c:pt>
                <c:pt idx="101" formatCode="m/d/yy">
                  <c:v>41662</c:v>
                </c:pt>
                <c:pt idx="102" formatCode="m/d/yy">
                  <c:v>41663</c:v>
                </c:pt>
                <c:pt idx="103" formatCode="m/d/yy">
                  <c:v>41664</c:v>
                </c:pt>
                <c:pt idx="104" formatCode="m/d/yy">
                  <c:v>41665</c:v>
                </c:pt>
                <c:pt idx="105" formatCode="m/d/yy">
                  <c:v>41666</c:v>
                </c:pt>
                <c:pt idx="106" formatCode="m/d/yy">
                  <c:v>41667</c:v>
                </c:pt>
                <c:pt idx="107" formatCode="m/d/yy">
                  <c:v>41668</c:v>
                </c:pt>
                <c:pt idx="108" formatCode="m/d/yy">
                  <c:v>41669</c:v>
                </c:pt>
                <c:pt idx="109" formatCode="m/d/yy">
                  <c:v>41670</c:v>
                </c:pt>
                <c:pt idx="110" formatCode="m/d/yy">
                  <c:v>41671</c:v>
                </c:pt>
                <c:pt idx="111" formatCode="m/d/yy">
                  <c:v>41672</c:v>
                </c:pt>
                <c:pt idx="112" formatCode="m/d/yy">
                  <c:v>41673</c:v>
                </c:pt>
                <c:pt idx="113" formatCode="m/d/yy">
                  <c:v>41674</c:v>
                </c:pt>
                <c:pt idx="114" formatCode="m/d/yy">
                  <c:v>41675</c:v>
                </c:pt>
                <c:pt idx="115" formatCode="m/d/yy">
                  <c:v>41676</c:v>
                </c:pt>
                <c:pt idx="116" formatCode="m/d/yy">
                  <c:v>41677</c:v>
                </c:pt>
                <c:pt idx="117" formatCode="m/d/yy">
                  <c:v>41678</c:v>
                </c:pt>
                <c:pt idx="118" formatCode="m/d/yy">
                  <c:v>41679</c:v>
                </c:pt>
                <c:pt idx="119" formatCode="m/d/yy">
                  <c:v>41680</c:v>
                </c:pt>
                <c:pt idx="120" formatCode="m/d/yy">
                  <c:v>41681</c:v>
                </c:pt>
                <c:pt idx="121" formatCode="m/d/yy">
                  <c:v>41682</c:v>
                </c:pt>
                <c:pt idx="122" formatCode="m/d/yy">
                  <c:v>41683</c:v>
                </c:pt>
                <c:pt idx="123" formatCode="m/d/yy">
                  <c:v>41684</c:v>
                </c:pt>
                <c:pt idx="124" formatCode="m/d/yy">
                  <c:v>41685</c:v>
                </c:pt>
                <c:pt idx="125" formatCode="m/d/yy">
                  <c:v>41686</c:v>
                </c:pt>
                <c:pt idx="126" formatCode="m/d/yy">
                  <c:v>41687</c:v>
                </c:pt>
                <c:pt idx="127" formatCode="m/d/yy">
                  <c:v>41688</c:v>
                </c:pt>
                <c:pt idx="128" formatCode="m/d/yy">
                  <c:v>41689</c:v>
                </c:pt>
                <c:pt idx="129" formatCode="m/d/yy">
                  <c:v>41690</c:v>
                </c:pt>
                <c:pt idx="130" formatCode="m/d/yy">
                  <c:v>41691</c:v>
                </c:pt>
                <c:pt idx="131" formatCode="m/d/yy">
                  <c:v>41692</c:v>
                </c:pt>
                <c:pt idx="132" formatCode="m/d/yy">
                  <c:v>41693</c:v>
                </c:pt>
                <c:pt idx="133" formatCode="m/d/yy">
                  <c:v>41694</c:v>
                </c:pt>
                <c:pt idx="134" formatCode="m/d/yy">
                  <c:v>41695</c:v>
                </c:pt>
                <c:pt idx="135" formatCode="m/d/yy">
                  <c:v>41696</c:v>
                </c:pt>
                <c:pt idx="136" formatCode="m/d/yy">
                  <c:v>41697</c:v>
                </c:pt>
                <c:pt idx="137" formatCode="m/d/yy">
                  <c:v>41698</c:v>
                </c:pt>
              </c:numCache>
            </c:numRef>
          </c:cat>
          <c:val>
            <c:numRef>
              <c:f>'Fig 5 WL Plot'!$F$2:$F$139</c:f>
              <c:numCache>
                <c:formatCode>###0.00;###0.00</c:formatCode>
                <c:ptCount val="138"/>
                <c:pt idx="0" formatCode="0.00">
                  <c:v>0</c:v>
                </c:pt>
                <c:pt idx="1">
                  <c:v>127.800000000002</c:v>
                </c:pt>
                <c:pt idx="2">
                  <c:v>2.3425855213215674</c:v>
                </c:pt>
                <c:pt idx="3">
                  <c:v>11.4</c:v>
                </c:pt>
                <c:pt idx="4">
                  <c:v>24.049999999999976</c:v>
                </c:pt>
                <c:pt idx="5">
                  <c:v>25.749999999999925</c:v>
                </c:pt>
                <c:pt idx="6">
                  <c:v>2</c:v>
                </c:pt>
                <c:pt idx="7">
                  <c:v>10.466666666666667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2.0666666666666664</c:v>
                </c:pt>
                <c:pt idx="18">
                  <c:v>0.1</c:v>
                </c:pt>
                <c:pt idx="19">
                  <c:v>2.1</c:v>
                </c:pt>
                <c:pt idx="20">
                  <c:v>0.4</c:v>
                </c:pt>
                <c:pt idx="21">
                  <c:v>22.5</c:v>
                </c:pt>
                <c:pt idx="22">
                  <c:v>4.75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General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63.600000000000051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0.55000000000000004</c:v>
                </c:pt>
                <c:pt idx="48">
                  <c:v>2.4500000000000002</c:v>
                </c:pt>
                <c:pt idx="49">
                  <c:v>15.1</c:v>
                </c:pt>
                <c:pt idx="50">
                  <c:v>1.9500000000000002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1.6500000000000001</c:v>
                </c:pt>
                <c:pt idx="56">
                  <c:v>0.1</c:v>
                </c:pt>
                <c:pt idx="57">
                  <c:v>0.95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F-8B45-923C-D87286BB7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6112896"/>
        <c:axId val="-2036086880"/>
      </c:barChart>
      <c:scatterChart>
        <c:scatterStyle val="smoothMarker"/>
        <c:varyColors val="0"/>
        <c:ser>
          <c:idx val="0"/>
          <c:order val="0"/>
          <c:tx>
            <c:strRef>
              <c:f>'Fig 5 WL Plot'!$B$1</c:f>
              <c:strCache>
                <c:ptCount val="1"/>
                <c:pt idx="0">
                  <c:v>Tank 1</c:v>
                </c:pt>
              </c:strCache>
            </c:strRef>
          </c:tx>
          <c:spPr>
            <a:ln w="38100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'Fig 5 WL Plot'!$A$2:$A$139</c:f>
              <c:numCache>
                <c:formatCode>d\-mmm</c:formatCode>
                <c:ptCount val="138"/>
                <c:pt idx="0" formatCode="m/d/yy">
                  <c:v>41561</c:v>
                </c:pt>
                <c:pt idx="1">
                  <c:v>41562</c:v>
                </c:pt>
                <c:pt idx="2" formatCode="m/d/yy">
                  <c:v>41563</c:v>
                </c:pt>
                <c:pt idx="3" formatCode="m/d/yy">
                  <c:v>41564</c:v>
                </c:pt>
                <c:pt idx="4" formatCode="m/d/yy">
                  <c:v>41565</c:v>
                </c:pt>
                <c:pt idx="5" formatCode="m/d/yy">
                  <c:v>41566</c:v>
                </c:pt>
                <c:pt idx="6" formatCode="m/d/yy">
                  <c:v>41567</c:v>
                </c:pt>
                <c:pt idx="7" formatCode="m/d/yy">
                  <c:v>41568</c:v>
                </c:pt>
                <c:pt idx="8" formatCode="m/d/yy">
                  <c:v>41569</c:v>
                </c:pt>
                <c:pt idx="9" formatCode="m/d/yy">
                  <c:v>41570</c:v>
                </c:pt>
                <c:pt idx="10" formatCode="m/d/yy">
                  <c:v>41571</c:v>
                </c:pt>
                <c:pt idx="11" formatCode="m/d/yy">
                  <c:v>41572</c:v>
                </c:pt>
                <c:pt idx="12" formatCode="m/d/yy">
                  <c:v>41573</c:v>
                </c:pt>
                <c:pt idx="13" formatCode="m/d/yy">
                  <c:v>41574</c:v>
                </c:pt>
                <c:pt idx="14" formatCode="m/d/yy">
                  <c:v>41575</c:v>
                </c:pt>
                <c:pt idx="15" formatCode="m/d/yy">
                  <c:v>41576</c:v>
                </c:pt>
                <c:pt idx="16" formatCode="m/d/yy">
                  <c:v>41577</c:v>
                </c:pt>
                <c:pt idx="17" formatCode="m/d/yy">
                  <c:v>41578</c:v>
                </c:pt>
                <c:pt idx="18" formatCode="m/d/yy">
                  <c:v>41579</c:v>
                </c:pt>
                <c:pt idx="19" formatCode="m/d/yy">
                  <c:v>41580</c:v>
                </c:pt>
                <c:pt idx="20" formatCode="m/d/yy">
                  <c:v>41581</c:v>
                </c:pt>
                <c:pt idx="21" formatCode="m/d/yy">
                  <c:v>41582</c:v>
                </c:pt>
                <c:pt idx="22" formatCode="m/d/yy">
                  <c:v>41583</c:v>
                </c:pt>
                <c:pt idx="23" formatCode="m/d/yy">
                  <c:v>41584</c:v>
                </c:pt>
                <c:pt idx="24" formatCode="m/d/yy">
                  <c:v>41585</c:v>
                </c:pt>
                <c:pt idx="25" formatCode="m/d/yy">
                  <c:v>41586</c:v>
                </c:pt>
                <c:pt idx="26" formatCode="m/d/yy">
                  <c:v>41587</c:v>
                </c:pt>
                <c:pt idx="27" formatCode="m/d/yy">
                  <c:v>41588</c:v>
                </c:pt>
                <c:pt idx="28" formatCode="m/d/yy">
                  <c:v>41589</c:v>
                </c:pt>
                <c:pt idx="29" formatCode="m/d/yy">
                  <c:v>41590</c:v>
                </c:pt>
                <c:pt idx="30" formatCode="m/d/yy">
                  <c:v>41591</c:v>
                </c:pt>
                <c:pt idx="31" formatCode="m/d/yy">
                  <c:v>41592</c:v>
                </c:pt>
                <c:pt idx="32" formatCode="m/d/yy">
                  <c:v>41593</c:v>
                </c:pt>
                <c:pt idx="33" formatCode="m/d/yy">
                  <c:v>41594</c:v>
                </c:pt>
                <c:pt idx="34" formatCode="m/d/yy">
                  <c:v>41595</c:v>
                </c:pt>
                <c:pt idx="35" formatCode="m/d/yy">
                  <c:v>41596</c:v>
                </c:pt>
                <c:pt idx="36" formatCode="m/d/yy">
                  <c:v>41597</c:v>
                </c:pt>
                <c:pt idx="37" formatCode="m/d/yy">
                  <c:v>41598</c:v>
                </c:pt>
                <c:pt idx="38" formatCode="m/d/yy">
                  <c:v>41599</c:v>
                </c:pt>
                <c:pt idx="39" formatCode="m/d/yy">
                  <c:v>41600</c:v>
                </c:pt>
                <c:pt idx="40" formatCode="m/d/yy">
                  <c:v>41601</c:v>
                </c:pt>
                <c:pt idx="41" formatCode="m/d/yy">
                  <c:v>41602</c:v>
                </c:pt>
                <c:pt idx="42" formatCode="m/d/yy">
                  <c:v>41603</c:v>
                </c:pt>
                <c:pt idx="43" formatCode="m/d/yy">
                  <c:v>41604</c:v>
                </c:pt>
                <c:pt idx="44" formatCode="m/d/yy">
                  <c:v>41605</c:v>
                </c:pt>
                <c:pt idx="45" formatCode="m/d/yy">
                  <c:v>41606</c:v>
                </c:pt>
                <c:pt idx="46" formatCode="m/d/yy">
                  <c:v>41607</c:v>
                </c:pt>
                <c:pt idx="47" formatCode="m/d/yy">
                  <c:v>41608</c:v>
                </c:pt>
                <c:pt idx="48" formatCode="m/d/yy">
                  <c:v>41609</c:v>
                </c:pt>
                <c:pt idx="49" formatCode="m/d/yy">
                  <c:v>41610</c:v>
                </c:pt>
                <c:pt idx="50" formatCode="m/d/yy">
                  <c:v>41611</c:v>
                </c:pt>
                <c:pt idx="51" formatCode="m/d/yy">
                  <c:v>41612</c:v>
                </c:pt>
                <c:pt idx="52" formatCode="m/d/yy">
                  <c:v>41613</c:v>
                </c:pt>
                <c:pt idx="53" formatCode="m/d/yy">
                  <c:v>41614</c:v>
                </c:pt>
                <c:pt idx="54" formatCode="m/d/yy">
                  <c:v>41615</c:v>
                </c:pt>
                <c:pt idx="55" formatCode="m/d/yy">
                  <c:v>41616</c:v>
                </c:pt>
                <c:pt idx="56" formatCode="m/d/yy">
                  <c:v>41617</c:v>
                </c:pt>
                <c:pt idx="57" formatCode="m/d/yy">
                  <c:v>41618</c:v>
                </c:pt>
                <c:pt idx="58" formatCode="m/d/yy">
                  <c:v>41619</c:v>
                </c:pt>
                <c:pt idx="59" formatCode="m/d/yy">
                  <c:v>41620</c:v>
                </c:pt>
                <c:pt idx="60" formatCode="m/d/yy">
                  <c:v>41621</c:v>
                </c:pt>
                <c:pt idx="61" formatCode="m/d/yy">
                  <c:v>41622</c:v>
                </c:pt>
                <c:pt idx="62" formatCode="m/d/yy">
                  <c:v>41623</c:v>
                </c:pt>
                <c:pt idx="63" formatCode="m/d/yy">
                  <c:v>41624</c:v>
                </c:pt>
                <c:pt idx="64" formatCode="m/d/yy">
                  <c:v>41625</c:v>
                </c:pt>
                <c:pt idx="65" formatCode="m/d/yy">
                  <c:v>41626</c:v>
                </c:pt>
                <c:pt idx="66" formatCode="m/d/yy">
                  <c:v>41627</c:v>
                </c:pt>
                <c:pt idx="67" formatCode="m/d/yy">
                  <c:v>41628</c:v>
                </c:pt>
                <c:pt idx="68" formatCode="m/d/yy">
                  <c:v>41629</c:v>
                </c:pt>
                <c:pt idx="69" formatCode="m/d/yy">
                  <c:v>41630</c:v>
                </c:pt>
                <c:pt idx="70" formatCode="m/d/yy">
                  <c:v>41631</c:v>
                </c:pt>
                <c:pt idx="71" formatCode="m/d/yy">
                  <c:v>41632</c:v>
                </c:pt>
                <c:pt idx="72" formatCode="m/d/yy">
                  <c:v>41633</c:v>
                </c:pt>
                <c:pt idx="73" formatCode="m/d/yy">
                  <c:v>41634</c:v>
                </c:pt>
                <c:pt idx="74" formatCode="m/d/yy">
                  <c:v>41635</c:v>
                </c:pt>
                <c:pt idx="75" formatCode="m/d/yy">
                  <c:v>41636</c:v>
                </c:pt>
                <c:pt idx="76" formatCode="m/d/yy">
                  <c:v>41637</c:v>
                </c:pt>
                <c:pt idx="77" formatCode="m/d/yy">
                  <c:v>41638</c:v>
                </c:pt>
                <c:pt idx="78" formatCode="m/d/yy">
                  <c:v>41639</c:v>
                </c:pt>
                <c:pt idx="79" formatCode="m/d/yy">
                  <c:v>41640</c:v>
                </c:pt>
                <c:pt idx="80" formatCode="m/d/yy">
                  <c:v>41641</c:v>
                </c:pt>
                <c:pt idx="81" formatCode="m/d/yy">
                  <c:v>41642</c:v>
                </c:pt>
                <c:pt idx="82" formatCode="m/d/yy">
                  <c:v>41643</c:v>
                </c:pt>
                <c:pt idx="83" formatCode="m/d/yy">
                  <c:v>41644</c:v>
                </c:pt>
                <c:pt idx="84" formatCode="m/d/yy">
                  <c:v>41645</c:v>
                </c:pt>
                <c:pt idx="85" formatCode="m/d/yy">
                  <c:v>41646</c:v>
                </c:pt>
                <c:pt idx="86" formatCode="m/d/yy">
                  <c:v>41647</c:v>
                </c:pt>
                <c:pt idx="87" formatCode="m/d/yy">
                  <c:v>41648</c:v>
                </c:pt>
                <c:pt idx="88" formatCode="m/d/yy">
                  <c:v>41649</c:v>
                </c:pt>
                <c:pt idx="89" formatCode="m/d/yy">
                  <c:v>41650</c:v>
                </c:pt>
                <c:pt idx="90" formatCode="m/d/yy">
                  <c:v>41651</c:v>
                </c:pt>
                <c:pt idx="91" formatCode="m/d/yy">
                  <c:v>41652</c:v>
                </c:pt>
                <c:pt idx="92" formatCode="m/d/yy">
                  <c:v>41653</c:v>
                </c:pt>
                <c:pt idx="93" formatCode="m/d/yy">
                  <c:v>41654</c:v>
                </c:pt>
                <c:pt idx="94" formatCode="m/d/yy">
                  <c:v>41655</c:v>
                </c:pt>
                <c:pt idx="95" formatCode="m/d/yy">
                  <c:v>41656</c:v>
                </c:pt>
                <c:pt idx="96" formatCode="m/d/yy">
                  <c:v>41657</c:v>
                </c:pt>
                <c:pt idx="97" formatCode="m/d/yy">
                  <c:v>41658</c:v>
                </c:pt>
                <c:pt idx="98" formatCode="m/d/yy">
                  <c:v>41659</c:v>
                </c:pt>
                <c:pt idx="99" formatCode="m/d/yy">
                  <c:v>41660</c:v>
                </c:pt>
                <c:pt idx="100" formatCode="m/d/yy">
                  <c:v>41661</c:v>
                </c:pt>
                <c:pt idx="101" formatCode="m/d/yy">
                  <c:v>41662</c:v>
                </c:pt>
                <c:pt idx="102" formatCode="m/d/yy">
                  <c:v>41663</c:v>
                </c:pt>
                <c:pt idx="103" formatCode="m/d/yy">
                  <c:v>41664</c:v>
                </c:pt>
                <c:pt idx="104" formatCode="m/d/yy">
                  <c:v>41665</c:v>
                </c:pt>
                <c:pt idx="105" formatCode="m/d/yy">
                  <c:v>41666</c:v>
                </c:pt>
                <c:pt idx="106" formatCode="m/d/yy">
                  <c:v>41667</c:v>
                </c:pt>
                <c:pt idx="107" formatCode="m/d/yy">
                  <c:v>41668</c:v>
                </c:pt>
                <c:pt idx="108" formatCode="m/d/yy">
                  <c:v>41669</c:v>
                </c:pt>
                <c:pt idx="109" formatCode="m/d/yy">
                  <c:v>41670</c:v>
                </c:pt>
                <c:pt idx="110" formatCode="m/d/yy">
                  <c:v>41671</c:v>
                </c:pt>
                <c:pt idx="111" formatCode="m/d/yy">
                  <c:v>41672</c:v>
                </c:pt>
                <c:pt idx="112" formatCode="m/d/yy">
                  <c:v>41673</c:v>
                </c:pt>
                <c:pt idx="113" formatCode="m/d/yy">
                  <c:v>41674</c:v>
                </c:pt>
                <c:pt idx="114" formatCode="m/d/yy">
                  <c:v>41675</c:v>
                </c:pt>
                <c:pt idx="115" formatCode="m/d/yy">
                  <c:v>41676</c:v>
                </c:pt>
                <c:pt idx="116" formatCode="m/d/yy">
                  <c:v>41677</c:v>
                </c:pt>
                <c:pt idx="117" formatCode="m/d/yy">
                  <c:v>41678</c:v>
                </c:pt>
                <c:pt idx="118" formatCode="m/d/yy">
                  <c:v>41679</c:v>
                </c:pt>
                <c:pt idx="119" formatCode="m/d/yy">
                  <c:v>41680</c:v>
                </c:pt>
                <c:pt idx="120" formatCode="m/d/yy">
                  <c:v>41681</c:v>
                </c:pt>
                <c:pt idx="121" formatCode="m/d/yy">
                  <c:v>41682</c:v>
                </c:pt>
                <c:pt idx="122" formatCode="m/d/yy">
                  <c:v>41683</c:v>
                </c:pt>
                <c:pt idx="123" formatCode="m/d/yy">
                  <c:v>41684</c:v>
                </c:pt>
                <c:pt idx="124" formatCode="m/d/yy">
                  <c:v>41685</c:v>
                </c:pt>
                <c:pt idx="125" formatCode="m/d/yy">
                  <c:v>41686</c:v>
                </c:pt>
                <c:pt idx="126" formatCode="m/d/yy">
                  <c:v>41687</c:v>
                </c:pt>
                <c:pt idx="127" formatCode="m/d/yy">
                  <c:v>41688</c:v>
                </c:pt>
                <c:pt idx="128" formatCode="m/d/yy">
                  <c:v>41689</c:v>
                </c:pt>
                <c:pt idx="129" formatCode="m/d/yy">
                  <c:v>41690</c:v>
                </c:pt>
                <c:pt idx="130" formatCode="m/d/yy">
                  <c:v>41691</c:v>
                </c:pt>
                <c:pt idx="131" formatCode="m/d/yy">
                  <c:v>41692</c:v>
                </c:pt>
                <c:pt idx="132" formatCode="m/d/yy">
                  <c:v>41693</c:v>
                </c:pt>
                <c:pt idx="133" formatCode="m/d/yy">
                  <c:v>41694</c:v>
                </c:pt>
                <c:pt idx="134" formatCode="m/d/yy">
                  <c:v>41695</c:v>
                </c:pt>
                <c:pt idx="135" formatCode="m/d/yy">
                  <c:v>41696</c:v>
                </c:pt>
                <c:pt idx="136" formatCode="m/d/yy">
                  <c:v>41697</c:v>
                </c:pt>
                <c:pt idx="137" formatCode="m/d/yy">
                  <c:v>41698</c:v>
                </c:pt>
              </c:numCache>
            </c:numRef>
          </c:xVal>
          <c:yVal>
            <c:numRef>
              <c:f>'Fig 5 WL Plot'!$B$2:$B$93</c:f>
              <c:numCache>
                <c:formatCode>0.00</c:formatCode>
                <c:ptCount val="92"/>
                <c:pt idx="0">
                  <c:v>0</c:v>
                </c:pt>
                <c:pt idx="1">
                  <c:v>0</c:v>
                </c:pt>
                <c:pt idx="2" formatCode="0.0000">
                  <c:v>2.3425855213215674</c:v>
                </c:pt>
                <c:pt idx="3" formatCode="0.0000">
                  <c:v>3.001481022440164</c:v>
                </c:pt>
                <c:pt idx="4" formatCode="0.0000">
                  <c:v>3.0295143565567302</c:v>
                </c:pt>
                <c:pt idx="5" formatCode="0.0000">
                  <c:v>3.1842159959313361</c:v>
                </c:pt>
                <c:pt idx="6" formatCode="0.0000">
                  <c:v>3.1727063881024375</c:v>
                </c:pt>
                <c:pt idx="7" formatCode="0.0000">
                  <c:v>3.1319503382091853</c:v>
                </c:pt>
                <c:pt idx="8" formatCode="0.0000">
                  <c:v>3.0868947052086626</c:v>
                </c:pt>
                <c:pt idx="9" formatCode="0.0000">
                  <c:v>3.0421924557679625</c:v>
                </c:pt>
                <c:pt idx="10" formatCode="0.0000">
                  <c:v>2.9996337677375871</c:v>
                </c:pt>
                <c:pt idx="11" formatCode="0.0000">
                  <c:v>2.9609229280280371</c:v>
                </c:pt>
                <c:pt idx="12" formatCode="0.0000">
                  <c:v>2.9154341775812385</c:v>
                </c:pt>
                <c:pt idx="13" formatCode="0.0000">
                  <c:v>2.8776409376518033</c:v>
                </c:pt>
                <c:pt idx="14" formatCode="0.0000">
                  <c:v>2.8401098576753268</c:v>
                </c:pt>
                <c:pt idx="15" formatCode="0.0000">
                  <c:v>2.7989624191981517</c:v>
                </c:pt>
                <c:pt idx="16" formatCode="0.0000">
                  <c:v>2.7607329762465871</c:v>
                </c:pt>
                <c:pt idx="17" formatCode="0.0000">
                  <c:v>2.7228466778126248</c:v>
                </c:pt>
                <c:pt idx="18" formatCode="0.0000">
                  <c:v>2.6960524038752909</c:v>
                </c:pt>
                <c:pt idx="19" formatCode="0.0000">
                  <c:v>2.6588710094669961</c:v>
                </c:pt>
                <c:pt idx="20" formatCode="0.0000">
                  <c:v>2.6246802121516297</c:v>
                </c:pt>
                <c:pt idx="21" formatCode="0.0000">
                  <c:v>2.5902771477230098</c:v>
                </c:pt>
                <c:pt idx="22" formatCode="0.0000">
                  <c:v>2.6102194843017643</c:v>
                </c:pt>
                <c:pt idx="23" formatCode="0.0000">
                  <c:v>2.6013288895585291</c:v>
                </c:pt>
                <c:pt idx="24" formatCode="0.0000">
                  <c:v>2.56585301864077</c:v>
                </c:pt>
                <c:pt idx="25" formatCode="0.0000">
                  <c:v>2.531948719981806</c:v>
                </c:pt>
                <c:pt idx="26" formatCode="0.0000">
                  <c:v>2.4993953411213714</c:v>
                </c:pt>
                <c:pt idx="27" formatCode="0.0000">
                  <c:v>2.4632184455944803</c:v>
                </c:pt>
                <c:pt idx="28" formatCode="0.0000">
                  <c:v>2.4248004524185611</c:v>
                </c:pt>
                <c:pt idx="29" formatCode="0.0000">
                  <c:v>2.3878161938040869</c:v>
                </c:pt>
                <c:pt idx="30" formatCode="0.0000">
                  <c:v>2.3528955413438131</c:v>
                </c:pt>
                <c:pt idx="31" formatCode="0.0000">
                  <c:v>2.3232748912332295</c:v>
                </c:pt>
                <c:pt idx="32" formatCode="0.0000">
                  <c:v>2.2819939113679717</c:v>
                </c:pt>
                <c:pt idx="33" formatCode="0.0000">
                  <c:v>2.2373266236699831</c:v>
                </c:pt>
                <c:pt idx="34" formatCode="0.0000">
                  <c:v>2.1916783584564272</c:v>
                </c:pt>
                <c:pt idx="35" formatCode="0.0000">
                  <c:v>2.2556730516361818</c:v>
                </c:pt>
                <c:pt idx="36" formatCode="0.0000">
                  <c:v>2.2130814440322788</c:v>
                </c:pt>
                <c:pt idx="37" formatCode="0.0000">
                  <c:v>2.1686401297129607</c:v>
                </c:pt>
                <c:pt idx="38" formatCode="0.0000">
                  <c:v>2.1246155743392241</c:v>
                </c:pt>
                <c:pt idx="39" formatCode="0.0000">
                  <c:v>2.0702272337360754</c:v>
                </c:pt>
                <c:pt idx="40" formatCode="0.0000">
                  <c:v>2.0150720246773575</c:v>
                </c:pt>
                <c:pt idx="41" formatCode="0.0000">
                  <c:v>1.9673231540970932</c:v>
                </c:pt>
                <c:pt idx="42" formatCode="0.0000">
                  <c:v>1.919013953762152</c:v>
                </c:pt>
                <c:pt idx="43" formatCode="0.0000">
                  <c:v>1.8739722295991847</c:v>
                </c:pt>
                <c:pt idx="44" formatCode="0.0000">
                  <c:v>1.8367587306052831</c:v>
                </c:pt>
                <c:pt idx="45" formatCode="0.0000">
                  <c:v>1.7994634391078965</c:v>
                </c:pt>
                <c:pt idx="46" formatCode="0.0000">
                  <c:v>1.7632726488416055</c:v>
                </c:pt>
                <c:pt idx="47" formatCode="0.0000">
                  <c:v>1.7149452480592271</c:v>
                </c:pt>
                <c:pt idx="48" formatCode="0.0000">
                  <c:v>1.6719742858665225</c:v>
                </c:pt>
                <c:pt idx="49" formatCode="0.0000">
                  <c:v>1.638650769200066</c:v>
                </c:pt>
                <c:pt idx="50" formatCode="0.0000">
                  <c:v>1.6298924910133441</c:v>
                </c:pt>
                <c:pt idx="51" formatCode="0.0000">
                  <c:v>1.5979663033140761</c:v>
                </c:pt>
                <c:pt idx="52" formatCode="0.0000">
                  <c:v>1.567169367742697</c:v>
                </c:pt>
                <c:pt idx="53" formatCode="0.0000">
                  <c:v>1.5350550443621054</c:v>
                </c:pt>
                <c:pt idx="54" formatCode="0.0000">
                  <c:v>1.5037257992832953</c:v>
                </c:pt>
                <c:pt idx="55" formatCode="0.0000">
                  <c:v>1.4761350043176198</c:v>
                </c:pt>
                <c:pt idx="56" formatCode="0.0000">
                  <c:v>1.4483703853027508</c:v>
                </c:pt>
                <c:pt idx="57" formatCode="0.0000">
                  <c:v>1.4215358193055381</c:v>
                </c:pt>
                <c:pt idx="58" formatCode="0.0000">
                  <c:v>1.394499628031872</c:v>
                </c:pt>
                <c:pt idx="59" formatCode="0.0000">
                  <c:v>1.3708202734430697</c:v>
                </c:pt>
                <c:pt idx="60" formatCode="0.0000">
                  <c:v>1.3670572820543492</c:v>
                </c:pt>
                <c:pt idx="61" formatCode="0.0000">
                  <c:v>1.3745521919043875</c:v>
                </c:pt>
                <c:pt idx="62" formatCode="0.0000">
                  <c:v>1.3461162032028562</c:v>
                </c:pt>
                <c:pt idx="63" formatCode="0.0000">
                  <c:v>1.3168452457095339</c:v>
                </c:pt>
                <c:pt idx="64" formatCode="0.0000">
                  <c:v>1.2877566978348676</c:v>
                </c:pt>
                <c:pt idx="65" formatCode="0.0000">
                  <c:v>1.2599575104730953</c:v>
                </c:pt>
                <c:pt idx="66" formatCode="0.0000">
                  <c:v>1.2310082253497936</c:v>
                </c:pt>
                <c:pt idx="67" formatCode="0.0000">
                  <c:v>1.2057875728895202</c:v>
                </c:pt>
                <c:pt idx="68" formatCode="0.0000">
                  <c:v>1.1813288895585292</c:v>
                </c:pt>
                <c:pt idx="69" formatCode="0.0000">
                  <c:v>1.1558933107006486</c:v>
                </c:pt>
                <c:pt idx="70" formatCode="0.0000">
                  <c:v>1.1294738854216377</c:v>
                </c:pt>
                <c:pt idx="71" formatCode="0.0000">
                  <c:v>1.1028156048852229</c:v>
                </c:pt>
                <c:pt idx="72" formatCode="0.0000">
                  <c:v>1.0784434202106383</c:v>
                </c:pt>
                <c:pt idx="73" formatCode="0.0000">
                  <c:v>1.0514010906809603</c:v>
                </c:pt>
                <c:pt idx="74" formatCode="0.0000">
                  <c:v>1.0209965847504816</c:v>
                </c:pt>
                <c:pt idx="75" formatCode="0.0000">
                  <c:v>0.99228676730036958</c:v>
                </c:pt>
                <c:pt idx="76" formatCode="0.0000">
                  <c:v>0.96585404559959065</c:v>
                </c:pt>
                <c:pt idx="77" formatCode="0.0000">
                  <c:v>0.94686099884352315</c:v>
                </c:pt>
                <c:pt idx="78" formatCode="0.0000">
                  <c:v>0.92725057132731747</c:v>
                </c:pt>
                <c:pt idx="79" formatCode="0.0000">
                  <c:v>0.90683318586779882</c:v>
                </c:pt>
                <c:pt idx="80" formatCode="0.0000">
                  <c:v>0.88597981170674578</c:v>
                </c:pt>
                <c:pt idx="81" formatCode="0.0000">
                  <c:v>0.85625384067776678</c:v>
                </c:pt>
                <c:pt idx="82" formatCode="0.0000">
                  <c:v>0.82819800980449421</c:v>
                </c:pt>
                <c:pt idx="83" formatCode="0.0000">
                  <c:v>0.79448532579851039</c:v>
                </c:pt>
                <c:pt idx="84" formatCode="0.0000">
                  <c:v>0.76523991774205824</c:v>
                </c:pt>
                <c:pt idx="85" formatCode="0.0000">
                  <c:v>0.74332233440979012</c:v>
                </c:pt>
                <c:pt idx="86" formatCode="0.0000">
                  <c:v>0.72644667781262529</c:v>
                </c:pt>
                <c:pt idx="87" formatCode="0.0000">
                  <c:v>0.72156631271284555</c:v>
                </c:pt>
                <c:pt idx="88" formatCode="0.0000">
                  <c:v>0.70435056662793416</c:v>
                </c:pt>
                <c:pt idx="89" formatCode="0.0000">
                  <c:v>0.681747092355661</c:v>
                </c:pt>
                <c:pt idx="90" formatCode="0.0000">
                  <c:v>0.65773114369861618</c:v>
                </c:pt>
                <c:pt idx="91" formatCode="0.0000">
                  <c:v>0.61232889425791415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0F-8B45-923C-D87286BB7919}"/>
            </c:ext>
          </c:extLst>
        </c:ser>
        <c:ser>
          <c:idx val="1"/>
          <c:order val="1"/>
          <c:tx>
            <c:strRef>
              <c:f>'Fig 5 WL Plot'!$C$1</c:f>
              <c:strCache>
                <c:ptCount val="1"/>
                <c:pt idx="0">
                  <c:v>Tank 2</c:v>
                </c:pt>
              </c:strCache>
            </c:strRef>
          </c:tx>
          <c:spPr>
            <a:ln w="38100">
              <a:solidFill>
                <a:schemeClr val="bg1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'Fig 5 WL Plot'!$A$2:$A$139</c:f>
              <c:numCache>
                <c:formatCode>d\-mmm</c:formatCode>
                <c:ptCount val="138"/>
                <c:pt idx="0" formatCode="m/d/yy">
                  <c:v>41561</c:v>
                </c:pt>
                <c:pt idx="1">
                  <c:v>41562</c:v>
                </c:pt>
                <c:pt idx="2" formatCode="m/d/yy">
                  <c:v>41563</c:v>
                </c:pt>
                <c:pt idx="3" formatCode="m/d/yy">
                  <c:v>41564</c:v>
                </c:pt>
                <c:pt idx="4" formatCode="m/d/yy">
                  <c:v>41565</c:v>
                </c:pt>
                <c:pt idx="5" formatCode="m/d/yy">
                  <c:v>41566</c:v>
                </c:pt>
                <c:pt idx="6" formatCode="m/d/yy">
                  <c:v>41567</c:v>
                </c:pt>
                <c:pt idx="7" formatCode="m/d/yy">
                  <c:v>41568</c:v>
                </c:pt>
                <c:pt idx="8" formatCode="m/d/yy">
                  <c:v>41569</c:v>
                </c:pt>
                <c:pt idx="9" formatCode="m/d/yy">
                  <c:v>41570</c:v>
                </c:pt>
                <c:pt idx="10" formatCode="m/d/yy">
                  <c:v>41571</c:v>
                </c:pt>
                <c:pt idx="11" formatCode="m/d/yy">
                  <c:v>41572</c:v>
                </c:pt>
                <c:pt idx="12" formatCode="m/d/yy">
                  <c:v>41573</c:v>
                </c:pt>
                <c:pt idx="13" formatCode="m/d/yy">
                  <c:v>41574</c:v>
                </c:pt>
                <c:pt idx="14" formatCode="m/d/yy">
                  <c:v>41575</c:v>
                </c:pt>
                <c:pt idx="15" formatCode="m/d/yy">
                  <c:v>41576</c:v>
                </c:pt>
                <c:pt idx="16" formatCode="m/d/yy">
                  <c:v>41577</c:v>
                </c:pt>
                <c:pt idx="17" formatCode="m/d/yy">
                  <c:v>41578</c:v>
                </c:pt>
                <c:pt idx="18" formatCode="m/d/yy">
                  <c:v>41579</c:v>
                </c:pt>
                <c:pt idx="19" formatCode="m/d/yy">
                  <c:v>41580</c:v>
                </c:pt>
                <c:pt idx="20" formatCode="m/d/yy">
                  <c:v>41581</c:v>
                </c:pt>
                <c:pt idx="21" formatCode="m/d/yy">
                  <c:v>41582</c:v>
                </c:pt>
                <c:pt idx="22" formatCode="m/d/yy">
                  <c:v>41583</c:v>
                </c:pt>
                <c:pt idx="23" formatCode="m/d/yy">
                  <c:v>41584</c:v>
                </c:pt>
                <c:pt idx="24" formatCode="m/d/yy">
                  <c:v>41585</c:v>
                </c:pt>
                <c:pt idx="25" formatCode="m/d/yy">
                  <c:v>41586</c:v>
                </c:pt>
                <c:pt idx="26" formatCode="m/d/yy">
                  <c:v>41587</c:v>
                </c:pt>
                <c:pt idx="27" formatCode="m/d/yy">
                  <c:v>41588</c:v>
                </c:pt>
                <c:pt idx="28" formatCode="m/d/yy">
                  <c:v>41589</c:v>
                </c:pt>
                <c:pt idx="29" formatCode="m/d/yy">
                  <c:v>41590</c:v>
                </c:pt>
                <c:pt idx="30" formatCode="m/d/yy">
                  <c:v>41591</c:v>
                </c:pt>
                <c:pt idx="31" formatCode="m/d/yy">
                  <c:v>41592</c:v>
                </c:pt>
                <c:pt idx="32" formatCode="m/d/yy">
                  <c:v>41593</c:v>
                </c:pt>
                <c:pt idx="33" formatCode="m/d/yy">
                  <c:v>41594</c:v>
                </c:pt>
                <c:pt idx="34" formatCode="m/d/yy">
                  <c:v>41595</c:v>
                </c:pt>
                <c:pt idx="35" formatCode="m/d/yy">
                  <c:v>41596</c:v>
                </c:pt>
                <c:pt idx="36" formatCode="m/d/yy">
                  <c:v>41597</c:v>
                </c:pt>
                <c:pt idx="37" formatCode="m/d/yy">
                  <c:v>41598</c:v>
                </c:pt>
                <c:pt idx="38" formatCode="m/d/yy">
                  <c:v>41599</c:v>
                </c:pt>
                <c:pt idx="39" formatCode="m/d/yy">
                  <c:v>41600</c:v>
                </c:pt>
                <c:pt idx="40" formatCode="m/d/yy">
                  <c:v>41601</c:v>
                </c:pt>
                <c:pt idx="41" formatCode="m/d/yy">
                  <c:v>41602</c:v>
                </c:pt>
                <c:pt idx="42" formatCode="m/d/yy">
                  <c:v>41603</c:v>
                </c:pt>
                <c:pt idx="43" formatCode="m/d/yy">
                  <c:v>41604</c:v>
                </c:pt>
                <c:pt idx="44" formatCode="m/d/yy">
                  <c:v>41605</c:v>
                </c:pt>
                <c:pt idx="45" formatCode="m/d/yy">
                  <c:v>41606</c:v>
                </c:pt>
                <c:pt idx="46" formatCode="m/d/yy">
                  <c:v>41607</c:v>
                </c:pt>
                <c:pt idx="47" formatCode="m/d/yy">
                  <c:v>41608</c:v>
                </c:pt>
                <c:pt idx="48" formatCode="m/d/yy">
                  <c:v>41609</c:v>
                </c:pt>
                <c:pt idx="49" formatCode="m/d/yy">
                  <c:v>41610</c:v>
                </c:pt>
                <c:pt idx="50" formatCode="m/d/yy">
                  <c:v>41611</c:v>
                </c:pt>
                <c:pt idx="51" formatCode="m/d/yy">
                  <c:v>41612</c:v>
                </c:pt>
                <c:pt idx="52" formatCode="m/d/yy">
                  <c:v>41613</c:v>
                </c:pt>
                <c:pt idx="53" formatCode="m/d/yy">
                  <c:v>41614</c:v>
                </c:pt>
                <c:pt idx="54" formatCode="m/d/yy">
                  <c:v>41615</c:v>
                </c:pt>
                <c:pt idx="55" formatCode="m/d/yy">
                  <c:v>41616</c:v>
                </c:pt>
                <c:pt idx="56" formatCode="m/d/yy">
                  <c:v>41617</c:v>
                </c:pt>
                <c:pt idx="57" formatCode="m/d/yy">
                  <c:v>41618</c:v>
                </c:pt>
                <c:pt idx="58" formatCode="m/d/yy">
                  <c:v>41619</c:v>
                </c:pt>
                <c:pt idx="59" formatCode="m/d/yy">
                  <c:v>41620</c:v>
                </c:pt>
                <c:pt idx="60" formatCode="m/d/yy">
                  <c:v>41621</c:v>
                </c:pt>
                <c:pt idx="61" formatCode="m/d/yy">
                  <c:v>41622</c:v>
                </c:pt>
                <c:pt idx="62" formatCode="m/d/yy">
                  <c:v>41623</c:v>
                </c:pt>
                <c:pt idx="63" formatCode="m/d/yy">
                  <c:v>41624</c:v>
                </c:pt>
                <c:pt idx="64" formatCode="m/d/yy">
                  <c:v>41625</c:v>
                </c:pt>
                <c:pt idx="65" formatCode="m/d/yy">
                  <c:v>41626</c:v>
                </c:pt>
                <c:pt idx="66" formatCode="m/d/yy">
                  <c:v>41627</c:v>
                </c:pt>
                <c:pt idx="67" formatCode="m/d/yy">
                  <c:v>41628</c:v>
                </c:pt>
                <c:pt idx="68" formatCode="m/d/yy">
                  <c:v>41629</c:v>
                </c:pt>
                <c:pt idx="69" formatCode="m/d/yy">
                  <c:v>41630</c:v>
                </c:pt>
                <c:pt idx="70" formatCode="m/d/yy">
                  <c:v>41631</c:v>
                </c:pt>
                <c:pt idx="71" formatCode="m/d/yy">
                  <c:v>41632</c:v>
                </c:pt>
                <c:pt idx="72" formatCode="m/d/yy">
                  <c:v>41633</c:v>
                </c:pt>
                <c:pt idx="73" formatCode="m/d/yy">
                  <c:v>41634</c:v>
                </c:pt>
                <c:pt idx="74" formatCode="m/d/yy">
                  <c:v>41635</c:v>
                </c:pt>
                <c:pt idx="75" formatCode="m/d/yy">
                  <c:v>41636</c:v>
                </c:pt>
                <c:pt idx="76" formatCode="m/d/yy">
                  <c:v>41637</c:v>
                </c:pt>
                <c:pt idx="77" formatCode="m/d/yy">
                  <c:v>41638</c:v>
                </c:pt>
                <c:pt idx="78" formatCode="m/d/yy">
                  <c:v>41639</c:v>
                </c:pt>
                <c:pt idx="79" formatCode="m/d/yy">
                  <c:v>41640</c:v>
                </c:pt>
                <c:pt idx="80" formatCode="m/d/yy">
                  <c:v>41641</c:v>
                </c:pt>
                <c:pt idx="81" formatCode="m/d/yy">
                  <c:v>41642</c:v>
                </c:pt>
                <c:pt idx="82" formatCode="m/d/yy">
                  <c:v>41643</c:v>
                </c:pt>
                <c:pt idx="83" formatCode="m/d/yy">
                  <c:v>41644</c:v>
                </c:pt>
                <c:pt idx="84" formatCode="m/d/yy">
                  <c:v>41645</c:v>
                </c:pt>
                <c:pt idx="85" formatCode="m/d/yy">
                  <c:v>41646</c:v>
                </c:pt>
                <c:pt idx="86" formatCode="m/d/yy">
                  <c:v>41647</c:v>
                </c:pt>
                <c:pt idx="87" formatCode="m/d/yy">
                  <c:v>41648</c:v>
                </c:pt>
                <c:pt idx="88" formatCode="m/d/yy">
                  <c:v>41649</c:v>
                </c:pt>
                <c:pt idx="89" formatCode="m/d/yy">
                  <c:v>41650</c:v>
                </c:pt>
                <c:pt idx="90" formatCode="m/d/yy">
                  <c:v>41651</c:v>
                </c:pt>
                <c:pt idx="91" formatCode="m/d/yy">
                  <c:v>41652</c:v>
                </c:pt>
                <c:pt idx="92" formatCode="m/d/yy">
                  <c:v>41653</c:v>
                </c:pt>
                <c:pt idx="93" formatCode="m/d/yy">
                  <c:v>41654</c:v>
                </c:pt>
                <c:pt idx="94" formatCode="m/d/yy">
                  <c:v>41655</c:v>
                </c:pt>
                <c:pt idx="95" formatCode="m/d/yy">
                  <c:v>41656</c:v>
                </c:pt>
                <c:pt idx="96" formatCode="m/d/yy">
                  <c:v>41657</c:v>
                </c:pt>
                <c:pt idx="97" formatCode="m/d/yy">
                  <c:v>41658</c:v>
                </c:pt>
                <c:pt idx="98" formatCode="m/d/yy">
                  <c:v>41659</c:v>
                </c:pt>
                <c:pt idx="99" formatCode="m/d/yy">
                  <c:v>41660</c:v>
                </c:pt>
                <c:pt idx="100" formatCode="m/d/yy">
                  <c:v>41661</c:v>
                </c:pt>
                <c:pt idx="101" formatCode="m/d/yy">
                  <c:v>41662</c:v>
                </c:pt>
                <c:pt idx="102" formatCode="m/d/yy">
                  <c:v>41663</c:v>
                </c:pt>
                <c:pt idx="103" formatCode="m/d/yy">
                  <c:v>41664</c:v>
                </c:pt>
                <c:pt idx="104" formatCode="m/d/yy">
                  <c:v>41665</c:v>
                </c:pt>
                <c:pt idx="105" formatCode="m/d/yy">
                  <c:v>41666</c:v>
                </c:pt>
                <c:pt idx="106" formatCode="m/d/yy">
                  <c:v>41667</c:v>
                </c:pt>
                <c:pt idx="107" formatCode="m/d/yy">
                  <c:v>41668</c:v>
                </c:pt>
                <c:pt idx="108" formatCode="m/d/yy">
                  <c:v>41669</c:v>
                </c:pt>
                <c:pt idx="109" formatCode="m/d/yy">
                  <c:v>41670</c:v>
                </c:pt>
                <c:pt idx="110" formatCode="m/d/yy">
                  <c:v>41671</c:v>
                </c:pt>
                <c:pt idx="111" formatCode="m/d/yy">
                  <c:v>41672</c:v>
                </c:pt>
                <c:pt idx="112" formatCode="m/d/yy">
                  <c:v>41673</c:v>
                </c:pt>
                <c:pt idx="113" formatCode="m/d/yy">
                  <c:v>41674</c:v>
                </c:pt>
                <c:pt idx="114" formatCode="m/d/yy">
                  <c:v>41675</c:v>
                </c:pt>
                <c:pt idx="115" formatCode="m/d/yy">
                  <c:v>41676</c:v>
                </c:pt>
                <c:pt idx="116" formatCode="m/d/yy">
                  <c:v>41677</c:v>
                </c:pt>
                <c:pt idx="117" formatCode="m/d/yy">
                  <c:v>41678</c:v>
                </c:pt>
                <c:pt idx="118" formatCode="m/d/yy">
                  <c:v>41679</c:v>
                </c:pt>
                <c:pt idx="119" formatCode="m/d/yy">
                  <c:v>41680</c:v>
                </c:pt>
                <c:pt idx="120" formatCode="m/d/yy">
                  <c:v>41681</c:v>
                </c:pt>
                <c:pt idx="121" formatCode="m/d/yy">
                  <c:v>41682</c:v>
                </c:pt>
                <c:pt idx="122" formatCode="m/d/yy">
                  <c:v>41683</c:v>
                </c:pt>
                <c:pt idx="123" formatCode="m/d/yy">
                  <c:v>41684</c:v>
                </c:pt>
                <c:pt idx="124" formatCode="m/d/yy">
                  <c:v>41685</c:v>
                </c:pt>
                <c:pt idx="125" formatCode="m/d/yy">
                  <c:v>41686</c:v>
                </c:pt>
                <c:pt idx="126" formatCode="m/d/yy">
                  <c:v>41687</c:v>
                </c:pt>
                <c:pt idx="127" formatCode="m/d/yy">
                  <c:v>41688</c:v>
                </c:pt>
                <c:pt idx="128" formatCode="m/d/yy">
                  <c:v>41689</c:v>
                </c:pt>
                <c:pt idx="129" formatCode="m/d/yy">
                  <c:v>41690</c:v>
                </c:pt>
                <c:pt idx="130" formatCode="m/d/yy">
                  <c:v>41691</c:v>
                </c:pt>
                <c:pt idx="131" formatCode="m/d/yy">
                  <c:v>41692</c:v>
                </c:pt>
                <c:pt idx="132" formatCode="m/d/yy">
                  <c:v>41693</c:v>
                </c:pt>
                <c:pt idx="133" formatCode="m/d/yy">
                  <c:v>41694</c:v>
                </c:pt>
                <c:pt idx="134" formatCode="m/d/yy">
                  <c:v>41695</c:v>
                </c:pt>
                <c:pt idx="135" formatCode="m/d/yy">
                  <c:v>41696</c:v>
                </c:pt>
                <c:pt idx="136" formatCode="m/d/yy">
                  <c:v>41697</c:v>
                </c:pt>
                <c:pt idx="137" formatCode="m/d/yy">
                  <c:v>41698</c:v>
                </c:pt>
              </c:numCache>
            </c:numRef>
          </c:xVal>
          <c:yVal>
            <c:numRef>
              <c:f>'Fig 5 WL Plot'!$C$2:$C$90</c:f>
              <c:numCache>
                <c:formatCode>0.00</c:formatCode>
                <c:ptCount val="89"/>
                <c:pt idx="0">
                  <c:v>0.61806955386698603</c:v>
                </c:pt>
                <c:pt idx="1">
                  <c:v>0.61806955386698603</c:v>
                </c:pt>
                <c:pt idx="2" formatCode="0.000">
                  <c:v>2.9642855213215693</c:v>
                </c:pt>
                <c:pt idx="3" formatCode="0.000">
                  <c:v>3.1793810224401646</c:v>
                </c:pt>
                <c:pt idx="4" formatCode="0.000">
                  <c:v>3.2773143565567313</c:v>
                </c:pt>
                <c:pt idx="5" formatCode="0.000">
                  <c:v>3.3345159959313371</c:v>
                </c:pt>
                <c:pt idx="6" formatCode="0.000">
                  <c:v>3.4026063881024378</c:v>
                </c:pt>
                <c:pt idx="7" formatCode="0.000">
                  <c:v>3.4228503382091855</c:v>
                </c:pt>
                <c:pt idx="8" formatCode="0.000">
                  <c:v>3.4088947052086631</c:v>
                </c:pt>
                <c:pt idx="9" formatCode="0.000">
                  <c:v>3.3914924557679615</c:v>
                </c:pt>
                <c:pt idx="10" formatCode="0.000">
                  <c:v>3.371833767737586</c:v>
                </c:pt>
                <c:pt idx="11" formatCode="0.000">
                  <c:v>3.3511229280280386</c:v>
                </c:pt>
                <c:pt idx="12" formatCode="0.000">
                  <c:v>3.3322341775812401</c:v>
                </c:pt>
                <c:pt idx="13" formatCode="0.000">
                  <c:v>3.3132409376518037</c:v>
                </c:pt>
                <c:pt idx="14" formatCode="0.000">
                  <c:v>3.292209857675326</c:v>
                </c:pt>
                <c:pt idx="15" formatCode="0.000">
                  <c:v>3.2727624191981519</c:v>
                </c:pt>
                <c:pt idx="16" formatCode="0.000">
                  <c:v>3.2534329762465877</c:v>
                </c:pt>
                <c:pt idx="17" formatCode="0.000">
                  <c:v>3.2334466778126245</c:v>
                </c:pt>
                <c:pt idx="18" formatCode="0.000">
                  <c:v>3.2137524038752918</c:v>
                </c:pt>
                <c:pt idx="19" formatCode="0.000">
                  <c:v>3.1945710094669977</c:v>
                </c:pt>
                <c:pt idx="20" formatCode="0.000">
                  <c:v>3.1776802121516301</c:v>
                </c:pt>
                <c:pt idx="21" formatCode="0.000">
                  <c:v>3.1596771477230092</c:v>
                </c:pt>
                <c:pt idx="22" formatCode="0.000">
                  <c:v>3.1680194843017642</c:v>
                </c:pt>
                <c:pt idx="23" formatCode="0.000">
                  <c:v>3.1691288895585306</c:v>
                </c:pt>
                <c:pt idx="24" formatCode="0.000">
                  <c:v>3.1474530186407694</c:v>
                </c:pt>
                <c:pt idx="25" formatCode="0.000">
                  <c:v>3.1306487199818065</c:v>
                </c:pt>
                <c:pt idx="26" formatCode="0.000">
                  <c:v>3.1099953411213708</c:v>
                </c:pt>
                <c:pt idx="27" formatCode="0.000">
                  <c:v>3.0919184455944819</c:v>
                </c:pt>
                <c:pt idx="28" formatCode="0.000">
                  <c:v>3.0709004524185612</c:v>
                </c:pt>
                <c:pt idx="29" formatCode="0.000">
                  <c:v>3.0501161938040884</c:v>
                </c:pt>
                <c:pt idx="30" formatCode="0.000">
                  <c:v>3.0268955413438121</c:v>
                </c:pt>
                <c:pt idx="31" formatCode="0.000">
                  <c:v>3.0064748912332302</c:v>
                </c:pt>
                <c:pt idx="32" formatCode="0.000">
                  <c:v>2.9805939113679738</c:v>
                </c:pt>
                <c:pt idx="33" formatCode="0.000">
                  <c:v>2.9560266236699828</c:v>
                </c:pt>
                <c:pt idx="34" formatCode="0.000">
                  <c:v>2.928978358456428</c:v>
                </c:pt>
                <c:pt idx="35" formatCode="0.000">
                  <c:v>3.230673051636181</c:v>
                </c:pt>
                <c:pt idx="36" formatCode="0.000">
                  <c:v>3.2119814440322791</c:v>
                </c:pt>
                <c:pt idx="37" formatCode="0.000">
                  <c:v>3.1923401297129619</c:v>
                </c:pt>
                <c:pt idx="38" formatCode="0.000">
                  <c:v>3.1712155743392252</c:v>
                </c:pt>
                <c:pt idx="39" formatCode="0.000">
                  <c:v>3.1489272337360763</c:v>
                </c:pt>
                <c:pt idx="40" formatCode="0.000">
                  <c:v>3.125172024677358</c:v>
                </c:pt>
                <c:pt idx="41" formatCode="0.000">
                  <c:v>3.1047231540970941</c:v>
                </c:pt>
                <c:pt idx="42" formatCode="0.000">
                  <c:v>3.081513953762153</c:v>
                </c:pt>
                <c:pt idx="43" formatCode="0.000">
                  <c:v>3.0538722295991843</c:v>
                </c:pt>
                <c:pt idx="44" formatCode="0.000">
                  <c:v>3.0250587306052825</c:v>
                </c:pt>
                <c:pt idx="45" formatCode="0.000">
                  <c:v>2.9966634391078966</c:v>
                </c:pt>
                <c:pt idx="46" formatCode="0.000">
                  <c:v>2.9721726488416049</c:v>
                </c:pt>
                <c:pt idx="47" formatCode="0.000">
                  <c:v>2.9501452480592274</c:v>
                </c:pt>
                <c:pt idx="48" formatCode="0.000">
                  <c:v>2.9242742858665238</c:v>
                </c:pt>
                <c:pt idx="49" formatCode="0.000">
                  <c:v>2.9012507692000664</c:v>
                </c:pt>
                <c:pt idx="50" formatCode="0.000">
                  <c:v>2.8964924910133441</c:v>
                </c:pt>
                <c:pt idx="51" formatCode="0.000">
                  <c:v>2.8756663033140768</c:v>
                </c:pt>
                <c:pt idx="52" formatCode="0.000">
                  <c:v>2.8481693677426971</c:v>
                </c:pt>
                <c:pt idx="53" formatCode="0.000">
                  <c:v>2.8178550443621067</c:v>
                </c:pt>
                <c:pt idx="54" formatCode="0.000">
                  <c:v>2.7797257992832947</c:v>
                </c:pt>
                <c:pt idx="55" formatCode="0.000">
                  <c:v>2.7452350043176192</c:v>
                </c:pt>
                <c:pt idx="56" formatCode="0.000">
                  <c:v>2.7107703853027498</c:v>
                </c:pt>
                <c:pt idx="57" formatCode="0.000">
                  <c:v>2.6747358193055391</c:v>
                </c:pt>
                <c:pt idx="58" formatCode="0.000">
                  <c:v>2.6353996280318732</c:v>
                </c:pt>
                <c:pt idx="59" formatCode="0.000">
                  <c:v>2.5918202734430693</c:v>
                </c:pt>
                <c:pt idx="60" formatCode="0.000">
                  <c:v>2.588757282054349</c:v>
                </c:pt>
                <c:pt idx="61" formatCode="0.000">
                  <c:v>2.6219521919043878</c:v>
                </c:pt>
                <c:pt idx="62" formatCode="0.000">
                  <c:v>2.5973162032028565</c:v>
                </c:pt>
                <c:pt idx="63" formatCode="0.000">
                  <c:v>2.5751452457095354</c:v>
                </c:pt>
                <c:pt idx="64" formatCode="0.000">
                  <c:v>2.5535566978348676</c:v>
                </c:pt>
                <c:pt idx="65" formatCode="0.000">
                  <c:v>2.5267575104730966</c:v>
                </c:pt>
                <c:pt idx="66" formatCode="0.000">
                  <c:v>2.4946082253497934</c:v>
                </c:pt>
                <c:pt idx="67" formatCode="0.000">
                  <c:v>2.456787572889521</c:v>
                </c:pt>
                <c:pt idx="68" formatCode="0.000">
                  <c:v>2.42622888955853</c:v>
                </c:pt>
                <c:pt idx="69" formatCode="0.000">
                  <c:v>2.3935933107006484</c:v>
                </c:pt>
                <c:pt idx="70" formatCode="0.000">
                  <c:v>2.3505738854216389</c:v>
                </c:pt>
                <c:pt idx="71" formatCode="0.000">
                  <c:v>2.3118156048852239</c:v>
                </c:pt>
                <c:pt idx="72" formatCode="0.000">
                  <c:v>2.2767434202106376</c:v>
                </c:pt>
                <c:pt idx="73" formatCode="0.000">
                  <c:v>2.2421010906809613</c:v>
                </c:pt>
                <c:pt idx="74" formatCode="0.000">
                  <c:v>2.2058965847504819</c:v>
                </c:pt>
                <c:pt idx="75" formatCode="0.000">
                  <c:v>2.1696867673003695</c:v>
                </c:pt>
                <c:pt idx="76" formatCode="0.000">
                  <c:v>2.1281540455995902</c:v>
                </c:pt>
                <c:pt idx="77" formatCode="0.000">
                  <c:v>2.0889609988435236</c:v>
                </c:pt>
                <c:pt idx="78" formatCode="0.000">
                  <c:v>2.0485505713273184</c:v>
                </c:pt>
                <c:pt idx="79" formatCode="0.000">
                  <c:v>2.0045331858677997</c:v>
                </c:pt>
                <c:pt idx="80" formatCode="0.000">
                  <c:v>1.9808798117067459</c:v>
                </c:pt>
                <c:pt idx="81" formatCode="0.000">
                  <c:v>1.9578538406777672</c:v>
                </c:pt>
                <c:pt idx="82" formatCode="0.000">
                  <c:v>1.9360980098044942</c:v>
                </c:pt>
                <c:pt idx="83" formatCode="0.000">
                  <c:v>1.9113853257985107</c:v>
                </c:pt>
                <c:pt idx="84" formatCode="0.000">
                  <c:v>1.887739917742058</c:v>
                </c:pt>
                <c:pt idx="85" formatCode="0.000">
                  <c:v>1.8694223344097904</c:v>
                </c:pt>
                <c:pt idx="86" formatCode="0.000">
                  <c:v>1.6491466778126254</c:v>
                </c:pt>
                <c:pt idx="87" formatCode="0.000">
                  <c:v>1.8071663127128443</c:v>
                </c:pt>
                <c:pt idx="88" formatCode="0.000">
                  <c:v>1.8004505666279333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0F-8B45-923C-D87286BB7919}"/>
            </c:ext>
          </c:extLst>
        </c:ser>
        <c:ser>
          <c:idx val="2"/>
          <c:order val="2"/>
          <c:tx>
            <c:strRef>
              <c:f>'Fig 5 WL Plot'!$D$1</c:f>
              <c:strCache>
                <c:ptCount val="1"/>
                <c:pt idx="0">
                  <c:v>Tank 3</c:v>
                </c:pt>
              </c:strCache>
            </c:strRef>
          </c:tx>
          <c:spPr>
            <a:ln w="38100" cmpd="sng"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'Fig 5 WL Plot'!$A$2:$A$139</c:f>
              <c:numCache>
                <c:formatCode>d\-mmm</c:formatCode>
                <c:ptCount val="138"/>
                <c:pt idx="0" formatCode="m/d/yy">
                  <c:v>41561</c:v>
                </c:pt>
                <c:pt idx="1">
                  <c:v>41562</c:v>
                </c:pt>
                <c:pt idx="2" formatCode="m/d/yy">
                  <c:v>41563</c:v>
                </c:pt>
                <c:pt idx="3" formatCode="m/d/yy">
                  <c:v>41564</c:v>
                </c:pt>
                <c:pt idx="4" formatCode="m/d/yy">
                  <c:v>41565</c:v>
                </c:pt>
                <c:pt idx="5" formatCode="m/d/yy">
                  <c:v>41566</c:v>
                </c:pt>
                <c:pt idx="6" formatCode="m/d/yy">
                  <c:v>41567</c:v>
                </c:pt>
                <c:pt idx="7" formatCode="m/d/yy">
                  <c:v>41568</c:v>
                </c:pt>
                <c:pt idx="8" formatCode="m/d/yy">
                  <c:v>41569</c:v>
                </c:pt>
                <c:pt idx="9" formatCode="m/d/yy">
                  <c:v>41570</c:v>
                </c:pt>
                <c:pt idx="10" formatCode="m/d/yy">
                  <c:v>41571</c:v>
                </c:pt>
                <c:pt idx="11" formatCode="m/d/yy">
                  <c:v>41572</c:v>
                </c:pt>
                <c:pt idx="12" formatCode="m/d/yy">
                  <c:v>41573</c:v>
                </c:pt>
                <c:pt idx="13" formatCode="m/d/yy">
                  <c:v>41574</c:v>
                </c:pt>
                <c:pt idx="14" formatCode="m/d/yy">
                  <c:v>41575</c:v>
                </c:pt>
                <c:pt idx="15" formatCode="m/d/yy">
                  <c:v>41576</c:v>
                </c:pt>
                <c:pt idx="16" formatCode="m/d/yy">
                  <c:v>41577</c:v>
                </c:pt>
                <c:pt idx="17" formatCode="m/d/yy">
                  <c:v>41578</c:v>
                </c:pt>
                <c:pt idx="18" formatCode="m/d/yy">
                  <c:v>41579</c:v>
                </c:pt>
                <c:pt idx="19" formatCode="m/d/yy">
                  <c:v>41580</c:v>
                </c:pt>
                <c:pt idx="20" formatCode="m/d/yy">
                  <c:v>41581</c:v>
                </c:pt>
                <c:pt idx="21" formatCode="m/d/yy">
                  <c:v>41582</c:v>
                </c:pt>
                <c:pt idx="22" formatCode="m/d/yy">
                  <c:v>41583</c:v>
                </c:pt>
                <c:pt idx="23" formatCode="m/d/yy">
                  <c:v>41584</c:v>
                </c:pt>
                <c:pt idx="24" formatCode="m/d/yy">
                  <c:v>41585</c:v>
                </c:pt>
                <c:pt idx="25" formatCode="m/d/yy">
                  <c:v>41586</c:v>
                </c:pt>
                <c:pt idx="26" formatCode="m/d/yy">
                  <c:v>41587</c:v>
                </c:pt>
                <c:pt idx="27" formatCode="m/d/yy">
                  <c:v>41588</c:v>
                </c:pt>
                <c:pt idx="28" formatCode="m/d/yy">
                  <c:v>41589</c:v>
                </c:pt>
                <c:pt idx="29" formatCode="m/d/yy">
                  <c:v>41590</c:v>
                </c:pt>
                <c:pt idx="30" formatCode="m/d/yy">
                  <c:v>41591</c:v>
                </c:pt>
                <c:pt idx="31" formatCode="m/d/yy">
                  <c:v>41592</c:v>
                </c:pt>
                <c:pt idx="32" formatCode="m/d/yy">
                  <c:v>41593</c:v>
                </c:pt>
                <c:pt idx="33" formatCode="m/d/yy">
                  <c:v>41594</c:v>
                </c:pt>
                <c:pt idx="34" formatCode="m/d/yy">
                  <c:v>41595</c:v>
                </c:pt>
                <c:pt idx="35" formatCode="m/d/yy">
                  <c:v>41596</c:v>
                </c:pt>
                <c:pt idx="36" formatCode="m/d/yy">
                  <c:v>41597</c:v>
                </c:pt>
                <c:pt idx="37" formatCode="m/d/yy">
                  <c:v>41598</c:v>
                </c:pt>
                <c:pt idx="38" formatCode="m/d/yy">
                  <c:v>41599</c:v>
                </c:pt>
                <c:pt idx="39" formatCode="m/d/yy">
                  <c:v>41600</c:v>
                </c:pt>
                <c:pt idx="40" formatCode="m/d/yy">
                  <c:v>41601</c:v>
                </c:pt>
                <c:pt idx="41" formatCode="m/d/yy">
                  <c:v>41602</c:v>
                </c:pt>
                <c:pt idx="42" formatCode="m/d/yy">
                  <c:v>41603</c:v>
                </c:pt>
                <c:pt idx="43" formatCode="m/d/yy">
                  <c:v>41604</c:v>
                </c:pt>
                <c:pt idx="44" formatCode="m/d/yy">
                  <c:v>41605</c:v>
                </c:pt>
                <c:pt idx="45" formatCode="m/d/yy">
                  <c:v>41606</c:v>
                </c:pt>
                <c:pt idx="46" formatCode="m/d/yy">
                  <c:v>41607</c:v>
                </c:pt>
                <c:pt idx="47" formatCode="m/d/yy">
                  <c:v>41608</c:v>
                </c:pt>
                <c:pt idx="48" formatCode="m/d/yy">
                  <c:v>41609</c:v>
                </c:pt>
                <c:pt idx="49" formatCode="m/d/yy">
                  <c:v>41610</c:v>
                </c:pt>
                <c:pt idx="50" formatCode="m/d/yy">
                  <c:v>41611</c:v>
                </c:pt>
                <c:pt idx="51" formatCode="m/d/yy">
                  <c:v>41612</c:v>
                </c:pt>
                <c:pt idx="52" formatCode="m/d/yy">
                  <c:v>41613</c:v>
                </c:pt>
                <c:pt idx="53" formatCode="m/d/yy">
                  <c:v>41614</c:v>
                </c:pt>
                <c:pt idx="54" formatCode="m/d/yy">
                  <c:v>41615</c:v>
                </c:pt>
                <c:pt idx="55" formatCode="m/d/yy">
                  <c:v>41616</c:v>
                </c:pt>
                <c:pt idx="56" formatCode="m/d/yy">
                  <c:v>41617</c:v>
                </c:pt>
                <c:pt idx="57" formatCode="m/d/yy">
                  <c:v>41618</c:v>
                </c:pt>
                <c:pt idx="58" formatCode="m/d/yy">
                  <c:v>41619</c:v>
                </c:pt>
                <c:pt idx="59" formatCode="m/d/yy">
                  <c:v>41620</c:v>
                </c:pt>
                <c:pt idx="60" formatCode="m/d/yy">
                  <c:v>41621</c:v>
                </c:pt>
                <c:pt idx="61" formatCode="m/d/yy">
                  <c:v>41622</c:v>
                </c:pt>
                <c:pt idx="62" formatCode="m/d/yy">
                  <c:v>41623</c:v>
                </c:pt>
                <c:pt idx="63" formatCode="m/d/yy">
                  <c:v>41624</c:v>
                </c:pt>
                <c:pt idx="64" formatCode="m/d/yy">
                  <c:v>41625</c:v>
                </c:pt>
                <c:pt idx="65" formatCode="m/d/yy">
                  <c:v>41626</c:v>
                </c:pt>
                <c:pt idx="66" formatCode="m/d/yy">
                  <c:v>41627</c:v>
                </c:pt>
                <c:pt idx="67" formatCode="m/d/yy">
                  <c:v>41628</c:v>
                </c:pt>
                <c:pt idx="68" formatCode="m/d/yy">
                  <c:v>41629</c:v>
                </c:pt>
                <c:pt idx="69" formatCode="m/d/yy">
                  <c:v>41630</c:v>
                </c:pt>
                <c:pt idx="70" formatCode="m/d/yy">
                  <c:v>41631</c:v>
                </c:pt>
                <c:pt idx="71" formatCode="m/d/yy">
                  <c:v>41632</c:v>
                </c:pt>
                <c:pt idx="72" formatCode="m/d/yy">
                  <c:v>41633</c:v>
                </c:pt>
                <c:pt idx="73" formatCode="m/d/yy">
                  <c:v>41634</c:v>
                </c:pt>
                <c:pt idx="74" formatCode="m/d/yy">
                  <c:v>41635</c:v>
                </c:pt>
                <c:pt idx="75" formatCode="m/d/yy">
                  <c:v>41636</c:v>
                </c:pt>
                <c:pt idx="76" formatCode="m/d/yy">
                  <c:v>41637</c:v>
                </c:pt>
                <c:pt idx="77" formatCode="m/d/yy">
                  <c:v>41638</c:v>
                </c:pt>
                <c:pt idx="78" formatCode="m/d/yy">
                  <c:v>41639</c:v>
                </c:pt>
                <c:pt idx="79" formatCode="m/d/yy">
                  <c:v>41640</c:v>
                </c:pt>
                <c:pt idx="80" formatCode="m/d/yy">
                  <c:v>41641</c:v>
                </c:pt>
                <c:pt idx="81" formatCode="m/d/yy">
                  <c:v>41642</c:v>
                </c:pt>
                <c:pt idx="82" formatCode="m/d/yy">
                  <c:v>41643</c:v>
                </c:pt>
                <c:pt idx="83" formatCode="m/d/yy">
                  <c:v>41644</c:v>
                </c:pt>
                <c:pt idx="84" formatCode="m/d/yy">
                  <c:v>41645</c:v>
                </c:pt>
                <c:pt idx="85" formatCode="m/d/yy">
                  <c:v>41646</c:v>
                </c:pt>
                <c:pt idx="86" formatCode="m/d/yy">
                  <c:v>41647</c:v>
                </c:pt>
                <c:pt idx="87" formatCode="m/d/yy">
                  <c:v>41648</c:v>
                </c:pt>
                <c:pt idx="88" formatCode="m/d/yy">
                  <c:v>41649</c:v>
                </c:pt>
                <c:pt idx="89" formatCode="m/d/yy">
                  <c:v>41650</c:v>
                </c:pt>
                <c:pt idx="90" formatCode="m/d/yy">
                  <c:v>41651</c:v>
                </c:pt>
                <c:pt idx="91" formatCode="m/d/yy">
                  <c:v>41652</c:v>
                </c:pt>
                <c:pt idx="92" formatCode="m/d/yy">
                  <c:v>41653</c:v>
                </c:pt>
                <c:pt idx="93" formatCode="m/d/yy">
                  <c:v>41654</c:v>
                </c:pt>
                <c:pt idx="94" formatCode="m/d/yy">
                  <c:v>41655</c:v>
                </c:pt>
                <c:pt idx="95" formatCode="m/d/yy">
                  <c:v>41656</c:v>
                </c:pt>
                <c:pt idx="96" formatCode="m/d/yy">
                  <c:v>41657</c:v>
                </c:pt>
                <c:pt idx="97" formatCode="m/d/yy">
                  <c:v>41658</c:v>
                </c:pt>
                <c:pt idx="98" formatCode="m/d/yy">
                  <c:v>41659</c:v>
                </c:pt>
                <c:pt idx="99" formatCode="m/d/yy">
                  <c:v>41660</c:v>
                </c:pt>
                <c:pt idx="100" formatCode="m/d/yy">
                  <c:v>41661</c:v>
                </c:pt>
                <c:pt idx="101" formatCode="m/d/yy">
                  <c:v>41662</c:v>
                </c:pt>
                <c:pt idx="102" formatCode="m/d/yy">
                  <c:v>41663</c:v>
                </c:pt>
                <c:pt idx="103" formatCode="m/d/yy">
                  <c:v>41664</c:v>
                </c:pt>
                <c:pt idx="104" formatCode="m/d/yy">
                  <c:v>41665</c:v>
                </c:pt>
                <c:pt idx="105" formatCode="m/d/yy">
                  <c:v>41666</c:v>
                </c:pt>
                <c:pt idx="106" formatCode="m/d/yy">
                  <c:v>41667</c:v>
                </c:pt>
                <c:pt idx="107" formatCode="m/d/yy">
                  <c:v>41668</c:v>
                </c:pt>
                <c:pt idx="108" formatCode="m/d/yy">
                  <c:v>41669</c:v>
                </c:pt>
                <c:pt idx="109" formatCode="m/d/yy">
                  <c:v>41670</c:v>
                </c:pt>
                <c:pt idx="110" formatCode="m/d/yy">
                  <c:v>41671</c:v>
                </c:pt>
                <c:pt idx="111" formatCode="m/d/yy">
                  <c:v>41672</c:v>
                </c:pt>
                <c:pt idx="112" formatCode="m/d/yy">
                  <c:v>41673</c:v>
                </c:pt>
                <c:pt idx="113" formatCode="m/d/yy">
                  <c:v>41674</c:v>
                </c:pt>
                <c:pt idx="114" formatCode="m/d/yy">
                  <c:v>41675</c:v>
                </c:pt>
                <c:pt idx="115" formatCode="m/d/yy">
                  <c:v>41676</c:v>
                </c:pt>
                <c:pt idx="116" formatCode="m/d/yy">
                  <c:v>41677</c:v>
                </c:pt>
                <c:pt idx="117" formatCode="m/d/yy">
                  <c:v>41678</c:v>
                </c:pt>
                <c:pt idx="118" formatCode="m/d/yy">
                  <c:v>41679</c:v>
                </c:pt>
                <c:pt idx="119" formatCode="m/d/yy">
                  <c:v>41680</c:v>
                </c:pt>
                <c:pt idx="120" formatCode="m/d/yy">
                  <c:v>41681</c:v>
                </c:pt>
                <c:pt idx="121" formatCode="m/d/yy">
                  <c:v>41682</c:v>
                </c:pt>
                <c:pt idx="122" formatCode="m/d/yy">
                  <c:v>41683</c:v>
                </c:pt>
                <c:pt idx="123" formatCode="m/d/yy">
                  <c:v>41684</c:v>
                </c:pt>
                <c:pt idx="124" formatCode="m/d/yy">
                  <c:v>41685</c:v>
                </c:pt>
                <c:pt idx="125" formatCode="m/d/yy">
                  <c:v>41686</c:v>
                </c:pt>
                <c:pt idx="126" formatCode="m/d/yy">
                  <c:v>41687</c:v>
                </c:pt>
                <c:pt idx="127" formatCode="m/d/yy">
                  <c:v>41688</c:v>
                </c:pt>
                <c:pt idx="128" formatCode="m/d/yy">
                  <c:v>41689</c:v>
                </c:pt>
                <c:pt idx="129" formatCode="m/d/yy">
                  <c:v>41690</c:v>
                </c:pt>
                <c:pt idx="130" formatCode="m/d/yy">
                  <c:v>41691</c:v>
                </c:pt>
                <c:pt idx="131" formatCode="m/d/yy">
                  <c:v>41692</c:v>
                </c:pt>
                <c:pt idx="132" formatCode="m/d/yy">
                  <c:v>41693</c:v>
                </c:pt>
                <c:pt idx="133" formatCode="m/d/yy">
                  <c:v>41694</c:v>
                </c:pt>
                <c:pt idx="134" formatCode="m/d/yy">
                  <c:v>41695</c:v>
                </c:pt>
                <c:pt idx="135" formatCode="m/d/yy">
                  <c:v>41696</c:v>
                </c:pt>
                <c:pt idx="136" formatCode="m/d/yy">
                  <c:v>41697</c:v>
                </c:pt>
                <c:pt idx="137" formatCode="m/d/yy">
                  <c:v>41698</c:v>
                </c:pt>
              </c:numCache>
            </c:numRef>
          </c:xVal>
          <c:yVal>
            <c:numRef>
              <c:f>'Fig 5 WL Plot'!$D$2:$D$139</c:f>
              <c:numCache>
                <c:formatCode>0.00</c:formatCode>
                <c:ptCount val="138"/>
                <c:pt idx="0">
                  <c:v>0.16656955386698569</c:v>
                </c:pt>
                <c:pt idx="1">
                  <c:v>0.16656955386698569</c:v>
                </c:pt>
                <c:pt idx="2" formatCode="0.000">
                  <c:v>3.153485521321568</c:v>
                </c:pt>
                <c:pt idx="3" formatCode="0.000">
                  <c:v>3.402581022440164</c:v>
                </c:pt>
                <c:pt idx="4" formatCode="0.000">
                  <c:v>3.5956143565567311</c:v>
                </c:pt>
                <c:pt idx="5" formatCode="0.000">
                  <c:v>3.7167159959313372</c:v>
                </c:pt>
                <c:pt idx="6" formatCode="0.000">
                  <c:v>3.9735063881024368</c:v>
                </c:pt>
                <c:pt idx="7" formatCode="0.000">
                  <c:v>4.0705503382091868</c:v>
                </c:pt>
                <c:pt idx="8" formatCode="0.000">
                  <c:v>4.0373947052086629</c:v>
                </c:pt>
                <c:pt idx="9" formatCode="0.000">
                  <c:v>3.9870924557679617</c:v>
                </c:pt>
                <c:pt idx="10" formatCode="0.000">
                  <c:v>3.9363337677375876</c:v>
                </c:pt>
                <c:pt idx="11" formatCode="0.000">
                  <c:v>3.8828229280280384</c:v>
                </c:pt>
                <c:pt idx="12" formatCode="0.000">
                  <c:v>3.8284341775812392</c:v>
                </c:pt>
                <c:pt idx="13" formatCode="0.000">
                  <c:v>3.7887409376518049</c:v>
                </c:pt>
                <c:pt idx="14" formatCode="0.000">
                  <c:v>3.7360098576753265</c:v>
                </c:pt>
                <c:pt idx="15" formatCode="0.000">
                  <c:v>3.6890624191981507</c:v>
                </c:pt>
                <c:pt idx="16" formatCode="0.000">
                  <c:v>3.661432976246588</c:v>
                </c:pt>
                <c:pt idx="17" formatCode="0.000">
                  <c:v>3.616246677812625</c:v>
                </c:pt>
                <c:pt idx="18" formatCode="0.000">
                  <c:v>3.5651524038752909</c:v>
                </c:pt>
                <c:pt idx="19" formatCode="0.000">
                  <c:v>3.5144710094669973</c:v>
                </c:pt>
                <c:pt idx="20" formatCode="0.000">
                  <c:v>3.4816802121516313</c:v>
                </c:pt>
                <c:pt idx="21" formatCode="0.000">
                  <c:v>3.4474771477230091</c:v>
                </c:pt>
                <c:pt idx="22" formatCode="0.000">
                  <c:v>3.4445194843017637</c:v>
                </c:pt>
                <c:pt idx="23" formatCode="0.000">
                  <c:v>3.42052888955853</c:v>
                </c:pt>
                <c:pt idx="24" formatCode="0.000">
                  <c:v>3.3864530186407693</c:v>
                </c:pt>
                <c:pt idx="25" formatCode="0.000">
                  <c:v>3.3481487199818067</c:v>
                </c:pt>
                <c:pt idx="26" formatCode="0.000">
                  <c:v>3.3074953411213714</c:v>
                </c:pt>
                <c:pt idx="27" formatCode="0.000">
                  <c:v>3.2686184455944813</c:v>
                </c:pt>
                <c:pt idx="28" formatCode="0.000">
                  <c:v>3.2278004524185606</c:v>
                </c:pt>
                <c:pt idx="29" formatCode="0.000">
                  <c:v>3.1861161938040867</c:v>
                </c:pt>
                <c:pt idx="30" formatCode="0.000">
                  <c:v>3.1516955413438135</c:v>
                </c:pt>
                <c:pt idx="31" formatCode="0.000">
                  <c:v>3.1205748912332298</c:v>
                </c:pt>
                <c:pt idx="32" formatCode="0.000">
                  <c:v>3.0834939113679729</c:v>
                </c:pt>
                <c:pt idx="33" formatCode="0.000">
                  <c:v>3.0417266236699829</c:v>
                </c:pt>
                <c:pt idx="34" formatCode="0.000">
                  <c:v>3.0008783584564283</c:v>
                </c:pt>
                <c:pt idx="35" formatCode="0.000">
                  <c:v>3.7856730516361816</c:v>
                </c:pt>
                <c:pt idx="36" formatCode="0.000">
                  <c:v>3.7786814440322791</c:v>
                </c:pt>
                <c:pt idx="37" formatCode="0.000">
                  <c:v>3.7410401297129612</c:v>
                </c:pt>
                <c:pt idx="38" formatCode="0.000">
                  <c:v>3.7009155743392244</c:v>
                </c:pt>
                <c:pt idx="39" formatCode="0.000">
                  <c:v>3.660127233736076</c:v>
                </c:pt>
                <c:pt idx="40" formatCode="0.000">
                  <c:v>3.6221720246773588</c:v>
                </c:pt>
                <c:pt idx="41" formatCode="0.000">
                  <c:v>3.5806231540970943</c:v>
                </c:pt>
                <c:pt idx="42" formatCode="0.000">
                  <c:v>3.5398139537621534</c:v>
                </c:pt>
                <c:pt idx="43" formatCode="0.000">
                  <c:v>3.5004722295991852</c:v>
                </c:pt>
                <c:pt idx="44" formatCode="0.000">
                  <c:v>3.4643587306052828</c:v>
                </c:pt>
                <c:pt idx="45" formatCode="0.000">
                  <c:v>3.4180634391078977</c:v>
                </c:pt>
                <c:pt idx="46" formatCode="0.000">
                  <c:v>3.3739726488416055</c:v>
                </c:pt>
                <c:pt idx="47" formatCode="0.000">
                  <c:v>3.339745248059228</c:v>
                </c:pt>
                <c:pt idx="48" formatCode="0.000">
                  <c:v>3.3122742858665228</c:v>
                </c:pt>
                <c:pt idx="49" formatCode="0.000">
                  <c:v>3.2755507692000672</c:v>
                </c:pt>
                <c:pt idx="50" formatCode="0.000">
                  <c:v>3.2615924910133449</c:v>
                </c:pt>
                <c:pt idx="51" formatCode="0.000">
                  <c:v>3.2337663033140762</c:v>
                </c:pt>
                <c:pt idx="52" formatCode="0.000">
                  <c:v>3.2027693677426976</c:v>
                </c:pt>
                <c:pt idx="53" formatCode="0.000">
                  <c:v>3.1658550443621065</c:v>
                </c:pt>
                <c:pt idx="54" formatCode="0.000">
                  <c:v>3.1260257992832949</c:v>
                </c:pt>
                <c:pt idx="55" formatCode="0.000">
                  <c:v>3.0964350043176188</c:v>
                </c:pt>
                <c:pt idx="56" formatCode="0.000">
                  <c:v>3.0696703853027509</c:v>
                </c:pt>
                <c:pt idx="57" formatCode="0.000">
                  <c:v>3.0310358193055391</c:v>
                </c:pt>
                <c:pt idx="58" formatCode="0.000">
                  <c:v>2.9960996280318719</c:v>
                </c:pt>
                <c:pt idx="59" formatCode="0.000">
                  <c:v>2.9535202734430692</c:v>
                </c:pt>
                <c:pt idx="60" formatCode="0.000">
                  <c:v>2.9459572820543505</c:v>
                </c:pt>
                <c:pt idx="61" formatCode="0.000">
                  <c:v>2.9589521919043884</c:v>
                </c:pt>
                <c:pt idx="62" formatCode="0.000">
                  <c:v>2.9403162032028556</c:v>
                </c:pt>
                <c:pt idx="63" formatCode="0.000">
                  <c:v>2.9093452457095355</c:v>
                </c:pt>
                <c:pt idx="64" formatCode="0.000">
                  <c:v>2.8816566978348677</c:v>
                </c:pt>
                <c:pt idx="65" formatCode="0.000">
                  <c:v>2.8446575104730956</c:v>
                </c:pt>
                <c:pt idx="66" formatCode="0.000">
                  <c:v>2.8065082253497939</c:v>
                </c:pt>
                <c:pt idx="67" formatCode="0.000">
                  <c:v>2.7656875728895214</c:v>
                </c:pt>
                <c:pt idx="68" formatCode="0.000">
                  <c:v>2.7222288895585303</c:v>
                </c:pt>
                <c:pt idx="69" formatCode="0.000">
                  <c:v>2.677693310700648</c:v>
                </c:pt>
                <c:pt idx="70" formatCode="0.000">
                  <c:v>2.6445738854216385</c:v>
                </c:pt>
                <c:pt idx="71" formatCode="0.000">
                  <c:v>2.6126156048852236</c:v>
                </c:pt>
                <c:pt idx="72" formatCode="0.000">
                  <c:v>2.5780434202106379</c:v>
                </c:pt>
                <c:pt idx="73" formatCode="0.000">
                  <c:v>2.5453010906809608</c:v>
                </c:pt>
                <c:pt idx="74" formatCode="0.000">
                  <c:v>2.5081965847504817</c:v>
                </c:pt>
                <c:pt idx="75" formatCode="0.000">
                  <c:v>2.4690867673003689</c:v>
                </c:pt>
                <c:pt idx="76" formatCode="0.000">
                  <c:v>2.4298540455995914</c:v>
                </c:pt>
                <c:pt idx="77" formatCode="0.000">
                  <c:v>2.3931609988435225</c:v>
                </c:pt>
                <c:pt idx="78" formatCode="0.000">
                  <c:v>2.3502505713273179</c:v>
                </c:pt>
                <c:pt idx="79" formatCode="0.000">
                  <c:v>2.3023331858677993</c:v>
                </c:pt>
                <c:pt idx="80" formatCode="0.000">
                  <c:v>2.2695798117067456</c:v>
                </c:pt>
                <c:pt idx="81" formatCode="0.000">
                  <c:v>2.2397538406777668</c:v>
                </c:pt>
                <c:pt idx="82" formatCode="0.000">
                  <c:v>2.2115980098044945</c:v>
                </c:pt>
                <c:pt idx="83" formatCode="0.000">
                  <c:v>2.1831853257985108</c:v>
                </c:pt>
                <c:pt idx="84" formatCode="0.000">
                  <c:v>2.1525399177420583</c:v>
                </c:pt>
                <c:pt idx="85" formatCode="0.000">
                  <c:v>2.1216223344097918</c:v>
                </c:pt>
                <c:pt idx="86" formatCode="0.000">
                  <c:v>2.0977466778126255</c:v>
                </c:pt>
                <c:pt idx="87" formatCode="0.000">
                  <c:v>2.0814663127128457</c:v>
                </c:pt>
                <c:pt idx="88" formatCode="0.000">
                  <c:v>2.055550566627935</c:v>
                </c:pt>
                <c:pt idx="89" formatCode="0.000">
                  <c:v>2.0289470923556623</c:v>
                </c:pt>
                <c:pt idx="90" formatCode="0.000">
                  <c:v>2.0001311436986162</c:v>
                </c:pt>
                <c:pt idx="91" formatCode="0.000">
                  <c:v>1.9718288942579132</c:v>
                </c:pt>
                <c:pt idx="92" formatCode="0.000">
                  <c:v>1.94464341316156</c:v>
                </c:pt>
                <c:pt idx="93" formatCode="0.000">
                  <c:v>1.9197092617073845</c:v>
                </c:pt>
                <c:pt idx="94" formatCode="0.000">
                  <c:v>1.8912460747956057</c:v>
                </c:pt>
                <c:pt idx="95" formatCode="0.000">
                  <c:v>1.8654438253549059</c:v>
                </c:pt>
                <c:pt idx="96" formatCode="0.000">
                  <c:v>1.8430272572329993</c:v>
                </c:pt>
                <c:pt idx="97" formatCode="0.000">
                  <c:v>1.8197387187570999</c:v>
                </c:pt>
                <c:pt idx="98" formatCode="0.000">
                  <c:v>1.7965307456034256</c:v>
                </c:pt>
                <c:pt idx="99" formatCode="0.000">
                  <c:v>1.7742712355360541</c:v>
                </c:pt>
                <c:pt idx="100" formatCode="0.000">
                  <c:v>1.7503448476143439</c:v>
                </c:pt>
                <c:pt idx="101" formatCode="0.000">
                  <c:v>1.7278583466082462</c:v>
                </c:pt>
                <c:pt idx="102" formatCode="0.000">
                  <c:v>1.7063139702099981</c:v>
                </c:pt>
                <c:pt idx="103" formatCode="0.000">
                  <c:v>1.6838859452633741</c:v>
                </c:pt>
                <c:pt idx="104" formatCode="0.000">
                  <c:v>1.6634575198718646</c:v>
                </c:pt>
                <c:pt idx="105" formatCode="0.000">
                  <c:v>1.6420783796036555</c:v>
                </c:pt>
                <c:pt idx="106" formatCode="0.000">
                  <c:v>1.6201814463819708</c:v>
                </c:pt>
                <c:pt idx="107" formatCode="0.000">
                  <c:v>1.5991260277020405</c:v>
                </c:pt>
                <c:pt idx="108" formatCode="0.000">
                  <c:v>1.5776430056676023</c:v>
                </c:pt>
                <c:pt idx="109" formatCode="0.000">
                  <c:v>1.5563562973899845</c:v>
                </c:pt>
                <c:pt idx="110" formatCode="0.000">
                  <c:v>1.5351661054413257</c:v>
                </c:pt>
                <c:pt idx="111" formatCode="0.000">
                  <c:v>1.5152657026467513</c:v>
                </c:pt>
                <c:pt idx="112" formatCode="0.000">
                  <c:v>1.4951765329575299</c:v>
                </c:pt>
                <c:pt idx="113" formatCode="0.000">
                  <c:v>1.4721573055512711</c:v>
                </c:pt>
                <c:pt idx="114" formatCode="0.000">
                  <c:v>1.4525552539833169</c:v>
                </c:pt>
                <c:pt idx="115" formatCode="0.000">
                  <c:v>1.4321198800472623</c:v>
                </c:pt>
                <c:pt idx="116" formatCode="0.000">
                  <c:v>1.4101740691962346</c:v>
                </c:pt>
                <c:pt idx="117" formatCode="0.000">
                  <c:v>1.3890292876537189</c:v>
                </c:pt>
                <c:pt idx="118" formatCode="0.000">
                  <c:v>1.3675225346322315</c:v>
                </c:pt>
                <c:pt idx="119" formatCode="0.000">
                  <c:v>1.3459656861989058</c:v>
                </c:pt>
                <c:pt idx="120" formatCode="0.000">
                  <c:v>1.3257501426861293</c:v>
                </c:pt>
                <c:pt idx="121" formatCode="0.000">
                  <c:v>1.3051910354133338</c:v>
                </c:pt>
                <c:pt idx="122" formatCode="0.000">
                  <c:v>1.2847067908970122</c:v>
                </c:pt>
                <c:pt idx="123" formatCode="0.000">
                  <c:v>1.2617270452620954</c:v>
                </c:pt>
                <c:pt idx="124" formatCode="0.000">
                  <c:v>1.2418932989521871</c:v>
                </c:pt>
                <c:pt idx="125" formatCode="0.000">
                  <c:v>1.2223783631558125</c:v>
                </c:pt>
                <c:pt idx="126" formatCode="0.000">
                  <c:v>1.2017894124865713</c:v>
                </c:pt>
                <c:pt idx="127" formatCode="0.000">
                  <c:v>1.1800295043240081</c:v>
                </c:pt>
                <c:pt idx="128" formatCode="0.000">
                  <c:v>1.1658444354209991</c:v>
                </c:pt>
                <c:pt idx="129" formatCode="0.000">
                  <c:v>1.1438027112580298</c:v>
                </c:pt>
                <c:pt idx="130" formatCode="0.000">
                  <c:v>1.1231266448172126</c:v>
                </c:pt>
                <c:pt idx="131" formatCode="General">
                  <c:v>1.1026425958239483</c:v>
                </c:pt>
                <c:pt idx="132" formatCode="General">
                  <c:v>1.0823505689776245</c:v>
                </c:pt>
                <c:pt idx="133" formatCode="General">
                  <c:v>1.0625391168522911</c:v>
                </c:pt>
                <c:pt idx="134" formatCode="General">
                  <c:v>1.0506423909021234</c:v>
                </c:pt>
                <c:pt idx="135" formatCode="General">
                  <c:v>1.026062638218129</c:v>
                </c:pt>
                <c:pt idx="136" formatCode="General">
                  <c:v>1.0033861525348908</c:v>
                </c:pt>
                <c:pt idx="137" formatCode="General">
                  <c:v>0.98222602770204104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10F-8B45-923C-D87286BB7919}"/>
            </c:ext>
          </c:extLst>
        </c:ser>
        <c:ser>
          <c:idx val="3"/>
          <c:order val="3"/>
          <c:tx>
            <c:strRef>
              <c:f>'Fig 5 WL Plot'!$E$1</c:f>
              <c:strCache>
                <c:ptCount val="1"/>
                <c:pt idx="0">
                  <c:v>Tank 4</c:v>
                </c:pt>
              </c:strCache>
            </c:strRef>
          </c:tx>
          <c:spPr>
            <a:ln w="381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'Fig 5 WL Plot'!$A$2:$A$139</c:f>
              <c:numCache>
                <c:formatCode>d\-mmm</c:formatCode>
                <c:ptCount val="138"/>
                <c:pt idx="0" formatCode="m/d/yy">
                  <c:v>41561</c:v>
                </c:pt>
                <c:pt idx="1">
                  <c:v>41562</c:v>
                </c:pt>
                <c:pt idx="2" formatCode="m/d/yy">
                  <c:v>41563</c:v>
                </c:pt>
                <c:pt idx="3" formatCode="m/d/yy">
                  <c:v>41564</c:v>
                </c:pt>
                <c:pt idx="4" formatCode="m/d/yy">
                  <c:v>41565</c:v>
                </c:pt>
                <c:pt idx="5" formatCode="m/d/yy">
                  <c:v>41566</c:v>
                </c:pt>
                <c:pt idx="6" formatCode="m/d/yy">
                  <c:v>41567</c:v>
                </c:pt>
                <c:pt idx="7" formatCode="m/d/yy">
                  <c:v>41568</c:v>
                </c:pt>
                <c:pt idx="8" formatCode="m/d/yy">
                  <c:v>41569</c:v>
                </c:pt>
                <c:pt idx="9" formatCode="m/d/yy">
                  <c:v>41570</c:v>
                </c:pt>
                <c:pt idx="10" formatCode="m/d/yy">
                  <c:v>41571</c:v>
                </c:pt>
                <c:pt idx="11" formatCode="m/d/yy">
                  <c:v>41572</c:v>
                </c:pt>
                <c:pt idx="12" formatCode="m/d/yy">
                  <c:v>41573</c:v>
                </c:pt>
                <c:pt idx="13" formatCode="m/d/yy">
                  <c:v>41574</c:v>
                </c:pt>
                <c:pt idx="14" formatCode="m/d/yy">
                  <c:v>41575</c:v>
                </c:pt>
                <c:pt idx="15" formatCode="m/d/yy">
                  <c:v>41576</c:v>
                </c:pt>
                <c:pt idx="16" formatCode="m/d/yy">
                  <c:v>41577</c:v>
                </c:pt>
                <c:pt idx="17" formatCode="m/d/yy">
                  <c:v>41578</c:v>
                </c:pt>
                <c:pt idx="18" formatCode="m/d/yy">
                  <c:v>41579</c:v>
                </c:pt>
                <c:pt idx="19" formatCode="m/d/yy">
                  <c:v>41580</c:v>
                </c:pt>
                <c:pt idx="20" formatCode="m/d/yy">
                  <c:v>41581</c:v>
                </c:pt>
                <c:pt idx="21" formatCode="m/d/yy">
                  <c:v>41582</c:v>
                </c:pt>
                <c:pt idx="22" formatCode="m/d/yy">
                  <c:v>41583</c:v>
                </c:pt>
                <c:pt idx="23" formatCode="m/d/yy">
                  <c:v>41584</c:v>
                </c:pt>
                <c:pt idx="24" formatCode="m/d/yy">
                  <c:v>41585</c:v>
                </c:pt>
                <c:pt idx="25" formatCode="m/d/yy">
                  <c:v>41586</c:v>
                </c:pt>
                <c:pt idx="26" formatCode="m/d/yy">
                  <c:v>41587</c:v>
                </c:pt>
                <c:pt idx="27" formatCode="m/d/yy">
                  <c:v>41588</c:v>
                </c:pt>
                <c:pt idx="28" formatCode="m/d/yy">
                  <c:v>41589</c:v>
                </c:pt>
                <c:pt idx="29" formatCode="m/d/yy">
                  <c:v>41590</c:v>
                </c:pt>
                <c:pt idx="30" formatCode="m/d/yy">
                  <c:v>41591</c:v>
                </c:pt>
                <c:pt idx="31" formatCode="m/d/yy">
                  <c:v>41592</c:v>
                </c:pt>
                <c:pt idx="32" formatCode="m/d/yy">
                  <c:v>41593</c:v>
                </c:pt>
                <c:pt idx="33" formatCode="m/d/yy">
                  <c:v>41594</c:v>
                </c:pt>
                <c:pt idx="34" formatCode="m/d/yy">
                  <c:v>41595</c:v>
                </c:pt>
                <c:pt idx="35" formatCode="m/d/yy">
                  <c:v>41596</c:v>
                </c:pt>
                <c:pt idx="36" formatCode="m/d/yy">
                  <c:v>41597</c:v>
                </c:pt>
                <c:pt idx="37" formatCode="m/d/yy">
                  <c:v>41598</c:v>
                </c:pt>
                <c:pt idx="38" formatCode="m/d/yy">
                  <c:v>41599</c:v>
                </c:pt>
                <c:pt idx="39" formatCode="m/d/yy">
                  <c:v>41600</c:v>
                </c:pt>
                <c:pt idx="40" formatCode="m/d/yy">
                  <c:v>41601</c:v>
                </c:pt>
                <c:pt idx="41" formatCode="m/d/yy">
                  <c:v>41602</c:v>
                </c:pt>
                <c:pt idx="42" formatCode="m/d/yy">
                  <c:v>41603</c:v>
                </c:pt>
                <c:pt idx="43" formatCode="m/d/yy">
                  <c:v>41604</c:v>
                </c:pt>
                <c:pt idx="44" formatCode="m/d/yy">
                  <c:v>41605</c:v>
                </c:pt>
                <c:pt idx="45" formatCode="m/d/yy">
                  <c:v>41606</c:v>
                </c:pt>
                <c:pt idx="46" formatCode="m/d/yy">
                  <c:v>41607</c:v>
                </c:pt>
                <c:pt idx="47" formatCode="m/d/yy">
                  <c:v>41608</c:v>
                </c:pt>
                <c:pt idx="48" formatCode="m/d/yy">
                  <c:v>41609</c:v>
                </c:pt>
                <c:pt idx="49" formatCode="m/d/yy">
                  <c:v>41610</c:v>
                </c:pt>
                <c:pt idx="50" formatCode="m/d/yy">
                  <c:v>41611</c:v>
                </c:pt>
                <c:pt idx="51" formatCode="m/d/yy">
                  <c:v>41612</c:v>
                </c:pt>
                <c:pt idx="52" formatCode="m/d/yy">
                  <c:v>41613</c:v>
                </c:pt>
                <c:pt idx="53" formatCode="m/d/yy">
                  <c:v>41614</c:v>
                </c:pt>
                <c:pt idx="54" formatCode="m/d/yy">
                  <c:v>41615</c:v>
                </c:pt>
                <c:pt idx="55" formatCode="m/d/yy">
                  <c:v>41616</c:v>
                </c:pt>
                <c:pt idx="56" formatCode="m/d/yy">
                  <c:v>41617</c:v>
                </c:pt>
                <c:pt idx="57" formatCode="m/d/yy">
                  <c:v>41618</c:v>
                </c:pt>
                <c:pt idx="58" formatCode="m/d/yy">
                  <c:v>41619</c:v>
                </c:pt>
                <c:pt idx="59" formatCode="m/d/yy">
                  <c:v>41620</c:v>
                </c:pt>
                <c:pt idx="60" formatCode="m/d/yy">
                  <c:v>41621</c:v>
                </c:pt>
                <c:pt idx="61" formatCode="m/d/yy">
                  <c:v>41622</c:v>
                </c:pt>
                <c:pt idx="62" formatCode="m/d/yy">
                  <c:v>41623</c:v>
                </c:pt>
                <c:pt idx="63" formatCode="m/d/yy">
                  <c:v>41624</c:v>
                </c:pt>
                <c:pt idx="64" formatCode="m/d/yy">
                  <c:v>41625</c:v>
                </c:pt>
                <c:pt idx="65" formatCode="m/d/yy">
                  <c:v>41626</c:v>
                </c:pt>
                <c:pt idx="66" formatCode="m/d/yy">
                  <c:v>41627</c:v>
                </c:pt>
                <c:pt idx="67" formatCode="m/d/yy">
                  <c:v>41628</c:v>
                </c:pt>
                <c:pt idx="68" formatCode="m/d/yy">
                  <c:v>41629</c:v>
                </c:pt>
                <c:pt idx="69" formatCode="m/d/yy">
                  <c:v>41630</c:v>
                </c:pt>
                <c:pt idx="70" formatCode="m/d/yy">
                  <c:v>41631</c:v>
                </c:pt>
                <c:pt idx="71" formatCode="m/d/yy">
                  <c:v>41632</c:v>
                </c:pt>
                <c:pt idx="72" formatCode="m/d/yy">
                  <c:v>41633</c:v>
                </c:pt>
                <c:pt idx="73" formatCode="m/d/yy">
                  <c:v>41634</c:v>
                </c:pt>
                <c:pt idx="74" formatCode="m/d/yy">
                  <c:v>41635</c:v>
                </c:pt>
                <c:pt idx="75" formatCode="m/d/yy">
                  <c:v>41636</c:v>
                </c:pt>
                <c:pt idx="76" formatCode="m/d/yy">
                  <c:v>41637</c:v>
                </c:pt>
                <c:pt idx="77" formatCode="m/d/yy">
                  <c:v>41638</c:v>
                </c:pt>
                <c:pt idx="78" formatCode="m/d/yy">
                  <c:v>41639</c:v>
                </c:pt>
                <c:pt idx="79" formatCode="m/d/yy">
                  <c:v>41640</c:v>
                </c:pt>
                <c:pt idx="80" formatCode="m/d/yy">
                  <c:v>41641</c:v>
                </c:pt>
                <c:pt idx="81" formatCode="m/d/yy">
                  <c:v>41642</c:v>
                </c:pt>
                <c:pt idx="82" formatCode="m/d/yy">
                  <c:v>41643</c:v>
                </c:pt>
                <c:pt idx="83" formatCode="m/d/yy">
                  <c:v>41644</c:v>
                </c:pt>
                <c:pt idx="84" formatCode="m/d/yy">
                  <c:v>41645</c:v>
                </c:pt>
                <c:pt idx="85" formatCode="m/d/yy">
                  <c:v>41646</c:v>
                </c:pt>
                <c:pt idx="86" formatCode="m/d/yy">
                  <c:v>41647</c:v>
                </c:pt>
                <c:pt idx="87" formatCode="m/d/yy">
                  <c:v>41648</c:v>
                </c:pt>
                <c:pt idx="88" formatCode="m/d/yy">
                  <c:v>41649</c:v>
                </c:pt>
                <c:pt idx="89" formatCode="m/d/yy">
                  <c:v>41650</c:v>
                </c:pt>
                <c:pt idx="90" formatCode="m/d/yy">
                  <c:v>41651</c:v>
                </c:pt>
                <c:pt idx="91" formatCode="m/d/yy">
                  <c:v>41652</c:v>
                </c:pt>
                <c:pt idx="92" formatCode="m/d/yy">
                  <c:v>41653</c:v>
                </c:pt>
                <c:pt idx="93" formatCode="m/d/yy">
                  <c:v>41654</c:v>
                </c:pt>
                <c:pt idx="94" formatCode="m/d/yy">
                  <c:v>41655</c:v>
                </c:pt>
                <c:pt idx="95" formatCode="m/d/yy">
                  <c:v>41656</c:v>
                </c:pt>
                <c:pt idx="96" formatCode="m/d/yy">
                  <c:v>41657</c:v>
                </c:pt>
                <c:pt idx="97" formatCode="m/d/yy">
                  <c:v>41658</c:v>
                </c:pt>
                <c:pt idx="98" formatCode="m/d/yy">
                  <c:v>41659</c:v>
                </c:pt>
                <c:pt idx="99" formatCode="m/d/yy">
                  <c:v>41660</c:v>
                </c:pt>
                <c:pt idx="100" formatCode="m/d/yy">
                  <c:v>41661</c:v>
                </c:pt>
                <c:pt idx="101" formatCode="m/d/yy">
                  <c:v>41662</c:v>
                </c:pt>
                <c:pt idx="102" formatCode="m/d/yy">
                  <c:v>41663</c:v>
                </c:pt>
                <c:pt idx="103" formatCode="m/d/yy">
                  <c:v>41664</c:v>
                </c:pt>
                <c:pt idx="104" formatCode="m/d/yy">
                  <c:v>41665</c:v>
                </c:pt>
                <c:pt idx="105" formatCode="m/d/yy">
                  <c:v>41666</c:v>
                </c:pt>
                <c:pt idx="106" formatCode="m/d/yy">
                  <c:v>41667</c:v>
                </c:pt>
                <c:pt idx="107" formatCode="m/d/yy">
                  <c:v>41668</c:v>
                </c:pt>
                <c:pt idx="108" formatCode="m/d/yy">
                  <c:v>41669</c:v>
                </c:pt>
                <c:pt idx="109" formatCode="m/d/yy">
                  <c:v>41670</c:v>
                </c:pt>
                <c:pt idx="110" formatCode="m/d/yy">
                  <c:v>41671</c:v>
                </c:pt>
                <c:pt idx="111" formatCode="m/d/yy">
                  <c:v>41672</c:v>
                </c:pt>
                <c:pt idx="112" formatCode="m/d/yy">
                  <c:v>41673</c:v>
                </c:pt>
                <c:pt idx="113" formatCode="m/d/yy">
                  <c:v>41674</c:v>
                </c:pt>
                <c:pt idx="114" formatCode="m/d/yy">
                  <c:v>41675</c:v>
                </c:pt>
                <c:pt idx="115" formatCode="m/d/yy">
                  <c:v>41676</c:v>
                </c:pt>
                <c:pt idx="116" formatCode="m/d/yy">
                  <c:v>41677</c:v>
                </c:pt>
                <c:pt idx="117" formatCode="m/d/yy">
                  <c:v>41678</c:v>
                </c:pt>
                <c:pt idx="118" formatCode="m/d/yy">
                  <c:v>41679</c:v>
                </c:pt>
                <c:pt idx="119" formatCode="m/d/yy">
                  <c:v>41680</c:v>
                </c:pt>
                <c:pt idx="120" formatCode="m/d/yy">
                  <c:v>41681</c:v>
                </c:pt>
                <c:pt idx="121" formatCode="m/d/yy">
                  <c:v>41682</c:v>
                </c:pt>
                <c:pt idx="122" formatCode="m/d/yy">
                  <c:v>41683</c:v>
                </c:pt>
                <c:pt idx="123" formatCode="m/d/yy">
                  <c:v>41684</c:v>
                </c:pt>
                <c:pt idx="124" formatCode="m/d/yy">
                  <c:v>41685</c:v>
                </c:pt>
                <c:pt idx="125" formatCode="m/d/yy">
                  <c:v>41686</c:v>
                </c:pt>
                <c:pt idx="126" formatCode="m/d/yy">
                  <c:v>41687</c:v>
                </c:pt>
                <c:pt idx="127" formatCode="m/d/yy">
                  <c:v>41688</c:v>
                </c:pt>
                <c:pt idx="128" formatCode="m/d/yy">
                  <c:v>41689</c:v>
                </c:pt>
                <c:pt idx="129" formatCode="m/d/yy">
                  <c:v>41690</c:v>
                </c:pt>
                <c:pt idx="130" formatCode="m/d/yy">
                  <c:v>41691</c:v>
                </c:pt>
                <c:pt idx="131" formatCode="m/d/yy">
                  <c:v>41692</c:v>
                </c:pt>
                <c:pt idx="132" formatCode="m/d/yy">
                  <c:v>41693</c:v>
                </c:pt>
                <c:pt idx="133" formatCode="m/d/yy">
                  <c:v>41694</c:v>
                </c:pt>
                <c:pt idx="134" formatCode="m/d/yy">
                  <c:v>41695</c:v>
                </c:pt>
                <c:pt idx="135" formatCode="m/d/yy">
                  <c:v>41696</c:v>
                </c:pt>
                <c:pt idx="136" formatCode="m/d/yy">
                  <c:v>41697</c:v>
                </c:pt>
                <c:pt idx="137" formatCode="m/d/yy">
                  <c:v>41698</c:v>
                </c:pt>
              </c:numCache>
            </c:numRef>
          </c:xVal>
          <c:yVal>
            <c:numRef>
              <c:f>'Fig 5 WL Plot'!$E$2:$E$134</c:f>
              <c:numCache>
                <c:formatCode>0.00</c:formatCode>
                <c:ptCount val="133"/>
                <c:pt idx="0">
                  <c:v>0.25926955386698619</c:v>
                </c:pt>
                <c:pt idx="1">
                  <c:v>0.25926955386698619</c:v>
                </c:pt>
                <c:pt idx="2" formatCode="0.000">
                  <c:v>2.8782855213215686</c:v>
                </c:pt>
                <c:pt idx="3" formatCode="0.000">
                  <c:v>3.1435810224401641</c:v>
                </c:pt>
                <c:pt idx="4" formatCode="0.000">
                  <c:v>3.2043143565567305</c:v>
                </c:pt>
                <c:pt idx="5" formatCode="0.000">
                  <c:v>3.2750159959313367</c:v>
                </c:pt>
                <c:pt idx="6" formatCode="0.000">
                  <c:v>3.3996063881024372</c:v>
                </c:pt>
                <c:pt idx="7" formatCode="0.000">
                  <c:v>3.2055503382091852</c:v>
                </c:pt>
                <c:pt idx="8" formatCode="0.000">
                  <c:v>3.2147947052086621</c:v>
                </c:pt>
                <c:pt idx="9" formatCode="0.000">
                  <c:v>3.179992455767962</c:v>
                </c:pt>
                <c:pt idx="10" formatCode="0.000">
                  <c:v>3.1485337677375855</c:v>
                </c:pt>
                <c:pt idx="11" formatCode="0.000">
                  <c:v>3.1297229280280372</c:v>
                </c:pt>
                <c:pt idx="12" formatCode="0.000">
                  <c:v>3.1196341775812395</c:v>
                </c:pt>
                <c:pt idx="13" formatCode="0.000">
                  <c:v>3.0979409376518041</c:v>
                </c:pt>
                <c:pt idx="14" formatCode="0.000">
                  <c:v>3.0740098576753261</c:v>
                </c:pt>
                <c:pt idx="15" formatCode="0.000">
                  <c:v>3.0483624191981504</c:v>
                </c:pt>
                <c:pt idx="16" formatCode="0.000">
                  <c:v>3.0304329762465883</c:v>
                </c:pt>
                <c:pt idx="17" formatCode="0.000">
                  <c:v>3.0117466778126238</c:v>
                </c:pt>
                <c:pt idx="18" formatCode="0.000">
                  <c:v>2.9937524038752907</c:v>
                </c:pt>
                <c:pt idx="19" formatCode="0.000">
                  <c:v>2.9733710094669976</c:v>
                </c:pt>
                <c:pt idx="20" formatCode="0.000">
                  <c:v>2.9555802121516304</c:v>
                </c:pt>
                <c:pt idx="21" formatCode="0.000">
                  <c:v>2.9368771477230093</c:v>
                </c:pt>
                <c:pt idx="22" formatCode="0.000">
                  <c:v>2.9495194843017631</c:v>
                </c:pt>
                <c:pt idx="23" formatCode="0.000">
                  <c:v>2.9404288895585302</c:v>
                </c:pt>
                <c:pt idx="24" formatCode="0.000">
                  <c:v>2.9189530186407686</c:v>
                </c:pt>
                <c:pt idx="25" formatCode="0.000">
                  <c:v>2.8968487199818074</c:v>
                </c:pt>
                <c:pt idx="26" formatCode="0.000">
                  <c:v>2.8724953411213714</c:v>
                </c:pt>
                <c:pt idx="27" formatCode="0.000">
                  <c:v>2.8491184455944807</c:v>
                </c:pt>
                <c:pt idx="28" formatCode="0.000">
                  <c:v>2.8217004524185607</c:v>
                </c:pt>
                <c:pt idx="29" formatCode="0.000">
                  <c:v>2.7828161938040874</c:v>
                </c:pt>
                <c:pt idx="30" formatCode="0.000">
                  <c:v>2.7604955413438126</c:v>
                </c:pt>
                <c:pt idx="31" formatCode="0.000">
                  <c:v>2.7414748912332292</c:v>
                </c:pt>
                <c:pt idx="32" formatCode="0.000">
                  <c:v>2.7170939113679728</c:v>
                </c:pt>
                <c:pt idx="33" formatCode="0.000">
                  <c:v>2.681026623669982</c:v>
                </c:pt>
                <c:pt idx="34" formatCode="0.000">
                  <c:v>2.6427783584564284</c:v>
                </c:pt>
                <c:pt idx="35" formatCode="0.000">
                  <c:v>3.1592730516361818</c:v>
                </c:pt>
                <c:pt idx="36" formatCode="0.000">
                  <c:v>3.1414814440322778</c:v>
                </c:pt>
                <c:pt idx="37" formatCode="0.000">
                  <c:v>3.1183401297129616</c:v>
                </c:pt>
                <c:pt idx="38" formatCode="0.000">
                  <c:v>3.0934155743392249</c:v>
                </c:pt>
                <c:pt idx="39" formatCode="0.000">
                  <c:v>3.0679272337360763</c:v>
                </c:pt>
                <c:pt idx="40" formatCode="0.000">
                  <c:v>3.0416720246773585</c:v>
                </c:pt>
                <c:pt idx="41" formatCode="0.000">
                  <c:v>3.0159231540970928</c:v>
                </c:pt>
                <c:pt idx="42" formatCode="0.000">
                  <c:v>2.9912139537621534</c:v>
                </c:pt>
                <c:pt idx="43" formatCode="0.000">
                  <c:v>2.9665722295991848</c:v>
                </c:pt>
                <c:pt idx="44" formatCode="0.000">
                  <c:v>2.9412587306052838</c:v>
                </c:pt>
                <c:pt idx="45" formatCode="0.000">
                  <c:v>2.9136634391078959</c:v>
                </c:pt>
                <c:pt idx="46" formatCode="0.000">
                  <c:v>2.8870726488416056</c:v>
                </c:pt>
                <c:pt idx="47" formatCode="0.000">
                  <c:v>2.8603452480592284</c:v>
                </c:pt>
                <c:pt idx="48" formatCode="0.000">
                  <c:v>2.8344742858665231</c:v>
                </c:pt>
                <c:pt idx="49" formatCode="0.000">
                  <c:v>2.808250769200066</c:v>
                </c:pt>
                <c:pt idx="50" formatCode="0.000">
                  <c:v>2.797992491013344</c:v>
                </c:pt>
                <c:pt idx="51" formatCode="0.000">
                  <c:v>2.7761663033140755</c:v>
                </c:pt>
                <c:pt idx="52" formatCode="0.000">
                  <c:v>2.7505693677426968</c:v>
                </c:pt>
                <c:pt idx="53" formatCode="0.000">
                  <c:v>2.7202550443621063</c:v>
                </c:pt>
                <c:pt idx="54" formatCode="0.000">
                  <c:v>2.6826257992832949</c:v>
                </c:pt>
                <c:pt idx="55" formatCode="0.000">
                  <c:v>2.6472350043176198</c:v>
                </c:pt>
                <c:pt idx="56" formatCode="0.000">
                  <c:v>2.6114703853027499</c:v>
                </c:pt>
                <c:pt idx="57" formatCode="0.000">
                  <c:v>2.5763358193055388</c:v>
                </c:pt>
                <c:pt idx="58" formatCode="0.000">
                  <c:v>2.539699628031872</c:v>
                </c:pt>
                <c:pt idx="59" formatCode="0.000">
                  <c:v>2.5019202734430688</c:v>
                </c:pt>
                <c:pt idx="60" formatCode="0.000">
                  <c:v>2.4986572820543489</c:v>
                </c:pt>
                <c:pt idx="61" formatCode="0.000">
                  <c:v>2.5224521919043883</c:v>
                </c:pt>
                <c:pt idx="62" formatCode="0.000">
                  <c:v>2.500216203202855</c:v>
                </c:pt>
                <c:pt idx="63" formatCode="0.000">
                  <c:v>2.4751452457095353</c:v>
                </c:pt>
                <c:pt idx="64" formatCode="0.000">
                  <c:v>2.4447566978348667</c:v>
                </c:pt>
                <c:pt idx="65" formatCode="0.000">
                  <c:v>2.4068575104730967</c:v>
                </c:pt>
                <c:pt idx="66" formatCode="0.000">
                  <c:v>2.3701082253497936</c:v>
                </c:pt>
                <c:pt idx="67" formatCode="0.000">
                  <c:v>2.3149875728895206</c:v>
                </c:pt>
                <c:pt idx="68" formatCode="0.000">
                  <c:v>2.2296288895585294</c:v>
                </c:pt>
                <c:pt idx="69" formatCode="0.000">
                  <c:v>2.1447933107006487</c:v>
                </c:pt>
                <c:pt idx="70" formatCode="0.000">
                  <c:v>2.076373885421638</c:v>
                </c:pt>
                <c:pt idx="71" formatCode="0.000">
                  <c:v>2.0227156048852222</c:v>
                </c:pt>
                <c:pt idx="72" formatCode="0.000">
                  <c:v>1.9766434202106367</c:v>
                </c:pt>
                <c:pt idx="73" formatCode="0.000">
                  <c:v>1.9459010906809602</c:v>
                </c:pt>
                <c:pt idx="74" formatCode="0.000">
                  <c:v>1.9260965847504816</c:v>
                </c:pt>
                <c:pt idx="75" formatCode="0.000">
                  <c:v>1.9073867673003693</c:v>
                </c:pt>
                <c:pt idx="76" formatCode="0.000">
                  <c:v>1.8889540455995912</c:v>
                </c:pt>
                <c:pt idx="77" formatCode="0.000">
                  <c:v>1.8552609988435225</c:v>
                </c:pt>
                <c:pt idx="78" formatCode="0.000">
                  <c:v>1.8162505713273176</c:v>
                </c:pt>
                <c:pt idx="79" formatCode="0.000">
                  <c:v>1.7785331858677984</c:v>
                </c:pt>
                <c:pt idx="80" formatCode="0.000">
                  <c:v>1.744879811706745</c:v>
                </c:pt>
                <c:pt idx="81" formatCode="0.000">
                  <c:v>1.7175538406777657</c:v>
                </c:pt>
                <c:pt idx="82" formatCode="0.000">
                  <c:v>1.6927980098044944</c:v>
                </c:pt>
                <c:pt idx="83" formatCode="0.000">
                  <c:v>1.6738853257985116</c:v>
                </c:pt>
                <c:pt idx="84" formatCode="0.000">
                  <c:v>1.6540399177420588</c:v>
                </c:pt>
                <c:pt idx="85" formatCode="0.000">
                  <c:v>1.6342223344097913</c:v>
                </c:pt>
                <c:pt idx="86" formatCode="0.000">
                  <c:v>1.6170466778126253</c:v>
                </c:pt>
                <c:pt idx="87" formatCode="0.000">
                  <c:v>1.6136663127128439</c:v>
                </c:pt>
                <c:pt idx="88" formatCode="0.000">
                  <c:v>1.5972505666279342</c:v>
                </c:pt>
                <c:pt idx="89" formatCode="0.000">
                  <c:v>1.5800470923556609</c:v>
                </c:pt>
                <c:pt idx="90" formatCode="0.000">
                  <c:v>1.5642311436986165</c:v>
                </c:pt>
                <c:pt idx="91" formatCode="0.000">
                  <c:v>1.5474288942579135</c:v>
                </c:pt>
                <c:pt idx="92" formatCode="0.000">
                  <c:v>1.5286434131615603</c:v>
                </c:pt>
                <c:pt idx="93" formatCode="0.000">
                  <c:v>1.5106092617073847</c:v>
                </c:pt>
                <c:pt idx="94" formatCode="0.000">
                  <c:v>1.4923460747956052</c:v>
                </c:pt>
                <c:pt idx="95" formatCode="0.000">
                  <c:v>1.4737438253549064</c:v>
                </c:pt>
                <c:pt idx="96" formatCode="0.000">
                  <c:v>1.4548272572329988</c:v>
                </c:pt>
                <c:pt idx="97" formatCode="0.000">
                  <c:v>1.434738718757099</c:v>
                </c:pt>
                <c:pt idx="98" formatCode="0.000">
                  <c:v>1.4139307456034245</c:v>
                </c:pt>
                <c:pt idx="99" formatCode="0.000">
                  <c:v>1.3935712355360539</c:v>
                </c:pt>
                <c:pt idx="100" formatCode="0.000">
                  <c:v>1.3718448476143439</c:v>
                </c:pt>
                <c:pt idx="101" formatCode="0.000">
                  <c:v>1.3499583466082465</c:v>
                </c:pt>
                <c:pt idx="102" formatCode="0.000">
                  <c:v>1.3276139702099985</c:v>
                </c:pt>
                <c:pt idx="103" formatCode="0.000">
                  <c:v>1.305385945263374</c:v>
                </c:pt>
                <c:pt idx="104" formatCode="0.000">
                  <c:v>1.2829575198718639</c:v>
                </c:pt>
                <c:pt idx="105" formatCode="0.000">
                  <c:v>1.2593783796036564</c:v>
                </c:pt>
                <c:pt idx="106" formatCode="0.000">
                  <c:v>1.2354814463819692</c:v>
                </c:pt>
                <c:pt idx="107" formatCode="0.000">
                  <c:v>1.2124260277020418</c:v>
                </c:pt>
                <c:pt idx="108" formatCode="0.000">
                  <c:v>1.1877430056676022</c:v>
                </c:pt>
                <c:pt idx="109" formatCode="0.000">
                  <c:v>1.1624562973899848</c:v>
                </c:pt>
                <c:pt idx="110" formatCode="0.000">
                  <c:v>1.1376661054413257</c:v>
                </c:pt>
                <c:pt idx="111" formatCode="0.000">
                  <c:v>1.112165702646752</c:v>
                </c:pt>
                <c:pt idx="112" formatCode="0.000">
                  <c:v>1.08927653295753</c:v>
                </c:pt>
                <c:pt idx="113" formatCode="0.000">
                  <c:v>1.0646573055512696</c:v>
                </c:pt>
                <c:pt idx="114" formatCode="0.000">
                  <c:v>1.0399552539833183</c:v>
                </c:pt>
                <c:pt idx="115" formatCode="0.000">
                  <c:v>1.0165198800472619</c:v>
                </c:pt>
                <c:pt idx="116" formatCode="0.000">
                  <c:v>0.99477406919623368</c:v>
                </c:pt>
                <c:pt idx="117" formatCode="0.000">
                  <c:v>0.97102928765371876</c:v>
                </c:pt>
                <c:pt idx="118" formatCode="0.000">
                  <c:v>0.94512253463223272</c:v>
                </c:pt>
                <c:pt idx="119" formatCode="0.000">
                  <c:v>0.92076568619890642</c:v>
                </c:pt>
                <c:pt idx="120" formatCode="0.000">
                  <c:v>0.89365014268613008</c:v>
                </c:pt>
                <c:pt idx="121" formatCode="0.000">
                  <c:v>0.86809103541333377</c:v>
                </c:pt>
                <c:pt idx="122" formatCode="0.000">
                  <c:v>0.84340679089701309</c:v>
                </c:pt>
                <c:pt idx="123" formatCode="0.000">
                  <c:v>0.81532704526209576</c:v>
                </c:pt>
                <c:pt idx="124" formatCode="0.000">
                  <c:v>0.78949329895218723</c:v>
                </c:pt>
                <c:pt idx="125" formatCode="0.000">
                  <c:v>0.76517836315581134</c:v>
                </c:pt>
                <c:pt idx="126" formatCode="0.000">
                  <c:v>0.74098941248656969</c:v>
                </c:pt>
                <c:pt idx="127" formatCode="0.000">
                  <c:v>0.71552950432400797</c:v>
                </c:pt>
                <c:pt idx="128" formatCode="0.000">
                  <c:v>0.69674443542099906</c:v>
                </c:pt>
                <c:pt idx="129" formatCode="0.000">
                  <c:v>0.67210271125803045</c:v>
                </c:pt>
                <c:pt idx="130" formatCode="0.000">
                  <c:v>0.52862664481721344</c:v>
                </c:pt>
                <c:pt idx="131" formatCode="General">
                  <c:v>0.46094259582394903</c:v>
                </c:pt>
                <c:pt idx="132" formatCode="General">
                  <c:v>0.38785056897762571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10F-8B45-923C-D87286BB7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1611808"/>
        <c:axId val="-2011748896"/>
      </c:scatterChart>
      <c:valAx>
        <c:axId val="-2011611808"/>
        <c:scaling>
          <c:orientation val="minMax"/>
          <c:max val="41700"/>
          <c:min val="41560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 b="0"/>
                  <a:t>Date</a:t>
                </a:r>
              </a:p>
            </c:rich>
          </c:tx>
          <c:overlay val="0"/>
        </c:title>
        <c:numFmt formatCode="m/d;@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800" b="1" baseline="0"/>
            </a:pPr>
            <a:endParaRPr lang="en-US"/>
          </a:p>
        </c:txPr>
        <c:crossAx val="-2011748896"/>
        <c:crosses val="autoZero"/>
        <c:crossBetween val="midCat"/>
        <c:majorUnit val="21"/>
      </c:valAx>
      <c:valAx>
        <c:axId val="-2011748896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2400" b="0" i="0" baseline="0">
                    <a:effectLst/>
                  </a:rPr>
                  <a:t>Water Level (m)</a:t>
                </a:r>
                <a:endParaRPr lang="en-US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3.83916394012392E-2"/>
              <c:y val="0.28350515463917503"/>
            </c:manualLayout>
          </c:layout>
          <c:overlay val="0"/>
        </c:title>
        <c:numFmt formatCode="0.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800" b="1"/>
            </a:pPr>
            <a:endParaRPr lang="en-US"/>
          </a:p>
        </c:txPr>
        <c:crossAx val="-2011611808"/>
        <c:crosses val="autoZero"/>
        <c:crossBetween val="midCat"/>
        <c:majorUnit val="1"/>
      </c:valAx>
      <c:valAx>
        <c:axId val="-2036086880"/>
        <c:scaling>
          <c:orientation val="maxMin"/>
          <c:max val="350"/>
          <c:min val="0"/>
        </c:scaling>
        <c:delete val="0"/>
        <c:axPos val="l"/>
        <c:title>
          <c:tx>
            <c:rich>
              <a:bodyPr rot="5400000" vert="horz"/>
              <a:lstStyle/>
              <a:p>
                <a:pPr>
                  <a:defRPr/>
                </a:pPr>
                <a:r>
                  <a:rPr lang="en-US" sz="2400" b="0"/>
                  <a:t>Rainfall (mm/day)</a:t>
                </a:r>
              </a:p>
            </c:rich>
          </c:tx>
          <c:layout>
            <c:manualLayout>
              <c:xMode val="edge"/>
              <c:yMode val="edge"/>
              <c:x val="0.88920157240618902"/>
              <c:y val="0.24020407500608801"/>
            </c:manualLayout>
          </c:layout>
          <c:overlay val="0"/>
        </c:title>
        <c:numFmt formatCode="0" sourceLinked="0"/>
        <c:majorTickMark val="out"/>
        <c:minorTickMark val="none"/>
        <c:tickLblPos val="high"/>
        <c:spPr>
          <a:ln w="6350">
            <a:solidFill>
              <a:schemeClr val="tx1"/>
            </a:solidFill>
          </a:ln>
        </c:spPr>
        <c:txPr>
          <a:bodyPr anchor="t" anchorCtr="1"/>
          <a:lstStyle/>
          <a:p>
            <a:pPr>
              <a:defRPr sz="1800" b="1"/>
            </a:pPr>
            <a:endParaRPr lang="en-US"/>
          </a:p>
        </c:txPr>
        <c:crossAx val="-2036112896"/>
        <c:crossesAt val="41700"/>
        <c:crossBetween val="midCat"/>
      </c:valAx>
      <c:dateAx>
        <c:axId val="-2036112896"/>
        <c:scaling>
          <c:orientation val="minMax"/>
          <c:max val="41700"/>
          <c:min val="41560"/>
        </c:scaling>
        <c:delete val="0"/>
        <c:axPos val="t"/>
        <c:numFmt formatCode="m/d;@" sourceLinked="0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-2036086880"/>
        <c:crossesAt val="0"/>
        <c:auto val="0"/>
        <c:lblOffset val="100"/>
        <c:baseTimeUnit val="days"/>
      </c:dateAx>
      <c:spPr>
        <a:ln w="12700" cmpd="sng">
          <a:solidFill>
            <a:schemeClr val="tx1"/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55702716954901199"/>
          <c:y val="0.12722071596720499"/>
          <c:w val="0.20852359208523599"/>
          <c:h val="0.23009465053981701"/>
        </c:manualLayout>
      </c:layout>
      <c:overlay val="1"/>
      <c:spPr>
        <a:solidFill>
          <a:schemeClr val="bg1"/>
        </a:solidFill>
        <a:ln>
          <a:solidFill>
            <a:srgbClr val="000000"/>
          </a:solidFill>
        </a:ln>
      </c:spPr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1st &amp; 2nd Fill Volumes</c:v>
          </c:tx>
          <c:invertIfNegative val="0"/>
          <c:cat>
            <c:strRef>
              <c:f>'Water Balance Summary'!$W$62:$Z$62</c:f>
              <c:strCache>
                <c:ptCount val="4"/>
                <c:pt idx="0">
                  <c:v>Tank 1</c:v>
                </c:pt>
                <c:pt idx="1">
                  <c:v> Tank 2 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'Water Balance Summary'!$W$63:$Z$63</c:f>
              <c:numCache>
                <c:formatCode>_(* #,##0_);_(* \(#,##0\);_(* "-"??_);_(@_)</c:formatCode>
                <c:ptCount val="4"/>
                <c:pt idx="0">
                  <c:v>224348</c:v>
                </c:pt>
                <c:pt idx="1">
                  <c:v>507513</c:v>
                </c:pt>
                <c:pt idx="2">
                  <c:v>295100</c:v>
                </c:pt>
                <c:pt idx="3">
                  <c:v>190250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4-2440-95B5-F615B50AB79F}"/>
            </c:ext>
          </c:extLst>
        </c:ser>
        <c:ser>
          <c:idx val="1"/>
          <c:order val="1"/>
          <c:tx>
            <c:v>Difference (Water Balance)</c:v>
          </c:tx>
          <c:invertIfNegative val="0"/>
          <c:cat>
            <c:strRef>
              <c:f>'Water Balance Summary'!$W$62:$Z$62</c:f>
              <c:strCache>
                <c:ptCount val="4"/>
                <c:pt idx="0">
                  <c:v>Tank 1</c:v>
                </c:pt>
                <c:pt idx="1">
                  <c:v> Tank 2 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'Water Balance Summary'!$W$64:$Z$64</c:f>
              <c:numCache>
                <c:formatCode>_(* #,##0.0_);_(* \(#,##0.0\);_(* "-"??_);_(@_)</c:formatCode>
                <c:ptCount val="4"/>
                <c:pt idx="0">
                  <c:v>287627.76326976717</c:v>
                </c:pt>
                <c:pt idx="1">
                  <c:v>676572.17942606658</c:v>
                </c:pt>
                <c:pt idx="2">
                  <c:v>304024.09985732951</c:v>
                </c:pt>
                <c:pt idx="3">
                  <c:v>446761.22488492134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94-2440-95B5-F615B50AB79F}"/>
            </c:ext>
          </c:extLst>
        </c:ser>
        <c:ser>
          <c:idx val="2"/>
          <c:order val="2"/>
          <c:tx>
            <c:v>Strange Method Runoff Calculation</c:v>
          </c:tx>
          <c:invertIfNegative val="0"/>
          <c:cat>
            <c:strRef>
              <c:f>'Water Balance Summary'!$W$62:$Z$62</c:f>
              <c:strCache>
                <c:ptCount val="4"/>
                <c:pt idx="0">
                  <c:v>Tank 1</c:v>
                </c:pt>
                <c:pt idx="1">
                  <c:v> Tank 2 </c:v>
                </c:pt>
                <c:pt idx="2">
                  <c:v>Tank 3</c:v>
                </c:pt>
                <c:pt idx="3">
                  <c:v>Tank 4</c:v>
                </c:pt>
              </c:strCache>
            </c:strRef>
          </c:cat>
          <c:val>
            <c:numRef>
              <c:f>'Water Balance Summary'!$W$65:$Z$65</c:f>
              <c:numCache>
                <c:formatCode>_(* #,##0_);_(* \(#,##0\);_(* "-"??_);_(@_)</c:formatCode>
                <c:ptCount val="4"/>
                <c:pt idx="0">
                  <c:v>448455.79800000723</c:v>
                </c:pt>
                <c:pt idx="1">
                  <c:v>888116.29200001433</c:v>
                </c:pt>
                <c:pt idx="2">
                  <c:v>389262.00600000628</c:v>
                </c:pt>
                <c:pt idx="3">
                  <c:v>463079.73600000743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94-2440-95B5-F615B50AB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507600"/>
        <c:axId val="-2028504448"/>
      </c:barChart>
      <c:catAx>
        <c:axId val="-20285076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2028504448"/>
        <c:crosses val="autoZero"/>
        <c:auto val="1"/>
        <c:lblAlgn val="ctr"/>
        <c:lblOffset val="100"/>
        <c:noMultiLvlLbl val="0"/>
      </c:catAx>
      <c:valAx>
        <c:axId val="-2028504448"/>
        <c:scaling>
          <c:orientation val="minMax"/>
          <c:max val="1200000"/>
        </c:scaling>
        <c:delete val="0"/>
        <c:axPos val="l"/>
        <c:majorGridlines/>
        <c:numFmt formatCode="_(* #,##0_);_(* \(#,##0\);_(* &quot;-&quot;??_);_(@_)" sourceLinked="1"/>
        <c:majorTickMark val="in"/>
        <c:minorTickMark val="none"/>
        <c:tickLblPos val="nextTo"/>
        <c:crossAx val="-2028507600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'Water Balance Summary'!$AS$45</c:f>
              <c:strCache>
                <c:ptCount val="1"/>
                <c:pt idx="0">
                  <c:v>Total Outflows</c:v>
                </c:pt>
              </c:strCache>
            </c:strRef>
          </c:tx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Summary'!$AS$46:$AS$49</c:f>
              <c:numCache>
                <c:formatCode>General</c:formatCode>
                <c:ptCount val="4"/>
                <c:pt idx="0">
                  <c:v>332344</c:v>
                </c:pt>
                <c:pt idx="1">
                  <c:v>301003</c:v>
                </c:pt>
                <c:pt idx="2">
                  <c:v>750656</c:v>
                </c:pt>
                <c:pt idx="3">
                  <c:v>291294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B-874F-A707-C1FB35CC197C}"/>
            </c:ext>
          </c:extLst>
        </c:ser>
        <c:ser>
          <c:idx val="1"/>
          <c:order val="1"/>
          <c:tx>
            <c:strRef>
              <c:f>'Water Balance Summary'!$AT$45</c:f>
              <c:strCache>
                <c:ptCount val="1"/>
                <c:pt idx="0">
                  <c:v>ET</c:v>
                </c:pt>
              </c:strCache>
            </c:strRef>
          </c:tx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Summary'!$AT$46:$AT$49</c:f>
              <c:numCache>
                <c:formatCode>0</c:formatCode>
                <c:ptCount val="4"/>
                <c:pt idx="0">
                  <c:v>80863</c:v>
                </c:pt>
                <c:pt idx="1">
                  <c:v>78127</c:v>
                </c:pt>
                <c:pt idx="2">
                  <c:v>243024</c:v>
                </c:pt>
                <c:pt idx="3">
                  <c:v>57056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B-874F-A707-C1FB35CC197C}"/>
            </c:ext>
          </c:extLst>
        </c:ser>
        <c:ser>
          <c:idx val="2"/>
          <c:order val="2"/>
          <c:tx>
            <c:strRef>
              <c:f>'Water Balance Summary'!$AU$45</c:f>
              <c:strCache>
                <c:ptCount val="1"/>
                <c:pt idx="0">
                  <c:v>Sluice Outflow</c:v>
                </c:pt>
              </c:strCache>
            </c:strRef>
          </c:tx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Summary'!$AU$46:$AU$49</c:f>
              <c:numCache>
                <c:formatCode>0</c:formatCode>
                <c:ptCount val="4"/>
                <c:pt idx="0" formatCode="_(* #,##0_);_(* \(#,##0\);_(* &quot;-&quot;??_);_(@_)">
                  <c:v>201452</c:v>
                </c:pt>
                <c:pt idx="1">
                  <c:v>70906</c:v>
                </c:pt>
                <c:pt idx="2">
                  <c:v>141942</c:v>
                </c:pt>
                <c:pt idx="3">
                  <c:v>147543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B-874F-A707-C1FB35CC197C}"/>
            </c:ext>
          </c:extLst>
        </c:ser>
        <c:ser>
          <c:idx val="3"/>
          <c:order val="3"/>
          <c:tx>
            <c:strRef>
              <c:f>'Water Balance Summary'!$AV$45</c:f>
              <c:strCache>
                <c:ptCount val="1"/>
                <c:pt idx="0">
                  <c:v>Recharge</c:v>
                </c:pt>
              </c:strCache>
            </c:strRef>
          </c:tx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Summary'!$AV$46:$AV$49</c:f>
              <c:numCache>
                <c:formatCode>0</c:formatCode>
                <c:ptCount val="4"/>
                <c:pt idx="0">
                  <c:v>50029</c:v>
                </c:pt>
                <c:pt idx="1">
                  <c:v>151970</c:v>
                </c:pt>
                <c:pt idx="2">
                  <c:v>365690</c:v>
                </c:pt>
                <c:pt idx="3">
                  <c:v>86695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B-874F-A707-C1FB35CC197C}"/>
            </c:ext>
          </c:extLst>
        </c:ser>
        <c:ser>
          <c:idx val="4"/>
          <c:order val="4"/>
          <c:tx>
            <c:strRef>
              <c:f>'Water Balance Summary'!$AW$45</c:f>
              <c:strCache>
                <c:ptCount val="1"/>
                <c:pt idx="0">
                  <c:v>Discharge</c:v>
                </c:pt>
              </c:strCache>
            </c:strRef>
          </c:tx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Summary'!$AW$46:$AW$49</c:f>
              <c:numCache>
                <c:formatCode>General</c:formatCode>
                <c:ptCount val="4"/>
                <c:pt idx="0">
                  <c:v>-50897</c:v>
                </c:pt>
                <c:pt idx="1">
                  <c:v>-9261</c:v>
                </c:pt>
                <c:pt idx="2">
                  <c:v>-38636</c:v>
                </c:pt>
                <c:pt idx="3">
                  <c:v>-16528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DB-874F-A707-C1FB35CC1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5370256"/>
        <c:axId val="-2025367168"/>
      </c:barChart>
      <c:catAx>
        <c:axId val="-20253702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2025367168"/>
        <c:crosses val="autoZero"/>
        <c:auto val="1"/>
        <c:lblAlgn val="ctr"/>
        <c:lblOffset val="100"/>
        <c:noMultiLvlLbl val="0"/>
      </c:catAx>
      <c:valAx>
        <c:axId val="-2025367168"/>
        <c:scaling>
          <c:orientation val="minMax"/>
          <c:min val="-10000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Tank Fluxes</a:t>
                </a:r>
                <a:r>
                  <a:rPr lang="en-US" sz="1400" baseline="0"/>
                  <a:t> (m</a:t>
                </a:r>
                <a:r>
                  <a:rPr lang="en-US" sz="1400" baseline="30000"/>
                  <a:t>3</a:t>
                </a:r>
                <a:r>
                  <a:rPr lang="en-US" sz="1400" baseline="0"/>
                  <a:t>)</a:t>
                </a:r>
                <a:endParaRPr lang="en-US" sz="1400"/>
              </a:p>
            </c:rich>
          </c:tx>
          <c:overlay val="0"/>
        </c:title>
        <c:numFmt formatCode="#,##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-2025370256"/>
        <c:crosses val="autoZero"/>
        <c:crossBetween val="between"/>
        <c:majorUnit val="200000"/>
      </c:valAx>
      <c:spPr>
        <a:ln>
          <a:solidFill>
            <a:schemeClr val="tx1"/>
          </a:solidFill>
        </a:ln>
      </c:spPr>
    </c:plotArea>
    <c:legend>
      <c:legendPos val="t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'Water Balance Summary'!$AS$45</c:f>
              <c:strCache>
                <c:ptCount val="1"/>
                <c:pt idx="0">
                  <c:v>Total Outflows</c:v>
                </c:pt>
              </c:strCache>
            </c:strRef>
          </c:tx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Summary'!$AZ$46:$AZ$49</c:f>
              <c:numCache>
                <c:formatCode>General</c:formatCode>
                <c:ptCount val="4"/>
                <c:pt idx="0">
                  <c:v>1.9782380952380951</c:v>
                </c:pt>
                <c:pt idx="1">
                  <c:v>1.2700548523206752</c:v>
                </c:pt>
                <c:pt idx="2">
                  <c:v>1.1434211728865193</c:v>
                </c:pt>
                <c:pt idx="3">
                  <c:v>0.81435280961699752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4-964E-B751-E5C592EEF216}"/>
            </c:ext>
          </c:extLst>
        </c:ser>
        <c:ser>
          <c:idx val="1"/>
          <c:order val="1"/>
          <c:tx>
            <c:strRef>
              <c:f>'Water Balance Summary'!$AT$45</c:f>
              <c:strCache>
                <c:ptCount val="1"/>
                <c:pt idx="0">
                  <c:v>ET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Summary'!$BA$46:$BA$49</c:f>
              <c:numCache>
                <c:formatCode>General</c:formatCode>
                <c:ptCount val="4"/>
                <c:pt idx="0">
                  <c:v>0.48132738095238098</c:v>
                </c:pt>
                <c:pt idx="1">
                  <c:v>0.32964978902953584</c:v>
                </c:pt>
                <c:pt idx="2">
                  <c:v>0.3701812642802742</c:v>
                </c:pt>
                <c:pt idx="3">
                  <c:v>0.15950796757058988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F4-964E-B751-E5C592EEF216}"/>
            </c:ext>
          </c:extLst>
        </c:ser>
        <c:ser>
          <c:idx val="2"/>
          <c:order val="2"/>
          <c:tx>
            <c:strRef>
              <c:f>'Water Balance Summary'!$AU$45</c:f>
              <c:strCache>
                <c:ptCount val="1"/>
                <c:pt idx="0">
                  <c:v>Sluice Outflow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Summary'!$BB$46:$BB$49</c:f>
              <c:numCache>
                <c:formatCode>General</c:formatCode>
                <c:ptCount val="4"/>
                <c:pt idx="0">
                  <c:v>1.1991190476190476</c:v>
                </c:pt>
                <c:pt idx="1">
                  <c:v>0.29918143459915614</c:v>
                </c:pt>
                <c:pt idx="2">
                  <c:v>0.2162102056359482</c:v>
                </c:pt>
                <c:pt idx="3">
                  <c:v>0.4124769359798714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F4-964E-B751-E5C592EEF216}"/>
            </c:ext>
          </c:extLst>
        </c:ser>
        <c:ser>
          <c:idx val="3"/>
          <c:order val="3"/>
          <c:tx>
            <c:strRef>
              <c:f>'Water Balance Summary'!$AV$45</c:f>
              <c:strCache>
                <c:ptCount val="1"/>
                <c:pt idx="0">
                  <c:v>Recharge</c:v>
                </c:pt>
              </c:strCache>
            </c:strRef>
          </c:tx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Summary'!$BC$46:$BC$49</c:f>
              <c:numCache>
                <c:formatCode>General</c:formatCode>
                <c:ptCount val="4"/>
                <c:pt idx="0">
                  <c:v>0.29779166666666668</c:v>
                </c:pt>
                <c:pt idx="1">
                  <c:v>0.64122362869198313</c:v>
                </c:pt>
                <c:pt idx="2">
                  <c:v>0.55702970297029708</c:v>
                </c:pt>
                <c:pt idx="3">
                  <c:v>0.24236790606653622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F4-964E-B751-E5C592EEF216}"/>
            </c:ext>
          </c:extLst>
        </c:ser>
        <c:ser>
          <c:idx val="4"/>
          <c:order val="4"/>
          <c:tx>
            <c:strRef>
              <c:f>'Water Balance Summary'!$AW$45</c:f>
              <c:strCache>
                <c:ptCount val="1"/>
                <c:pt idx="0">
                  <c:v>Discharge</c:v>
                </c:pt>
              </c:strCache>
            </c:strRef>
          </c:tx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Summary'!$BD$46:$BD$49</c:f>
              <c:numCache>
                <c:formatCode>General</c:formatCode>
                <c:ptCount val="4"/>
                <c:pt idx="0">
                  <c:v>-0.30295833333333333</c:v>
                </c:pt>
                <c:pt idx="1">
                  <c:v>-3.9075949367088608E-2</c:v>
                </c:pt>
                <c:pt idx="2">
                  <c:v>-5.8851485148514848E-2</c:v>
                </c:pt>
                <c:pt idx="3">
                  <c:v>-4.6206318143695836E-2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F4-964E-B751-E5C592EE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1754256"/>
        <c:axId val="-2011751184"/>
      </c:barChart>
      <c:catAx>
        <c:axId val="-20117542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2011751184"/>
        <c:crosses val="autoZero"/>
        <c:auto val="1"/>
        <c:lblAlgn val="ctr"/>
        <c:lblOffset val="100"/>
        <c:noMultiLvlLbl val="0"/>
      </c:catAx>
      <c:valAx>
        <c:axId val="-2011751184"/>
        <c:scaling>
          <c:orientation val="minMax"/>
          <c:max val="2"/>
          <c:min val="-0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 baseline="0"/>
                  <a:t>Tank Outflows/Tank Capacity</a:t>
                </a:r>
                <a:endParaRPr lang="en-US" sz="1400"/>
              </a:p>
            </c:rich>
          </c:tx>
          <c:overlay val="0"/>
        </c:title>
        <c:numFmt formatCode="#,##0.0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-2011754256"/>
        <c:crosses val="autoZero"/>
        <c:crossBetween val="between"/>
        <c:majorUnit val="0.5"/>
      </c:valAx>
      <c:spPr>
        <a:ln>
          <a:solidFill>
            <a:schemeClr val="tx1"/>
          </a:solidFill>
        </a:ln>
      </c:spPr>
    </c:plotArea>
    <c:legend>
      <c:legendPos val="t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'Water Balance Summary'!$BG$46</c:f>
              <c:strCache>
                <c:ptCount val="1"/>
                <c:pt idx="0">
                  <c:v>T4</c:v>
                </c:pt>
              </c:strCache>
            </c:strRef>
          </c:tx>
          <c:cat>
            <c:strRef>
              <c:f>'Water Balance Summary'!$BH$45:$BJ$45</c:f>
              <c:strCache>
                <c:ptCount val="3"/>
                <c:pt idx="0">
                  <c:v>ET</c:v>
                </c:pt>
                <c:pt idx="1">
                  <c:v>Sluice</c:v>
                </c:pt>
                <c:pt idx="2">
                  <c:v>Recharge</c:v>
                </c:pt>
              </c:strCache>
            </c:strRef>
          </c:cat>
          <c:val>
            <c:numRef>
              <c:f>'Water Balance Summary'!$BH$46:$BJ$46</c:f>
              <c:numCache>
                <c:formatCode>_(* #,##0_);_(* \(#,##0\);_(* "-"??_);_(@_)</c:formatCode>
                <c:ptCount val="3"/>
                <c:pt idx="0" formatCode="0">
                  <c:v>80863</c:v>
                </c:pt>
                <c:pt idx="1">
                  <c:v>201452</c:v>
                </c:pt>
                <c:pt idx="2" formatCode="0">
                  <c:v>50029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C-BB47-B829-33E98BB9E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spPr>
    <a:ln>
      <a:solidFill>
        <a:srgbClr val="FFFFFF"/>
      </a:solidFill>
    </a:ln>
  </c:spPr>
  <c:printSettings>
    <c:headerFooter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'Water Balance Summary'!$BG$47</c:f>
              <c:strCache>
                <c:ptCount val="1"/>
                <c:pt idx="0">
                  <c:v>T3</c:v>
                </c:pt>
              </c:strCache>
            </c:strRef>
          </c:tx>
          <c:val>
            <c:numRef>
              <c:f>'Water Balance Summary'!$BH$47:$BJ$47</c:f>
              <c:numCache>
                <c:formatCode>0</c:formatCode>
                <c:ptCount val="3"/>
                <c:pt idx="0">
                  <c:v>78127</c:v>
                </c:pt>
                <c:pt idx="1">
                  <c:v>70906</c:v>
                </c:pt>
                <c:pt idx="2">
                  <c:v>151970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0-4D4C-B5C4-DF11BF4B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'Water Balance Summary'!$BG$48</c:f>
              <c:strCache>
                <c:ptCount val="1"/>
                <c:pt idx="0">
                  <c:v>T2</c:v>
                </c:pt>
              </c:strCache>
            </c:strRef>
          </c:tx>
          <c:val>
            <c:numRef>
              <c:f>'Water Balance Summary'!$BH$48:$BJ$48</c:f>
              <c:numCache>
                <c:formatCode>0</c:formatCode>
                <c:ptCount val="3"/>
                <c:pt idx="0">
                  <c:v>243024</c:v>
                </c:pt>
                <c:pt idx="1">
                  <c:v>141942</c:v>
                </c:pt>
                <c:pt idx="2">
                  <c:v>365690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5E-F047-8C9E-F90B35D52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'Water Balance Summary'!$BG$49</c:f>
              <c:strCache>
                <c:ptCount val="1"/>
                <c:pt idx="0">
                  <c:v>T1</c:v>
                </c:pt>
              </c:strCache>
            </c:strRef>
          </c:tx>
          <c:val>
            <c:numRef>
              <c:f>'Water Balance Summary'!$BH$49:$BK$49</c:f>
              <c:numCache>
                <c:formatCode>0</c:formatCode>
                <c:ptCount val="4"/>
                <c:pt idx="0">
                  <c:v>57056</c:v>
                </c:pt>
                <c:pt idx="1">
                  <c:v>147543</c:v>
                </c:pt>
                <c:pt idx="2">
                  <c:v>86695</c:v>
                </c:pt>
                <c:pt idx="3" formatCode="General">
                  <c:v>-16528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2-1B47-8D23-D139C79C9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'Water Balance Summary'!$AS$45</c:f>
              <c:strCache>
                <c:ptCount val="1"/>
                <c:pt idx="0">
                  <c:v>Total Outflows</c:v>
                </c:pt>
              </c:strCache>
            </c:strRef>
          </c:tx>
          <c:spPr>
            <a:solidFill>
              <a:schemeClr val="accent4"/>
            </a:solidFill>
            <a:effectLst/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Summary'!$CK$47:$CK$50</c:f>
              <c:numCache>
                <c:formatCode>General</c:formatCode>
                <c:ptCount val="4"/>
                <c:pt idx="0">
                  <c:v>2.2455761500154163</c:v>
                </c:pt>
                <c:pt idx="1">
                  <c:v>1.4891740593248102</c:v>
                </c:pt>
                <c:pt idx="2">
                  <c:v>1.1614365636863655</c:v>
                </c:pt>
                <c:pt idx="3">
                  <c:v>1.0533801739130835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9-1545-A3A3-0AC9E3ED880F}"/>
            </c:ext>
          </c:extLst>
        </c:ser>
        <c:ser>
          <c:idx val="1"/>
          <c:order val="1"/>
          <c:tx>
            <c:strRef>
              <c:f>'Water Balance Summary'!$AT$45</c:f>
              <c:strCache>
                <c:ptCount val="1"/>
                <c:pt idx="0">
                  <c:v>ET</c:v>
                </c:pt>
              </c:strCache>
            </c:strRef>
          </c:tx>
          <c:spPr>
            <a:solidFill>
              <a:schemeClr val="accent3"/>
            </a:solidFill>
            <a:effectLst/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Summary'!$CL$47:$CL$50</c:f>
              <c:numCache>
                <c:formatCode>General</c:formatCode>
                <c:ptCount val="4"/>
                <c:pt idx="0">
                  <c:v>0.38308333333333333</c:v>
                </c:pt>
                <c:pt idx="1">
                  <c:v>0.33225738396624471</c:v>
                </c:pt>
                <c:pt idx="2">
                  <c:v>0.25045392231530844</c:v>
                </c:pt>
                <c:pt idx="3">
                  <c:v>0.13500419345820519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F9-1545-A3A3-0AC9E3ED880F}"/>
            </c:ext>
          </c:extLst>
        </c:ser>
        <c:ser>
          <c:idx val="2"/>
          <c:order val="2"/>
          <c:tx>
            <c:strRef>
              <c:f>'Water Balance Summary'!$AU$45</c:f>
              <c:strCache>
                <c:ptCount val="1"/>
                <c:pt idx="0">
                  <c:v>Sluice Outflow</c:v>
                </c:pt>
              </c:strCache>
            </c:strRef>
          </c:tx>
          <c:spPr>
            <a:solidFill>
              <a:schemeClr val="accent2"/>
            </a:solidFill>
            <a:effectLst/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Summary'!$CM$47:$CM$50</c:f>
              <c:numCache>
                <c:formatCode>General</c:formatCode>
                <c:ptCount val="4"/>
                <c:pt idx="0">
                  <c:v>1.2359285714285715</c:v>
                </c:pt>
                <c:pt idx="1">
                  <c:v>0.30497468354430379</c:v>
                </c:pt>
                <c:pt idx="2">
                  <c:v>0.22332368621477533</c:v>
                </c:pt>
                <c:pt idx="3">
                  <c:v>0.42783897120492032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F9-1545-A3A3-0AC9E3ED880F}"/>
            </c:ext>
          </c:extLst>
        </c:ser>
        <c:ser>
          <c:idx val="3"/>
          <c:order val="3"/>
          <c:tx>
            <c:strRef>
              <c:f>'Water Balance Summary'!$AV$45</c:f>
              <c:strCache>
                <c:ptCount val="1"/>
                <c:pt idx="0">
                  <c:v>Recharge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Summary'!$CN$47:$CN$50</c:f>
              <c:numCache>
                <c:formatCode>General</c:formatCode>
                <c:ptCount val="4"/>
                <c:pt idx="0">
                  <c:v>0.62656424525351184</c:v>
                </c:pt>
                <c:pt idx="1">
                  <c:v>0.85194199181426167</c:v>
                </c:pt>
                <c:pt idx="2">
                  <c:v>0.68765895515628184</c:v>
                </c:pt>
                <c:pt idx="3">
                  <c:v>0.49053700924995802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F9-1545-A3A3-0AC9E3ED880F}"/>
            </c:ext>
          </c:extLst>
        </c:ser>
        <c:ser>
          <c:idx val="4"/>
          <c:order val="4"/>
          <c:tx>
            <c:strRef>
              <c:f>'Water Balance Summary'!$AW$45</c:f>
              <c:strCache>
                <c:ptCount val="1"/>
                <c:pt idx="0">
                  <c:v>Discharge</c:v>
                </c:pt>
              </c:strCache>
            </c:strRef>
          </c:tx>
          <c:spPr>
            <a:effectLst/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Summary'!$CO$47:$CO$50</c:f>
              <c:numCache>
                <c:formatCode>General</c:formatCode>
                <c:ptCount val="4"/>
                <c:pt idx="0">
                  <c:v>-0.72611522808392859</c:v>
                </c:pt>
                <c:pt idx="1">
                  <c:v>-0.3479608120329114</c:v>
                </c:pt>
                <c:pt idx="2">
                  <c:v>-0.38817345988621477</c:v>
                </c:pt>
                <c:pt idx="3">
                  <c:v>-0.21104429021805954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F9-1545-A3A3-0AC9E3ED8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6305648"/>
        <c:axId val="-2036317344"/>
      </c:barChart>
      <c:catAx>
        <c:axId val="-203630564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1200"/>
            </a:pPr>
            <a:endParaRPr lang="en-US"/>
          </a:p>
        </c:txPr>
        <c:crossAx val="-2036317344"/>
        <c:crosses val="autoZero"/>
        <c:auto val="1"/>
        <c:lblAlgn val="ctr"/>
        <c:lblOffset val="100"/>
        <c:noMultiLvlLbl val="0"/>
      </c:catAx>
      <c:valAx>
        <c:axId val="-2036317344"/>
        <c:scaling>
          <c:orientation val="minMax"/>
          <c:max val="2.25"/>
          <c:min val="-0.7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 baseline="0"/>
                  <a:t>Tank Outflows/Tank Capacity</a:t>
                </a:r>
                <a:endParaRPr lang="en-US" sz="1400"/>
              </a:p>
            </c:rich>
          </c:tx>
          <c:overlay val="0"/>
        </c:title>
        <c:numFmt formatCode="#,##0.0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-2036305648"/>
        <c:crosses val="autoZero"/>
        <c:crossBetween val="between"/>
        <c:majorUnit val="0.5"/>
      </c:valAx>
      <c:spPr>
        <a:ln>
          <a:solidFill>
            <a:schemeClr val="tx1"/>
          </a:solidFill>
        </a:ln>
      </c:spPr>
    </c:plotArea>
    <c:legend>
      <c:legendPos val="t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'Water Balance Summary'!$AS$45</c:f>
              <c:strCache>
                <c:ptCount val="1"/>
                <c:pt idx="0">
                  <c:v>Total Outflows</c:v>
                </c:pt>
              </c:strCache>
            </c:strRef>
          </c:tx>
          <c:spPr>
            <a:solidFill>
              <a:schemeClr val="accent4"/>
            </a:solidFill>
            <a:effectLst/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Summary'!$CK$47:$CK$50</c:f>
              <c:numCache>
                <c:formatCode>General</c:formatCode>
                <c:ptCount val="4"/>
                <c:pt idx="0">
                  <c:v>2.2455761500154163</c:v>
                </c:pt>
                <c:pt idx="1">
                  <c:v>1.4891740593248102</c:v>
                </c:pt>
                <c:pt idx="2">
                  <c:v>1.1614365636863655</c:v>
                </c:pt>
                <c:pt idx="3">
                  <c:v>1.0533801739130835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9-2941-80BE-C6AC4932DB76}"/>
            </c:ext>
          </c:extLst>
        </c:ser>
        <c:ser>
          <c:idx val="1"/>
          <c:order val="1"/>
          <c:tx>
            <c:strRef>
              <c:f>'Water Balance Summary'!$AT$45</c:f>
              <c:strCache>
                <c:ptCount val="1"/>
                <c:pt idx="0">
                  <c:v>ET</c:v>
                </c:pt>
              </c:strCache>
            </c:strRef>
          </c:tx>
          <c:spPr>
            <a:solidFill>
              <a:schemeClr val="accent3"/>
            </a:solidFill>
            <a:effectLst/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Summary'!$CL$47:$CL$50</c:f>
              <c:numCache>
                <c:formatCode>General</c:formatCode>
                <c:ptCount val="4"/>
                <c:pt idx="0">
                  <c:v>0.38308333333333333</c:v>
                </c:pt>
                <c:pt idx="1">
                  <c:v>0.33225738396624471</c:v>
                </c:pt>
                <c:pt idx="2">
                  <c:v>0.25045392231530844</c:v>
                </c:pt>
                <c:pt idx="3">
                  <c:v>0.13500419345820519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9-2941-80BE-C6AC4932DB76}"/>
            </c:ext>
          </c:extLst>
        </c:ser>
        <c:ser>
          <c:idx val="2"/>
          <c:order val="2"/>
          <c:tx>
            <c:strRef>
              <c:f>'Water Balance Summary'!$AU$45</c:f>
              <c:strCache>
                <c:ptCount val="1"/>
                <c:pt idx="0">
                  <c:v>Sluice Outflow</c:v>
                </c:pt>
              </c:strCache>
            </c:strRef>
          </c:tx>
          <c:spPr>
            <a:solidFill>
              <a:schemeClr val="accent2"/>
            </a:solidFill>
            <a:effectLst/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Summary'!$CM$47:$CM$50</c:f>
              <c:numCache>
                <c:formatCode>General</c:formatCode>
                <c:ptCount val="4"/>
                <c:pt idx="0">
                  <c:v>1.2359285714285715</c:v>
                </c:pt>
                <c:pt idx="1">
                  <c:v>0.30497468354430379</c:v>
                </c:pt>
                <c:pt idx="2">
                  <c:v>0.22332368621477533</c:v>
                </c:pt>
                <c:pt idx="3">
                  <c:v>0.42783897120492032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29-2941-80BE-C6AC4932DB76}"/>
            </c:ext>
          </c:extLst>
        </c:ser>
        <c:ser>
          <c:idx val="3"/>
          <c:order val="3"/>
          <c:tx>
            <c:strRef>
              <c:f>'Water Balance Summary'!$AV$45</c:f>
              <c:strCache>
                <c:ptCount val="1"/>
                <c:pt idx="0">
                  <c:v>Recharge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strRef>
              <c:f>'Water Balance Summary'!$AR$46:$AR$49</c:f>
              <c:strCache>
                <c:ptCount val="4"/>
                <c:pt idx="0">
                  <c:v>T4</c:v>
                </c:pt>
                <c:pt idx="1">
                  <c:v>T3</c:v>
                </c:pt>
                <c:pt idx="2">
                  <c:v>T2</c:v>
                </c:pt>
                <c:pt idx="3">
                  <c:v>T1</c:v>
                </c:pt>
              </c:strCache>
            </c:strRef>
          </c:cat>
          <c:val>
            <c:numRef>
              <c:f>'Water Balance Summary'!$CN$47:$CN$50</c:f>
              <c:numCache>
                <c:formatCode>General</c:formatCode>
                <c:ptCount val="4"/>
                <c:pt idx="0">
                  <c:v>0.62656424525351184</c:v>
                </c:pt>
                <c:pt idx="1">
                  <c:v>0.85194199181426167</c:v>
                </c:pt>
                <c:pt idx="2">
                  <c:v>0.68765895515628184</c:v>
                </c:pt>
                <c:pt idx="3">
                  <c:v>0.49053700924995802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29-2941-80BE-C6AC4932D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0856672"/>
        <c:axId val="-2010853168"/>
      </c:barChart>
      <c:catAx>
        <c:axId val="-2010856672"/>
        <c:scaling>
          <c:orientation val="minMax"/>
        </c:scaling>
        <c:delete val="0"/>
        <c:axPos val="l"/>
        <c:numFmt formatCode="General" sourceLinked="0"/>
        <c:majorTickMark val="in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-2010853168"/>
        <c:crosses val="autoZero"/>
        <c:auto val="1"/>
        <c:lblAlgn val="ctr"/>
        <c:lblOffset val="100"/>
        <c:noMultiLvlLbl val="0"/>
      </c:catAx>
      <c:valAx>
        <c:axId val="-2010853168"/>
        <c:scaling>
          <c:orientation val="minMax"/>
          <c:max val="2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 baseline="0"/>
                  <a:t>Tank Outflows/Tank Capacity</a:t>
                </a:r>
                <a:endParaRPr lang="en-US" sz="1400"/>
              </a:p>
            </c:rich>
          </c:tx>
          <c:overlay val="0"/>
        </c:title>
        <c:numFmt formatCode="#,##0.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-2010856672"/>
        <c:crosses val="autoZero"/>
        <c:crossBetween val="between"/>
        <c:majorUnit val="0.5"/>
      </c:valAx>
      <c:spPr>
        <a:ln>
          <a:solidFill>
            <a:schemeClr val="tx1"/>
          </a:solidFill>
        </a:ln>
      </c:spPr>
    </c:plotArea>
    <c:legend>
      <c:legendPos val="t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10-22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7792894444895"/>
                  <c:y val="-0.204775080198309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04-3542-B22B-55E4080E8ECE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forward val="0.8"/>
            <c:dispRSqr val="1"/>
            <c:dispEq val="1"/>
            <c:trendlineLbl>
              <c:layout>
                <c:manualLayout>
                  <c:x val="-0.25869744542801698"/>
                  <c:y val="-3.3409886264217001E-3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04-3542-B22B-55E4080E8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619184"/>
        <c:axId val="-2010614032"/>
      </c:scatterChart>
      <c:valAx>
        <c:axId val="-201061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10614032"/>
        <c:crosses val="autoZero"/>
        <c:crossBetween val="midCat"/>
      </c:valAx>
      <c:valAx>
        <c:axId val="-2010614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10619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10-23</a:t>
            </a:r>
          </a:p>
        </c:rich>
      </c:tx>
      <c:layout>
        <c:manualLayout>
          <c:xMode val="edge"/>
          <c:yMode val="edge"/>
          <c:x val="0.40868099360508098"/>
          <c:y val="2.7777777777777801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7792894444895"/>
                  <c:y val="-0.204775080198309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63-B943-974E-59356556A300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forward val="0.8"/>
            <c:dispRSqr val="1"/>
            <c:dispEq val="1"/>
            <c:trendlineLbl>
              <c:layout>
                <c:manualLayout>
                  <c:x val="-0.41367329083864501"/>
                  <c:y val="-0.16537802566345899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63-B943-974E-59356556A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576000"/>
        <c:axId val="-2010570848"/>
      </c:scatterChart>
      <c:valAx>
        <c:axId val="-201057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10570848"/>
        <c:crosses val="autoZero"/>
        <c:crossBetween val="midCat"/>
      </c:valAx>
      <c:valAx>
        <c:axId val="-2010570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10576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10-24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7792894444895"/>
                  <c:y val="-0.204775080198309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1E-E048-81A8-B03544E60E2A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forward val="0.8"/>
            <c:dispRSqr val="1"/>
            <c:dispEq val="1"/>
            <c:trendlineLbl>
              <c:layout>
                <c:manualLayout>
                  <c:x val="-0.37431765780658599"/>
                  <c:y val="1.25699912510936E-2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1E-E048-81A8-B03544E6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533040"/>
        <c:axId val="-2010527888"/>
      </c:scatterChart>
      <c:valAx>
        <c:axId val="-201053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10527888"/>
        <c:crosses val="autoZero"/>
        <c:crossBetween val="midCat"/>
      </c:valAx>
      <c:valAx>
        <c:axId val="-2010527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10533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10-25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7792894444895"/>
                  <c:y val="-0.204775080198309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A4-274D-ACD1-F016F03E4FFF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forward val="0.8"/>
            <c:dispRSqr val="1"/>
            <c:dispEq val="1"/>
            <c:trendlineLbl>
              <c:layout>
                <c:manualLayout>
                  <c:x val="0.151674648916308"/>
                  <c:y val="0.275933581219014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A4-274D-ACD1-F016F03E4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489968"/>
        <c:axId val="-2010484816"/>
      </c:scatterChart>
      <c:valAx>
        <c:axId val="-201048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10484816"/>
        <c:crosses val="autoZero"/>
        <c:crossBetween val="midCat"/>
      </c:valAx>
      <c:valAx>
        <c:axId val="-2010484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10489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10-26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7792894444895"/>
                  <c:y val="-0.204775080198309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93-8F40-A5AB-76752B2A3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455056"/>
        <c:axId val="-2010450032"/>
      </c:scatterChart>
      <c:valAx>
        <c:axId val="-201045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10450032"/>
        <c:crosses val="autoZero"/>
        <c:crossBetween val="midCat"/>
      </c:valAx>
      <c:valAx>
        <c:axId val="-2010450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10455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10-27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7792894444895"/>
                  <c:y val="-0.204775080198309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1F-9B42-B072-73101A672E73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1674648916308"/>
                  <c:y val="0.275933581219014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1F-9B42-B072-73101A672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6990528"/>
        <c:axId val="-2027732096"/>
      </c:scatterChart>
      <c:valAx>
        <c:axId val="-202699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27732096"/>
        <c:crosses val="autoZero"/>
        <c:crossBetween val="midCat"/>
      </c:valAx>
      <c:valAx>
        <c:axId val="-2027732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26990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10-28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7792894444895"/>
                  <c:y val="-0.204775080198309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5E-6442-BBFB-8F835AB8E51E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forward val="0.8"/>
            <c:dispRSqr val="1"/>
            <c:dispEq val="1"/>
            <c:trendlineLbl>
              <c:layout>
                <c:manualLayout>
                  <c:x val="-0.39937312393961799"/>
                  <c:y val="-0.154869130941966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5E-6442-BBFB-8F835AB8E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7688304"/>
        <c:axId val="-2027911776"/>
      </c:scatterChart>
      <c:valAx>
        <c:axId val="-202768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27911776"/>
        <c:crosses val="autoZero"/>
        <c:crossBetween val="midCat"/>
      </c:valAx>
      <c:valAx>
        <c:axId val="-2027911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27688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11-14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7792894444895"/>
                  <c:y val="-0.204775080198309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A0-6A4A-8937-99C905F5352B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forward val="0.8"/>
            <c:dispRSqr val="1"/>
            <c:dispEq val="1"/>
            <c:trendlineLbl>
              <c:layout>
                <c:manualLayout>
                  <c:x val="-0.39937312393961799"/>
                  <c:y val="-0.154869130941966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A0-6A4A-8937-99C905F53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4721248"/>
        <c:axId val="-2064762272"/>
      </c:scatterChart>
      <c:valAx>
        <c:axId val="-206472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64762272"/>
        <c:crosses val="autoZero"/>
        <c:crossBetween val="midCat"/>
      </c:valAx>
      <c:valAx>
        <c:axId val="-2064762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64721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11-15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7792894444895"/>
                  <c:y val="-0.204775080198309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98-3345-954E-EE2DCF09125D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forward val="0.8"/>
            <c:dispRSqr val="1"/>
            <c:dispEq val="1"/>
            <c:trendlineLbl>
              <c:layout>
                <c:manualLayout>
                  <c:x val="-0.40122562188376998"/>
                  <c:y val="-0.1202128900554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98-3345-954E-EE2DCF091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2870912"/>
        <c:axId val="-2012844880"/>
      </c:scatterChart>
      <c:valAx>
        <c:axId val="-201287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12844880"/>
        <c:crosses val="autoZero"/>
        <c:crossBetween val="midCat"/>
      </c:valAx>
      <c:valAx>
        <c:axId val="-2012844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12870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11-16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7792894444895"/>
                  <c:y val="-0.20477508019830901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5C-AF45-AF92-A489ADF41CCC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forward val="0.8"/>
            <c:dispRSqr val="1"/>
            <c:dispEq val="1"/>
            <c:trendlineLbl>
              <c:layout>
                <c:manualLayout>
                  <c:x val="-0.37335040732365199"/>
                  <c:y val="-2.7357830271216101E-2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5C-AF45-AF92-A489ADF41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2915568"/>
        <c:axId val="-2012910496"/>
      </c:scatterChart>
      <c:valAx>
        <c:axId val="-201291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12910496"/>
        <c:crosses val="autoZero"/>
        <c:crossBetween val="midCat"/>
      </c:valAx>
      <c:valAx>
        <c:axId val="-2012910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12915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11-9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62-784E-8EB6-4C7F154E0333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forward val="0.8"/>
            <c:dispRSqr val="1"/>
            <c:dispEq val="1"/>
            <c:trendlineLbl>
              <c:layout>
                <c:manualLayout>
                  <c:x val="-0.39937312393961799"/>
                  <c:y val="-0.154869130941966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62-784E-8EB6-4C7F154E0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2669264"/>
        <c:axId val="-2022664192"/>
      </c:scatterChart>
      <c:valAx>
        <c:axId val="-202266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22664192"/>
        <c:crosses val="autoZero"/>
        <c:crossBetween val="midCat"/>
      </c:valAx>
      <c:valAx>
        <c:axId val="-2022664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22669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T1 11-10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0D-A04B-8680-EFDDA57693C4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forward val="0.8"/>
            <c:dispRSqr val="1"/>
            <c:dispEq val="1"/>
            <c:trendlineLbl>
              <c:layout>
                <c:manualLayout>
                  <c:x val="-0.39937312393961799"/>
                  <c:y val="-0.154869130941966"/>
                </c:manualLayout>
              </c:layout>
              <c:numFmt formatCode="General" sourceLinked="0"/>
            </c:trendlineLbl>
          </c:trendline>
          <c:xVal>
            <c:numRef>
              <c:f>'Figs 6 &amp; 7'!#REF!</c:f>
            </c:numRef>
          </c:xVal>
          <c:yVal>
            <c:numRef>
              <c:f>'Figs 6 &amp; 7'!#REF!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0D-A04B-8680-EFDDA5769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2854128"/>
        <c:axId val="-2012849056"/>
      </c:scatterChart>
      <c:valAx>
        <c:axId val="-201285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320000"/>
          <a:lstStyle/>
          <a:p>
            <a:pPr>
              <a:defRPr/>
            </a:pPr>
            <a:endParaRPr lang="en-US"/>
          </a:p>
        </c:txPr>
        <c:crossAx val="-2012849056"/>
        <c:crosses val="autoZero"/>
        <c:crossBetween val="midCat"/>
      </c:valAx>
      <c:valAx>
        <c:axId val="-2012849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Water Level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2012854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'Figs 6 &amp; 7'!$Y$2:$Y$4</c:f>
              <c:strCache>
                <c:ptCount val="3"/>
                <c:pt idx="2">
                  <c:v>11:30-00:30 Averaged Water Levels</c:v>
                </c:pt>
              </c:strCache>
            </c:strRef>
          </c:tx>
          <c:spPr>
            <a:ln w="28575">
              <a:noFill/>
            </a:ln>
          </c:spPr>
          <c:xVal>
            <c:numRef>
              <c:f>'Figs 6 &amp; 7'!$W$8:$W$135</c:f>
              <c:numCache>
                <c:formatCode>m/d/yy</c:formatCode>
                <c:ptCount val="128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</c:numCache>
            </c:numRef>
          </c:xVal>
          <c:yVal>
            <c:numRef>
              <c:f>'Figs 6 &amp; 7'!$Y$8:$Y$145</c:f>
              <c:numCache>
                <c:formatCode>0.00</c:formatCode>
                <c:ptCount val="138"/>
                <c:pt idx="0">
                  <c:v>2.9662985776801643</c:v>
                </c:pt>
                <c:pt idx="1">
                  <c:v>3.1778145603940824</c:v>
                </c:pt>
                <c:pt idx="2">
                  <c:v>3.2752628710898342</c:v>
                </c:pt>
                <c:pt idx="3">
                  <c:v>3.3351885929800114</c:v>
                </c:pt>
                <c:pt idx="4">
                  <c:v>3.4021671398490705</c:v>
                </c:pt>
                <c:pt idx="5">
                  <c:v>3.4226061034991515</c:v>
                </c:pt>
                <c:pt idx="6">
                  <c:v>3.4088193238543707</c:v>
                </c:pt>
                <c:pt idx="7">
                  <c:v>3.3922210694143513</c:v>
                </c:pt>
                <c:pt idx="8">
                  <c:v>3.3721963440410345</c:v>
                </c:pt>
                <c:pt idx="9">
                  <c:v>3.3515772773396222</c:v>
                </c:pt>
                <c:pt idx="10">
                  <c:v>3.3322847203277655</c:v>
                </c:pt>
                <c:pt idx="11">
                  <c:v>3.3133047570804797</c:v>
                </c:pt>
                <c:pt idx="12">
                  <c:v>3.2925992549562761</c:v>
                </c:pt>
                <c:pt idx="13">
                  <c:v>3.2726355040028379</c:v>
                </c:pt>
                <c:pt idx="14">
                  <c:v>3.2533000677368946</c:v>
                </c:pt>
                <c:pt idx="15">
                  <c:v>3.2334004139854406</c:v>
                </c:pt>
                <c:pt idx="16">
                  <c:v>3.213835005544484</c:v>
                </c:pt>
                <c:pt idx="17">
                  <c:v>3.1943252960872033</c:v>
                </c:pt>
                <c:pt idx="18">
                  <c:v>3.1782024233629693</c:v>
                </c:pt>
                <c:pt idx="19">
                  <c:v>3.159614382080207</c:v>
                </c:pt>
                <c:pt idx="20">
                  <c:v>3.1681658427082522</c:v>
                </c:pt>
                <c:pt idx="21">
                  <c:v>3.1689898462269892</c:v>
                </c:pt>
                <c:pt idx="22">
                  <c:v>3.1478894349373734</c:v>
                </c:pt>
                <c:pt idx="23">
                  <c:v>3.1304568842822942</c:v>
                </c:pt>
                <c:pt idx="24">
                  <c:v>3.1102726573750008</c:v>
                </c:pt>
                <c:pt idx="25">
                  <c:v>3.092292379986195</c:v>
                </c:pt>
                <c:pt idx="26">
                  <c:v>3.071296566495179</c:v>
                </c:pt>
                <c:pt idx="27">
                  <c:v>3.0502091463423437</c:v>
                </c:pt>
                <c:pt idx="28">
                  <c:v>3.0271732823005846</c:v>
                </c:pt>
                <c:pt idx="29">
                  <c:v>3.0063560299958807</c:v>
                </c:pt>
                <c:pt idx="30">
                  <c:v>2.9801472858905176</c:v>
                </c:pt>
                <c:pt idx="31">
                  <c:v>2.9564551746249941</c:v>
                </c:pt>
                <c:pt idx="32">
                  <c:v>2.9286762191775022</c:v>
                </c:pt>
                <c:pt idx="33">
                  <c:v>3.2305479767608989</c:v>
                </c:pt>
                <c:pt idx="34">
                  <c:v>3.2115799653625192</c:v>
                </c:pt>
                <c:pt idx="35">
                  <c:v>3.192549552359655</c:v>
                </c:pt>
                <c:pt idx="36">
                  <c:v>3.1714039183765381</c:v>
                </c:pt>
                <c:pt idx="37">
                  <c:v>3.1482047230236074</c:v>
                </c:pt>
                <c:pt idx="38">
                  <c:v>3.1252911218207333</c:v>
                </c:pt>
                <c:pt idx="39">
                  <c:v>3.1045586106448932</c:v>
                </c:pt>
                <c:pt idx="40">
                  <c:v>3.0815871643110873</c:v>
                </c:pt>
                <c:pt idx="41">
                  <c:v>3.0539221271382715</c:v>
                </c:pt>
                <c:pt idx="42">
                  <c:v>3.0245094152207659</c:v>
                </c:pt>
                <c:pt idx="43">
                  <c:v>2.996808287137446</c:v>
                </c:pt>
                <c:pt idx="44">
                  <c:v>2.9728312296021331</c:v>
                </c:pt>
                <c:pt idx="45">
                  <c:v>2.9500179081607714</c:v>
                </c:pt>
                <c:pt idx="46">
                  <c:v>2.9242916363654405</c:v>
                </c:pt>
                <c:pt idx="47">
                  <c:v>2.9014885226589655</c:v>
                </c:pt>
                <c:pt idx="48">
                  <c:v>2.8956680923297</c:v>
                </c:pt>
                <c:pt idx="49">
                  <c:v>2.8756136683975302</c:v>
                </c:pt>
                <c:pt idx="50">
                  <c:v>2.8480635784464159</c:v>
                </c:pt>
                <c:pt idx="51">
                  <c:v>2.8177256594025391</c:v>
                </c:pt>
                <c:pt idx="52">
                  <c:v>2.78039095605501</c:v>
                </c:pt>
                <c:pt idx="53">
                  <c:v>2.7460109203560847</c:v>
                </c:pt>
                <c:pt idx="54">
                  <c:v>2.7103972376259415</c:v>
                </c:pt>
                <c:pt idx="55">
                  <c:v>2.674819821732132</c:v>
                </c:pt>
                <c:pt idx="56">
                  <c:v>2.6349722877719248</c:v>
                </c:pt>
                <c:pt idx="57">
                  <c:v>2.5917953875456501</c:v>
                </c:pt>
                <c:pt idx="58">
                  <c:v>2.5883598463979074</c:v>
                </c:pt>
                <c:pt idx="59">
                  <c:v>2.6222651382819544</c:v>
                </c:pt>
                <c:pt idx="60">
                  <c:v>2.5972695775446537</c:v>
                </c:pt>
                <c:pt idx="61">
                  <c:v>2.5753201079621277</c:v>
                </c:pt>
                <c:pt idx="62">
                  <c:v>2.5533636822437433</c:v>
                </c:pt>
                <c:pt idx="63">
                  <c:v>2.5272946660142068</c:v>
                </c:pt>
                <c:pt idx="64">
                  <c:v>2.4942148792733412</c:v>
                </c:pt>
                <c:pt idx="65">
                  <c:v>2.4572366212030703</c:v>
                </c:pt>
                <c:pt idx="66">
                  <c:v>2.4266728249481799</c:v>
                </c:pt>
                <c:pt idx="67">
                  <c:v>2.3934882769543275</c:v>
                </c:pt>
                <c:pt idx="68">
                  <c:v>2.3506992114239251</c:v>
                </c:pt>
                <c:pt idx="69">
                  <c:v>2.3112952021059887</c:v>
                </c:pt>
                <c:pt idx="70">
                  <c:v>2.2768630989663454</c:v>
                </c:pt>
                <c:pt idx="71">
                  <c:v>2.2419425880135369</c:v>
                </c:pt>
                <c:pt idx="72">
                  <c:v>2.2059271965298208</c:v>
                </c:pt>
                <c:pt idx="73">
                  <c:v>2.1696759603824756</c:v>
                </c:pt>
                <c:pt idx="74">
                  <c:v>2.1283711446100146</c:v>
                </c:pt>
                <c:pt idx="75">
                  <c:v>2.0892583560453684</c:v>
                </c:pt>
                <c:pt idx="76">
                  <c:v>2.0483695896546057</c:v>
                </c:pt>
                <c:pt idx="77">
                  <c:v>2.0045206015019965</c:v>
                </c:pt>
                <c:pt idx="78">
                  <c:v>1.9812679348782711</c:v>
                </c:pt>
                <c:pt idx="79">
                  <c:v>1.958007812756605</c:v>
                </c:pt>
                <c:pt idx="80">
                  <c:v>1.9360388150014693</c:v>
                </c:pt>
                <c:pt idx="81">
                  <c:v>1.911558016884253</c:v>
                </c:pt>
                <c:pt idx="82">
                  <c:v>1.8874779861038131</c:v>
                </c:pt>
                <c:pt idx="83">
                  <c:v>1.8699457416374499</c:v>
                </c:pt>
                <c:pt idx="84">
                  <c:v>1.6493821031954794</c:v>
                </c:pt>
                <c:pt idx="85">
                  <c:v>1.8070007473626966</c:v>
                </c:pt>
                <c:pt idx="86">
                  <c:v>1.8001171859446994</c:v>
                </c:pt>
                <c:pt idx="87">
                  <c:v>1.7728756121457276</c:v>
                </c:pt>
                <c:pt idx="88">
                  <c:v>1.1646455687459409</c:v>
                </c:pt>
                <c:pt idx="89">
                  <c:v>1.1186396223597215</c:v>
                </c:pt>
                <c:pt idx="90">
                  <c:v>1.0904182757756462</c:v>
                </c:pt>
                <c:pt idx="91">
                  <c:v>1.092976950753987</c:v>
                </c:pt>
                <c:pt idx="92">
                  <c:v>1.0969553399908722</c:v>
                </c:pt>
                <c:pt idx="93">
                  <c:v>1.0963436369192794</c:v>
                </c:pt>
                <c:pt idx="94">
                  <c:v>1.0915747640046634</c:v>
                </c:pt>
                <c:pt idx="95">
                  <c:v>1.0926201407154268</c:v>
                </c:pt>
                <c:pt idx="96">
                  <c:v>1.0859424959646695</c:v>
                </c:pt>
                <c:pt idx="97">
                  <c:v>0.68474065528314709</c:v>
                </c:pt>
                <c:pt idx="98">
                  <c:v>0.68496333107671292</c:v>
                </c:pt>
                <c:pt idx="99">
                  <c:v>0.68067201646710018</c:v>
                </c:pt>
                <c:pt idx="100">
                  <c:v>0.6788694048338898</c:v>
                </c:pt>
                <c:pt idx="101">
                  <c:v>0.67949163998035145</c:v>
                </c:pt>
                <c:pt idx="102">
                  <c:v>0.68146650187145341</c:v>
                </c:pt>
                <c:pt idx="103">
                  <c:v>0.68142027029368635</c:v>
                </c:pt>
                <c:pt idx="104">
                  <c:v>0.68092077327067757</c:v>
                </c:pt>
                <c:pt idx="105">
                  <c:v>0.68232138713242818</c:v>
                </c:pt>
                <c:pt idx="106">
                  <c:v>0.67968769642646731</c:v>
                </c:pt>
                <c:pt idx="107">
                  <c:v>0.68056667942399207</c:v>
                </c:pt>
                <c:pt idx="108">
                  <c:v>0.67937598449834224</c:v>
                </c:pt>
                <c:pt idx="109">
                  <c:v>0.6796452683410833</c:v>
                </c:pt>
                <c:pt idx="110">
                  <c:v>0.68011054254275016</c:v>
                </c:pt>
                <c:pt idx="111">
                  <c:v>0.68097610355500471</c:v>
                </c:pt>
                <c:pt idx="112">
                  <c:v>0.68294093909776921</c:v>
                </c:pt>
                <c:pt idx="113">
                  <c:v>0.68216965202284718</c:v>
                </c:pt>
                <c:pt idx="114">
                  <c:v>0.68289055488714367</c:v>
                </c:pt>
                <c:pt idx="115">
                  <c:v>0.68340899503626329</c:v>
                </c:pt>
                <c:pt idx="116">
                  <c:v>0.68256094870029527</c:v>
                </c:pt>
                <c:pt idx="117">
                  <c:v>0.68386677133046814</c:v>
                </c:pt>
                <c:pt idx="118">
                  <c:v>0.6841529902253638</c:v>
                </c:pt>
                <c:pt idx="119">
                  <c:v>0.68113876268929663</c:v>
                </c:pt>
                <c:pt idx="120">
                  <c:v>0.68146041654656109</c:v>
                </c:pt>
                <c:pt idx="121">
                  <c:v>0.68233295976038921</c:v>
                </c:pt>
                <c:pt idx="122">
                  <c:v>0.68103264160411214</c:v>
                </c:pt>
                <c:pt idx="123">
                  <c:v>0.67787699446708294</c:v>
                </c:pt>
                <c:pt idx="124">
                  <c:v>0.6764011791532698</c:v>
                </c:pt>
                <c:pt idx="125">
                  <c:v>0.67716211387480862</c:v>
                </c:pt>
                <c:pt idx="126">
                  <c:v>0.67547139772522002</c:v>
                </c:pt>
                <c:pt idx="127">
                  <c:v>0.6746075090983269</c:v>
                </c:pt>
                <c:pt idx="128">
                  <c:v>0.67592316855673795</c:v>
                </c:pt>
                <c:pt idx="129">
                  <c:v>0.67675014644343101</c:v>
                </c:pt>
                <c:pt idx="130">
                  <c:v>0.67486826590583582</c:v>
                </c:pt>
                <c:pt idx="131">
                  <c:v>0.67627852201485028</c:v>
                </c:pt>
                <c:pt idx="132">
                  <c:v>0.67942499275206159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69-744A-ABB7-3A4539943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2761280"/>
        <c:axId val="-2012758384"/>
      </c:scatterChart>
      <c:valAx>
        <c:axId val="-20127612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012758384"/>
        <c:crosses val="autoZero"/>
        <c:crossBetween val="midCat"/>
      </c:valAx>
      <c:valAx>
        <c:axId val="-201275838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2012761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67637669765101"/>
          <c:y val="5.8800305180976703E-2"/>
          <c:w val="0.81107701360981499"/>
          <c:h val="0.75271501980718802"/>
        </c:manualLayout>
      </c:layout>
      <c:scatterChart>
        <c:scatterStyle val="lineMarker"/>
        <c:varyColors val="0"/>
        <c:ser>
          <c:idx val="3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953899809952499"/>
                  <c:y val="-0.59642436189385495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'Figs 6 &amp; 7'!$BO$8:$BO$134</c:f>
              <c:numCache>
                <c:formatCode>General</c:formatCode>
                <c:ptCount val="127"/>
                <c:pt idx="0">
                  <c:v>74</c:v>
                </c:pt>
                <c:pt idx="1">
                  <c:v>71</c:v>
                </c:pt>
                <c:pt idx="2">
                  <c:v>77</c:v>
                </c:pt>
                <c:pt idx="3">
                  <c:v>79</c:v>
                </c:pt>
                <c:pt idx="4">
                  <c:v>79</c:v>
                </c:pt>
                <c:pt idx="5">
                  <c:v>76</c:v>
                </c:pt>
                <c:pt idx="6">
                  <c:v>81</c:v>
                </c:pt>
                <c:pt idx="7">
                  <c:v>77</c:v>
                </c:pt>
                <c:pt idx="8">
                  <c:v>74</c:v>
                </c:pt>
                <c:pt idx="9">
                  <c:v>79</c:v>
                </c:pt>
                <c:pt idx="10">
                  <c:v>77</c:v>
                </c:pt>
                <c:pt idx="11">
                  <c:v>72</c:v>
                </c:pt>
                <c:pt idx="12">
                  <c:v>66</c:v>
                </c:pt>
                <c:pt idx="13">
                  <c:v>72</c:v>
                </c:pt>
                <c:pt idx="14">
                  <c:v>76</c:v>
                </c:pt>
                <c:pt idx="15">
                  <c:v>69</c:v>
                </c:pt>
                <c:pt idx="16">
                  <c:v>72</c:v>
                </c:pt>
                <c:pt idx="17">
                  <c:v>84</c:v>
                </c:pt>
                <c:pt idx="18">
                  <c:v>80</c:v>
                </c:pt>
                <c:pt idx="19">
                  <c:v>87</c:v>
                </c:pt>
                <c:pt idx="20">
                  <c:v>91</c:v>
                </c:pt>
                <c:pt idx="21">
                  <c:v>89</c:v>
                </c:pt>
                <c:pt idx="22">
                  <c:v>78</c:v>
                </c:pt>
                <c:pt idx="23">
                  <c:v>71</c:v>
                </c:pt>
                <c:pt idx="24">
                  <c:v>72</c:v>
                </c:pt>
                <c:pt idx="25">
                  <c:v>72</c:v>
                </c:pt>
                <c:pt idx="26">
                  <c:v>75</c:v>
                </c:pt>
                <c:pt idx="27">
                  <c:v>74</c:v>
                </c:pt>
                <c:pt idx="28">
                  <c:v>66</c:v>
                </c:pt>
                <c:pt idx="29">
                  <c:v>69</c:v>
                </c:pt>
                <c:pt idx="30">
                  <c:v>66</c:v>
                </c:pt>
                <c:pt idx="31">
                  <c:v>92</c:v>
                </c:pt>
                <c:pt idx="32">
                  <c:v>80</c:v>
                </c:pt>
                <c:pt idx="33">
                  <c:v>87</c:v>
                </c:pt>
                <c:pt idx="34">
                  <c:v>78</c:v>
                </c:pt>
                <c:pt idx="35">
                  <c:v>77</c:v>
                </c:pt>
                <c:pt idx="36">
                  <c:v>78</c:v>
                </c:pt>
                <c:pt idx="37">
                  <c:v>80</c:v>
                </c:pt>
                <c:pt idx="38">
                  <c:v>79</c:v>
                </c:pt>
                <c:pt idx="39">
                  <c:v>88</c:v>
                </c:pt>
                <c:pt idx="40">
                  <c:v>78</c:v>
                </c:pt>
                <c:pt idx="41">
                  <c:v>75</c:v>
                </c:pt>
                <c:pt idx="42">
                  <c:v>73</c:v>
                </c:pt>
                <c:pt idx="43">
                  <c:v>74</c:v>
                </c:pt>
                <c:pt idx="44">
                  <c:v>76</c:v>
                </c:pt>
                <c:pt idx="45">
                  <c:v>79</c:v>
                </c:pt>
                <c:pt idx="46">
                  <c:v>86</c:v>
                </c:pt>
                <c:pt idx="47">
                  <c:v>87</c:v>
                </c:pt>
                <c:pt idx="48">
                  <c:v>88</c:v>
                </c:pt>
                <c:pt idx="49">
                  <c:v>85</c:v>
                </c:pt>
                <c:pt idx="50">
                  <c:v>74</c:v>
                </c:pt>
                <c:pt idx="51">
                  <c:v>68</c:v>
                </c:pt>
                <c:pt idx="52">
                  <c:v>72</c:v>
                </c:pt>
                <c:pt idx="53">
                  <c:v>72</c:v>
                </c:pt>
                <c:pt idx="54">
                  <c:v>77</c:v>
                </c:pt>
                <c:pt idx="55">
                  <c:v>77</c:v>
                </c:pt>
                <c:pt idx="56">
                  <c:v>74</c:v>
                </c:pt>
                <c:pt idx="57">
                  <c:v>80</c:v>
                </c:pt>
                <c:pt idx="58">
                  <c:v>90</c:v>
                </c:pt>
                <c:pt idx="59">
                  <c:v>82</c:v>
                </c:pt>
                <c:pt idx="60">
                  <c:v>80</c:v>
                </c:pt>
                <c:pt idx="61">
                  <c:v>69</c:v>
                </c:pt>
                <c:pt idx="62">
                  <c:v>73</c:v>
                </c:pt>
                <c:pt idx="63">
                  <c:v>76</c:v>
                </c:pt>
                <c:pt idx="64">
                  <c:v>74</c:v>
                </c:pt>
                <c:pt idx="65">
                  <c:v>75</c:v>
                </c:pt>
                <c:pt idx="66">
                  <c:v>73</c:v>
                </c:pt>
                <c:pt idx="67">
                  <c:v>75</c:v>
                </c:pt>
                <c:pt idx="68">
                  <c:v>72</c:v>
                </c:pt>
                <c:pt idx="69">
                  <c:v>73</c:v>
                </c:pt>
                <c:pt idx="70">
                  <c:v>72</c:v>
                </c:pt>
                <c:pt idx="71">
                  <c:v>76</c:v>
                </c:pt>
                <c:pt idx="72">
                  <c:v>71</c:v>
                </c:pt>
                <c:pt idx="73">
                  <c:v>76</c:v>
                </c:pt>
                <c:pt idx="74">
                  <c:v>71</c:v>
                </c:pt>
                <c:pt idx="75">
                  <c:v>68</c:v>
                </c:pt>
                <c:pt idx="76">
                  <c:v>72</c:v>
                </c:pt>
                <c:pt idx="77">
                  <c:v>77</c:v>
                </c:pt>
                <c:pt idx="78">
                  <c:v>76</c:v>
                </c:pt>
                <c:pt idx="79">
                  <c:v>77</c:v>
                </c:pt>
                <c:pt idx="80">
                  <c:v>75</c:v>
                </c:pt>
                <c:pt idx="81">
                  <c:v>68</c:v>
                </c:pt>
                <c:pt idx="82">
                  <c:v>71</c:v>
                </c:pt>
                <c:pt idx="83">
                  <c:v>74</c:v>
                </c:pt>
                <c:pt idx="84">
                  <c:v>76</c:v>
                </c:pt>
                <c:pt idx="85">
                  <c:v>77</c:v>
                </c:pt>
                <c:pt idx="86">
                  <c:v>77</c:v>
                </c:pt>
                <c:pt idx="87">
                  <c:v>74</c:v>
                </c:pt>
                <c:pt idx="88">
                  <c:v>74</c:v>
                </c:pt>
                <c:pt idx="89">
                  <c:v>76</c:v>
                </c:pt>
                <c:pt idx="90">
                  <c:v>71</c:v>
                </c:pt>
                <c:pt idx="91">
                  <c:v>74</c:v>
                </c:pt>
                <c:pt idx="92">
                  <c:v>75</c:v>
                </c:pt>
                <c:pt idx="93">
                  <c:v>73</c:v>
                </c:pt>
                <c:pt idx="94">
                  <c:v>72</c:v>
                </c:pt>
                <c:pt idx="95">
                  <c:v>75</c:v>
                </c:pt>
                <c:pt idx="96">
                  <c:v>73</c:v>
                </c:pt>
                <c:pt idx="97">
                  <c:v>71</c:v>
                </c:pt>
                <c:pt idx="98">
                  <c:v>71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66</c:v>
                </c:pt>
                <c:pt idx="105">
                  <c:v>66</c:v>
                </c:pt>
                <c:pt idx="106">
                  <c:v>62</c:v>
                </c:pt>
                <c:pt idx="107">
                  <c:v>68</c:v>
                </c:pt>
                <c:pt idx="108">
                  <c:v>71</c:v>
                </c:pt>
                <c:pt idx="109">
                  <c:v>70</c:v>
                </c:pt>
                <c:pt idx="110">
                  <c:v>66</c:v>
                </c:pt>
                <c:pt idx="111">
                  <c:v>65</c:v>
                </c:pt>
                <c:pt idx="112">
                  <c:v>59</c:v>
                </c:pt>
                <c:pt idx="113">
                  <c:v>66</c:v>
                </c:pt>
                <c:pt idx="114">
                  <c:v>62</c:v>
                </c:pt>
                <c:pt idx="115">
                  <c:v>60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66</c:v>
                </c:pt>
                <c:pt idx="120">
                  <c:v>66</c:v>
                </c:pt>
                <c:pt idx="121">
                  <c:v>69</c:v>
                </c:pt>
                <c:pt idx="122">
                  <c:v>66</c:v>
                </c:pt>
                <c:pt idx="123">
                  <c:v>69</c:v>
                </c:pt>
                <c:pt idx="124">
                  <c:v>69</c:v>
                </c:pt>
                <c:pt idx="125">
                  <c:v>69</c:v>
                </c:pt>
                <c:pt idx="126">
                  <c:v>71</c:v>
                </c:pt>
              </c:numCache>
            </c:numRef>
          </c:xVal>
          <c:yVal>
            <c:numRef>
              <c:f>'Figs 6 &amp; 7'!$BM$8:$BM$134</c:f>
              <c:numCache>
                <c:formatCode>0.00E+00</c:formatCode>
                <c:ptCount val="127"/>
                <c:pt idx="21">
                  <c:v>1.6585651357708329</c:v>
                </c:pt>
                <c:pt idx="22">
                  <c:v>5.0300891166176882</c:v>
                </c:pt>
                <c:pt idx="23">
                  <c:v>5.4460730611384447</c:v>
                </c:pt>
                <c:pt idx="24">
                  <c:v>6.4615081580370815</c:v>
                </c:pt>
                <c:pt idx="25">
                  <c:v>7.2779673371691906</c:v>
                </c:pt>
                <c:pt idx="26">
                  <c:v>7.9089586143746704</c:v>
                </c:pt>
                <c:pt idx="27">
                  <c:v>0.19678711868142962</c:v>
                </c:pt>
                <c:pt idx="28">
                  <c:v>19.52266768931953</c:v>
                </c:pt>
                <c:pt idx="29">
                  <c:v>1.9521287207485416</c:v>
                </c:pt>
                <c:pt idx="30">
                  <c:v>8.3234958809075401</c:v>
                </c:pt>
                <c:pt idx="31">
                  <c:v>7.7128016013372918</c:v>
                </c:pt>
                <c:pt idx="34">
                  <c:v>12.188566849016436</c:v>
                </c:pt>
                <c:pt idx="36">
                  <c:v>3.68473381447048</c:v>
                </c:pt>
                <c:pt idx="37">
                  <c:v>3.9779088951816188</c:v>
                </c:pt>
                <c:pt idx="38">
                  <c:v>7.2395880989171157</c:v>
                </c:pt>
                <c:pt idx="39">
                  <c:v>2.6246771030360927</c:v>
                </c:pt>
                <c:pt idx="40">
                  <c:v>4.967806403584456</c:v>
                </c:pt>
                <c:pt idx="41">
                  <c:v>9.9056349944298958</c:v>
                </c:pt>
                <c:pt idx="42">
                  <c:v>13.124205006396197</c:v>
                </c:pt>
                <c:pt idx="43">
                  <c:v>11.354903689158597</c:v>
                </c:pt>
                <c:pt idx="44">
                  <c:v>7.5643983644391044</c:v>
                </c:pt>
                <c:pt idx="45">
                  <c:v>1.2635025645620805</c:v>
                </c:pt>
                <c:pt idx="46">
                  <c:v>19.059113706474776</c:v>
                </c:pt>
                <c:pt idx="47">
                  <c:v>0</c:v>
                </c:pt>
                <c:pt idx="48">
                  <c:v>0</c:v>
                </c:pt>
                <c:pt idx="49">
                  <c:v>16.139936104961617</c:v>
                </c:pt>
                <c:pt idx="50">
                  <c:v>16.31084212079902</c:v>
                </c:pt>
                <c:pt idx="51">
                  <c:v>15.475626424453461</c:v>
                </c:pt>
                <c:pt idx="54">
                  <c:v>9.8214158938094887</c:v>
                </c:pt>
                <c:pt idx="55">
                  <c:v>7.4038416525147994</c:v>
                </c:pt>
                <c:pt idx="56">
                  <c:v>11.739054072428887</c:v>
                </c:pt>
                <c:pt idx="59">
                  <c:v>16.97642227576214</c:v>
                </c:pt>
                <c:pt idx="60">
                  <c:v>14.633469582525635</c:v>
                </c:pt>
                <c:pt idx="61">
                  <c:v>3.881041103000582</c:v>
                </c:pt>
                <c:pt idx="62">
                  <c:v>12.125323921844091</c:v>
                </c:pt>
                <c:pt idx="63">
                  <c:v>14.178863663943034</c:v>
                </c:pt>
                <c:pt idx="64">
                  <c:v>13.864719608730855</c:v>
                </c:pt>
                <c:pt idx="65">
                  <c:v>14.988103947198576</c:v>
                </c:pt>
                <c:pt idx="66">
                  <c:v>7.1445479938524734</c:v>
                </c:pt>
                <c:pt idx="67">
                  <c:v>9.4542962996330484</c:v>
                </c:pt>
                <c:pt idx="68">
                  <c:v>9.1387785487058455</c:v>
                </c:pt>
                <c:pt idx="69">
                  <c:v>12.330872370413022</c:v>
                </c:pt>
                <c:pt idx="70">
                  <c:v>9.9915878758857151</c:v>
                </c:pt>
                <c:pt idx="71">
                  <c:v>18.052314560637839</c:v>
                </c:pt>
                <c:pt idx="72">
                  <c:v>17.564466916577235</c:v>
                </c:pt>
                <c:pt idx="73">
                  <c:v>10.562354233999622</c:v>
                </c:pt>
                <c:pt idx="74">
                  <c:v>20.297711641568249</c:v>
                </c:pt>
                <c:pt idx="75">
                  <c:v>15.833074083071114</c:v>
                </c:pt>
                <c:pt idx="76">
                  <c:v>18.271757383377778</c:v>
                </c:pt>
                <c:pt idx="78">
                  <c:v>15.108429813972871</c:v>
                </c:pt>
                <c:pt idx="79">
                  <c:v>13.598536216673907</c:v>
                </c:pt>
                <c:pt idx="80">
                  <c:v>10.188798117216297</c:v>
                </c:pt>
                <c:pt idx="81">
                  <c:v>12.101569241977819</c:v>
                </c:pt>
                <c:pt idx="82">
                  <c:v>13.037782927901901</c:v>
                </c:pt>
                <c:pt idx="83">
                  <c:v>6.9322538265863409</c:v>
                </c:pt>
                <c:pt idx="84">
                  <c:v>18.01141121739796</c:v>
                </c:pt>
                <c:pt idx="85">
                  <c:v>7.0900229564585562</c:v>
                </c:pt>
                <c:pt idx="86">
                  <c:v>10.400035337434018</c:v>
                </c:pt>
                <c:pt idx="87">
                  <c:v>13.238658784402546</c:v>
                </c:pt>
                <c:pt idx="88">
                  <c:v>13.610254078527262</c:v>
                </c:pt>
                <c:pt idx="89">
                  <c:v>15.166269660997898</c:v>
                </c:pt>
                <c:pt idx="90">
                  <c:v>8.6899404062743972</c:v>
                </c:pt>
                <c:pt idx="91">
                  <c:v>11.525303070807176</c:v>
                </c:pt>
                <c:pt idx="92">
                  <c:v>13.021303071592927</c:v>
                </c:pt>
                <c:pt idx="93">
                  <c:v>8.9627190684616593</c:v>
                </c:pt>
                <c:pt idx="94">
                  <c:v>13.539730981544821</c:v>
                </c:pt>
                <c:pt idx="95">
                  <c:v>14.625706289218307</c:v>
                </c:pt>
                <c:pt idx="96">
                  <c:v>15.343625296907884</c:v>
                </c:pt>
                <c:pt idx="97">
                  <c:v>15.762308821818454</c:v>
                </c:pt>
                <c:pt idx="98">
                  <c:v>16.887068455766354</c:v>
                </c:pt>
                <c:pt idx="99">
                  <c:v>21.375411633211034</c:v>
                </c:pt>
                <c:pt idx="100">
                  <c:v>17.951118699691591</c:v>
                </c:pt>
                <c:pt idx="101">
                  <c:v>25.013630416590189</c:v>
                </c:pt>
                <c:pt idx="102">
                  <c:v>23.921554654690258</c:v>
                </c:pt>
                <c:pt idx="103">
                  <c:v>25.572727792239853</c:v>
                </c:pt>
                <c:pt idx="104">
                  <c:v>23.280124599787943</c:v>
                </c:pt>
                <c:pt idx="105">
                  <c:v>24.104952244421863</c:v>
                </c:pt>
                <c:pt idx="106">
                  <c:v>22.093423156321975</c:v>
                </c:pt>
                <c:pt idx="107">
                  <c:v>22.297045694880708</c:v>
                </c:pt>
                <c:pt idx="108">
                  <c:v>20.746051541874504</c:v>
                </c:pt>
                <c:pt idx="109">
                  <c:v>19.230836567563841</c:v>
                </c:pt>
                <c:pt idx="110">
                  <c:v>21.514118987745086</c:v>
                </c:pt>
                <c:pt idx="111">
                  <c:v>27.140087534159175</c:v>
                </c:pt>
                <c:pt idx="112">
                  <c:v>27.970240921075458</c:v>
                </c:pt>
                <c:pt idx="113">
                  <c:v>33.548697135703321</c:v>
                </c:pt>
                <c:pt idx="114">
                  <c:v>31.56199062011116</c:v>
                </c:pt>
                <c:pt idx="115">
                  <c:v>30.57149248981424</c:v>
                </c:pt>
                <c:pt idx="116">
                  <c:v>30.237069677519894</c:v>
                </c:pt>
                <c:pt idx="117">
                  <c:v>31.647873412796908</c:v>
                </c:pt>
                <c:pt idx="118">
                  <c:v>30.659089074528421</c:v>
                </c:pt>
                <c:pt idx="119">
                  <c:v>21.100056911966103</c:v>
                </c:pt>
                <c:pt idx="120">
                  <c:v>21.253930632326004</c:v>
                </c:pt>
                <c:pt idx="121">
                  <c:v>13.098718156276622</c:v>
                </c:pt>
                <c:pt idx="122">
                  <c:v>17.200570213952172</c:v>
                </c:pt>
                <c:pt idx="123">
                  <c:v>18.625107621505514</c:v>
                </c:pt>
                <c:pt idx="124">
                  <c:v>16.272419124615318</c:v>
                </c:pt>
                <c:pt idx="125">
                  <c:v>14.367954303434827</c:v>
                </c:pt>
                <c:pt idx="126">
                  <c:v>23.687630165354314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99-FF43-A8FC-7082D8BD1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2539712"/>
        <c:axId val="-2013217216"/>
      </c:scatterChart>
      <c:valAx>
        <c:axId val="-2012539712"/>
        <c:scaling>
          <c:orientation val="minMax"/>
          <c:min val="50"/>
        </c:scaling>
        <c:delete val="0"/>
        <c:axPos val="b"/>
        <c:title>
          <c:tx>
            <c:rich>
              <a:bodyPr/>
              <a:lstStyle/>
              <a:p>
                <a:pPr>
                  <a:defRPr sz="1200" b="1"/>
                </a:pPr>
                <a:r>
                  <a:rPr lang="en-CA" sz="1200" b="1"/>
                  <a:t>Relative</a:t>
                </a:r>
                <a:r>
                  <a:rPr lang="en-CA" sz="1200" b="1" baseline="0"/>
                  <a:t> Humidity (%</a:t>
                </a:r>
                <a:r>
                  <a:rPr lang="en-CA" sz="1200" b="1"/>
                  <a:t>)</a:t>
                </a:r>
              </a:p>
            </c:rich>
          </c:tx>
          <c:layout>
            <c:manualLayout>
              <c:xMode val="edge"/>
              <c:yMode val="edge"/>
              <c:x val="0.39223087032932402"/>
              <c:y val="0.91579536946845397"/>
            </c:manualLayout>
          </c:layout>
          <c:overlay val="0"/>
        </c:title>
        <c:numFmt formatCode="General" sourceLinked="1"/>
        <c:majorTickMark val="none"/>
        <c:minorTickMark val="none"/>
        <c:tickLblPos val="low"/>
        <c:txPr>
          <a:bodyPr/>
          <a:lstStyle/>
          <a:p>
            <a:pPr>
              <a:defRPr sz="1200" b="1"/>
            </a:pPr>
            <a:endParaRPr lang="en-US"/>
          </a:p>
        </c:txPr>
        <c:crossAx val="-2013217216"/>
        <c:crosses val="autoZero"/>
        <c:crossBetween val="midCat"/>
      </c:valAx>
      <c:valAx>
        <c:axId val="-2013217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ET (mm/d)</a:t>
                </a:r>
              </a:p>
            </c:rich>
          </c:tx>
          <c:layout>
            <c:manualLayout>
              <c:xMode val="edge"/>
              <c:yMode val="edge"/>
              <c:x val="0"/>
              <c:y val="0.3116536051412729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-2012539712"/>
        <c:crosses val="autoZero"/>
        <c:crossBetween val="midCat"/>
      </c:valAx>
      <c:spPr>
        <a:ln w="12700">
          <a:solidFill>
            <a:sysClr val="windowText" lastClr="000000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330265009522"/>
          <c:y val="5.8750251004487102E-2"/>
          <c:w val="0.81133649054135903"/>
          <c:h val="0.75812700920881504"/>
        </c:manualLayout>
      </c:layout>
      <c:scatterChart>
        <c:scatterStyle val="lineMarker"/>
        <c:varyColors val="0"/>
        <c:ser>
          <c:idx val="3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3123698199341"/>
                  <c:y val="-0.60237082456247604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'Figs 6 &amp; 7'!$BO$8:$BO$134</c:f>
              <c:numCache>
                <c:formatCode>General</c:formatCode>
                <c:ptCount val="127"/>
                <c:pt idx="0">
                  <c:v>74</c:v>
                </c:pt>
                <c:pt idx="1">
                  <c:v>71</c:v>
                </c:pt>
                <c:pt idx="2">
                  <c:v>77</c:v>
                </c:pt>
                <c:pt idx="3">
                  <c:v>79</c:v>
                </c:pt>
                <c:pt idx="4">
                  <c:v>79</c:v>
                </c:pt>
                <c:pt idx="5">
                  <c:v>76</c:v>
                </c:pt>
                <c:pt idx="6">
                  <c:v>81</c:v>
                </c:pt>
                <c:pt idx="7">
                  <c:v>77</c:v>
                </c:pt>
                <c:pt idx="8">
                  <c:v>74</c:v>
                </c:pt>
                <c:pt idx="9">
                  <c:v>79</c:v>
                </c:pt>
                <c:pt idx="10">
                  <c:v>77</c:v>
                </c:pt>
                <c:pt idx="11">
                  <c:v>72</c:v>
                </c:pt>
                <c:pt idx="12">
                  <c:v>66</c:v>
                </c:pt>
                <c:pt idx="13">
                  <c:v>72</c:v>
                </c:pt>
                <c:pt idx="14">
                  <c:v>76</c:v>
                </c:pt>
                <c:pt idx="15">
                  <c:v>69</c:v>
                </c:pt>
                <c:pt idx="16">
                  <c:v>72</c:v>
                </c:pt>
                <c:pt idx="17">
                  <c:v>84</c:v>
                </c:pt>
                <c:pt idx="18">
                  <c:v>80</c:v>
                </c:pt>
                <c:pt idx="19">
                  <c:v>87</c:v>
                </c:pt>
                <c:pt idx="20">
                  <c:v>91</c:v>
                </c:pt>
                <c:pt idx="21">
                  <c:v>89</c:v>
                </c:pt>
                <c:pt idx="22">
                  <c:v>78</c:v>
                </c:pt>
                <c:pt idx="23">
                  <c:v>71</c:v>
                </c:pt>
                <c:pt idx="24">
                  <c:v>72</c:v>
                </c:pt>
                <c:pt idx="25">
                  <c:v>72</c:v>
                </c:pt>
                <c:pt idx="26">
                  <c:v>75</c:v>
                </c:pt>
                <c:pt idx="27">
                  <c:v>74</c:v>
                </c:pt>
                <c:pt idx="28">
                  <c:v>66</c:v>
                </c:pt>
                <c:pt idx="29">
                  <c:v>69</c:v>
                </c:pt>
                <c:pt idx="30">
                  <c:v>66</c:v>
                </c:pt>
                <c:pt idx="31">
                  <c:v>92</c:v>
                </c:pt>
                <c:pt idx="32">
                  <c:v>80</c:v>
                </c:pt>
                <c:pt idx="33">
                  <c:v>87</c:v>
                </c:pt>
                <c:pt idx="34">
                  <c:v>78</c:v>
                </c:pt>
                <c:pt idx="35">
                  <c:v>77</c:v>
                </c:pt>
                <c:pt idx="36">
                  <c:v>78</c:v>
                </c:pt>
                <c:pt idx="37">
                  <c:v>80</c:v>
                </c:pt>
                <c:pt idx="38">
                  <c:v>79</c:v>
                </c:pt>
                <c:pt idx="39">
                  <c:v>88</c:v>
                </c:pt>
                <c:pt idx="40">
                  <c:v>78</c:v>
                </c:pt>
                <c:pt idx="41">
                  <c:v>75</c:v>
                </c:pt>
                <c:pt idx="42">
                  <c:v>73</c:v>
                </c:pt>
                <c:pt idx="43">
                  <c:v>74</c:v>
                </c:pt>
                <c:pt idx="44">
                  <c:v>76</c:v>
                </c:pt>
                <c:pt idx="45">
                  <c:v>79</c:v>
                </c:pt>
                <c:pt idx="46">
                  <c:v>86</c:v>
                </c:pt>
                <c:pt idx="47">
                  <c:v>87</c:v>
                </c:pt>
                <c:pt idx="48">
                  <c:v>88</c:v>
                </c:pt>
                <c:pt idx="49">
                  <c:v>85</c:v>
                </c:pt>
                <c:pt idx="50">
                  <c:v>74</c:v>
                </c:pt>
                <c:pt idx="51">
                  <c:v>68</c:v>
                </c:pt>
                <c:pt idx="52">
                  <c:v>72</c:v>
                </c:pt>
                <c:pt idx="53">
                  <c:v>72</c:v>
                </c:pt>
                <c:pt idx="54">
                  <c:v>77</c:v>
                </c:pt>
                <c:pt idx="55">
                  <c:v>77</c:v>
                </c:pt>
                <c:pt idx="56">
                  <c:v>74</c:v>
                </c:pt>
                <c:pt idx="57">
                  <c:v>80</c:v>
                </c:pt>
                <c:pt idx="58">
                  <c:v>90</c:v>
                </c:pt>
                <c:pt idx="59">
                  <c:v>82</c:v>
                </c:pt>
                <c:pt idx="60">
                  <c:v>80</c:v>
                </c:pt>
                <c:pt idx="61">
                  <c:v>69</c:v>
                </c:pt>
                <c:pt idx="62">
                  <c:v>73</c:v>
                </c:pt>
                <c:pt idx="63">
                  <c:v>76</c:v>
                </c:pt>
                <c:pt idx="64">
                  <c:v>74</c:v>
                </c:pt>
                <c:pt idx="65">
                  <c:v>75</c:v>
                </c:pt>
                <c:pt idx="66">
                  <c:v>73</c:v>
                </c:pt>
                <c:pt idx="67">
                  <c:v>75</c:v>
                </c:pt>
                <c:pt idx="68">
                  <c:v>72</c:v>
                </c:pt>
                <c:pt idx="69">
                  <c:v>73</c:v>
                </c:pt>
                <c:pt idx="70">
                  <c:v>72</c:v>
                </c:pt>
                <c:pt idx="71">
                  <c:v>76</c:v>
                </c:pt>
                <c:pt idx="72">
                  <c:v>71</c:v>
                </c:pt>
                <c:pt idx="73">
                  <c:v>76</c:v>
                </c:pt>
                <c:pt idx="74">
                  <c:v>71</c:v>
                </c:pt>
                <c:pt idx="75">
                  <c:v>68</c:v>
                </c:pt>
                <c:pt idx="76">
                  <c:v>72</c:v>
                </c:pt>
                <c:pt idx="77">
                  <c:v>77</c:v>
                </c:pt>
                <c:pt idx="78">
                  <c:v>76</c:v>
                </c:pt>
                <c:pt idx="79">
                  <c:v>77</c:v>
                </c:pt>
                <c:pt idx="80">
                  <c:v>75</c:v>
                </c:pt>
                <c:pt idx="81">
                  <c:v>68</c:v>
                </c:pt>
                <c:pt idx="82">
                  <c:v>71</c:v>
                </c:pt>
                <c:pt idx="83">
                  <c:v>74</c:v>
                </c:pt>
                <c:pt idx="84">
                  <c:v>76</c:v>
                </c:pt>
                <c:pt idx="85">
                  <c:v>77</c:v>
                </c:pt>
                <c:pt idx="86">
                  <c:v>77</c:v>
                </c:pt>
                <c:pt idx="87">
                  <c:v>74</c:v>
                </c:pt>
                <c:pt idx="88">
                  <c:v>74</c:v>
                </c:pt>
                <c:pt idx="89">
                  <c:v>76</c:v>
                </c:pt>
                <c:pt idx="90">
                  <c:v>71</c:v>
                </c:pt>
                <c:pt idx="91">
                  <c:v>74</c:v>
                </c:pt>
                <c:pt idx="92">
                  <c:v>75</c:v>
                </c:pt>
                <c:pt idx="93">
                  <c:v>73</c:v>
                </c:pt>
                <c:pt idx="94">
                  <c:v>72</c:v>
                </c:pt>
                <c:pt idx="95">
                  <c:v>75</c:v>
                </c:pt>
                <c:pt idx="96">
                  <c:v>73</c:v>
                </c:pt>
                <c:pt idx="97">
                  <c:v>71</c:v>
                </c:pt>
                <c:pt idx="98">
                  <c:v>71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66</c:v>
                </c:pt>
                <c:pt idx="105">
                  <c:v>66</c:v>
                </c:pt>
                <c:pt idx="106">
                  <c:v>62</c:v>
                </c:pt>
                <c:pt idx="107">
                  <c:v>68</c:v>
                </c:pt>
                <c:pt idx="108">
                  <c:v>71</c:v>
                </c:pt>
                <c:pt idx="109">
                  <c:v>70</c:v>
                </c:pt>
                <c:pt idx="110">
                  <c:v>66</c:v>
                </c:pt>
                <c:pt idx="111">
                  <c:v>65</c:v>
                </c:pt>
                <c:pt idx="112">
                  <c:v>59</c:v>
                </c:pt>
                <c:pt idx="113">
                  <c:v>66</c:v>
                </c:pt>
                <c:pt idx="114">
                  <c:v>62</c:v>
                </c:pt>
                <c:pt idx="115">
                  <c:v>60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66</c:v>
                </c:pt>
                <c:pt idx="120">
                  <c:v>66</c:v>
                </c:pt>
                <c:pt idx="121">
                  <c:v>69</c:v>
                </c:pt>
                <c:pt idx="122">
                  <c:v>66</c:v>
                </c:pt>
                <c:pt idx="123">
                  <c:v>69</c:v>
                </c:pt>
                <c:pt idx="124">
                  <c:v>69</c:v>
                </c:pt>
                <c:pt idx="125">
                  <c:v>69</c:v>
                </c:pt>
                <c:pt idx="126">
                  <c:v>71</c:v>
                </c:pt>
              </c:numCache>
            </c:numRef>
          </c:xVal>
          <c:yVal>
            <c:numRef>
              <c:f>'Figs 6 &amp; 7'!$BN$8:$BN$134</c:f>
              <c:numCache>
                <c:formatCode>0.00E+00</c:formatCode>
                <c:ptCount val="127"/>
                <c:pt idx="12">
                  <c:v>3.5754432611312668</c:v>
                </c:pt>
                <c:pt idx="14">
                  <c:v>7.4501152899166678</c:v>
                </c:pt>
                <c:pt idx="16">
                  <c:v>10.033401764973398</c:v>
                </c:pt>
                <c:pt idx="17">
                  <c:v>3.5055804165407873</c:v>
                </c:pt>
                <c:pt idx="18">
                  <c:v>0.10865666737846363</c:v>
                </c:pt>
                <c:pt idx="20">
                  <c:v>4.6003657120322945</c:v>
                </c:pt>
                <c:pt idx="21">
                  <c:v>12.34754975115524</c:v>
                </c:pt>
                <c:pt idx="22">
                  <c:v>12.421227578155813</c:v>
                </c:pt>
                <c:pt idx="23">
                  <c:v>5.2553038303698205</c:v>
                </c:pt>
                <c:pt idx="26">
                  <c:v>10.398497075913763</c:v>
                </c:pt>
                <c:pt idx="30">
                  <c:v>11.482265111675908</c:v>
                </c:pt>
                <c:pt idx="31">
                  <c:v>13.482340062876785</c:v>
                </c:pt>
                <c:pt idx="33">
                  <c:v>8.9478883214584606</c:v>
                </c:pt>
                <c:pt idx="34">
                  <c:v>6.5934899259400206</c:v>
                </c:pt>
                <c:pt idx="35">
                  <c:v>3.9271724446550245</c:v>
                </c:pt>
                <c:pt idx="36">
                  <c:v>2.2161184298548076</c:v>
                </c:pt>
                <c:pt idx="37">
                  <c:v>4.452062741335201</c:v>
                </c:pt>
                <c:pt idx="38">
                  <c:v>4.1731265604556391</c:v>
                </c:pt>
                <c:pt idx="39">
                  <c:v>5.3963694107280222</c:v>
                </c:pt>
                <c:pt idx="40">
                  <c:v>5.3779602497392371</c:v>
                </c:pt>
                <c:pt idx="41">
                  <c:v>4.783173455966093</c:v>
                </c:pt>
                <c:pt idx="42">
                  <c:v>6.8103588525520555</c:v>
                </c:pt>
                <c:pt idx="43">
                  <c:v>5.9739806122345405</c:v>
                </c:pt>
                <c:pt idx="44">
                  <c:v>2.9951675952095069</c:v>
                </c:pt>
                <c:pt idx="45">
                  <c:v>3.8579641030236091</c:v>
                </c:pt>
                <c:pt idx="46">
                  <c:v>18.164529091089651</c:v>
                </c:pt>
                <c:pt idx="48">
                  <c:v>12.817808547553348</c:v>
                </c:pt>
                <c:pt idx="49">
                  <c:v>1.0854745664997147</c:v>
                </c:pt>
                <c:pt idx="50">
                  <c:v>11.540995966953085</c:v>
                </c:pt>
                <c:pt idx="51">
                  <c:v>7.7057802706070664</c:v>
                </c:pt>
                <c:pt idx="52">
                  <c:v>2.2766510835404081</c:v>
                </c:pt>
                <c:pt idx="53">
                  <c:v>4.7216827301429234</c:v>
                </c:pt>
                <c:pt idx="54">
                  <c:v>6.1411082015015683</c:v>
                </c:pt>
                <c:pt idx="55">
                  <c:v>7.5321493448229813</c:v>
                </c:pt>
                <c:pt idx="59">
                  <c:v>9.9508222757631</c:v>
                </c:pt>
                <c:pt idx="60">
                  <c:v>7.7143926594480137</c:v>
                </c:pt>
                <c:pt idx="61">
                  <c:v>7.8496564876164578</c:v>
                </c:pt>
                <c:pt idx="62">
                  <c:v>17.637631614150028</c:v>
                </c:pt>
                <c:pt idx="63">
                  <c:v>7.1080944331741964</c:v>
                </c:pt>
                <c:pt idx="64">
                  <c:v>22.662873454886579</c:v>
                </c:pt>
                <c:pt idx="68">
                  <c:v>4.2317016256285322</c:v>
                </c:pt>
                <c:pt idx="69">
                  <c:v>10.346564678105691</c:v>
                </c:pt>
                <c:pt idx="71">
                  <c:v>3.1981607144855073</c:v>
                </c:pt>
                <c:pt idx="72">
                  <c:v>9.3101899934992574</c:v>
                </c:pt>
                <c:pt idx="73">
                  <c:v>8.1915234647686823</c:v>
                </c:pt>
                <c:pt idx="74">
                  <c:v>24.07974241079954</c:v>
                </c:pt>
                <c:pt idx="75">
                  <c:v>3.6856894676861938</c:v>
                </c:pt>
                <c:pt idx="76">
                  <c:v>9.0292958449161667</c:v>
                </c:pt>
                <c:pt idx="77">
                  <c:v>7.9382050852645705</c:v>
                </c:pt>
                <c:pt idx="78">
                  <c:v>10.145968275511201</c:v>
                </c:pt>
                <c:pt idx="79">
                  <c:v>5.7588439089819516</c:v>
                </c:pt>
                <c:pt idx="80">
                  <c:v>4.568182732601298</c:v>
                </c:pt>
                <c:pt idx="81">
                  <c:v>7.5911077035167764</c:v>
                </c:pt>
                <c:pt idx="82">
                  <c:v>12.263567543286101</c:v>
                </c:pt>
                <c:pt idx="83">
                  <c:v>6.0978538265862561</c:v>
                </c:pt>
                <c:pt idx="84">
                  <c:v>16.709909678936562</c:v>
                </c:pt>
                <c:pt idx="85">
                  <c:v>2.4711921872277389</c:v>
                </c:pt>
                <c:pt idx="86">
                  <c:v>7.5621891835876269</c:v>
                </c:pt>
                <c:pt idx="87">
                  <c:v>8.7960126305557971</c:v>
                </c:pt>
                <c:pt idx="88">
                  <c:v>11.437454078527143</c:v>
                </c:pt>
                <c:pt idx="89">
                  <c:v>10.87236196869112</c:v>
                </c:pt>
                <c:pt idx="90">
                  <c:v>11.716771175504865</c:v>
                </c:pt>
                <c:pt idx="91">
                  <c:v>12.999518455422175</c:v>
                </c:pt>
                <c:pt idx="92">
                  <c:v>12.152810763901167</c:v>
                </c:pt>
                <c:pt idx="93">
                  <c:v>7.8942882992306052</c:v>
                </c:pt>
                <c:pt idx="94">
                  <c:v>10.690684827698572</c:v>
                </c:pt>
                <c:pt idx="95">
                  <c:v>13.147675519988052</c:v>
                </c:pt>
                <c:pt idx="96">
                  <c:v>14.900979143061676</c:v>
                </c:pt>
                <c:pt idx="97">
                  <c:v>16.586062667971792</c:v>
                </c:pt>
                <c:pt idx="98">
                  <c:v>18.199991532689602</c:v>
                </c:pt>
                <c:pt idx="99">
                  <c:v>21.841122402441712</c:v>
                </c:pt>
                <c:pt idx="100">
                  <c:v>18.023057161230092</c:v>
                </c:pt>
                <c:pt idx="101">
                  <c:v>12.236030416590364</c:v>
                </c:pt>
                <c:pt idx="102">
                  <c:v>23.844840808536748</c:v>
                </c:pt>
                <c:pt idx="103">
                  <c:v>23.566262561470129</c:v>
                </c:pt>
                <c:pt idx="104">
                  <c:v>22.129773830557422</c:v>
                </c:pt>
                <c:pt idx="105">
                  <c:v>23.15972147519123</c:v>
                </c:pt>
                <c:pt idx="106">
                  <c:v>25.508377002475822</c:v>
                </c:pt>
                <c:pt idx="107">
                  <c:v>23.759802617957394</c:v>
                </c:pt>
                <c:pt idx="108">
                  <c:v>22.416377695720101</c:v>
                </c:pt>
                <c:pt idx="109">
                  <c:v>24.805925798333433</c:v>
                </c:pt>
                <c:pt idx="110">
                  <c:v>24.604334372360839</c:v>
                </c:pt>
                <c:pt idx="111">
                  <c:v>23.773761380312649</c:v>
                </c:pt>
                <c:pt idx="112">
                  <c:v>25.718671690305939</c:v>
                </c:pt>
                <c:pt idx="113">
                  <c:v>31.633620212627225</c:v>
                </c:pt>
                <c:pt idx="114">
                  <c:v>28.869929081649254</c:v>
                </c:pt>
                <c:pt idx="115">
                  <c:v>28.493154028275494</c:v>
                </c:pt>
                <c:pt idx="116">
                  <c:v>29.15325429290484</c:v>
                </c:pt>
                <c:pt idx="117">
                  <c:v>33.910704182027338</c:v>
                </c:pt>
                <c:pt idx="118">
                  <c:v>34.767519843759295</c:v>
                </c:pt>
                <c:pt idx="119">
                  <c:v>25.798518450427729</c:v>
                </c:pt>
                <c:pt idx="120">
                  <c:v>25.104441401556539</c:v>
                </c:pt>
                <c:pt idx="121">
                  <c:v>9.0390873870461803</c:v>
                </c:pt>
                <c:pt idx="122">
                  <c:v>26.918108675490689</c:v>
                </c:pt>
                <c:pt idx="123">
                  <c:v>26.856184544582465</c:v>
                </c:pt>
                <c:pt idx="124">
                  <c:v>18.614019124615066</c:v>
                </c:pt>
                <c:pt idx="125">
                  <c:v>15.87600845728077</c:v>
                </c:pt>
                <c:pt idx="126">
                  <c:v>36.174042473046995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6B-DA43-8A83-AE153F68C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1889312"/>
        <c:axId val="-2011884096"/>
      </c:scatterChart>
      <c:valAx>
        <c:axId val="-2011889312"/>
        <c:scaling>
          <c:orientation val="minMax"/>
          <c:min val="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 sz="1200"/>
                  <a:t>Relative</a:t>
                </a:r>
                <a:r>
                  <a:rPr lang="en-CA" sz="1200" baseline="0"/>
                  <a:t> Humidity (%)</a:t>
                </a:r>
                <a:endParaRPr lang="en-CA" sz="1200"/>
              </a:p>
            </c:rich>
          </c:tx>
          <c:layout>
            <c:manualLayout>
              <c:xMode val="edge"/>
              <c:yMode val="edge"/>
              <c:x val="0.42296346225981402"/>
              <c:y val="0.92752153946916505"/>
            </c:manualLayout>
          </c:layout>
          <c:overlay val="0"/>
        </c:title>
        <c:numFmt formatCode="General" sourceLinked="1"/>
        <c:majorTickMark val="none"/>
        <c:minorTickMark val="none"/>
        <c:tickLblPos val="low"/>
        <c:txPr>
          <a:bodyPr/>
          <a:lstStyle/>
          <a:p>
            <a:pPr>
              <a:defRPr sz="1200" b="1"/>
            </a:pPr>
            <a:endParaRPr lang="en-US"/>
          </a:p>
        </c:txPr>
        <c:crossAx val="-2011884096"/>
        <c:crosses val="autoZero"/>
        <c:crossBetween val="midCat"/>
      </c:valAx>
      <c:valAx>
        <c:axId val="-2011884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ET (mm/d)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-2011889312"/>
        <c:crosses val="autoZero"/>
        <c:crossBetween val="midCat"/>
      </c:valAx>
      <c:spPr>
        <a:ln w="12700">
          <a:solidFill>
            <a:sysClr val="windowText" lastClr="000000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3399238352599"/>
          <c:y val="6.1923583175853003E-2"/>
          <c:w val="0.78719162201510395"/>
          <c:h val="0.76433933273666899"/>
        </c:manualLayout>
      </c:layout>
      <c:scatterChart>
        <c:scatterStyle val="lineMarker"/>
        <c:varyColors val="0"/>
        <c:ser>
          <c:idx val="3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8.6543602962359897E-2"/>
                  <c:y val="-0.54282958061657505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'Figs 6 &amp; 7'!$BN$8:$BN$134</c:f>
              <c:numCache>
                <c:formatCode>0.00E+00</c:formatCode>
                <c:ptCount val="127"/>
                <c:pt idx="12">
                  <c:v>3.5754432611312668</c:v>
                </c:pt>
                <c:pt idx="14">
                  <c:v>7.4501152899166678</c:v>
                </c:pt>
                <c:pt idx="16">
                  <c:v>10.033401764973398</c:v>
                </c:pt>
                <c:pt idx="17">
                  <c:v>3.5055804165407873</c:v>
                </c:pt>
                <c:pt idx="18">
                  <c:v>0.10865666737846363</c:v>
                </c:pt>
                <c:pt idx="20">
                  <c:v>4.6003657120322945</c:v>
                </c:pt>
                <c:pt idx="21">
                  <c:v>12.34754975115524</c:v>
                </c:pt>
                <c:pt idx="22">
                  <c:v>12.421227578155813</c:v>
                </c:pt>
                <c:pt idx="23">
                  <c:v>5.2553038303698205</c:v>
                </c:pt>
                <c:pt idx="26">
                  <c:v>10.398497075913763</c:v>
                </c:pt>
                <c:pt idx="30">
                  <c:v>11.482265111675908</c:v>
                </c:pt>
                <c:pt idx="31">
                  <c:v>13.482340062876785</c:v>
                </c:pt>
                <c:pt idx="33">
                  <c:v>8.9478883214584606</c:v>
                </c:pt>
                <c:pt idx="34">
                  <c:v>6.5934899259400206</c:v>
                </c:pt>
                <c:pt idx="35">
                  <c:v>3.9271724446550245</c:v>
                </c:pt>
                <c:pt idx="36">
                  <c:v>2.2161184298548076</c:v>
                </c:pt>
                <c:pt idx="37">
                  <c:v>4.452062741335201</c:v>
                </c:pt>
                <c:pt idx="38">
                  <c:v>4.1731265604556391</c:v>
                </c:pt>
                <c:pt idx="39">
                  <c:v>5.3963694107280222</c:v>
                </c:pt>
                <c:pt idx="40">
                  <c:v>5.3779602497392371</c:v>
                </c:pt>
                <c:pt idx="41">
                  <c:v>4.783173455966093</c:v>
                </c:pt>
                <c:pt idx="42">
                  <c:v>6.8103588525520555</c:v>
                </c:pt>
                <c:pt idx="43">
                  <c:v>5.9739806122345405</c:v>
                </c:pt>
                <c:pt idx="44">
                  <c:v>2.9951675952095069</c:v>
                </c:pt>
                <c:pt idx="45">
                  <c:v>3.8579641030236091</c:v>
                </c:pt>
                <c:pt idx="46">
                  <c:v>18.164529091089651</c:v>
                </c:pt>
                <c:pt idx="48">
                  <c:v>12.817808547553348</c:v>
                </c:pt>
                <c:pt idx="49">
                  <c:v>1.0854745664997147</c:v>
                </c:pt>
                <c:pt idx="50">
                  <c:v>11.540995966953085</c:v>
                </c:pt>
                <c:pt idx="51">
                  <c:v>7.7057802706070664</c:v>
                </c:pt>
                <c:pt idx="52">
                  <c:v>2.2766510835404081</c:v>
                </c:pt>
                <c:pt idx="53">
                  <c:v>4.7216827301429234</c:v>
                </c:pt>
                <c:pt idx="54">
                  <c:v>6.1411082015015683</c:v>
                </c:pt>
                <c:pt idx="55">
                  <c:v>7.5321493448229813</c:v>
                </c:pt>
                <c:pt idx="59">
                  <c:v>9.9508222757631</c:v>
                </c:pt>
                <c:pt idx="60">
                  <c:v>7.7143926594480137</c:v>
                </c:pt>
                <c:pt idx="61">
                  <c:v>7.8496564876164578</c:v>
                </c:pt>
                <c:pt idx="62">
                  <c:v>17.637631614150028</c:v>
                </c:pt>
                <c:pt idx="63">
                  <c:v>7.1080944331741964</c:v>
                </c:pt>
                <c:pt idx="64">
                  <c:v>22.662873454886579</c:v>
                </c:pt>
                <c:pt idx="68">
                  <c:v>4.2317016256285322</c:v>
                </c:pt>
                <c:pt idx="69">
                  <c:v>10.346564678105691</c:v>
                </c:pt>
                <c:pt idx="71">
                  <c:v>3.1981607144855073</c:v>
                </c:pt>
                <c:pt idx="72">
                  <c:v>9.3101899934992574</c:v>
                </c:pt>
                <c:pt idx="73">
                  <c:v>8.1915234647686823</c:v>
                </c:pt>
                <c:pt idx="74">
                  <c:v>24.07974241079954</c:v>
                </c:pt>
                <c:pt idx="75">
                  <c:v>3.6856894676861938</c:v>
                </c:pt>
                <c:pt idx="76">
                  <c:v>9.0292958449161667</c:v>
                </c:pt>
                <c:pt idx="77">
                  <c:v>7.9382050852645705</c:v>
                </c:pt>
                <c:pt idx="78">
                  <c:v>10.145968275511201</c:v>
                </c:pt>
                <c:pt idx="79">
                  <c:v>5.7588439089819516</c:v>
                </c:pt>
                <c:pt idx="80">
                  <c:v>4.568182732601298</c:v>
                </c:pt>
                <c:pt idx="81">
                  <c:v>7.5911077035167764</c:v>
                </c:pt>
                <c:pt idx="82">
                  <c:v>12.263567543286101</c:v>
                </c:pt>
                <c:pt idx="83">
                  <c:v>6.0978538265862561</c:v>
                </c:pt>
                <c:pt idx="84">
                  <c:v>16.709909678936562</c:v>
                </c:pt>
                <c:pt idx="85">
                  <c:v>2.4711921872277389</c:v>
                </c:pt>
                <c:pt idx="86">
                  <c:v>7.5621891835876269</c:v>
                </c:pt>
                <c:pt idx="87">
                  <c:v>8.7960126305557971</c:v>
                </c:pt>
                <c:pt idx="88">
                  <c:v>11.437454078527143</c:v>
                </c:pt>
                <c:pt idx="89">
                  <c:v>10.87236196869112</c:v>
                </c:pt>
                <c:pt idx="90">
                  <c:v>11.716771175504865</c:v>
                </c:pt>
                <c:pt idx="91">
                  <c:v>12.999518455422175</c:v>
                </c:pt>
                <c:pt idx="92">
                  <c:v>12.152810763901167</c:v>
                </c:pt>
                <c:pt idx="93">
                  <c:v>7.8942882992306052</c:v>
                </c:pt>
                <c:pt idx="94">
                  <c:v>10.690684827698572</c:v>
                </c:pt>
                <c:pt idx="95">
                  <c:v>13.147675519988052</c:v>
                </c:pt>
                <c:pt idx="96">
                  <c:v>14.900979143061676</c:v>
                </c:pt>
                <c:pt idx="97">
                  <c:v>16.586062667971792</c:v>
                </c:pt>
                <c:pt idx="98">
                  <c:v>18.199991532689602</c:v>
                </c:pt>
                <c:pt idx="99">
                  <c:v>21.841122402441712</c:v>
                </c:pt>
                <c:pt idx="100">
                  <c:v>18.023057161230092</c:v>
                </c:pt>
                <c:pt idx="101">
                  <c:v>12.236030416590364</c:v>
                </c:pt>
                <c:pt idx="102">
                  <c:v>23.844840808536748</c:v>
                </c:pt>
                <c:pt idx="103">
                  <c:v>23.566262561470129</c:v>
                </c:pt>
                <c:pt idx="104">
                  <c:v>22.129773830557422</c:v>
                </c:pt>
                <c:pt idx="105">
                  <c:v>23.15972147519123</c:v>
                </c:pt>
                <c:pt idx="106">
                  <c:v>25.508377002475822</c:v>
                </c:pt>
                <c:pt idx="107">
                  <c:v>23.759802617957394</c:v>
                </c:pt>
                <c:pt idx="108">
                  <c:v>22.416377695720101</c:v>
                </c:pt>
                <c:pt idx="109">
                  <c:v>24.805925798333433</c:v>
                </c:pt>
                <c:pt idx="110">
                  <c:v>24.604334372360839</c:v>
                </c:pt>
                <c:pt idx="111">
                  <c:v>23.773761380312649</c:v>
                </c:pt>
                <c:pt idx="112">
                  <c:v>25.718671690305939</c:v>
                </c:pt>
                <c:pt idx="113">
                  <c:v>31.633620212627225</c:v>
                </c:pt>
                <c:pt idx="114">
                  <c:v>28.869929081649254</c:v>
                </c:pt>
                <c:pt idx="115">
                  <c:v>28.493154028275494</c:v>
                </c:pt>
                <c:pt idx="116">
                  <c:v>29.15325429290484</c:v>
                </c:pt>
                <c:pt idx="117">
                  <c:v>33.910704182027338</c:v>
                </c:pt>
                <c:pt idx="118">
                  <c:v>34.767519843759295</c:v>
                </c:pt>
                <c:pt idx="119">
                  <c:v>25.798518450427729</c:v>
                </c:pt>
                <c:pt idx="120">
                  <c:v>25.104441401556539</c:v>
                </c:pt>
                <c:pt idx="121">
                  <c:v>9.0390873870461803</c:v>
                </c:pt>
                <c:pt idx="122">
                  <c:v>26.918108675490689</c:v>
                </c:pt>
                <c:pt idx="123">
                  <c:v>26.856184544582465</c:v>
                </c:pt>
                <c:pt idx="124">
                  <c:v>18.614019124615066</c:v>
                </c:pt>
                <c:pt idx="125">
                  <c:v>15.87600845728077</c:v>
                </c:pt>
                <c:pt idx="126">
                  <c:v>36.174042473046995</c:v>
                </c:pt>
              </c:numCache>
            </c:numRef>
          </c:xVal>
          <c:yVal>
            <c:numRef>
              <c:f>'Figs 6 &amp; 7'!$CU$7:$CU$133</c:f>
              <c:numCache>
                <c:formatCode>0</c:formatCode>
                <c:ptCount val="127"/>
                <c:pt idx="0">
                  <c:v>125687.29497438397</c:v>
                </c:pt>
                <c:pt idx="1">
                  <c:v>166782.7740515148</c:v>
                </c:pt>
                <c:pt idx="2">
                  <c:v>177343.84750325637</c:v>
                </c:pt>
                <c:pt idx="3">
                  <c:v>190207.76020799021</c:v>
                </c:pt>
                <c:pt idx="4">
                  <c:v>214415.58927759767</c:v>
                </c:pt>
                <c:pt idx="5">
                  <c:v>177563.42791401636</c:v>
                </c:pt>
                <c:pt idx="6">
                  <c:v>179211.68957613886</c:v>
                </c:pt>
                <c:pt idx="7">
                  <c:v>173060.83137466275</c:v>
                </c:pt>
                <c:pt idx="8">
                  <c:v>167627.35937784513</c:v>
                </c:pt>
                <c:pt idx="9">
                  <c:v>164435.14206189432</c:v>
                </c:pt>
                <c:pt idx="10">
                  <c:v>162740.43365066205</c:v>
                </c:pt>
                <c:pt idx="11">
                  <c:v>159137.1921793551</c:v>
                </c:pt>
                <c:pt idx="12">
                  <c:v>155226.37600771579</c:v>
                </c:pt>
                <c:pt idx="13">
                  <c:v>151109.06686651357</c:v>
                </c:pt>
                <c:pt idx="14">
                  <c:v>148275.82904752926</c:v>
                </c:pt>
                <c:pt idx="15">
                  <c:v>145362.1309254331</c:v>
                </c:pt>
                <c:pt idx="16">
                  <c:v>142593.8205491851</c:v>
                </c:pt>
                <c:pt idx="17">
                  <c:v>139502.34414611661</c:v>
                </c:pt>
                <c:pt idx="18">
                  <c:v>136841.79517772311</c:v>
                </c:pt>
                <c:pt idx="19">
                  <c:v>134082.70040917277</c:v>
                </c:pt>
                <c:pt idx="20">
                  <c:v>135943.47196668462</c:v>
                </c:pt>
                <c:pt idx="21">
                  <c:v>134603.68374474015</c:v>
                </c:pt>
                <c:pt idx="22">
                  <c:v>131474.6802810955</c:v>
                </c:pt>
                <c:pt idx="23">
                  <c:v>128306.78043330082</c:v>
                </c:pt>
                <c:pt idx="24">
                  <c:v>124877.82621366398</c:v>
                </c:pt>
                <c:pt idx="25">
                  <c:v>121646.20334936067</c:v>
                </c:pt>
                <c:pt idx="26">
                  <c:v>117929.84648162259</c:v>
                </c:pt>
                <c:pt idx="27">
                  <c:v>112794.38263515738</c:v>
                </c:pt>
                <c:pt idx="28">
                  <c:v>109917.15605031245</c:v>
                </c:pt>
                <c:pt idx="29">
                  <c:v>107505.52180232169</c:v>
                </c:pt>
                <c:pt idx="30">
                  <c:v>104467.83923845516</c:v>
                </c:pt>
                <c:pt idx="31">
                  <c:v>100083.25688498389</c:v>
                </c:pt>
                <c:pt idx="32">
                  <c:v>95573.728815575421</c:v>
                </c:pt>
                <c:pt idx="33">
                  <c:v>169468.82005007981</c:v>
                </c:pt>
                <c:pt idx="34">
                  <c:v>166425.6214123551</c:v>
                </c:pt>
                <c:pt idx="35">
                  <c:v>162523.93321749091</c:v>
                </c:pt>
                <c:pt idx="36">
                  <c:v>158392.51702303154</c:v>
                </c:pt>
                <c:pt idx="37">
                  <c:v>154243.00466454378</c:v>
                </c:pt>
                <c:pt idx="38">
                  <c:v>150047.52212363912</c:v>
                </c:pt>
                <c:pt idx="39">
                  <c:v>146009.90470580847</c:v>
                </c:pt>
                <c:pt idx="40">
                  <c:v>142206.23967918151</c:v>
                </c:pt>
                <c:pt idx="41">
                  <c:v>138481.4470354525</c:v>
                </c:pt>
                <c:pt idx="42">
                  <c:v>134725.60855821305</c:v>
                </c:pt>
                <c:pt idx="43">
                  <c:v>130711.75426875227</c:v>
                </c:pt>
                <c:pt idx="44">
                  <c:v>126922.62641047995</c:v>
                </c:pt>
                <c:pt idx="45">
                  <c:v>123190.91850528888</c:v>
                </c:pt>
                <c:pt idx="46">
                  <c:v>119651.39511254248</c:v>
                </c:pt>
                <c:pt idx="47">
                  <c:v>116135.72083749788</c:v>
                </c:pt>
                <c:pt idx="48">
                  <c:v>114780.00981471108</c:v>
                </c:pt>
                <c:pt idx="49">
                  <c:v>111931.82808740652</c:v>
                </c:pt>
                <c:pt idx="50">
                  <c:v>108654.01909486174</c:v>
                </c:pt>
                <c:pt idx="51">
                  <c:v>104858.31509030568</c:v>
                </c:pt>
                <c:pt idx="52">
                  <c:v>100274.9286230721</c:v>
                </c:pt>
                <c:pt idx="53">
                  <c:v>96091.824586844246</c:v>
                </c:pt>
                <c:pt idx="54">
                  <c:v>91988.170806339331</c:v>
                </c:pt>
                <c:pt idx="55">
                  <c:v>88075.874695683568</c:v>
                </c:pt>
                <c:pt idx="56">
                  <c:v>84119.968197370457</c:v>
                </c:pt>
                <c:pt idx="57">
                  <c:v>80170.515907154026</c:v>
                </c:pt>
                <c:pt idx="58">
                  <c:v>79835.514125695336</c:v>
                </c:pt>
                <c:pt idx="59">
                  <c:v>82300.700530499773</c:v>
                </c:pt>
                <c:pt idx="60">
                  <c:v>79995.443542384368</c:v>
                </c:pt>
                <c:pt idx="61">
                  <c:v>77450.032731014187</c:v>
                </c:pt>
                <c:pt idx="62">
                  <c:v>74440.164430167235</c:v>
                </c:pt>
                <c:pt idx="63">
                  <c:v>70800.467308594933</c:v>
                </c:pt>
                <c:pt idx="64">
                  <c:v>67390.023637171907</c:v>
                </c:pt>
                <c:pt idx="65">
                  <c:v>62489.245039029527</c:v>
                </c:pt>
                <c:pt idx="66">
                  <c:v>55392.823162519846</c:v>
                </c:pt>
                <c:pt idx="67">
                  <c:v>48910.012969009629</c:v>
                </c:pt>
                <c:pt idx="68">
                  <c:v>44077.915518915412</c:v>
                </c:pt>
                <c:pt idx="69">
                  <c:v>40526.296158566423</c:v>
                </c:pt>
                <c:pt idx="70">
                  <c:v>37638.306771710304</c:v>
                </c:pt>
                <c:pt idx="71">
                  <c:v>35792.110681105696</c:v>
                </c:pt>
                <c:pt idx="72">
                  <c:v>34636.37727311565</c:v>
                </c:pt>
                <c:pt idx="73">
                  <c:v>33568.370266413353</c:v>
                </c:pt>
                <c:pt idx="74">
                  <c:v>32538.564893524661</c:v>
                </c:pt>
                <c:pt idx="75">
                  <c:v>30712.754300120236</c:v>
                </c:pt>
                <c:pt idx="76">
                  <c:v>28688.364523050346</c:v>
                </c:pt>
                <c:pt idx="77">
                  <c:v>26820.278391719996</c:v>
                </c:pt>
                <c:pt idx="78">
                  <c:v>25225.702820888298</c:v>
                </c:pt>
                <c:pt idx="79">
                  <c:v>23979.924710149062</c:v>
                </c:pt>
                <c:pt idx="80">
                  <c:v>22888.476483113791</c:v>
                </c:pt>
                <c:pt idx="81">
                  <c:v>22078.050491996462</c:v>
                </c:pt>
                <c:pt idx="82">
                  <c:v>21249.126713246606</c:v>
                </c:pt>
                <c:pt idx="83">
                  <c:v>20442.996922775063</c:v>
                </c:pt>
                <c:pt idx="84">
                  <c:v>19761.578374170775</c:v>
                </c:pt>
                <c:pt idx="85">
                  <c:v>19629.334554875873</c:v>
                </c:pt>
                <c:pt idx="86">
                  <c:v>18995.783249573753</c:v>
                </c:pt>
                <c:pt idx="87">
                  <c:v>18347.085971215794</c:v>
                </c:pt>
                <c:pt idx="88">
                  <c:v>17764.312043862301</c:v>
                </c:pt>
                <c:pt idx="89">
                  <c:v>17159.290733026261</c:v>
                </c:pt>
                <c:pt idx="90">
                  <c:v>16499.822544435912</c:v>
                </c:pt>
                <c:pt idx="91">
                  <c:v>15883.346149700894</c:v>
                </c:pt>
                <c:pt idx="92">
                  <c:v>15275.388515853003</c:v>
                </c:pt>
                <c:pt idx="93">
                  <c:v>14672.808817642397</c:v>
                </c:pt>
                <c:pt idx="94">
                  <c:v>14077.034870078514</c:v>
                </c:pt>
                <c:pt idx="95">
                  <c:v>13462.809489876021</c:v>
                </c:pt>
                <c:pt idx="96">
                  <c:v>12846.302922875344</c:v>
                </c:pt>
                <c:pt idx="97">
                  <c:v>12262.169093741029</c:v>
                </c:pt>
                <c:pt idx="98">
                  <c:v>11659.266953017896</c:v>
                </c:pt>
                <c:pt idx="99">
                  <c:v>11072.87426656798</c:v>
                </c:pt>
                <c:pt idx="100">
                  <c:v>10495.488473819527</c:v>
                </c:pt>
                <c:pt idx="101">
                  <c:v>9942.0140624649339</c:v>
                </c:pt>
                <c:pt idx="102">
                  <c:v>9404.2538868370302</c:v>
                </c:pt>
                <c:pt idx="103">
                  <c:v>8860.8569326855595</c:v>
                </c:pt>
                <c:pt idx="104">
                  <c:v>8332.5927232642716</c:v>
                </c:pt>
                <c:pt idx="105">
                  <c:v>7843.8751557109681</c:v>
                </c:pt>
                <c:pt idx="106">
                  <c:v>7342.923252321466</c:v>
                </c:pt>
                <c:pt idx="107">
                  <c:v>6853.0184968359035</c:v>
                </c:pt>
                <c:pt idx="108">
                  <c:v>6395.0446885748051</c:v>
                </c:pt>
                <c:pt idx="109">
                  <c:v>5946.3967957704672</c:v>
                </c:pt>
                <c:pt idx="110">
                  <c:v>5562.5751875218048</c:v>
                </c:pt>
                <c:pt idx="111">
                  <c:v>5169.1593724916911</c:v>
                </c:pt>
                <c:pt idx="112">
                  <c:v>4794.1062092479433</c:v>
                </c:pt>
                <c:pt idx="113">
                  <c:v>4456.0128635920501</c:v>
                </c:pt>
                <c:pt idx="114">
                  <c:v>4157.3168341133096</c:v>
                </c:pt>
                <c:pt idx="115">
                  <c:v>3847.2294224651755</c:v>
                </c:pt>
                <c:pt idx="116">
                  <c:v>3527.4885318184542</c:v>
                </c:pt>
                <c:pt idx="117">
                  <c:v>3244.0184899333617</c:v>
                </c:pt>
                <c:pt idx="118">
                  <c:v>2947.3422389538046</c:v>
                </c:pt>
                <c:pt idx="119">
                  <c:v>2685.3133081083033</c:v>
                </c:pt>
                <c:pt idx="120">
                  <c:v>2447.9190535126536</c:v>
                </c:pt>
                <c:pt idx="121">
                  <c:v>2195.9062951952033</c:v>
                </c:pt>
                <c:pt idx="122">
                  <c:v>1980.3714887097226</c:v>
                </c:pt>
                <c:pt idx="123">
                  <c:v>1791.2465742196744</c:v>
                </c:pt>
                <c:pt idx="124">
                  <c:v>1615.8209183760364</c:v>
                </c:pt>
                <c:pt idx="125">
                  <c:v>1444.3497792666051</c:v>
                </c:pt>
                <c:pt idx="126">
                  <c:v>1326.1727353008923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D8-7246-9BAC-8A9EE2E4A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2518704"/>
        <c:axId val="-2012513712"/>
      </c:scatterChart>
      <c:valAx>
        <c:axId val="-201251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ET (mm/d)</a:t>
                </a:r>
              </a:p>
            </c:rich>
          </c:tx>
          <c:layout>
            <c:manualLayout>
              <c:xMode val="edge"/>
              <c:yMode val="edge"/>
              <c:x val="0.46295248170058501"/>
              <c:y val="0.915795369468453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-2012513712"/>
        <c:crosses val="autoZero"/>
        <c:crossBetween val="midCat"/>
      </c:valAx>
      <c:valAx>
        <c:axId val="-2012513712"/>
        <c:scaling>
          <c:orientation val="minMax"/>
          <c:max val="2000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Tank</a:t>
                </a:r>
                <a:r>
                  <a:rPr lang="en-CA" sz="1200" baseline="0"/>
                  <a:t> Surface Area (m2)</a:t>
                </a:r>
                <a:endParaRPr lang="en-CA" sz="1200"/>
              </a:p>
            </c:rich>
          </c:tx>
          <c:layout>
            <c:manualLayout>
              <c:xMode val="edge"/>
              <c:yMode val="edge"/>
              <c:x val="0"/>
              <c:y val="0.19968016853322701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-2012518704"/>
        <c:crosses val="autoZero"/>
        <c:crossBetween val="midCat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912367560918401"/>
          <c:y val="6.2228584974849399E-2"/>
          <c:w val="0.75424785202738598"/>
          <c:h val="0.752687295813671"/>
        </c:manualLayout>
      </c:layout>
      <c:scatterChart>
        <c:scatterStyle val="lineMarker"/>
        <c:varyColors val="0"/>
        <c:ser>
          <c:idx val="3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930948215159599"/>
                  <c:y val="-0.54036230484231595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'Figs 6 &amp; 7'!$BM$8:$BM$134</c:f>
              <c:numCache>
                <c:formatCode>0.00E+00</c:formatCode>
                <c:ptCount val="127"/>
                <c:pt idx="21">
                  <c:v>1.6585651357708329</c:v>
                </c:pt>
                <c:pt idx="22">
                  <c:v>5.0300891166176882</c:v>
                </c:pt>
                <c:pt idx="23">
                  <c:v>5.4460730611384447</c:v>
                </c:pt>
                <c:pt idx="24">
                  <c:v>6.4615081580370815</c:v>
                </c:pt>
                <c:pt idx="25">
                  <c:v>7.2779673371691906</c:v>
                </c:pt>
                <c:pt idx="26">
                  <c:v>7.9089586143746704</c:v>
                </c:pt>
                <c:pt idx="27">
                  <c:v>0.19678711868142962</c:v>
                </c:pt>
                <c:pt idx="28">
                  <c:v>19.52266768931953</c:v>
                </c:pt>
                <c:pt idx="29">
                  <c:v>1.9521287207485416</c:v>
                </c:pt>
                <c:pt idx="30">
                  <c:v>8.3234958809075401</c:v>
                </c:pt>
                <c:pt idx="31">
                  <c:v>7.7128016013372918</c:v>
                </c:pt>
                <c:pt idx="34">
                  <c:v>12.188566849016436</c:v>
                </c:pt>
                <c:pt idx="36">
                  <c:v>3.68473381447048</c:v>
                </c:pt>
                <c:pt idx="37">
                  <c:v>3.9779088951816188</c:v>
                </c:pt>
                <c:pt idx="38">
                  <c:v>7.2395880989171157</c:v>
                </c:pt>
                <c:pt idx="39">
                  <c:v>2.6246771030360927</c:v>
                </c:pt>
                <c:pt idx="40">
                  <c:v>4.967806403584456</c:v>
                </c:pt>
                <c:pt idx="41">
                  <c:v>9.9056349944298958</c:v>
                </c:pt>
                <c:pt idx="42">
                  <c:v>13.124205006396197</c:v>
                </c:pt>
                <c:pt idx="43">
                  <c:v>11.354903689158597</c:v>
                </c:pt>
                <c:pt idx="44">
                  <c:v>7.5643983644391044</c:v>
                </c:pt>
                <c:pt idx="45">
                  <c:v>1.2635025645620805</c:v>
                </c:pt>
                <c:pt idx="46">
                  <c:v>19.059113706474776</c:v>
                </c:pt>
                <c:pt idx="47">
                  <c:v>0</c:v>
                </c:pt>
                <c:pt idx="48">
                  <c:v>0</c:v>
                </c:pt>
                <c:pt idx="49">
                  <c:v>16.139936104961617</c:v>
                </c:pt>
                <c:pt idx="50">
                  <c:v>16.31084212079902</c:v>
                </c:pt>
                <c:pt idx="51">
                  <c:v>15.475626424453461</c:v>
                </c:pt>
                <c:pt idx="54">
                  <c:v>9.8214158938094887</c:v>
                </c:pt>
                <c:pt idx="55">
                  <c:v>7.4038416525147994</c:v>
                </c:pt>
                <c:pt idx="56">
                  <c:v>11.739054072428887</c:v>
                </c:pt>
                <c:pt idx="59">
                  <c:v>16.97642227576214</c:v>
                </c:pt>
                <c:pt idx="60">
                  <c:v>14.633469582525635</c:v>
                </c:pt>
                <c:pt idx="61">
                  <c:v>3.881041103000582</c:v>
                </c:pt>
                <c:pt idx="62">
                  <c:v>12.125323921844091</c:v>
                </c:pt>
                <c:pt idx="63">
                  <c:v>14.178863663943034</c:v>
                </c:pt>
                <c:pt idx="64">
                  <c:v>13.864719608730855</c:v>
                </c:pt>
                <c:pt idx="65">
                  <c:v>14.988103947198576</c:v>
                </c:pt>
                <c:pt idx="66">
                  <c:v>7.1445479938524734</c:v>
                </c:pt>
                <c:pt idx="67">
                  <c:v>9.4542962996330484</c:v>
                </c:pt>
                <c:pt idx="68">
                  <c:v>9.1387785487058455</c:v>
                </c:pt>
                <c:pt idx="69">
                  <c:v>12.330872370413022</c:v>
                </c:pt>
                <c:pt idx="70">
                  <c:v>9.9915878758857151</c:v>
                </c:pt>
                <c:pt idx="71">
                  <c:v>18.052314560637839</c:v>
                </c:pt>
                <c:pt idx="72">
                  <c:v>17.564466916577235</c:v>
                </c:pt>
                <c:pt idx="73">
                  <c:v>10.562354233999622</c:v>
                </c:pt>
                <c:pt idx="74">
                  <c:v>20.297711641568249</c:v>
                </c:pt>
                <c:pt idx="75">
                  <c:v>15.833074083071114</c:v>
                </c:pt>
                <c:pt idx="76">
                  <c:v>18.271757383377778</c:v>
                </c:pt>
                <c:pt idx="78">
                  <c:v>15.108429813972871</c:v>
                </c:pt>
                <c:pt idx="79">
                  <c:v>13.598536216673907</c:v>
                </c:pt>
                <c:pt idx="80">
                  <c:v>10.188798117216297</c:v>
                </c:pt>
                <c:pt idx="81">
                  <c:v>12.101569241977819</c:v>
                </c:pt>
                <c:pt idx="82">
                  <c:v>13.037782927901901</c:v>
                </c:pt>
                <c:pt idx="83">
                  <c:v>6.9322538265863409</c:v>
                </c:pt>
                <c:pt idx="84">
                  <c:v>18.01141121739796</c:v>
                </c:pt>
                <c:pt idx="85">
                  <c:v>7.0900229564585562</c:v>
                </c:pt>
                <c:pt idx="86">
                  <c:v>10.400035337434018</c:v>
                </c:pt>
                <c:pt idx="87">
                  <c:v>13.238658784402546</c:v>
                </c:pt>
                <c:pt idx="88">
                  <c:v>13.610254078527262</c:v>
                </c:pt>
                <c:pt idx="89">
                  <c:v>15.166269660997898</c:v>
                </c:pt>
                <c:pt idx="90">
                  <c:v>8.6899404062743972</c:v>
                </c:pt>
                <c:pt idx="91">
                  <c:v>11.525303070807176</c:v>
                </c:pt>
                <c:pt idx="92">
                  <c:v>13.021303071592927</c:v>
                </c:pt>
                <c:pt idx="93">
                  <c:v>8.9627190684616593</c:v>
                </c:pt>
                <c:pt idx="94">
                  <c:v>13.539730981544821</c:v>
                </c:pt>
                <c:pt idx="95">
                  <c:v>14.625706289218307</c:v>
                </c:pt>
                <c:pt idx="96">
                  <c:v>15.343625296907884</c:v>
                </c:pt>
                <c:pt idx="97">
                  <c:v>15.762308821818454</c:v>
                </c:pt>
                <c:pt idx="98">
                  <c:v>16.887068455766354</c:v>
                </c:pt>
                <c:pt idx="99">
                  <c:v>21.375411633211034</c:v>
                </c:pt>
                <c:pt idx="100">
                  <c:v>17.951118699691591</c:v>
                </c:pt>
                <c:pt idx="101">
                  <c:v>25.013630416590189</c:v>
                </c:pt>
                <c:pt idx="102">
                  <c:v>23.921554654690258</c:v>
                </c:pt>
                <c:pt idx="103">
                  <c:v>25.572727792239853</c:v>
                </c:pt>
                <c:pt idx="104">
                  <c:v>23.280124599787943</c:v>
                </c:pt>
                <c:pt idx="105">
                  <c:v>24.104952244421863</c:v>
                </c:pt>
                <c:pt idx="106">
                  <c:v>22.093423156321975</c:v>
                </c:pt>
                <c:pt idx="107">
                  <c:v>22.297045694880708</c:v>
                </c:pt>
                <c:pt idx="108">
                  <c:v>20.746051541874504</c:v>
                </c:pt>
                <c:pt idx="109">
                  <c:v>19.230836567563841</c:v>
                </c:pt>
                <c:pt idx="110">
                  <c:v>21.514118987745086</c:v>
                </c:pt>
                <c:pt idx="111">
                  <c:v>27.140087534159175</c:v>
                </c:pt>
                <c:pt idx="112">
                  <c:v>27.970240921075458</c:v>
                </c:pt>
                <c:pt idx="113">
                  <c:v>33.548697135703321</c:v>
                </c:pt>
                <c:pt idx="114">
                  <c:v>31.56199062011116</c:v>
                </c:pt>
                <c:pt idx="115">
                  <c:v>30.57149248981424</c:v>
                </c:pt>
                <c:pt idx="116">
                  <c:v>30.237069677519894</c:v>
                </c:pt>
                <c:pt idx="117">
                  <c:v>31.647873412796908</c:v>
                </c:pt>
                <c:pt idx="118">
                  <c:v>30.659089074528421</c:v>
                </c:pt>
                <c:pt idx="119">
                  <c:v>21.100056911966103</c:v>
                </c:pt>
                <c:pt idx="120">
                  <c:v>21.253930632326004</c:v>
                </c:pt>
                <c:pt idx="121">
                  <c:v>13.098718156276622</c:v>
                </c:pt>
                <c:pt idx="122">
                  <c:v>17.200570213952172</c:v>
                </c:pt>
                <c:pt idx="123">
                  <c:v>18.625107621505514</c:v>
                </c:pt>
                <c:pt idx="124">
                  <c:v>16.272419124615318</c:v>
                </c:pt>
                <c:pt idx="125">
                  <c:v>14.367954303434827</c:v>
                </c:pt>
                <c:pt idx="126">
                  <c:v>23.687630165354314</c:v>
                </c:pt>
              </c:numCache>
            </c:numRef>
          </c:xVal>
          <c:yVal>
            <c:numRef>
              <c:f>'Figs 6 &amp; 7'!$CT$7:$CT$134</c:f>
              <c:numCache>
                <c:formatCode>0</c:formatCode>
                <c:ptCount val="128"/>
                <c:pt idx="0">
                  <c:v>91406.617200152745</c:v>
                </c:pt>
                <c:pt idx="1">
                  <c:v>104745.48976641474</c:v>
                </c:pt>
                <c:pt idx="2">
                  <c:v>115630.59489258809</c:v>
                </c:pt>
                <c:pt idx="3">
                  <c:v>122701.15242268812</c:v>
                </c:pt>
                <c:pt idx="4">
                  <c:v>138303.76114268778</c:v>
                </c:pt>
                <c:pt idx="5">
                  <c:v>144414.10030668529</c:v>
                </c:pt>
                <c:pt idx="6">
                  <c:v>142313.34371914095</c:v>
                </c:pt>
                <c:pt idx="7">
                  <c:v>139152.17238096253</c:v>
                </c:pt>
                <c:pt idx="8">
                  <c:v>135994.16407751772</c:v>
                </c:pt>
                <c:pt idx="9">
                  <c:v>132699.661547667</c:v>
                </c:pt>
                <c:pt idx="10">
                  <c:v>129387.74467579401</c:v>
                </c:pt>
                <c:pt idx="11">
                  <c:v>126994.06286404666</c:v>
                </c:pt>
                <c:pt idx="12">
                  <c:v>123844.72811572906</c:v>
                </c:pt>
                <c:pt idx="13">
                  <c:v>121070.26414495675</c:v>
                </c:pt>
                <c:pt idx="14">
                  <c:v>119450.43670062639</c:v>
                </c:pt>
                <c:pt idx="15">
                  <c:v>116822.10577398035</c:v>
                </c:pt>
                <c:pt idx="16">
                  <c:v>113881.30045951577</c:v>
                </c:pt>
                <c:pt idx="17">
                  <c:v>110997.03707205753</c:v>
                </c:pt>
                <c:pt idx="18">
                  <c:v>109148.36165470969</c:v>
                </c:pt>
                <c:pt idx="19">
                  <c:v>107234.6991310844</c:v>
                </c:pt>
                <c:pt idx="20">
                  <c:v>107069.92066270563</c:v>
                </c:pt>
                <c:pt idx="21">
                  <c:v>105737.48717009765</c:v>
                </c:pt>
                <c:pt idx="22">
                  <c:v>103857.60446823553</c:v>
                </c:pt>
                <c:pt idx="23">
                  <c:v>101762.25914628679</c:v>
                </c:pt>
                <c:pt idx="24">
                  <c:v>99559.080431165668</c:v>
                </c:pt>
                <c:pt idx="25">
                  <c:v>97472.133513332708</c:v>
                </c:pt>
                <c:pt idx="26">
                  <c:v>95302.036584198926</c:v>
                </c:pt>
                <c:pt idx="27">
                  <c:v>93108.196154399266</c:v>
                </c:pt>
                <c:pt idx="28">
                  <c:v>91313.677200865495</c:v>
                </c:pt>
                <c:pt idx="29">
                  <c:v>89704.501397048793</c:v>
                </c:pt>
                <c:pt idx="30">
                  <c:v>87803.656083444512</c:v>
                </c:pt>
                <c:pt idx="31">
                  <c:v>85684.153624727041</c:v>
                </c:pt>
                <c:pt idx="32">
                  <c:v>83633.453268840574</c:v>
                </c:pt>
                <c:pt idx="33">
                  <c:v>126809.87806528073</c:v>
                </c:pt>
                <c:pt idx="34">
                  <c:v>126390.56860542118</c:v>
                </c:pt>
                <c:pt idx="35">
                  <c:v>124143.64996844404</c:v>
                </c:pt>
                <c:pt idx="36">
                  <c:v>121768.13112263801</c:v>
                </c:pt>
                <c:pt idx="37">
                  <c:v>119374.12376227841</c:v>
                </c:pt>
                <c:pt idx="38">
                  <c:v>117165.29023967181</c:v>
                </c:pt>
                <c:pt idx="39">
                  <c:v>114768.24433292843</c:v>
                </c:pt>
                <c:pt idx="40">
                  <c:v>112435.20992574639</c:v>
                </c:pt>
                <c:pt idx="41">
                  <c:v>110206.13739595813</c:v>
                </c:pt>
                <c:pt idx="42">
                  <c:v>108177.35491152931</c:v>
                </c:pt>
                <c:pt idx="43">
                  <c:v>105600.97437538764</c:v>
                </c:pt>
                <c:pt idx="44">
                  <c:v>103172.82332188201</c:v>
                </c:pt>
                <c:pt idx="45">
                  <c:v>101305.09278371341</c:v>
                </c:pt>
                <c:pt idx="46">
                  <c:v>99816.966118984434</c:v>
                </c:pt>
                <c:pt idx="47">
                  <c:v>97842.835378023723</c:v>
                </c:pt>
                <c:pt idx="48">
                  <c:v>97097.0593676649</c:v>
                </c:pt>
                <c:pt idx="49">
                  <c:v>95617.864694241041</c:v>
                </c:pt>
                <c:pt idx="50">
                  <c:v>93981.943618657373</c:v>
                </c:pt>
                <c:pt idx="51">
                  <c:v>92050.013670390967</c:v>
                </c:pt>
                <c:pt idx="52">
                  <c:v>89985.441626155269</c:v>
                </c:pt>
                <c:pt idx="53">
                  <c:v>88464.998621104736</c:v>
                </c:pt>
                <c:pt idx="54">
                  <c:v>87099.640942482903</c:v>
                </c:pt>
                <c:pt idx="55">
                  <c:v>85145.324322079847</c:v>
                </c:pt>
                <c:pt idx="56">
                  <c:v>83394.982264264603</c:v>
                </c:pt>
                <c:pt idx="57">
                  <c:v>81283.460745780059</c:v>
                </c:pt>
                <c:pt idx="58">
                  <c:v>80910.914141853311</c:v>
                </c:pt>
                <c:pt idx="59">
                  <c:v>81551.499003104051</c:v>
                </c:pt>
                <c:pt idx="60">
                  <c:v>80633.531828899548</c:v>
                </c:pt>
                <c:pt idx="61">
                  <c:v>79118.137595055436</c:v>
                </c:pt>
                <c:pt idx="62">
                  <c:v>77774.1169120501</c:v>
                </c:pt>
                <c:pt idx="63">
                  <c:v>75994.053821532318</c:v>
                </c:pt>
                <c:pt idx="64">
                  <c:v>74177.754242322946</c:v>
                </c:pt>
                <c:pt idx="65">
                  <c:v>72255.803248609591</c:v>
                </c:pt>
                <c:pt idx="66">
                  <c:v>70234.187279230231</c:v>
                </c:pt>
                <c:pt idx="67">
                  <c:v>68188.819510811052</c:v>
                </c:pt>
                <c:pt idx="68">
                  <c:v>66685.099432119459</c:v>
                </c:pt>
                <c:pt idx="69">
                  <c:v>65248.163033948644</c:v>
                </c:pt>
                <c:pt idx="70">
                  <c:v>63709.293218585954</c:v>
                </c:pt>
                <c:pt idx="71">
                  <c:v>62266.857149561692</c:v>
                </c:pt>
                <c:pt idx="72">
                  <c:v>60649.917599183893</c:v>
                </c:pt>
                <c:pt idx="73">
                  <c:v>58965.97284253846</c:v>
                </c:pt>
                <c:pt idx="74">
                  <c:v>57297.821265892955</c:v>
                </c:pt>
                <c:pt idx="75">
                  <c:v>55756.829335070914</c:v>
                </c:pt>
                <c:pt idx="76">
                  <c:v>53978.316965056962</c:v>
                </c:pt>
                <c:pt idx="77">
                  <c:v>52022.450150795252</c:v>
                </c:pt>
                <c:pt idx="78">
                  <c:v>50703.923479969009</c:v>
                </c:pt>
                <c:pt idx="79">
                  <c:v>49516.272679751863</c:v>
                </c:pt>
                <c:pt idx="80">
                  <c:v>48406.554096497945</c:v>
                </c:pt>
                <c:pt idx="81">
                  <c:v>47297.993879199312</c:v>
                </c:pt>
                <c:pt idx="82">
                  <c:v>46115.059824753596</c:v>
                </c:pt>
                <c:pt idx="83">
                  <c:v>44935.055529652003</c:v>
                </c:pt>
                <c:pt idx="84">
                  <c:v>44033.074659239319</c:v>
                </c:pt>
                <c:pt idx="85">
                  <c:v>43422.669197206385</c:v>
                </c:pt>
                <c:pt idx="86">
                  <c:v>42458.776899379773</c:v>
                </c:pt>
                <c:pt idx="87">
                  <c:v>41479.263788799421</c:v>
                </c:pt>
                <c:pt idx="88">
                  <c:v>40429.703001468297</c:v>
                </c:pt>
                <c:pt idx="89">
                  <c:v>39410.43958545124</c:v>
                </c:pt>
                <c:pt idx="90">
                  <c:v>38442.238869605033</c:v>
                </c:pt>
                <c:pt idx="91">
                  <c:v>37563.587287391085</c:v>
                </c:pt>
                <c:pt idx="92">
                  <c:v>36571.565301389855</c:v>
                </c:pt>
                <c:pt idx="93">
                  <c:v>35682.437209028554</c:v>
                </c:pt>
                <c:pt idx="94">
                  <c:v>34917.837337130804</c:v>
                </c:pt>
                <c:pt idx="95">
                  <c:v>34131.256421658269</c:v>
                </c:pt>
                <c:pt idx="96">
                  <c:v>33355.285017463371</c:v>
                </c:pt>
                <c:pt idx="97">
                  <c:v>32618.444111894762</c:v>
                </c:pt>
                <c:pt idx="98">
                  <c:v>31834.547208442884</c:v>
                </c:pt>
                <c:pt idx="99">
                  <c:v>31105.51615152623</c:v>
                </c:pt>
                <c:pt idx="100">
                  <c:v>30414.039160132117</c:v>
                </c:pt>
                <c:pt idx="101">
                  <c:v>29701.508072304361</c:v>
                </c:pt>
                <c:pt idx="102">
                  <c:v>29059.007394960205</c:v>
                </c:pt>
                <c:pt idx="103">
                  <c:v>28393.263082757258</c:v>
                </c:pt>
                <c:pt idx="104">
                  <c:v>27718.472018473924</c:v>
                </c:pt>
                <c:pt idx="105">
                  <c:v>27076.386549723848</c:v>
                </c:pt>
                <c:pt idx="106">
                  <c:v>26428.124210320137</c:v>
                </c:pt>
                <c:pt idx="107">
                  <c:v>25792.64201701487</c:v>
                </c:pt>
                <c:pt idx="108">
                  <c:v>25166.838859820142</c:v>
                </c:pt>
                <c:pt idx="109">
                  <c:v>24585.319538519441</c:v>
                </c:pt>
                <c:pt idx="110">
                  <c:v>24004.38527051366</c:v>
                </c:pt>
                <c:pt idx="111">
                  <c:v>23346.278371555367</c:v>
                </c:pt>
                <c:pt idx="112">
                  <c:v>22792.248749956863</c:v>
                </c:pt>
                <c:pt idx="113">
                  <c:v>22220.935038996155</c:v>
                </c:pt>
                <c:pt idx="114">
                  <c:v>21614.541462270416</c:v>
                </c:pt>
                <c:pt idx="115">
                  <c:v>21037.305170326264</c:v>
                </c:pt>
                <c:pt idx="116">
                  <c:v>20457.281197470802</c:v>
                </c:pt>
                <c:pt idx="117">
                  <c:v>19883.108525886615</c:v>
                </c:pt>
                <c:pt idx="118">
                  <c:v>19351.234817400567</c:v>
                </c:pt>
                <c:pt idx="119">
                  <c:v>18816.868046196283</c:v>
                </c:pt>
                <c:pt idx="120">
                  <c:v>18291.033643915409</c:v>
                </c:pt>
                <c:pt idx="121">
                  <c:v>17708.990931808275</c:v>
                </c:pt>
                <c:pt idx="122">
                  <c:v>17213.330105578621</c:v>
                </c:pt>
                <c:pt idx="123">
                  <c:v>16731.714931386508</c:v>
                </c:pt>
                <c:pt idx="124">
                  <c:v>16230.151859808133</c:v>
                </c:pt>
                <c:pt idx="125">
                  <c:v>15707.408356784967</c:v>
                </c:pt>
                <c:pt idx="126">
                  <c:v>15370.71453021052</c:v>
                </c:pt>
                <c:pt idx="127">
                  <c:v>14853.944298189826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24-0144-B11B-9D2467AE1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2288288"/>
        <c:axId val="-2013005552"/>
      </c:scatterChart>
      <c:valAx>
        <c:axId val="-201228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ET (mm/d)</a:t>
                </a:r>
              </a:p>
            </c:rich>
          </c:tx>
          <c:layout>
            <c:manualLayout>
              <c:xMode val="edge"/>
              <c:yMode val="edge"/>
              <c:x val="0.442121830932177"/>
              <c:y val="0.9155918661218579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-2013005552"/>
        <c:crosses val="autoZero"/>
        <c:crossBetween val="midCat"/>
      </c:valAx>
      <c:valAx>
        <c:axId val="-2013005552"/>
        <c:scaling>
          <c:orientation val="minMax"/>
          <c:max val="1500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Tank Surface Area (m2)</a:t>
                </a:r>
              </a:p>
            </c:rich>
          </c:tx>
          <c:layout>
            <c:manualLayout>
              <c:xMode val="edge"/>
              <c:yMode val="edge"/>
              <c:x val="0"/>
              <c:y val="0.244159437628054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crossAx val="-2012288288"/>
        <c:crosses val="autoZero"/>
        <c:crossBetween val="midCat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932322647794401"/>
          <c:y val="4.33893231082432E-2"/>
          <c:w val="0.78441639408102304"/>
          <c:h val="0.78654924227638401"/>
        </c:manualLayout>
      </c:layout>
      <c:scatterChart>
        <c:scatterStyle val="lineMarker"/>
        <c:varyColors val="0"/>
        <c:ser>
          <c:idx val="3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6803025917362099"/>
                  <c:y val="-0.28406490870383799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'Figs 6 &amp; 7'!$BL$8:$BL$134</c:f>
              <c:numCache>
                <c:formatCode>0.00E+00</c:formatCode>
                <c:ptCount val="127"/>
                <c:pt idx="16">
                  <c:v>6.7081094572806998</c:v>
                </c:pt>
                <c:pt idx="17">
                  <c:v>3.5660727242339609</c:v>
                </c:pt>
                <c:pt idx="21">
                  <c:v>13.929211289615818</c:v>
                </c:pt>
                <c:pt idx="23">
                  <c:v>0.45622690729337989</c:v>
                </c:pt>
                <c:pt idx="24">
                  <c:v>2.2842773888058083</c:v>
                </c:pt>
                <c:pt idx="25">
                  <c:v>0.40381349101598074</c:v>
                </c:pt>
                <c:pt idx="26">
                  <c:v>3.9514201528352695</c:v>
                </c:pt>
                <c:pt idx="27">
                  <c:v>1.4358640417591675</c:v>
                </c:pt>
                <c:pt idx="29">
                  <c:v>2.1607441053631131</c:v>
                </c:pt>
                <c:pt idx="30">
                  <c:v>18.104911265523505</c:v>
                </c:pt>
                <c:pt idx="31">
                  <c:v>17.050955447491869</c:v>
                </c:pt>
                <c:pt idx="33">
                  <c:v>2.2640113983796697</c:v>
                </c:pt>
                <c:pt idx="34">
                  <c:v>27.670413002864237</c:v>
                </c:pt>
                <c:pt idx="35">
                  <c:v>1.1296339831168603</c:v>
                </c:pt>
                <c:pt idx="36">
                  <c:v>0.30319535293069078</c:v>
                </c:pt>
                <c:pt idx="37">
                  <c:v>0.7376012028741108</c:v>
                </c:pt>
                <c:pt idx="40">
                  <c:v>1.6010371728157646</c:v>
                </c:pt>
                <c:pt idx="41">
                  <c:v>7.5247119175056065</c:v>
                </c:pt>
                <c:pt idx="43">
                  <c:v>0.79305753531287715</c:v>
                </c:pt>
                <c:pt idx="45">
                  <c:v>1.9662717953308206</c:v>
                </c:pt>
                <c:pt idx="46">
                  <c:v>20.84471370647503</c:v>
                </c:pt>
                <c:pt idx="47">
                  <c:v>14.201230329265492</c:v>
                </c:pt>
                <c:pt idx="48">
                  <c:v>15.70562393216983</c:v>
                </c:pt>
                <c:pt idx="49">
                  <c:v>9.4060899511142981</c:v>
                </c:pt>
                <c:pt idx="50">
                  <c:v>7.0099190438768355</c:v>
                </c:pt>
                <c:pt idx="51">
                  <c:v>15.302703347529086</c:v>
                </c:pt>
                <c:pt idx="52">
                  <c:v>9.612035698925224</c:v>
                </c:pt>
                <c:pt idx="53">
                  <c:v>9.5496827301432035</c:v>
                </c:pt>
                <c:pt idx="54">
                  <c:v>7.7854158938095814</c:v>
                </c:pt>
                <c:pt idx="55">
                  <c:v>16.663533960207133</c:v>
                </c:pt>
                <c:pt idx="56">
                  <c:v>13.080900226274739</c:v>
                </c:pt>
                <c:pt idx="59">
                  <c:v>6.1315607373006937</c:v>
                </c:pt>
                <c:pt idx="60">
                  <c:v>8.0822695825259707</c:v>
                </c:pt>
                <c:pt idx="61">
                  <c:v>11.890825718384409</c:v>
                </c:pt>
                <c:pt idx="62">
                  <c:v>13.0802162295365</c:v>
                </c:pt>
                <c:pt idx="63">
                  <c:v>15.367786740865645</c:v>
                </c:pt>
                <c:pt idx="65">
                  <c:v>9.1077962548903635</c:v>
                </c:pt>
                <c:pt idx="66">
                  <c:v>8.8485479938523977</c:v>
                </c:pt>
                <c:pt idx="68">
                  <c:v>12.332009317936418</c:v>
                </c:pt>
                <c:pt idx="69">
                  <c:v>13.120103139643287</c:v>
                </c:pt>
                <c:pt idx="70">
                  <c:v>5.6885109528085724</c:v>
                </c:pt>
                <c:pt idx="71">
                  <c:v>13.119391483716019</c:v>
                </c:pt>
                <c:pt idx="72">
                  <c:v>17.09923614734527</c:v>
                </c:pt>
                <c:pt idx="73">
                  <c:v>24.024815772460922</c:v>
                </c:pt>
                <c:pt idx="74">
                  <c:v>3.6887885646462792</c:v>
                </c:pt>
                <c:pt idx="75">
                  <c:v>31.269566390762662</c:v>
                </c:pt>
                <c:pt idx="76">
                  <c:v>27.576988152609179</c:v>
                </c:pt>
                <c:pt idx="77">
                  <c:v>3.0926666237253815</c:v>
                </c:pt>
                <c:pt idx="78">
                  <c:v>12.863322121666169</c:v>
                </c:pt>
                <c:pt idx="79">
                  <c:v>16.525797755135613</c:v>
                </c:pt>
                <c:pt idx="80">
                  <c:v>14.501598117216375</c:v>
                </c:pt>
                <c:pt idx="81">
                  <c:v>13.625630780439854</c:v>
                </c:pt>
                <c:pt idx="85">
                  <c:v>28.915561417997175</c:v>
                </c:pt>
                <c:pt idx="86">
                  <c:v>12.121573798971742</c:v>
                </c:pt>
              </c:numCache>
            </c:numRef>
          </c:xVal>
          <c:yVal>
            <c:numRef>
              <c:f>'Figs 6 &amp; 7'!$CS$8:$CS$134</c:f>
              <c:numCache>
                <c:formatCode>0</c:formatCode>
                <c:ptCount val="127"/>
                <c:pt idx="0">
                  <c:v>412148.13343300053</c:v>
                </c:pt>
                <c:pt idx="1">
                  <c:v>449826.41771272925</c:v>
                </c:pt>
                <c:pt idx="2">
                  <c:v>472839.34630679234</c:v>
                </c:pt>
                <c:pt idx="3">
                  <c:v>501219.07334035716</c:v>
                </c:pt>
                <c:pt idx="4">
                  <c:v>509866.00211189309</c:v>
                </c:pt>
                <c:pt idx="5">
                  <c:v>503894.70226361288</c:v>
                </c:pt>
                <c:pt idx="6">
                  <c:v>496512.91099891171</c:v>
                </c:pt>
                <c:pt idx="7">
                  <c:v>488259.35666765185</c:v>
                </c:pt>
                <c:pt idx="8">
                  <c:v>479661.55989572551</c:v>
                </c:pt>
                <c:pt idx="9">
                  <c:v>471906.94705611281</c:v>
                </c:pt>
                <c:pt idx="10">
                  <c:v>464192.47338900494</c:v>
                </c:pt>
                <c:pt idx="11">
                  <c:v>455746.93079846731</c:v>
                </c:pt>
                <c:pt idx="12">
                  <c:v>448027.23659196345</c:v>
                </c:pt>
                <c:pt idx="13">
                  <c:v>440439.51975477661</c:v>
                </c:pt>
                <c:pt idx="14">
                  <c:v>432682.73944584012</c:v>
                </c:pt>
                <c:pt idx="15">
                  <c:v>425127.12126581027</c:v>
                </c:pt>
                <c:pt idx="16">
                  <c:v>417851.62124934129</c:v>
                </c:pt>
                <c:pt idx="17">
                  <c:v>411512.70334335323</c:v>
                </c:pt>
                <c:pt idx="18">
                  <c:v>404825.87813120574</c:v>
                </c:pt>
                <c:pt idx="19">
                  <c:v>407915.55151767639</c:v>
                </c:pt>
                <c:pt idx="20">
                  <c:v>408327.58813328622</c:v>
                </c:pt>
                <c:pt idx="21">
                  <c:v>400326.2146265753</c:v>
                </c:pt>
                <c:pt idx="22">
                  <c:v>394194.11186596518</c:v>
                </c:pt>
                <c:pt idx="23">
                  <c:v>386741.89466858888</c:v>
                </c:pt>
                <c:pt idx="24">
                  <c:v>380295.37150278362</c:v>
                </c:pt>
                <c:pt idx="25">
                  <c:v>372888.74181084189</c:v>
                </c:pt>
                <c:pt idx="26">
                  <c:v>365657.77153401781</c:v>
                </c:pt>
                <c:pt idx="27">
                  <c:v>357688.20121335017</c:v>
                </c:pt>
                <c:pt idx="28">
                  <c:v>350774.12503886863</c:v>
                </c:pt>
                <c:pt idx="29">
                  <c:v>342137.49179920403</c:v>
                </c:pt>
                <c:pt idx="30">
                  <c:v>334068.87665968417</c:v>
                </c:pt>
                <c:pt idx="31">
                  <c:v>325330.34231173433</c:v>
                </c:pt>
                <c:pt idx="32">
                  <c:v>431613.38701040059</c:v>
                </c:pt>
                <c:pt idx="33">
                  <c:v>424451.95666430384</c:v>
                </c:pt>
                <c:pt idx="34">
                  <c:v>417010.76837820595</c:v>
                </c:pt>
                <c:pt idx="35">
                  <c:v>409103.3258263949</c:v>
                </c:pt>
                <c:pt idx="36">
                  <c:v>400867.12727261521</c:v>
                </c:pt>
                <c:pt idx="37">
                  <c:v>392208.9376906543</c:v>
                </c:pt>
                <c:pt idx="38">
                  <c:v>384854.43060841906</c:v>
                </c:pt>
                <c:pt idx="39">
                  <c:v>376616.99039867637</c:v>
                </c:pt>
                <c:pt idx="40">
                  <c:v>366957.67663527239</c:v>
                </c:pt>
                <c:pt idx="41">
                  <c:v>357062.67814793286</c:v>
                </c:pt>
                <c:pt idx="42">
                  <c:v>347483.42945463245</c:v>
                </c:pt>
                <c:pt idx="43">
                  <c:v>339357.52967690601</c:v>
                </c:pt>
                <c:pt idx="44">
                  <c:v>332155.88748334895</c:v>
                </c:pt>
                <c:pt idx="45">
                  <c:v>323826.0046640379</c:v>
                </c:pt>
                <c:pt idx="46">
                  <c:v>316528.73110515776</c:v>
                </c:pt>
                <c:pt idx="47">
                  <c:v>315034.125275117</c:v>
                </c:pt>
                <c:pt idx="48">
                  <c:v>308546.7286314466</c:v>
                </c:pt>
                <c:pt idx="49">
                  <c:v>300115.91848844913</c:v>
                </c:pt>
                <c:pt idx="50">
                  <c:v>290997.28532020154</c:v>
                </c:pt>
                <c:pt idx="51">
                  <c:v>279787.40502915427</c:v>
                </c:pt>
                <c:pt idx="52">
                  <c:v>269893.59829110256</c:v>
                </c:pt>
                <c:pt idx="53">
                  <c:v>260238.41706020749</c:v>
                </c:pt>
                <c:pt idx="54">
                  <c:v>250387.6889513614</c:v>
                </c:pt>
                <c:pt idx="55">
                  <c:v>239916.07107414189</c:v>
                </c:pt>
                <c:pt idx="56">
                  <c:v>228653.6791615125</c:v>
                </c:pt>
                <c:pt idx="57">
                  <c:v>227875.36381641121</c:v>
                </c:pt>
                <c:pt idx="58">
                  <c:v>236403.02801285899</c:v>
                </c:pt>
                <c:pt idx="59">
                  <c:v>230054.56062922237</c:v>
                </c:pt>
                <c:pt idx="60">
                  <c:v>224437.43768107219</c:v>
                </c:pt>
                <c:pt idx="61">
                  <c:v>219054.70154571382</c:v>
                </c:pt>
                <c:pt idx="62">
                  <c:v>212491.00725170592</c:v>
                </c:pt>
                <c:pt idx="63">
                  <c:v>204788.13500872563</c:v>
                </c:pt>
                <c:pt idx="64">
                  <c:v>195962.74239121797</c:v>
                </c:pt>
                <c:pt idx="65">
                  <c:v>189016.30649969843</c:v>
                </c:pt>
                <c:pt idx="66">
                  <c:v>181777.54549676244</c:v>
                </c:pt>
                <c:pt idx="67">
                  <c:v>172515.64063088445</c:v>
                </c:pt>
                <c:pt idx="68">
                  <c:v>164440.0275059019</c:v>
                </c:pt>
                <c:pt idx="69">
                  <c:v>157348.89365006483</c:v>
                </c:pt>
                <c:pt idx="70">
                  <c:v>150543.75865196524</c:v>
                </c:pt>
                <c:pt idx="71">
                  <c:v>143640.29549026708</c:v>
                </c:pt>
                <c:pt idx="72">
                  <c:v>136946.0090596216</c:v>
                </c:pt>
                <c:pt idx="73">
                  <c:v>129522.53659105247</c:v>
                </c:pt>
                <c:pt idx="74">
                  <c:v>122763.03770305731</c:v>
                </c:pt>
                <c:pt idx="75">
                  <c:v>116039.28500459854</c:v>
                </c:pt>
                <c:pt idx="76">
                  <c:v>108994.28399327271</c:v>
                </c:pt>
                <c:pt idx="77">
                  <c:v>105326.80748681771</c:v>
                </c:pt>
                <c:pt idx="78">
                  <c:v>101834.9643493031</c:v>
                </c:pt>
                <c:pt idx="79">
                  <c:v>98606.034874055447</c:v>
                </c:pt>
                <c:pt idx="80">
                  <c:v>95020.253865276303</c:v>
                </c:pt>
                <c:pt idx="81">
                  <c:v>91670.105552986119</c:v>
                </c:pt>
                <c:pt idx="82">
                  <c:v>89128.558062900687</c:v>
                </c:pt>
                <c:pt idx="83">
                  <c:v>62089.142338109843</c:v>
                </c:pt>
                <c:pt idx="84">
                  <c:v>80835.587765657896</c:v>
                </c:pt>
                <c:pt idx="85">
                  <c:v>79972.414856831601</c:v>
                </c:pt>
                <c:pt idx="86">
                  <c:v>76500.237609492615</c:v>
                </c:pt>
                <c:pt idx="87">
                  <c:v>22772.083348790744</c:v>
                </c:pt>
                <c:pt idx="88">
                  <c:v>20263.327977559962</c:v>
                </c:pt>
                <c:pt idx="89">
                  <c:v>18860.414322402667</c:v>
                </c:pt>
                <c:pt idx="90">
                  <c:v>18963.581528896055</c:v>
                </c:pt>
                <c:pt idx="91">
                  <c:v>19166.239963212276</c:v>
                </c:pt>
                <c:pt idx="92">
                  <c:v>19125.852897432305</c:v>
                </c:pt>
                <c:pt idx="93">
                  <c:v>18904.507959251336</c:v>
                </c:pt>
                <c:pt idx="94">
                  <c:v>18940.050568081184</c:v>
                </c:pt>
                <c:pt idx="95">
                  <c:v>18591.849381469081</c:v>
                </c:pt>
                <c:pt idx="96">
                  <c:v>4932.5930209035769</c:v>
                </c:pt>
                <c:pt idx="97">
                  <c:v>4932.0452669099523</c:v>
                </c:pt>
                <c:pt idx="98">
                  <c:v>4833.3441773146697</c:v>
                </c:pt>
                <c:pt idx="99">
                  <c:v>4799.7362090522256</c:v>
                </c:pt>
                <c:pt idx="100">
                  <c:v>4815.4948552814549</c:v>
                </c:pt>
                <c:pt idx="101">
                  <c:v>4862.0613887038144</c:v>
                </c:pt>
                <c:pt idx="102">
                  <c:v>4856.3233235452262</c:v>
                </c:pt>
                <c:pt idx="103">
                  <c:v>4858.44147018488</c:v>
                </c:pt>
                <c:pt idx="104">
                  <c:v>4857.302474464741</c:v>
                </c:pt>
                <c:pt idx="105">
                  <c:v>4814.6174252270685</c:v>
                </c:pt>
                <c:pt idx="106">
                  <c:v>4835.3509433803692</c:v>
                </c:pt>
                <c:pt idx="107">
                  <c:v>4815.0894342900665</c:v>
                </c:pt>
                <c:pt idx="108">
                  <c:v>4813.0380743052474</c:v>
                </c:pt>
                <c:pt idx="109">
                  <c:v>4815.3025147701946</c:v>
                </c:pt>
                <c:pt idx="110">
                  <c:v>4849.7287310446891</c:v>
                </c:pt>
                <c:pt idx="111">
                  <c:v>4882.6072181592954</c:v>
                </c:pt>
                <c:pt idx="112">
                  <c:v>4875.6947191466561</c:v>
                </c:pt>
                <c:pt idx="113">
                  <c:v>4885.0576911331536</c:v>
                </c:pt>
                <c:pt idx="114">
                  <c:v>4894.4536586780532</c:v>
                </c:pt>
                <c:pt idx="115">
                  <c:v>4865.4555481525867</c:v>
                </c:pt>
                <c:pt idx="116">
                  <c:v>4899.3377123222881</c:v>
                </c:pt>
                <c:pt idx="117">
                  <c:v>4917.6390411789043</c:v>
                </c:pt>
                <c:pt idx="118">
                  <c:v>4844.2642042996658</c:v>
                </c:pt>
                <c:pt idx="119">
                  <c:v>4842.5361348318274</c:v>
                </c:pt>
                <c:pt idx="120">
                  <c:v>4882.0255528081589</c:v>
                </c:pt>
                <c:pt idx="121">
                  <c:v>4844.3106407991518</c:v>
                </c:pt>
                <c:pt idx="122">
                  <c:v>4786.7866147819568</c:v>
                </c:pt>
                <c:pt idx="123">
                  <c:v>4754.5138816282679</c:v>
                </c:pt>
                <c:pt idx="124">
                  <c:v>4763.4381871213018</c:v>
                </c:pt>
                <c:pt idx="125">
                  <c:v>4733.3673143426231</c:v>
                </c:pt>
                <c:pt idx="126">
                  <c:v>4718.3948342420099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E0-6E4B-A0F7-856885235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3103248"/>
        <c:axId val="-2013098256"/>
      </c:scatterChart>
      <c:valAx>
        <c:axId val="-201310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ET (mm/d)</a:t>
                </a:r>
              </a:p>
            </c:rich>
          </c:tx>
          <c:layout>
            <c:manualLayout>
              <c:xMode val="edge"/>
              <c:yMode val="edge"/>
              <c:x val="0.44855911017683903"/>
              <c:y val="0.927521566672771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-2013098256"/>
        <c:crosses val="autoZero"/>
        <c:crossBetween val="midCat"/>
      </c:valAx>
      <c:valAx>
        <c:axId val="-2013098256"/>
        <c:scaling>
          <c:orientation val="minMax"/>
          <c:max val="5000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Tank Surface</a:t>
                </a:r>
                <a:r>
                  <a:rPr lang="en-CA" sz="1200" baseline="0"/>
                  <a:t> Area (m2)</a:t>
                </a:r>
                <a:endParaRPr lang="en-CA" sz="1200"/>
              </a:p>
            </c:rich>
          </c:tx>
          <c:layout>
            <c:manualLayout>
              <c:xMode val="edge"/>
              <c:yMode val="edge"/>
              <c:x val="0"/>
              <c:y val="0.18086879235640499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-2013103248"/>
        <c:crosses val="autoZero"/>
        <c:crossBetween val="midCat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9457416237201"/>
          <c:y val="2.9113893617948399E-2"/>
          <c:w val="0.77436954852749595"/>
          <c:h val="0.80067978248162697"/>
        </c:manualLayout>
      </c:layout>
      <c:scatterChart>
        <c:scatterStyle val="lineMarker"/>
        <c:varyColors val="0"/>
        <c:ser>
          <c:idx val="3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6.2594926563522196E-2"/>
                  <c:y val="-0.55101223578414604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'Figs 6 &amp; 7'!$BK$8:$BK$134</c:f>
              <c:numCache>
                <c:formatCode>0.00E+00</c:formatCode>
                <c:ptCount val="127"/>
                <c:pt idx="16">
                  <c:v>10.668478688050417</c:v>
                </c:pt>
                <c:pt idx="21">
                  <c:v>8.9277959050006555</c:v>
                </c:pt>
                <c:pt idx="22">
                  <c:v>7.4135968089257229</c:v>
                </c:pt>
                <c:pt idx="26">
                  <c:v>3.1495739989899767</c:v>
                </c:pt>
                <c:pt idx="27">
                  <c:v>0.66601788791254002</c:v>
                </c:pt>
                <c:pt idx="29">
                  <c:v>6.0792056438252899</c:v>
                </c:pt>
                <c:pt idx="30">
                  <c:v>4.1164189578300823</c:v>
                </c:pt>
                <c:pt idx="31">
                  <c:v>5.375263139799678</c:v>
                </c:pt>
                <c:pt idx="33">
                  <c:v>4.8135498599187132</c:v>
                </c:pt>
                <c:pt idx="34">
                  <c:v>4.2876437720942437</c:v>
                </c:pt>
                <c:pt idx="35">
                  <c:v>3.3902493677324328</c:v>
                </c:pt>
                <c:pt idx="36">
                  <c:v>17.654887660623807</c:v>
                </c:pt>
                <c:pt idx="38">
                  <c:v>8.3697419450710697</c:v>
                </c:pt>
                <c:pt idx="39">
                  <c:v>6.2083694107290741</c:v>
                </c:pt>
                <c:pt idx="40">
                  <c:v>0.48103717281560571</c:v>
                </c:pt>
                <c:pt idx="41">
                  <c:v>6.7471734559663368</c:v>
                </c:pt>
                <c:pt idx="42">
                  <c:v>3.2260511602437978</c:v>
                </c:pt>
                <c:pt idx="43">
                  <c:v>8.866595996850787</c:v>
                </c:pt>
                <c:pt idx="44">
                  <c:v>19.679167595207939</c:v>
                </c:pt>
                <c:pt idx="45">
                  <c:v>4.0133487184085208</c:v>
                </c:pt>
                <c:pt idx="46">
                  <c:v>15.449267552628779</c:v>
                </c:pt>
                <c:pt idx="48">
                  <c:v>5.4202700860150435</c:v>
                </c:pt>
                <c:pt idx="49">
                  <c:v>4.5839361049612695</c:v>
                </c:pt>
                <c:pt idx="50">
                  <c:v>5.0813036592609473</c:v>
                </c:pt>
                <c:pt idx="51">
                  <c:v>7.9002418090683699</c:v>
                </c:pt>
                <c:pt idx="52">
                  <c:v>9.1569587758471158</c:v>
                </c:pt>
                <c:pt idx="53">
                  <c:v>6.8927596532204349</c:v>
                </c:pt>
                <c:pt idx="54">
                  <c:v>8.8411082015024611</c:v>
                </c:pt>
                <c:pt idx="55">
                  <c:v>9.3850724217455745</c:v>
                </c:pt>
                <c:pt idx="56">
                  <c:v>2.0153617647361082</c:v>
                </c:pt>
                <c:pt idx="59">
                  <c:v>9.4007915065321619</c:v>
                </c:pt>
                <c:pt idx="60">
                  <c:v>7.2537772748328022</c:v>
                </c:pt>
                <c:pt idx="61">
                  <c:v>7.5948872568470449</c:v>
                </c:pt>
                <c:pt idx="62">
                  <c:v>8.7093239218437066</c:v>
                </c:pt>
                <c:pt idx="63">
                  <c:v>8.8308636639425906</c:v>
                </c:pt>
                <c:pt idx="64">
                  <c:v>8.245642685655838</c:v>
                </c:pt>
                <c:pt idx="65">
                  <c:v>8.487488562582298</c:v>
                </c:pt>
                <c:pt idx="66">
                  <c:v>10.613778763083189</c:v>
                </c:pt>
                <c:pt idx="67">
                  <c:v>5.1696809150173397</c:v>
                </c:pt>
                <c:pt idx="68">
                  <c:v>12.636932394859748</c:v>
                </c:pt>
                <c:pt idx="69">
                  <c:v>11.658564678104987</c:v>
                </c:pt>
                <c:pt idx="70">
                  <c:v>13.939403260501159</c:v>
                </c:pt>
                <c:pt idx="71">
                  <c:v>6.4400068683307943</c:v>
                </c:pt>
                <c:pt idx="72">
                  <c:v>13.653082301191677</c:v>
                </c:pt>
                <c:pt idx="73">
                  <c:v>11.750046541692043</c:v>
                </c:pt>
                <c:pt idx="74">
                  <c:v>12.247311641568775</c:v>
                </c:pt>
                <c:pt idx="75">
                  <c:v>12.081012544609395</c:v>
                </c:pt>
                <c:pt idx="76">
                  <c:v>18.716065075685119</c:v>
                </c:pt>
                <c:pt idx="77">
                  <c:v>20.181663546802994</c:v>
                </c:pt>
                <c:pt idx="78">
                  <c:v>31.226952890896179</c:v>
                </c:pt>
                <c:pt idx="79">
                  <c:v>25.819028524366196</c:v>
                </c:pt>
                <c:pt idx="80">
                  <c:v>29.102828886447234</c:v>
                </c:pt>
                <c:pt idx="81">
                  <c:v>21.258800011209303</c:v>
                </c:pt>
                <c:pt idx="82">
                  <c:v>8.7228906202097214</c:v>
                </c:pt>
                <c:pt idx="83">
                  <c:v>15.427404595816368</c:v>
                </c:pt>
                <c:pt idx="84">
                  <c:v>11.601355832783199</c:v>
                </c:pt>
                <c:pt idx="85">
                  <c:v>3.403192187227682</c:v>
                </c:pt>
                <c:pt idx="86">
                  <c:v>9.129081491279571</c:v>
                </c:pt>
                <c:pt idx="87">
                  <c:v>18.720012630555949</c:v>
                </c:pt>
                <c:pt idx="88">
                  <c:v>41.943484847758029</c:v>
                </c:pt>
                <c:pt idx="91">
                  <c:v>55.439443747730188</c:v>
                </c:pt>
              </c:numCache>
            </c:numRef>
          </c:xVal>
          <c:yVal>
            <c:numRef>
              <c:f>'Figs 6 &amp; 7'!$CR$7:$CR$134</c:f>
              <c:numCache>
                <c:formatCode>0</c:formatCode>
                <c:ptCount val="128"/>
                <c:pt idx="0">
                  <c:v>109468.32704118993</c:v>
                </c:pt>
                <c:pt idx="1">
                  <c:v>143753.12506064045</c:v>
                </c:pt>
                <c:pt idx="2">
                  <c:v>145229.76107902956</c:v>
                </c:pt>
                <c:pt idx="3">
                  <c:v>153402.67665978591</c:v>
                </c:pt>
                <c:pt idx="4">
                  <c:v>152793.23920742734</c:v>
                </c:pt>
                <c:pt idx="5">
                  <c:v>150636.96288914641</c:v>
                </c:pt>
                <c:pt idx="6">
                  <c:v>148256.45102915785</c:v>
                </c:pt>
                <c:pt idx="7">
                  <c:v>145898.01743237124</c:v>
                </c:pt>
                <c:pt idx="8">
                  <c:v>143655.87017483279</c:v>
                </c:pt>
                <c:pt idx="9">
                  <c:v>141619.18211394607</c:v>
                </c:pt>
                <c:pt idx="10">
                  <c:v>139229.26808567648</c:v>
                </c:pt>
                <c:pt idx="11">
                  <c:v>137246.4770551874</c:v>
                </c:pt>
                <c:pt idx="12">
                  <c:v>135279.99736963169</c:v>
                </c:pt>
                <c:pt idx="13">
                  <c:v>133126.99951236945</c:v>
                </c:pt>
                <c:pt idx="14">
                  <c:v>131129.49649099869</c:v>
                </c:pt>
                <c:pt idx="15">
                  <c:v>129152.63084356474</c:v>
                </c:pt>
                <c:pt idx="16">
                  <c:v>127756.18074685683</c:v>
                </c:pt>
                <c:pt idx="17">
                  <c:v>125820.66469679748</c:v>
                </c:pt>
                <c:pt idx="18">
                  <c:v>124043.19699298873</c:v>
                </c:pt>
                <c:pt idx="19">
                  <c:v>122257.01352819732</c:v>
                </c:pt>
                <c:pt idx="20">
                  <c:v>123292.12093016617</c:v>
                </c:pt>
                <c:pt idx="21">
                  <c:v>122830.55705262348</c:v>
                </c:pt>
                <c:pt idx="22">
                  <c:v>120990.35684521639</c:v>
                </c:pt>
                <c:pt idx="23">
                  <c:v>119234.03613807922</c:v>
                </c:pt>
                <c:pt idx="24">
                  <c:v>117549.89206410976</c:v>
                </c:pt>
                <c:pt idx="25">
                  <c:v>115680.84077510341</c:v>
                </c:pt>
                <c:pt idx="26">
                  <c:v>113698.9880108301</c:v>
                </c:pt>
                <c:pt idx="27">
                  <c:v>111794.03962990978</c:v>
                </c:pt>
                <c:pt idx="28">
                  <c:v>109998.06796887927</c:v>
                </c:pt>
                <c:pt idx="29">
                  <c:v>108476.74769374647</c:v>
                </c:pt>
                <c:pt idx="30">
                  <c:v>106359.76691847494</c:v>
                </c:pt>
                <c:pt idx="31">
                  <c:v>104073.41051803692</c:v>
                </c:pt>
                <c:pt idx="32">
                  <c:v>101741.52078988851</c:v>
                </c:pt>
                <c:pt idx="33">
                  <c:v>105011.95420405472</c:v>
                </c:pt>
                <c:pt idx="34">
                  <c:v>102834.27862626768</c:v>
                </c:pt>
                <c:pt idx="35">
                  <c:v>100566.46285164647</c:v>
                </c:pt>
                <c:pt idx="36">
                  <c:v>98324.459592546365</c:v>
                </c:pt>
                <c:pt idx="37">
                  <c:v>95561.04144419574</c:v>
                </c:pt>
                <c:pt idx="38">
                  <c:v>92766.013831127653</c:v>
                </c:pt>
                <c:pt idx="39">
                  <c:v>90352.428130879314</c:v>
                </c:pt>
                <c:pt idx="40">
                  <c:v>87916.432899050415</c:v>
                </c:pt>
                <c:pt idx="41">
                  <c:v>85650.676840994594</c:v>
                </c:pt>
                <c:pt idx="42">
                  <c:v>83782.777807224367</c:v>
                </c:pt>
                <c:pt idx="43">
                  <c:v>81914.540124639738</c:v>
                </c:pt>
                <c:pt idx="44">
                  <c:v>80105.301993791974</c:v>
                </c:pt>
                <c:pt idx="45">
                  <c:v>77695.090607471866</c:v>
                </c:pt>
                <c:pt idx="46">
                  <c:v>75557.670563580628</c:v>
                </c:pt>
                <c:pt idx="47">
                  <c:v>73903.868800684955</c:v>
                </c:pt>
                <c:pt idx="48">
                  <c:v>73469.758309363344</c:v>
                </c:pt>
                <c:pt idx="49">
                  <c:v>71889.282478442838</c:v>
                </c:pt>
                <c:pt idx="50">
                  <c:v>70367.67698699949</c:v>
                </c:pt>
                <c:pt idx="51">
                  <c:v>68784.142779891918</c:v>
                </c:pt>
                <c:pt idx="52">
                  <c:v>67242.486673832798</c:v>
                </c:pt>
                <c:pt idx="53">
                  <c:v>65887.429760024374</c:v>
                </c:pt>
                <c:pt idx="54">
                  <c:v>64526.372620970062</c:v>
                </c:pt>
                <c:pt idx="55">
                  <c:v>63213.367289268361</c:v>
                </c:pt>
                <c:pt idx="56">
                  <c:v>61892.983463937722</c:v>
                </c:pt>
                <c:pt idx="57">
                  <c:v>60738.624394500534</c:v>
                </c:pt>
                <c:pt idx="58">
                  <c:v>60555.361457826533</c:v>
                </c:pt>
                <c:pt idx="59">
                  <c:v>60920.423381005989</c:v>
                </c:pt>
                <c:pt idx="60">
                  <c:v>59536.42006395448</c:v>
                </c:pt>
                <c:pt idx="61">
                  <c:v>58114.808012899164</c:v>
                </c:pt>
                <c:pt idx="62">
                  <c:v>56705.160374776184</c:v>
                </c:pt>
                <c:pt idx="63">
                  <c:v>55360.94669060989</c:v>
                </c:pt>
                <c:pt idx="64">
                  <c:v>53964.248713302921</c:v>
                </c:pt>
                <c:pt idx="65">
                  <c:v>52750.096931800806</c:v>
                </c:pt>
                <c:pt idx="66">
                  <c:v>51575.033095043618</c:v>
                </c:pt>
                <c:pt idx="67">
                  <c:v>50355.597167665954</c:v>
                </c:pt>
                <c:pt idx="68">
                  <c:v>49091.812601177771</c:v>
                </c:pt>
                <c:pt idx="69">
                  <c:v>47819.574629018942</c:v>
                </c:pt>
                <c:pt idx="70">
                  <c:v>46659.105750522998</c:v>
                </c:pt>
                <c:pt idx="71">
                  <c:v>45374.546265263685</c:v>
                </c:pt>
                <c:pt idx="72">
                  <c:v>43934.194555399765</c:v>
                </c:pt>
                <c:pt idx="73">
                  <c:v>42578.027817843744</c:v>
                </c:pt>
                <c:pt idx="74">
                  <c:v>41332.862481743075</c:v>
                </c:pt>
                <c:pt idx="75">
                  <c:v>40440.239450527108</c:v>
                </c:pt>
                <c:pt idx="76">
                  <c:v>39520.465390699945</c:v>
                </c:pt>
                <c:pt idx="77">
                  <c:v>38564.894160792493</c:v>
                </c:pt>
                <c:pt idx="78">
                  <c:v>37591.121221764493</c:v>
                </c:pt>
                <c:pt idx="79">
                  <c:v>36206.974119805694</c:v>
                </c:pt>
                <c:pt idx="80">
                  <c:v>34904.962395740746</c:v>
                </c:pt>
                <c:pt idx="81">
                  <c:v>33346.224958955951</c:v>
                </c:pt>
                <c:pt idx="82">
                  <c:v>31999.337520530691</c:v>
                </c:pt>
                <c:pt idx="83">
                  <c:v>30993.266021160791</c:v>
                </c:pt>
                <c:pt idx="84">
                  <c:v>30220.631911468219</c:v>
                </c:pt>
                <c:pt idx="85">
                  <c:v>29997.519792274656</c:v>
                </c:pt>
                <c:pt idx="86">
                  <c:v>29211.682423382408</c:v>
                </c:pt>
                <c:pt idx="87">
                  <c:v>28182.814043652488</c:v>
                </c:pt>
                <c:pt idx="88">
                  <c:v>27093.360807291225</c:v>
                </c:pt>
                <c:pt idx="89">
                  <c:v>25044.629238887272</c:v>
                </c:pt>
                <c:pt idx="90">
                  <c:v>21663.362700580241</c:v>
                </c:pt>
                <c:pt idx="91">
                  <c:v>18065.042060545358</c:v>
                </c:pt>
                <c:pt idx="92">
                  <c:v>15960.966743050571</c:v>
                </c:pt>
                <c:pt idx="93">
                  <c:v>11831.31785131256</c:v>
                </c:pt>
                <c:pt idx="94">
                  <c:v>7837.5914547249622</c:v>
                </c:pt>
                <c:pt idx="95">
                  <c:v>7781.3976368219455</c:v>
                </c:pt>
                <c:pt idx="96">
                  <c:v>7534.6473830322529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52-B94F-93BF-B24EC0524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3132928"/>
        <c:axId val="-2029027376"/>
      </c:scatterChart>
      <c:valAx>
        <c:axId val="-201313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ET (mm/d) </a:t>
                </a:r>
              </a:p>
            </c:rich>
          </c:tx>
          <c:layout>
            <c:manualLayout>
              <c:xMode val="edge"/>
              <c:yMode val="edge"/>
              <c:x val="0.37875314065696902"/>
              <c:y val="0.927459816350541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-2029027376"/>
        <c:crosses val="autoZero"/>
        <c:crossBetween val="midCat"/>
      </c:valAx>
      <c:valAx>
        <c:axId val="-2029027376"/>
        <c:scaling>
          <c:orientation val="minMax"/>
          <c:max val="1500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Tank Surface Area (m2)</a:t>
                </a:r>
              </a:p>
            </c:rich>
          </c:tx>
          <c:layout>
            <c:manualLayout>
              <c:xMode val="edge"/>
              <c:yMode val="edge"/>
              <c:x val="0"/>
              <c:y val="0.19706817509057001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-2013132928"/>
        <c:crosses val="autoZero"/>
        <c:crossBetween val="midCat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434174591792004E-2"/>
          <c:y val="4.1182992883824002E-2"/>
          <c:w val="0.69489431110765698"/>
          <c:h val="0.77247975406639302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65000"/>
                <a:alpha val="37000"/>
              </a:schemeClr>
            </a:solidFill>
            <a:ln w="47625">
              <a:noFill/>
            </a:ln>
            <a:effectLst/>
          </c:spP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7'!$DH$7:$DH$103</c:f>
              <c:numCache>
                <c:formatCode>0.000</c:formatCode>
                <c:ptCount val="97"/>
                <c:pt idx="0" formatCode="General">
                  <c:v>0</c:v>
                </c:pt>
                <c:pt idx="1">
                  <c:v>9.1406617200152738</c:v>
                </c:pt>
                <c:pt idx="2">
                  <c:v>9.1406617200152738</c:v>
                </c:pt>
                <c:pt idx="3">
                  <c:v>9.1406617200152738</c:v>
                </c:pt>
                <c:pt idx="4">
                  <c:v>10.474548976641474</c:v>
                </c:pt>
                <c:pt idx="5">
                  <c:v>11.56305948925881</c:v>
                </c:pt>
                <c:pt idx="6">
                  <c:v>12.270115242268812</c:v>
                </c:pt>
                <c:pt idx="7">
                  <c:v>13.830376114268779</c:v>
                </c:pt>
                <c:pt idx="8">
                  <c:v>14.441410030668528</c:v>
                </c:pt>
                <c:pt idx="9">
                  <c:v>14.231334371914095</c:v>
                </c:pt>
                <c:pt idx="10">
                  <c:v>13.915217238096252</c:v>
                </c:pt>
                <c:pt idx="11">
                  <c:v>13.599416407751772</c:v>
                </c:pt>
                <c:pt idx="12">
                  <c:v>13.269966154766699</c:v>
                </c:pt>
                <c:pt idx="13">
                  <c:v>12.9387744675794</c:v>
                </c:pt>
                <c:pt idx="14">
                  <c:v>12.699406286404667</c:v>
                </c:pt>
                <c:pt idx="15">
                  <c:v>12.384472811572905</c:v>
                </c:pt>
                <c:pt idx="16">
                  <c:v>12.107026414495675</c:v>
                </c:pt>
                <c:pt idx="17">
                  <c:v>11.94504367006264</c:v>
                </c:pt>
                <c:pt idx="18">
                  <c:v>11.682210577398035</c:v>
                </c:pt>
                <c:pt idx="19">
                  <c:v>11.388130045951577</c:v>
                </c:pt>
                <c:pt idx="20">
                  <c:v>11.099703707205753</c:v>
                </c:pt>
                <c:pt idx="21">
                  <c:v>10.91483616547097</c:v>
                </c:pt>
                <c:pt idx="22">
                  <c:v>10.72346991310844</c:v>
                </c:pt>
                <c:pt idx="23">
                  <c:v>10.706992066270562</c:v>
                </c:pt>
                <c:pt idx="24">
                  <c:v>10.573748717009765</c:v>
                </c:pt>
                <c:pt idx="25">
                  <c:v>10.385760446823554</c:v>
                </c:pt>
                <c:pt idx="26">
                  <c:v>10.176225914628679</c:v>
                </c:pt>
                <c:pt idx="27">
                  <c:v>9.9559080431165672</c:v>
                </c:pt>
                <c:pt idx="28">
                  <c:v>9.7472133513332704</c:v>
                </c:pt>
                <c:pt idx="29">
                  <c:v>9.530203658419893</c:v>
                </c:pt>
                <c:pt idx="30">
                  <c:v>9.310819615439927</c:v>
                </c:pt>
                <c:pt idx="31">
                  <c:v>9.1313677200865495</c:v>
                </c:pt>
                <c:pt idx="32">
                  <c:v>8.9704501397048801</c:v>
                </c:pt>
                <c:pt idx="33">
                  <c:v>8.7803656083444519</c:v>
                </c:pt>
                <c:pt idx="34">
                  <c:v>8.5684153624727042</c:v>
                </c:pt>
                <c:pt idx="35">
                  <c:v>8.3633453268840583</c:v>
                </c:pt>
                <c:pt idx="36">
                  <c:v>12.680987806528073</c:v>
                </c:pt>
                <c:pt idx="37">
                  <c:v>12.639056860542118</c:v>
                </c:pt>
                <c:pt idx="38">
                  <c:v>12.414364996844403</c:v>
                </c:pt>
                <c:pt idx="39">
                  <c:v>12.176813112263801</c:v>
                </c:pt>
                <c:pt idx="40">
                  <c:v>11.93741237622784</c:v>
                </c:pt>
                <c:pt idx="41">
                  <c:v>11.716529023967182</c:v>
                </c:pt>
                <c:pt idx="42">
                  <c:v>11.476824433292842</c:v>
                </c:pt>
                <c:pt idx="43">
                  <c:v>11.243520992574638</c:v>
                </c:pt>
                <c:pt idx="44">
                  <c:v>11.020613739595813</c:v>
                </c:pt>
                <c:pt idx="45">
                  <c:v>10.817735491152931</c:v>
                </c:pt>
                <c:pt idx="46">
                  <c:v>10.560097437538763</c:v>
                </c:pt>
                <c:pt idx="47">
                  <c:v>10.317282332188201</c:v>
                </c:pt>
                <c:pt idx="48">
                  <c:v>10.13050927837134</c:v>
                </c:pt>
                <c:pt idx="49">
                  <c:v>9.9816966118984425</c:v>
                </c:pt>
                <c:pt idx="50">
                  <c:v>9.7842835378023718</c:v>
                </c:pt>
                <c:pt idx="51">
                  <c:v>9.7097059367664897</c:v>
                </c:pt>
                <c:pt idx="52">
                  <c:v>9.5617864694241046</c:v>
                </c:pt>
                <c:pt idx="53">
                  <c:v>9.3981943618657375</c:v>
                </c:pt>
                <c:pt idx="54">
                  <c:v>9.2050013670390971</c:v>
                </c:pt>
                <c:pt idx="55">
                  <c:v>8.9985441626155271</c:v>
                </c:pt>
                <c:pt idx="56">
                  <c:v>8.8464998621104733</c:v>
                </c:pt>
                <c:pt idx="57">
                  <c:v>8.7099640942482903</c:v>
                </c:pt>
                <c:pt idx="58">
                  <c:v>8.5145324322079841</c:v>
                </c:pt>
                <c:pt idx="59">
                  <c:v>8.3394982264264605</c:v>
                </c:pt>
                <c:pt idx="60">
                  <c:v>8.1283460745780065</c:v>
                </c:pt>
                <c:pt idx="61">
                  <c:v>8.0910914141853318</c:v>
                </c:pt>
                <c:pt idx="62">
                  <c:v>8.1551499003104055</c:v>
                </c:pt>
                <c:pt idx="63">
                  <c:v>8.063353182889955</c:v>
                </c:pt>
                <c:pt idx="64">
                  <c:v>7.9118137595055433</c:v>
                </c:pt>
                <c:pt idx="65">
                  <c:v>7.7774116912050104</c:v>
                </c:pt>
                <c:pt idx="66">
                  <c:v>7.5994053821532317</c:v>
                </c:pt>
                <c:pt idx="67">
                  <c:v>7.4177754242322944</c:v>
                </c:pt>
                <c:pt idx="68">
                  <c:v>7.2255803248609594</c:v>
                </c:pt>
                <c:pt idx="69">
                  <c:v>7.0234187279230227</c:v>
                </c:pt>
                <c:pt idx="70">
                  <c:v>6.8188819510811056</c:v>
                </c:pt>
                <c:pt idx="71">
                  <c:v>6.6685099432119461</c:v>
                </c:pt>
                <c:pt idx="72">
                  <c:v>6.5248163033948643</c:v>
                </c:pt>
                <c:pt idx="73">
                  <c:v>6.3709293218585952</c:v>
                </c:pt>
                <c:pt idx="74">
                  <c:v>6.2266857149561696</c:v>
                </c:pt>
                <c:pt idx="75">
                  <c:v>6.0649917599183896</c:v>
                </c:pt>
                <c:pt idx="76">
                  <c:v>5.8965972842538461</c:v>
                </c:pt>
                <c:pt idx="77">
                  <c:v>5.7297821265892956</c:v>
                </c:pt>
                <c:pt idx="78">
                  <c:v>5.5756829335070917</c:v>
                </c:pt>
                <c:pt idx="79">
                  <c:v>5.3978316965056958</c:v>
                </c:pt>
                <c:pt idx="80">
                  <c:v>5.2022450150795247</c:v>
                </c:pt>
                <c:pt idx="81">
                  <c:v>5.0703923479969006</c:v>
                </c:pt>
                <c:pt idx="82">
                  <c:v>4.9516272679751863</c:v>
                </c:pt>
                <c:pt idx="83">
                  <c:v>4.840655409649794</c:v>
                </c:pt>
                <c:pt idx="84">
                  <c:v>4.7297993879199316</c:v>
                </c:pt>
                <c:pt idx="85">
                  <c:v>4.6115059824753599</c:v>
                </c:pt>
                <c:pt idx="86">
                  <c:v>4.4935055529652006</c:v>
                </c:pt>
                <c:pt idx="87">
                  <c:v>4.4033074659239322</c:v>
                </c:pt>
                <c:pt idx="88">
                  <c:v>4.3422669197206387</c:v>
                </c:pt>
                <c:pt idx="89">
                  <c:v>4.2458776899379771</c:v>
                </c:pt>
                <c:pt idx="90">
                  <c:v>4.1479263788799416</c:v>
                </c:pt>
                <c:pt idx="91">
                  <c:v>4.0429703001468296</c:v>
                </c:pt>
                <c:pt idx="92">
                  <c:v>3.9410439585451242</c:v>
                </c:pt>
                <c:pt idx="93">
                  <c:v>3.8442238869605032</c:v>
                </c:pt>
                <c:pt idx="94">
                  <c:v>3.7563587287391087</c:v>
                </c:pt>
                <c:pt idx="95">
                  <c:v>3.6571565301389857</c:v>
                </c:pt>
                <c:pt idx="96">
                  <c:v>3.5682437209028555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4-6F4F-A478-45B30619E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751152"/>
        <c:axId val="-2024756240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  <c:invertIfNegative val="0"/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7'!$DT$8:$DT$137</c:f>
              <c:numCache>
                <c:formatCode>0.000</c:formatCode>
                <c:ptCount val="130"/>
                <c:pt idx="0">
                  <c:v>0.83199999999999996</c:v>
                </c:pt>
                <c:pt idx="1">
                  <c:v>0.83199999999999996</c:v>
                </c:pt>
                <c:pt idx="2">
                  <c:v>0.83199999999999996</c:v>
                </c:pt>
                <c:pt idx="3">
                  <c:v>0.83199999999999996</c:v>
                </c:pt>
                <c:pt idx="4">
                  <c:v>0.83199999999999996</c:v>
                </c:pt>
                <c:pt idx="5">
                  <c:v>0.83199999999999996</c:v>
                </c:pt>
                <c:pt idx="6">
                  <c:v>0.83199999999999996</c:v>
                </c:pt>
                <c:pt idx="7">
                  <c:v>0.83199999999999996</c:v>
                </c:pt>
                <c:pt idx="8">
                  <c:v>0.83199999999999996</c:v>
                </c:pt>
                <c:pt idx="9">
                  <c:v>0.83199999999999996</c:v>
                </c:pt>
                <c:pt idx="10">
                  <c:v>0.16887504467992542</c:v>
                </c:pt>
                <c:pt idx="11">
                  <c:v>0.29459152116388321</c:v>
                </c:pt>
                <c:pt idx="12">
                  <c:v>0.42030799764784099</c:v>
                </c:pt>
                <c:pt idx="13">
                  <c:v>0.36034384771757466</c:v>
                </c:pt>
                <c:pt idx="14">
                  <c:v>0.74748684555693989</c:v>
                </c:pt>
                <c:pt idx="15">
                  <c:v>1.1346298433963051</c:v>
                </c:pt>
                <c:pt idx="16">
                  <c:v>1.055804846208799</c:v>
                </c:pt>
                <c:pt idx="17">
                  <c:v>0.99459647618814029</c:v>
                </c:pt>
                <c:pt idx="18">
                  <c:v>0.94763311075074907</c:v>
                </c:pt>
                <c:pt idx="19">
                  <c:v>0.92360388660591441</c:v>
                </c:pt>
                <c:pt idx="20">
                  <c:v>0.90620663346109875</c:v>
                </c:pt>
                <c:pt idx="21">
                  <c:v>0.86988704217098112</c:v>
                </c:pt>
                <c:pt idx="22">
                  <c:v>0.81701040500372413</c:v>
                </c:pt>
                <c:pt idx="23">
                  <c:v>0.50402986589625653</c:v>
                </c:pt>
                <c:pt idx="24">
                  <c:v>0.56613788604352955</c:v>
                </c:pt>
                <c:pt idx="25">
                  <c:v>0.6188895526890108</c:v>
                </c:pt>
                <c:pt idx="26">
                  <c:v>0.75539931759207191</c:v>
                </c:pt>
                <c:pt idx="27">
                  <c:v>0.78442586144738957</c:v>
                </c:pt>
                <c:pt idx="28">
                  <c:v>0.61564990314015755</c:v>
                </c:pt>
                <c:pt idx="29">
                  <c:v>0.44687394483292553</c:v>
                </c:pt>
                <c:pt idx="30">
                  <c:v>0.2780979865256934</c:v>
                </c:pt>
                <c:pt idx="31">
                  <c:v>0.46554467560691359</c:v>
                </c:pt>
                <c:pt idx="32">
                  <c:v>0.65299136468813379</c:v>
                </c:pt>
                <c:pt idx="33">
                  <c:v>0.84043805376935399</c:v>
                </c:pt>
                <c:pt idx="34">
                  <c:v>1.0278847428505742</c:v>
                </c:pt>
                <c:pt idx="35">
                  <c:v>1.2153314319317943</c:v>
                </c:pt>
                <c:pt idx="36">
                  <c:v>0.81828274612331686</c:v>
                </c:pt>
                <c:pt idx="37">
                  <c:v>0.42123406031483945</c:v>
                </c:pt>
                <c:pt idx="38">
                  <c:v>0.38272090587171892</c:v>
                </c:pt>
                <c:pt idx="39">
                  <c:v>0.7132870580264461</c:v>
                </c:pt>
                <c:pt idx="40">
                  <c:v>0.28092003349409556</c:v>
                </c:pt>
                <c:pt idx="41">
                  <c:v>0.52137241629681075</c:v>
                </c:pt>
                <c:pt idx="42">
                  <c:v>0.93294989939024786</c:v>
                </c:pt>
                <c:pt idx="43">
                  <c:v>1.3895291497385087</c:v>
                </c:pt>
                <c:pt idx="44">
                  <c:v>1.1114790266292149</c:v>
                </c:pt>
                <c:pt idx="45">
                  <c:v>0.71554007823775168</c:v>
                </c:pt>
                <c:pt idx="46">
                  <c:v>0.90437077401777366</c:v>
                </c:pt>
                <c:pt idx="47">
                  <c:v>1.0932014697977956</c:v>
                </c:pt>
                <c:pt idx="48">
                  <c:v>1.2820321655778175</c:v>
                </c:pt>
                <c:pt idx="49">
                  <c:v>1.4708628613578394</c:v>
                </c:pt>
                <c:pt idx="50">
                  <c:v>1.6596935571378615</c:v>
                </c:pt>
                <c:pt idx="51">
                  <c:v>1.6610323380591088</c:v>
                </c:pt>
                <c:pt idx="52">
                  <c:v>1.5493245078811579</c:v>
                </c:pt>
                <c:pt idx="53">
                  <c:v>1.4833666980809801</c:v>
                </c:pt>
                <c:pt idx="54">
                  <c:v>1.4174088882808022</c:v>
                </c:pt>
                <c:pt idx="55">
                  <c:v>1.3514510784806244</c:v>
                </c:pt>
                <c:pt idx="56">
                  <c:v>1.2854932686804466</c:v>
                </c:pt>
                <c:pt idx="57">
                  <c:v>1.2195354588802685</c:v>
                </c:pt>
                <c:pt idx="58">
                  <c:v>1.2785255314932047</c:v>
                </c:pt>
                <c:pt idx="59">
                  <c:v>1.3375156041061409</c:v>
                </c:pt>
                <c:pt idx="60">
                  <c:v>1.3965056767190771</c:v>
                </c:pt>
                <c:pt idx="61">
                  <c:v>1.4554957493320129</c:v>
                </c:pt>
                <c:pt idx="62">
                  <c:v>0.39285478746677871</c:v>
                </c:pt>
                <c:pt idx="63">
                  <c:v>1.2663187361772099</c:v>
                </c:pt>
                <c:pt idx="64">
                  <c:v>1.3525285123301622</c:v>
                </c:pt>
                <c:pt idx="65">
                  <c:v>1.4468652460272553</c:v>
                </c:pt>
                <c:pt idx="66">
                  <c:v>1.5090683330991119</c:v>
                </c:pt>
                <c:pt idx="67">
                  <c:v>0.70955788578822832</c:v>
                </c:pt>
                <c:pt idx="68">
                  <c:v>0.92154252790094615</c:v>
                </c:pt>
                <c:pt idx="69">
                  <c:v>0.90622805364149173</c:v>
                </c:pt>
                <c:pt idx="70">
                  <c:v>1.2540184674585673</c:v>
                </c:pt>
                <c:pt idx="71">
                  <c:v>0.99903295296771466</c:v>
                </c:pt>
                <c:pt idx="72">
                  <c:v>1.7664505930479093</c:v>
                </c:pt>
                <c:pt idx="73">
                  <c:v>1.7653817450112772</c:v>
                </c:pt>
                <c:pt idx="74">
                  <c:v>1.1728721700777518</c:v>
                </c:pt>
                <c:pt idx="75">
                  <c:v>1.9701046756068881</c:v>
                </c:pt>
                <c:pt idx="76">
                  <c:v>1.5262427516204666</c:v>
                </c:pt>
                <c:pt idx="77">
                  <c:v>1.8109385459518514</c:v>
                </c:pt>
                <c:pt idx="78">
                  <c:v>1.6695678244248642</c:v>
                </c:pt>
                <c:pt idx="79">
                  <c:v>1.5281971028978771</c:v>
                </c:pt>
                <c:pt idx="80">
                  <c:v>1.3323830873272335</c:v>
                </c:pt>
                <c:pt idx="81">
                  <c:v>1.1420684005983734</c:v>
                </c:pt>
                <c:pt idx="82">
                  <c:v>1.1205408056452439</c:v>
                </c:pt>
                <c:pt idx="83">
                  <c:v>1.3061583332266573</c:v>
                </c:pt>
                <c:pt idx="84">
                  <c:v>1.1202304249814599</c:v>
                </c:pt>
                <c:pt idx="85">
                  <c:v>1.0576027590633972</c:v>
                </c:pt>
                <c:pt idx="86">
                  <c:v>0.74837460849106519</c:v>
                </c:pt>
                <c:pt idx="87">
                  <c:v>0.93234742722727204</c:v>
                </c:pt>
                <c:pt idx="88">
                  <c:v>1.3839948657046064</c:v>
                </c:pt>
                <c:pt idx="89">
                  <c:v>1.361424944070303</c:v>
                </c:pt>
                <c:pt idx="90">
                  <c:v>1.5953481096353215</c:v>
                </c:pt>
                <c:pt idx="91">
                  <c:v>0.77981514541754371</c:v>
                </c:pt>
                <c:pt idx="92">
                  <c:v>1.1759186911778847</c:v>
                </c:pt>
                <c:pt idx="93">
                  <c:v>1.2611849440699752</c:v>
                </c:pt>
                <c:pt idx="94">
                  <c:v>0.94565681219066211</c:v>
                </c:pt>
                <c:pt idx="95">
                  <c:v>1.33813384758994</c:v>
                </c:pt>
                <c:pt idx="96">
                  <c:v>1.5417573153674289</c:v>
                </c:pt>
                <c:pt idx="97">
                  <c:v>1.4785910067371479</c:v>
                </c:pt>
                <c:pt idx="98">
                  <c:v>1.6495987921710202</c:v>
                </c:pt>
                <c:pt idx="99">
                  <c:v>1.6136101006097725</c:v>
                </c:pt>
                <c:pt idx="100">
                  <c:v>1.7395662976360859</c:v>
                </c:pt>
                <c:pt idx="101">
                  <c:v>1.8655224946623994</c:v>
                </c:pt>
                <c:pt idx="102">
                  <c:v>2.5209225391509462</c:v>
                </c:pt>
                <c:pt idx="103">
                  <c:v>2.2977540268209085</c:v>
                </c:pt>
                <c:pt idx="104">
                  <c:v>2.6000933221684734</c:v>
                </c:pt>
                <c:pt idx="105">
                  <c:v>2.3474618679930326</c:v>
                </c:pt>
                <c:pt idx="106">
                  <c:v>2.3815822034438194</c:v>
                </c:pt>
                <c:pt idx="107">
                  <c:v>2.2005268277617804</c:v>
                </c:pt>
                <c:pt idx="108">
                  <c:v>2.2627311948658786</c:v>
                </c:pt>
                <c:pt idx="109">
                  <c:v>2.053112279457439</c:v>
                </c:pt>
                <c:pt idx="110">
                  <c:v>1.9516049689221364</c:v>
                </c:pt>
                <c:pt idx="111">
                  <c:v>2.1898907406258834</c:v>
                </c:pt>
                <c:pt idx="112">
                  <c:v>2.6730051567954249</c:v>
                </c:pt>
                <c:pt idx="113">
                  <c:v>2.7088173936054547</c:v>
                </c:pt>
                <c:pt idx="114">
                  <c:v>3.4315410851027757</c:v>
                </c:pt>
                <c:pt idx="115">
                  <c:v>3.1555981542515648</c:v>
                </c:pt>
                <c:pt idx="116">
                  <c:v>3.0276353021487412</c:v>
                </c:pt>
                <c:pt idx="117">
                  <c:v>3.1392048433325725</c:v>
                </c:pt>
                <c:pt idx="118">
                  <c:v>3.0741943512776437</c:v>
                </c:pt>
                <c:pt idx="119">
                  <c:v>3.0365507272795531</c:v>
                </c:pt>
                <c:pt idx="120">
                  <c:v>2.1336724516321581</c:v>
                </c:pt>
                <c:pt idx="121">
                  <c:v>2.1760065634916783</c:v>
                </c:pt>
                <c:pt idx="122">
                  <c:v>1.2432146309908307</c:v>
                </c:pt>
                <c:pt idx="123">
                  <c:v>1.7282935796374643</c:v>
                </c:pt>
                <c:pt idx="124">
                  <c:v>1.8630550669241157</c:v>
                </c:pt>
                <c:pt idx="125">
                  <c:v>1.6547108162563235</c:v>
                </c:pt>
                <c:pt idx="126">
                  <c:v>1.4108460903008968</c:v>
                </c:pt>
                <c:pt idx="127">
                  <c:v>2.3427004162969345</c:v>
                </c:pt>
                <c:pt idx="128">
                  <c:v>2.037510644081721</c:v>
                </c:pt>
                <c:pt idx="129">
                  <c:v>1.8799248993264281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04-6F4F-A478-45B30619E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4761616"/>
        <c:axId val="-2024772512"/>
      </c:barChart>
      <c:lineChart>
        <c:grouping val="standard"/>
        <c:varyColors val="0"/>
        <c:ser>
          <c:idx val="2"/>
          <c:order val="2"/>
          <c:spPr>
            <a:ln w="34925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7'!$BP$8:$BP$150</c:f>
              <c:numCache>
                <c:formatCode>General</c:formatCode>
                <c:ptCount val="143"/>
                <c:pt idx="0">
                  <c:v>14.8</c:v>
                </c:pt>
                <c:pt idx="1">
                  <c:v>14.2</c:v>
                </c:pt>
                <c:pt idx="2">
                  <c:v>15.4</c:v>
                </c:pt>
                <c:pt idx="3">
                  <c:v>15.8</c:v>
                </c:pt>
                <c:pt idx="4">
                  <c:v>15.8</c:v>
                </c:pt>
                <c:pt idx="5">
                  <c:v>15.2</c:v>
                </c:pt>
                <c:pt idx="6">
                  <c:v>16.2</c:v>
                </c:pt>
                <c:pt idx="7">
                  <c:v>15.4</c:v>
                </c:pt>
                <c:pt idx="8">
                  <c:v>14.8</c:v>
                </c:pt>
                <c:pt idx="9">
                  <c:v>15.8</c:v>
                </c:pt>
                <c:pt idx="10">
                  <c:v>15.4</c:v>
                </c:pt>
                <c:pt idx="11">
                  <c:v>14.4</c:v>
                </c:pt>
                <c:pt idx="12">
                  <c:v>13.2</c:v>
                </c:pt>
                <c:pt idx="13">
                  <c:v>14.4</c:v>
                </c:pt>
                <c:pt idx="14">
                  <c:v>15.2</c:v>
                </c:pt>
                <c:pt idx="15">
                  <c:v>13.8</c:v>
                </c:pt>
                <c:pt idx="16">
                  <c:v>14.4</c:v>
                </c:pt>
                <c:pt idx="17">
                  <c:v>16.8</c:v>
                </c:pt>
                <c:pt idx="18">
                  <c:v>16</c:v>
                </c:pt>
                <c:pt idx="19">
                  <c:v>17.399999999999999</c:v>
                </c:pt>
                <c:pt idx="20">
                  <c:v>18.2</c:v>
                </c:pt>
                <c:pt idx="21">
                  <c:v>17.8</c:v>
                </c:pt>
                <c:pt idx="22">
                  <c:v>15.6</c:v>
                </c:pt>
                <c:pt idx="23">
                  <c:v>14.2</c:v>
                </c:pt>
                <c:pt idx="24">
                  <c:v>14.4</c:v>
                </c:pt>
                <c:pt idx="25">
                  <c:v>14.4</c:v>
                </c:pt>
                <c:pt idx="26">
                  <c:v>15</c:v>
                </c:pt>
                <c:pt idx="27">
                  <c:v>14.8</c:v>
                </c:pt>
                <c:pt idx="28">
                  <c:v>13.2</c:v>
                </c:pt>
                <c:pt idx="29">
                  <c:v>13.8</c:v>
                </c:pt>
                <c:pt idx="30">
                  <c:v>13.2</c:v>
                </c:pt>
                <c:pt idx="31">
                  <c:v>18.399999999999999</c:v>
                </c:pt>
                <c:pt idx="32">
                  <c:v>16</c:v>
                </c:pt>
                <c:pt idx="33">
                  <c:v>17.399999999999999</c:v>
                </c:pt>
                <c:pt idx="34">
                  <c:v>15.6</c:v>
                </c:pt>
                <c:pt idx="35">
                  <c:v>15.4</c:v>
                </c:pt>
                <c:pt idx="36">
                  <c:v>15.6</c:v>
                </c:pt>
                <c:pt idx="37">
                  <c:v>16</c:v>
                </c:pt>
                <c:pt idx="38">
                  <c:v>15.8</c:v>
                </c:pt>
                <c:pt idx="39">
                  <c:v>17.600000000000001</c:v>
                </c:pt>
                <c:pt idx="40">
                  <c:v>15.6</c:v>
                </c:pt>
                <c:pt idx="41">
                  <c:v>15</c:v>
                </c:pt>
                <c:pt idx="42">
                  <c:v>14.6</c:v>
                </c:pt>
                <c:pt idx="43">
                  <c:v>14.8</c:v>
                </c:pt>
                <c:pt idx="44">
                  <c:v>15.2</c:v>
                </c:pt>
                <c:pt idx="45">
                  <c:v>15.8</c:v>
                </c:pt>
                <c:pt idx="46">
                  <c:v>17.2</c:v>
                </c:pt>
                <c:pt idx="47">
                  <c:v>17.399999999999999</c:v>
                </c:pt>
                <c:pt idx="48">
                  <c:v>17.600000000000001</c:v>
                </c:pt>
                <c:pt idx="49">
                  <c:v>17</c:v>
                </c:pt>
                <c:pt idx="50">
                  <c:v>14.8</c:v>
                </c:pt>
                <c:pt idx="51">
                  <c:v>13.6</c:v>
                </c:pt>
                <c:pt idx="52">
                  <c:v>14.4</c:v>
                </c:pt>
                <c:pt idx="53">
                  <c:v>14.4</c:v>
                </c:pt>
                <c:pt idx="54">
                  <c:v>15.4</c:v>
                </c:pt>
                <c:pt idx="55">
                  <c:v>15.4</c:v>
                </c:pt>
                <c:pt idx="56">
                  <c:v>14.8</c:v>
                </c:pt>
                <c:pt idx="57">
                  <c:v>16</c:v>
                </c:pt>
                <c:pt idx="58">
                  <c:v>18</c:v>
                </c:pt>
                <c:pt idx="59">
                  <c:v>16.399999999999999</c:v>
                </c:pt>
                <c:pt idx="60">
                  <c:v>16</c:v>
                </c:pt>
                <c:pt idx="61">
                  <c:v>13.8</c:v>
                </c:pt>
                <c:pt idx="62">
                  <c:v>14.6</c:v>
                </c:pt>
                <c:pt idx="63">
                  <c:v>15.2</c:v>
                </c:pt>
                <c:pt idx="64">
                  <c:v>14.8</c:v>
                </c:pt>
                <c:pt idx="65">
                  <c:v>15</c:v>
                </c:pt>
                <c:pt idx="66">
                  <c:v>14.6</c:v>
                </c:pt>
                <c:pt idx="67">
                  <c:v>15</c:v>
                </c:pt>
                <c:pt idx="68">
                  <c:v>14.4</c:v>
                </c:pt>
                <c:pt idx="69">
                  <c:v>14.6</c:v>
                </c:pt>
                <c:pt idx="70">
                  <c:v>14.4</c:v>
                </c:pt>
                <c:pt idx="71">
                  <c:v>15.2</c:v>
                </c:pt>
                <c:pt idx="72">
                  <c:v>14.2</c:v>
                </c:pt>
                <c:pt idx="73">
                  <c:v>15.2</c:v>
                </c:pt>
                <c:pt idx="74">
                  <c:v>14.2</c:v>
                </c:pt>
                <c:pt idx="75">
                  <c:v>13.6</c:v>
                </c:pt>
                <c:pt idx="76">
                  <c:v>14.4</c:v>
                </c:pt>
                <c:pt idx="77">
                  <c:v>15.4</c:v>
                </c:pt>
                <c:pt idx="78">
                  <c:v>15.2</c:v>
                </c:pt>
                <c:pt idx="79">
                  <c:v>15.4</c:v>
                </c:pt>
                <c:pt idx="80">
                  <c:v>15</c:v>
                </c:pt>
                <c:pt idx="81">
                  <c:v>13.6</c:v>
                </c:pt>
                <c:pt idx="82">
                  <c:v>14.2</c:v>
                </c:pt>
                <c:pt idx="83">
                  <c:v>14.8</c:v>
                </c:pt>
                <c:pt idx="84">
                  <c:v>15.2</c:v>
                </c:pt>
                <c:pt idx="85">
                  <c:v>15.4</c:v>
                </c:pt>
                <c:pt idx="86">
                  <c:v>15.4</c:v>
                </c:pt>
                <c:pt idx="87">
                  <c:v>14.8</c:v>
                </c:pt>
                <c:pt idx="88">
                  <c:v>14.8</c:v>
                </c:pt>
                <c:pt idx="89">
                  <c:v>15.2</c:v>
                </c:pt>
                <c:pt idx="90">
                  <c:v>14.2</c:v>
                </c:pt>
                <c:pt idx="91">
                  <c:v>14.8</c:v>
                </c:pt>
                <c:pt idx="92">
                  <c:v>15</c:v>
                </c:pt>
                <c:pt idx="93">
                  <c:v>14.6</c:v>
                </c:pt>
                <c:pt idx="94">
                  <c:v>14.4</c:v>
                </c:pt>
                <c:pt idx="95">
                  <c:v>15</c:v>
                </c:pt>
                <c:pt idx="96">
                  <c:v>14.6</c:v>
                </c:pt>
                <c:pt idx="97">
                  <c:v>14.2</c:v>
                </c:pt>
                <c:pt idx="98">
                  <c:v>14.2</c:v>
                </c:pt>
                <c:pt idx="99">
                  <c:v>14.2</c:v>
                </c:pt>
                <c:pt idx="100">
                  <c:v>14.2</c:v>
                </c:pt>
                <c:pt idx="101">
                  <c:v>14</c:v>
                </c:pt>
                <c:pt idx="102">
                  <c:v>14.4</c:v>
                </c:pt>
                <c:pt idx="103">
                  <c:v>14.2</c:v>
                </c:pt>
                <c:pt idx="104">
                  <c:v>13.2</c:v>
                </c:pt>
                <c:pt idx="105">
                  <c:v>13.2</c:v>
                </c:pt>
                <c:pt idx="106">
                  <c:v>12.4</c:v>
                </c:pt>
                <c:pt idx="107">
                  <c:v>13.6</c:v>
                </c:pt>
                <c:pt idx="108">
                  <c:v>14.2</c:v>
                </c:pt>
                <c:pt idx="109">
                  <c:v>14</c:v>
                </c:pt>
                <c:pt idx="110">
                  <c:v>13.2</c:v>
                </c:pt>
                <c:pt idx="111">
                  <c:v>13</c:v>
                </c:pt>
                <c:pt idx="112">
                  <c:v>11.8</c:v>
                </c:pt>
                <c:pt idx="113">
                  <c:v>13.2</c:v>
                </c:pt>
                <c:pt idx="114">
                  <c:v>12.4</c:v>
                </c:pt>
                <c:pt idx="115">
                  <c:v>12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13.2</c:v>
                </c:pt>
                <c:pt idx="120">
                  <c:v>13.2</c:v>
                </c:pt>
                <c:pt idx="121">
                  <c:v>13.8</c:v>
                </c:pt>
                <c:pt idx="122">
                  <c:v>13.2</c:v>
                </c:pt>
                <c:pt idx="123">
                  <c:v>13.8</c:v>
                </c:pt>
                <c:pt idx="124">
                  <c:v>13.8</c:v>
                </c:pt>
                <c:pt idx="125">
                  <c:v>13.8</c:v>
                </c:pt>
                <c:pt idx="126">
                  <c:v>14.2</c:v>
                </c:pt>
                <c:pt idx="127">
                  <c:v>14</c:v>
                </c:pt>
                <c:pt idx="128">
                  <c:v>12.8</c:v>
                </c:pt>
                <c:pt idx="129">
                  <c:v>12.4</c:v>
                </c:pt>
                <c:pt idx="130">
                  <c:v>12.2</c:v>
                </c:pt>
                <c:pt idx="131">
                  <c:v>17</c:v>
                </c:pt>
                <c:pt idx="132">
                  <c:v>15</c:v>
                </c:pt>
                <c:pt idx="133">
                  <c:v>13.2</c:v>
                </c:pt>
                <c:pt idx="134">
                  <c:v>13</c:v>
                </c:pt>
                <c:pt idx="135">
                  <c:v>13.6</c:v>
                </c:pt>
                <c:pt idx="136">
                  <c:v>13.8</c:v>
                </c:pt>
                <c:pt idx="137">
                  <c:v>13.4</c:v>
                </c:pt>
                <c:pt idx="138">
                  <c:v>12.8</c:v>
                </c:pt>
                <c:pt idx="139">
                  <c:v>13.2</c:v>
                </c:pt>
                <c:pt idx="140">
                  <c:v>13.6</c:v>
                </c:pt>
                <c:pt idx="141">
                  <c:v>13.4</c:v>
                </c:pt>
                <c:pt idx="142">
                  <c:v>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04-6F4F-A478-45B30619E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4751152"/>
        <c:axId val="-2024756240"/>
      </c:lineChart>
      <c:scatterChart>
        <c:scatterStyle val="lineMarker"/>
        <c:varyColors val="0"/>
        <c:ser>
          <c:idx val="3"/>
          <c:order val="3"/>
          <c:spPr>
            <a:ln w="47625">
              <a:noFill/>
            </a:ln>
          </c:spPr>
          <c:marker>
            <c:symbol val="none"/>
          </c:marker>
          <c:xVal>
            <c:numRef>
              <c:f>'Figs 6 &amp; 7'!$BV$8:$BV$18</c:f>
              <c:numCache>
                <c:formatCode>m/d/yy</c:formatCode>
                <c:ptCount val="11"/>
                <c:pt idx="0">
                  <c:v>41705</c:v>
                </c:pt>
                <c:pt idx="1">
                  <c:v>41705</c:v>
                </c:pt>
                <c:pt idx="2">
                  <c:v>41705</c:v>
                </c:pt>
                <c:pt idx="3">
                  <c:v>41705</c:v>
                </c:pt>
                <c:pt idx="4">
                  <c:v>41705</c:v>
                </c:pt>
                <c:pt idx="5">
                  <c:v>41705</c:v>
                </c:pt>
                <c:pt idx="6">
                  <c:v>41705</c:v>
                </c:pt>
                <c:pt idx="7">
                  <c:v>41705</c:v>
                </c:pt>
                <c:pt idx="8">
                  <c:v>41705</c:v>
                </c:pt>
                <c:pt idx="9">
                  <c:v>41705</c:v>
                </c:pt>
                <c:pt idx="10">
                  <c:v>41705</c:v>
                </c:pt>
              </c:numCache>
            </c:numRef>
          </c:xVal>
          <c:yVal>
            <c:numRef>
              <c:f>'Figs 6 &amp; 7'!$BU$8:$BU$18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04-6F4F-A478-45B30619E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751152"/>
        <c:axId val="-2024756240"/>
      </c:scatterChart>
      <c:valAx>
        <c:axId val="-2024772512"/>
        <c:scaling>
          <c:orientation val="minMax"/>
          <c:max val="8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CA" sz="1400"/>
                  <a:t>Evapotranspiration (cm/d)</a:t>
                </a:r>
              </a:p>
            </c:rich>
          </c:tx>
          <c:layout>
            <c:manualLayout>
              <c:xMode val="edge"/>
              <c:yMode val="edge"/>
              <c:x val="1.6409651659038101E-3"/>
              <c:y val="0.15538679501067301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4761616"/>
        <c:crosses val="autoZero"/>
        <c:crossBetween val="between"/>
      </c:valAx>
      <c:dateAx>
        <c:axId val="-202476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CA" sz="1400"/>
                  <a:t>Date</a:t>
                </a:r>
              </a:p>
            </c:rich>
          </c:tx>
          <c:layout>
            <c:manualLayout>
              <c:xMode val="edge"/>
              <c:yMode val="edge"/>
              <c:x val="0.400667610127796"/>
              <c:y val="0.86903335934327697"/>
            </c:manualLayout>
          </c:layout>
          <c:overlay val="0"/>
        </c:title>
        <c:numFmt formatCode="mm/dd" sourceLinked="0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 rot="0"/>
          <a:lstStyle/>
          <a:p>
            <a:pPr>
              <a:defRPr sz="1200" b="1"/>
            </a:pPr>
            <a:endParaRPr lang="en-US"/>
          </a:p>
        </c:txPr>
        <c:crossAx val="-2024772512"/>
        <c:crosses val="autoZero"/>
        <c:auto val="1"/>
        <c:lblOffset val="100"/>
        <c:baseTimeUnit val="days"/>
        <c:majorUnit val="28"/>
        <c:majorTimeUnit val="days"/>
        <c:minorUnit val="14"/>
      </c:dateAx>
      <c:valAx>
        <c:axId val="-2024756240"/>
        <c:scaling>
          <c:orientation val="minMax"/>
          <c:max val="2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400"/>
                </a:pPr>
                <a:r>
                  <a:rPr lang="en-CA" sz="1400"/>
                  <a:t>Tank Surface Area (Ha)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24751152"/>
        <c:crosses val="max"/>
        <c:crossBetween val="between"/>
      </c:valAx>
      <c:dateAx>
        <c:axId val="-2024751152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024756240"/>
        <c:crosses val="autoZero"/>
        <c:auto val="1"/>
        <c:lblOffset val="100"/>
        <c:baseTimeUnit val="days"/>
      </c:dateAx>
      <c:spPr>
        <a:ln w="28575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434174591792004E-2"/>
          <c:y val="4.1182992883824002E-2"/>
          <c:w val="0.69489431110765698"/>
          <c:h val="0.78565518355832897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65000"/>
                <a:alpha val="37000"/>
              </a:schemeClr>
            </a:solidFill>
            <a:ln w="47625">
              <a:noFill/>
            </a:ln>
            <a:effectLst/>
          </c:spP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7'!$DI$7:$DI$103</c:f>
              <c:numCache>
                <c:formatCode>0.000</c:formatCode>
                <c:ptCount val="97"/>
                <c:pt idx="0" formatCode="General">
                  <c:v>0</c:v>
                </c:pt>
                <c:pt idx="1">
                  <c:v>12.568729497438397</c:v>
                </c:pt>
                <c:pt idx="2">
                  <c:v>12.568729497438397</c:v>
                </c:pt>
                <c:pt idx="3">
                  <c:v>12.568729497438397</c:v>
                </c:pt>
                <c:pt idx="4">
                  <c:v>16.67827740515148</c:v>
                </c:pt>
                <c:pt idx="5">
                  <c:v>17.734384750325638</c:v>
                </c:pt>
                <c:pt idx="6">
                  <c:v>19.020776020799023</c:v>
                </c:pt>
                <c:pt idx="7">
                  <c:v>21.441558927759768</c:v>
                </c:pt>
                <c:pt idx="8">
                  <c:v>17.756342791401636</c:v>
                </c:pt>
                <c:pt idx="9">
                  <c:v>17.921168957613887</c:v>
                </c:pt>
                <c:pt idx="10">
                  <c:v>17.306083137466274</c:v>
                </c:pt>
                <c:pt idx="11">
                  <c:v>16.762735937784512</c:v>
                </c:pt>
                <c:pt idx="12">
                  <c:v>16.443514206189434</c:v>
                </c:pt>
                <c:pt idx="13">
                  <c:v>16.274043365066206</c:v>
                </c:pt>
                <c:pt idx="14">
                  <c:v>15.91371921793551</c:v>
                </c:pt>
                <c:pt idx="15">
                  <c:v>15.52263760077158</c:v>
                </c:pt>
                <c:pt idx="16">
                  <c:v>15.110906686651358</c:v>
                </c:pt>
                <c:pt idx="17">
                  <c:v>14.827582904752926</c:v>
                </c:pt>
                <c:pt idx="18">
                  <c:v>14.53621309254331</c:v>
                </c:pt>
                <c:pt idx="19">
                  <c:v>14.259382054918509</c:v>
                </c:pt>
                <c:pt idx="20">
                  <c:v>13.950234414611661</c:v>
                </c:pt>
                <c:pt idx="21">
                  <c:v>13.684179517772311</c:v>
                </c:pt>
                <c:pt idx="22">
                  <c:v>13.408270040917277</c:v>
                </c:pt>
                <c:pt idx="23">
                  <c:v>13.594347196668462</c:v>
                </c:pt>
                <c:pt idx="24">
                  <c:v>13.460368374474015</c:v>
                </c:pt>
                <c:pt idx="25">
                  <c:v>13.14746802810955</c:v>
                </c:pt>
                <c:pt idx="26">
                  <c:v>12.830678043330082</c:v>
                </c:pt>
                <c:pt idx="27">
                  <c:v>12.487782621366398</c:v>
                </c:pt>
                <c:pt idx="28">
                  <c:v>12.164620334936068</c:v>
                </c:pt>
                <c:pt idx="29">
                  <c:v>11.792984648162259</c:v>
                </c:pt>
                <c:pt idx="30">
                  <c:v>11.279438263515738</c:v>
                </c:pt>
                <c:pt idx="31">
                  <c:v>10.991715605031246</c:v>
                </c:pt>
                <c:pt idx="32">
                  <c:v>10.75055218023217</c:v>
                </c:pt>
                <c:pt idx="33">
                  <c:v>10.446783923845516</c:v>
                </c:pt>
                <c:pt idx="34">
                  <c:v>10.008325688498388</c:v>
                </c:pt>
                <c:pt idx="35">
                  <c:v>9.5573728815575425</c:v>
                </c:pt>
                <c:pt idx="36">
                  <c:v>16.946882005007982</c:v>
                </c:pt>
                <c:pt idx="37">
                  <c:v>16.642562141235512</c:v>
                </c:pt>
                <c:pt idx="38">
                  <c:v>16.252393321749089</c:v>
                </c:pt>
                <c:pt idx="39">
                  <c:v>15.839251702303153</c:v>
                </c:pt>
                <c:pt idx="40">
                  <c:v>15.424300466454378</c:v>
                </c:pt>
                <c:pt idx="41">
                  <c:v>15.004752212363913</c:v>
                </c:pt>
                <c:pt idx="42">
                  <c:v>14.600990470580847</c:v>
                </c:pt>
                <c:pt idx="43">
                  <c:v>14.220623967918151</c:v>
                </c:pt>
                <c:pt idx="44">
                  <c:v>13.84814470354525</c:v>
                </c:pt>
                <c:pt idx="45">
                  <c:v>13.472560855821305</c:v>
                </c:pt>
                <c:pt idx="46">
                  <c:v>13.071175426875227</c:v>
                </c:pt>
                <c:pt idx="47">
                  <c:v>12.692262641047995</c:v>
                </c:pt>
                <c:pt idx="48">
                  <c:v>12.319091850528888</c:v>
                </c:pt>
                <c:pt idx="49">
                  <c:v>11.965139511254248</c:v>
                </c:pt>
                <c:pt idx="50">
                  <c:v>11.613572083749787</c:v>
                </c:pt>
                <c:pt idx="51">
                  <c:v>11.478000981471109</c:v>
                </c:pt>
                <c:pt idx="52">
                  <c:v>11.193182808740652</c:v>
                </c:pt>
                <c:pt idx="53">
                  <c:v>10.865401909486174</c:v>
                </c:pt>
                <c:pt idx="54">
                  <c:v>10.485831509030568</c:v>
                </c:pt>
                <c:pt idx="55">
                  <c:v>10.027492862307211</c:v>
                </c:pt>
                <c:pt idx="56">
                  <c:v>9.6091824586844243</c:v>
                </c:pt>
                <c:pt idx="57">
                  <c:v>9.1988170806339333</c:v>
                </c:pt>
                <c:pt idx="58">
                  <c:v>8.8075874695683574</c:v>
                </c:pt>
                <c:pt idx="59">
                  <c:v>8.4119968197370465</c:v>
                </c:pt>
                <c:pt idx="60">
                  <c:v>8.0170515907154023</c:v>
                </c:pt>
                <c:pt idx="61">
                  <c:v>7.9835514125695335</c:v>
                </c:pt>
                <c:pt idx="62">
                  <c:v>8.2300700530499764</c:v>
                </c:pt>
                <c:pt idx="63">
                  <c:v>7.999544354238437</c:v>
                </c:pt>
                <c:pt idx="64">
                  <c:v>7.7450032731014185</c:v>
                </c:pt>
                <c:pt idx="65">
                  <c:v>7.4440164430167233</c:v>
                </c:pt>
                <c:pt idx="66">
                  <c:v>7.0800467308594932</c:v>
                </c:pt>
                <c:pt idx="67">
                  <c:v>6.7390023637171907</c:v>
                </c:pt>
                <c:pt idx="68">
                  <c:v>6.2489245039029528</c:v>
                </c:pt>
                <c:pt idx="69">
                  <c:v>5.5392823162519846</c:v>
                </c:pt>
                <c:pt idx="70">
                  <c:v>4.8910012969009626</c:v>
                </c:pt>
                <c:pt idx="71">
                  <c:v>4.4077915518915409</c:v>
                </c:pt>
                <c:pt idx="72">
                  <c:v>4.0526296158566426</c:v>
                </c:pt>
                <c:pt idx="73">
                  <c:v>3.7638306771710304</c:v>
                </c:pt>
                <c:pt idx="74">
                  <c:v>3.5792110681105695</c:v>
                </c:pt>
                <c:pt idx="75">
                  <c:v>3.4636377273115651</c:v>
                </c:pt>
                <c:pt idx="76">
                  <c:v>3.3568370266413354</c:v>
                </c:pt>
                <c:pt idx="77">
                  <c:v>3.253856489352466</c:v>
                </c:pt>
                <c:pt idx="78">
                  <c:v>3.0712754300120237</c:v>
                </c:pt>
                <c:pt idx="79">
                  <c:v>2.8688364523050347</c:v>
                </c:pt>
                <c:pt idx="80">
                  <c:v>2.6820278391719996</c:v>
                </c:pt>
                <c:pt idx="81">
                  <c:v>2.5225702820888301</c:v>
                </c:pt>
                <c:pt idx="82">
                  <c:v>2.3979924710149061</c:v>
                </c:pt>
                <c:pt idx="83">
                  <c:v>2.2888476483113789</c:v>
                </c:pt>
                <c:pt idx="84">
                  <c:v>2.2078050491996462</c:v>
                </c:pt>
                <c:pt idx="85">
                  <c:v>2.1249126713246604</c:v>
                </c:pt>
                <c:pt idx="86">
                  <c:v>2.0442996922775061</c:v>
                </c:pt>
                <c:pt idx="87">
                  <c:v>1.9761578374170774</c:v>
                </c:pt>
                <c:pt idx="88">
                  <c:v>1.9629334554875872</c:v>
                </c:pt>
                <c:pt idx="89">
                  <c:v>1.8995783249573752</c:v>
                </c:pt>
                <c:pt idx="90">
                  <c:v>1.8347085971215795</c:v>
                </c:pt>
                <c:pt idx="91">
                  <c:v>1.77643120438623</c:v>
                </c:pt>
                <c:pt idx="92">
                  <c:v>1.715929073302626</c:v>
                </c:pt>
                <c:pt idx="93">
                  <c:v>1.6499822544435911</c:v>
                </c:pt>
                <c:pt idx="94">
                  <c:v>1.5883346149700894</c:v>
                </c:pt>
                <c:pt idx="95">
                  <c:v>1.5275388515853003</c:v>
                </c:pt>
                <c:pt idx="96">
                  <c:v>1.4672808817642398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A-FE4C-A5D4-FD5179A0C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137056"/>
        <c:axId val="-2029684944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  <c:invertIfNegative val="0"/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7'!$DU$8:$DU$150</c:f>
              <c:numCache>
                <c:formatCode>0.000</c:formatCode>
                <c:ptCount val="143"/>
                <c:pt idx="0">
                  <c:v>0.49299999999999999</c:v>
                </c:pt>
                <c:pt idx="1">
                  <c:v>0.49299999999999999</c:v>
                </c:pt>
                <c:pt idx="2">
                  <c:v>0.49299999999999999</c:v>
                </c:pt>
                <c:pt idx="3">
                  <c:v>0.49299999999999999</c:v>
                </c:pt>
                <c:pt idx="4">
                  <c:v>0.49299999999999999</c:v>
                </c:pt>
                <c:pt idx="5">
                  <c:v>0.49299999999999999</c:v>
                </c:pt>
                <c:pt idx="6">
                  <c:v>0.49299999999999999</c:v>
                </c:pt>
                <c:pt idx="7">
                  <c:v>0.49299999999999999</c:v>
                </c:pt>
                <c:pt idx="8">
                  <c:v>1.5042688030376437</c:v>
                </c:pt>
                <c:pt idx="9">
                  <c:v>1.2584438119736281</c:v>
                </c:pt>
                <c:pt idx="10">
                  <c:v>1.0126188209096125</c:v>
                </c:pt>
                <c:pt idx="11">
                  <c:v>0.76679382984559685</c:v>
                </c:pt>
                <c:pt idx="12">
                  <c:v>0.52096883878158118</c:v>
                </c:pt>
                <c:pt idx="13">
                  <c:v>0.27514384771756539</c:v>
                </c:pt>
                <c:pt idx="14">
                  <c:v>0.51748684555700319</c:v>
                </c:pt>
                <c:pt idx="15">
                  <c:v>0.759829843396441</c:v>
                </c:pt>
                <c:pt idx="16">
                  <c:v>0.81947484620890143</c:v>
                </c:pt>
                <c:pt idx="17">
                  <c:v>0.78205772618823854</c:v>
                </c:pt>
                <c:pt idx="18">
                  <c:v>0.77086307847864743</c:v>
                </c:pt>
                <c:pt idx="19">
                  <c:v>0.78261309404124402</c:v>
                </c:pt>
                <c:pt idx="20">
                  <c:v>0.81443968996700489</c:v>
                </c:pt>
                <c:pt idx="21">
                  <c:v>0.83636461094086267</c:v>
                </c:pt>
                <c:pt idx="22">
                  <c:v>0.8496255663318053</c:v>
                </c:pt>
                <c:pt idx="23">
                  <c:v>1.2369898658961243</c:v>
                </c:pt>
                <c:pt idx="24">
                  <c:v>0.52013788604359834</c:v>
                </c:pt>
                <c:pt idx="25">
                  <c:v>0.69250054451150922</c:v>
                </c:pt>
                <c:pt idx="26">
                  <c:v>0.8648632029794201</c:v>
                </c:pt>
                <c:pt idx="27">
                  <c:v>1.0372258614473311</c:v>
                </c:pt>
                <c:pt idx="28">
                  <c:v>0.98983905775786729</c:v>
                </c:pt>
                <c:pt idx="29">
                  <c:v>0.94245225406840349</c:v>
                </c:pt>
                <c:pt idx="30">
                  <c:v>0.8950654503789397</c:v>
                </c:pt>
                <c:pt idx="31">
                  <c:v>0.8476786466894759</c:v>
                </c:pt>
                <c:pt idx="32">
                  <c:v>0.8002918430000121</c:v>
                </c:pt>
                <c:pt idx="33">
                  <c:v>0.75290503931054831</c:v>
                </c:pt>
                <c:pt idx="34">
                  <c:v>0.70551823562108451</c:v>
                </c:pt>
                <c:pt idx="35">
                  <c:v>0.65813143193162094</c:v>
                </c:pt>
                <c:pt idx="36">
                  <c:v>0.40445553737367224</c:v>
                </c:pt>
                <c:pt idx="37">
                  <c:v>0.1728340603148526</c:v>
                </c:pt>
                <c:pt idx="38">
                  <c:v>0.46552090587178085</c:v>
                </c:pt>
                <c:pt idx="39">
                  <c:v>0.40048705802657603</c:v>
                </c:pt>
                <c:pt idx="40">
                  <c:v>0.5509200334939397</c:v>
                </c:pt>
                <c:pt idx="41">
                  <c:v>0.5777724162968616</c:v>
                </c:pt>
                <c:pt idx="42">
                  <c:v>0.41454989939010067</c:v>
                </c:pt>
                <c:pt idx="43">
                  <c:v>0.74352914973878192</c:v>
                </c:pt>
                <c:pt idx="44">
                  <c:v>0.57107902662902976</c:v>
                </c:pt>
                <c:pt idx="45">
                  <c:v>0.32554007823772313</c:v>
                </c:pt>
                <c:pt idx="46">
                  <c:v>0.28237077401775379</c:v>
                </c:pt>
                <c:pt idx="47">
                  <c:v>0.23920146979778442</c:v>
                </c:pt>
                <c:pt idx="48">
                  <c:v>0.19603216557781505</c:v>
                </c:pt>
                <c:pt idx="49">
                  <c:v>0.15286286135784569</c:v>
                </c:pt>
                <c:pt idx="50">
                  <c:v>0.10969355713787632</c:v>
                </c:pt>
                <c:pt idx="51">
                  <c:v>1.1594323380590479</c:v>
                </c:pt>
                <c:pt idx="52">
                  <c:v>0.76772450788113789</c:v>
                </c:pt>
                <c:pt idx="53">
                  <c:v>0.27027949656750971</c:v>
                </c:pt>
                <c:pt idx="54">
                  <c:v>0.32848152816306686</c:v>
                </c:pt>
                <c:pt idx="55">
                  <c:v>0.38668355975862401</c:v>
                </c:pt>
                <c:pt idx="56">
                  <c:v>0.44488559135418115</c:v>
                </c:pt>
                <c:pt idx="57">
                  <c:v>0.5030876229497383</c:v>
                </c:pt>
                <c:pt idx="58">
                  <c:v>0.56128965454529545</c:v>
                </c:pt>
                <c:pt idx="59">
                  <c:v>0.61949168614085259</c:v>
                </c:pt>
                <c:pt idx="60">
                  <c:v>0.67769371773640974</c:v>
                </c:pt>
                <c:pt idx="61">
                  <c:v>0.73589574933196666</c:v>
                </c:pt>
                <c:pt idx="62">
                  <c:v>0.82125478746686031</c:v>
                </c:pt>
                <c:pt idx="63">
                  <c:v>1.7883187361770001</c:v>
                </c:pt>
                <c:pt idx="64">
                  <c:v>0.70852851233031089</c:v>
                </c:pt>
                <c:pt idx="65">
                  <c:v>2.2720652460272972</c:v>
                </c:pt>
                <c:pt idx="66">
                  <c:v>1.8035059479308697</c:v>
                </c:pt>
                <c:pt idx="67">
                  <c:v>1.3349466498344422</c:v>
                </c:pt>
                <c:pt idx="68">
                  <c:v>0.86638735173801462</c:v>
                </c:pt>
                <c:pt idx="69">
                  <c:v>0.3978280536415868</c:v>
                </c:pt>
                <c:pt idx="70">
                  <c:v>1.0648184674585512</c:v>
                </c:pt>
                <c:pt idx="71">
                  <c:v>0.68023453025320346</c:v>
                </c:pt>
                <c:pt idx="72">
                  <c:v>0.29565059304785568</c:v>
                </c:pt>
                <c:pt idx="73">
                  <c:v>0.95226174501123539</c:v>
                </c:pt>
                <c:pt idx="74">
                  <c:v>0.87271217007780322</c:v>
                </c:pt>
                <c:pt idx="75">
                  <c:v>2.371384675606877</c:v>
                </c:pt>
                <c:pt idx="76">
                  <c:v>0.37304275162048706</c:v>
                </c:pt>
                <c:pt idx="77">
                  <c:v>0.92053854595191931</c:v>
                </c:pt>
                <c:pt idx="78">
                  <c:v>0.94816782442492298</c:v>
                </c:pt>
                <c:pt idx="79">
                  <c:v>0.97579710289792665</c:v>
                </c:pt>
                <c:pt idx="80">
                  <c:v>0.58918308732713798</c:v>
                </c:pt>
                <c:pt idx="81">
                  <c:v>0.45846840059827842</c:v>
                </c:pt>
                <c:pt idx="82">
                  <c:v>0.75334080564527395</c:v>
                </c:pt>
                <c:pt idx="83">
                  <c:v>1.2271983332267575</c:v>
                </c:pt>
                <c:pt idx="84">
                  <c:v>0.90260375831482831</c:v>
                </c:pt>
                <c:pt idx="85">
                  <c:v>0.84638498128566264</c:v>
                </c:pt>
                <c:pt idx="86">
                  <c:v>0.25341460849097008</c:v>
                </c:pt>
                <c:pt idx="87">
                  <c:v>0.73394742722733119</c:v>
                </c:pt>
                <c:pt idx="88">
                  <c:v>0.9451148657044387</c:v>
                </c:pt>
                <c:pt idx="89">
                  <c:v>1.0941449440702966</c:v>
                </c:pt>
                <c:pt idx="90">
                  <c:v>1.0951881096353251</c:v>
                </c:pt>
                <c:pt idx="91">
                  <c:v>1.1755751454175529</c:v>
                </c:pt>
                <c:pt idx="92">
                  <c:v>1.2848786911779528</c:v>
                </c:pt>
                <c:pt idx="93">
                  <c:v>1.2151049440698771</c:v>
                </c:pt>
                <c:pt idx="94">
                  <c:v>0.78573681219076752</c:v>
                </c:pt>
                <c:pt idx="95">
                  <c:v>1.0786138475899754</c:v>
                </c:pt>
                <c:pt idx="96">
                  <c:v>1.3708773153674554</c:v>
                </c:pt>
                <c:pt idx="97">
                  <c:v>1.4297110067370578</c:v>
                </c:pt>
                <c:pt idx="98">
                  <c:v>1.687358792171</c:v>
                </c:pt>
                <c:pt idx="99">
                  <c:v>1.8272101006097348</c:v>
                </c:pt>
                <c:pt idx="100">
                  <c:v>1.8118862976360903</c:v>
                </c:pt>
                <c:pt idx="101">
                  <c:v>1.7965624946624459</c:v>
                </c:pt>
                <c:pt idx="102">
                  <c:v>1.203162539151013</c:v>
                </c:pt>
                <c:pt idx="103">
                  <c:v>2.3846980268207512</c:v>
                </c:pt>
                <c:pt idx="104">
                  <c:v>2.4025237221687177</c:v>
                </c:pt>
                <c:pt idx="105">
                  <c:v>2.2093498679927444</c:v>
                </c:pt>
                <c:pt idx="106">
                  <c:v>2.2839822034439616</c:v>
                </c:pt>
                <c:pt idx="107">
                  <c:v>2.5674068277617366</c:v>
                </c:pt>
                <c:pt idx="108">
                  <c:v>2.3666991948659057</c:v>
                </c:pt>
                <c:pt idx="109">
                  <c:v>2.2447602794573775</c:v>
                </c:pt>
                <c:pt idx="110">
                  <c:v>2.4660369689221944</c:v>
                </c:pt>
                <c:pt idx="111">
                  <c:v>2.5104507406260437</c:v>
                </c:pt>
                <c:pt idx="112">
                  <c:v>2.3417571567951243</c:v>
                </c:pt>
                <c:pt idx="113">
                  <c:v>2.5667373936056435</c:v>
                </c:pt>
                <c:pt idx="114">
                  <c:v>3.1523410851028224</c:v>
                </c:pt>
                <c:pt idx="115">
                  <c:v>2.9202381542514915</c:v>
                </c:pt>
                <c:pt idx="116">
                  <c:v>2.8959553021486037</c:v>
                </c:pt>
                <c:pt idx="117">
                  <c:v>2.8892848433326304</c:v>
                </c:pt>
                <c:pt idx="118">
                  <c:v>3.3235543512776342</c:v>
                </c:pt>
                <c:pt idx="119">
                  <c:v>3.4904707272796309</c:v>
                </c:pt>
                <c:pt idx="120">
                  <c:v>2.5896724516320675</c:v>
                </c:pt>
                <c:pt idx="121">
                  <c:v>2.5041345634917329</c:v>
                </c:pt>
                <c:pt idx="122">
                  <c:v>0.88417463099085336</c:v>
                </c:pt>
                <c:pt idx="123">
                  <c:v>2.7338935796375892</c:v>
                </c:pt>
                <c:pt idx="124">
                  <c:v>2.6838550669241648</c:v>
                </c:pt>
                <c:pt idx="125">
                  <c:v>1.8288708162561718</c:v>
                </c:pt>
                <c:pt idx="126">
                  <c:v>1.5962668903008905</c:v>
                </c:pt>
                <c:pt idx="127">
                  <c:v>3.6305724162968618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0A-FE4C-A5D4-FD5179A0C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1606208"/>
        <c:axId val="-2029643920"/>
      </c:barChart>
      <c:lineChart>
        <c:grouping val="standard"/>
        <c:varyColors val="0"/>
        <c:ser>
          <c:idx val="2"/>
          <c:order val="2"/>
          <c:spPr>
            <a:ln w="34925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7'!$BR$8:$BR$150</c:f>
              <c:numCache>
                <c:formatCode>0.0</c:formatCode>
                <c:ptCount val="143"/>
                <c:pt idx="0">
                  <c:v>20</c:v>
                </c:pt>
                <c:pt idx="1">
                  <c:v>19.189189189189189</c:v>
                </c:pt>
                <c:pt idx="2">
                  <c:v>20.810810810810811</c:v>
                </c:pt>
                <c:pt idx="3">
                  <c:v>21.351351351351351</c:v>
                </c:pt>
                <c:pt idx="4">
                  <c:v>21.351351351351351</c:v>
                </c:pt>
                <c:pt idx="5">
                  <c:v>20.54054054054054</c:v>
                </c:pt>
                <c:pt idx="6">
                  <c:v>21.891891891891891</c:v>
                </c:pt>
                <c:pt idx="7">
                  <c:v>20.810810810810811</c:v>
                </c:pt>
                <c:pt idx="8">
                  <c:v>20</c:v>
                </c:pt>
                <c:pt idx="9">
                  <c:v>21.351351351351351</c:v>
                </c:pt>
                <c:pt idx="10">
                  <c:v>20.810810810810811</c:v>
                </c:pt>
                <c:pt idx="11">
                  <c:v>19.45945945945946</c:v>
                </c:pt>
                <c:pt idx="12">
                  <c:v>17.837837837837839</c:v>
                </c:pt>
                <c:pt idx="13">
                  <c:v>19.45945945945946</c:v>
                </c:pt>
                <c:pt idx="14">
                  <c:v>20.54054054054054</c:v>
                </c:pt>
                <c:pt idx="15">
                  <c:v>18.648648648648649</c:v>
                </c:pt>
                <c:pt idx="16">
                  <c:v>19.45945945945946</c:v>
                </c:pt>
                <c:pt idx="17">
                  <c:v>22.702702702702702</c:v>
                </c:pt>
                <c:pt idx="18">
                  <c:v>21.621621621621621</c:v>
                </c:pt>
                <c:pt idx="19">
                  <c:v>23.513513513513512</c:v>
                </c:pt>
                <c:pt idx="20">
                  <c:v>24.594594594594593</c:v>
                </c:pt>
                <c:pt idx="21">
                  <c:v>24.054054054054053</c:v>
                </c:pt>
                <c:pt idx="22">
                  <c:v>21.081081081081081</c:v>
                </c:pt>
                <c:pt idx="23">
                  <c:v>19.189189189189189</c:v>
                </c:pt>
                <c:pt idx="24">
                  <c:v>19.45945945945946</c:v>
                </c:pt>
                <c:pt idx="25">
                  <c:v>19.45945945945946</c:v>
                </c:pt>
                <c:pt idx="26">
                  <c:v>20.27027027027027</c:v>
                </c:pt>
                <c:pt idx="27">
                  <c:v>20</c:v>
                </c:pt>
                <c:pt idx="28">
                  <c:v>17.837837837837839</c:v>
                </c:pt>
                <c:pt idx="29">
                  <c:v>18.648648648648649</c:v>
                </c:pt>
                <c:pt idx="30">
                  <c:v>17.837837837837839</c:v>
                </c:pt>
                <c:pt idx="31">
                  <c:v>24.864864864864863</c:v>
                </c:pt>
                <c:pt idx="32">
                  <c:v>21.621621621621621</c:v>
                </c:pt>
                <c:pt idx="33">
                  <c:v>23.513513513513512</c:v>
                </c:pt>
                <c:pt idx="34">
                  <c:v>21.081081081081081</c:v>
                </c:pt>
                <c:pt idx="35">
                  <c:v>20.810810810810811</c:v>
                </c:pt>
                <c:pt idx="36">
                  <c:v>21.081081081081081</c:v>
                </c:pt>
                <c:pt idx="37">
                  <c:v>21.621621621621621</c:v>
                </c:pt>
                <c:pt idx="38">
                  <c:v>21.351351351351351</c:v>
                </c:pt>
                <c:pt idx="39">
                  <c:v>23.783783783783782</c:v>
                </c:pt>
                <c:pt idx="40">
                  <c:v>21.081081081081081</c:v>
                </c:pt>
                <c:pt idx="41">
                  <c:v>20.27027027027027</c:v>
                </c:pt>
                <c:pt idx="42">
                  <c:v>19.72972972972973</c:v>
                </c:pt>
                <c:pt idx="43">
                  <c:v>20</c:v>
                </c:pt>
                <c:pt idx="44">
                  <c:v>20.54054054054054</c:v>
                </c:pt>
                <c:pt idx="45">
                  <c:v>21.351351351351351</c:v>
                </c:pt>
                <c:pt idx="46">
                  <c:v>23.243243243243242</c:v>
                </c:pt>
                <c:pt idx="47">
                  <c:v>23.513513513513512</c:v>
                </c:pt>
                <c:pt idx="48">
                  <c:v>23.783783783783782</c:v>
                </c:pt>
                <c:pt idx="49">
                  <c:v>22.972972972972972</c:v>
                </c:pt>
                <c:pt idx="50">
                  <c:v>20</c:v>
                </c:pt>
                <c:pt idx="51">
                  <c:v>18.378378378378379</c:v>
                </c:pt>
                <c:pt idx="52">
                  <c:v>19.45945945945946</c:v>
                </c:pt>
                <c:pt idx="53">
                  <c:v>19.45945945945946</c:v>
                </c:pt>
                <c:pt idx="54">
                  <c:v>20.810810810810811</c:v>
                </c:pt>
                <c:pt idx="55">
                  <c:v>20.810810810810811</c:v>
                </c:pt>
                <c:pt idx="56">
                  <c:v>20</c:v>
                </c:pt>
                <c:pt idx="57">
                  <c:v>21.621621621621621</c:v>
                </c:pt>
                <c:pt idx="58">
                  <c:v>24.324324324324323</c:v>
                </c:pt>
                <c:pt idx="59">
                  <c:v>22.162162162162161</c:v>
                </c:pt>
                <c:pt idx="60">
                  <c:v>21.621621621621621</c:v>
                </c:pt>
                <c:pt idx="61">
                  <c:v>18.648648648648649</c:v>
                </c:pt>
                <c:pt idx="62">
                  <c:v>19.72972972972973</c:v>
                </c:pt>
                <c:pt idx="63">
                  <c:v>20.54054054054054</c:v>
                </c:pt>
                <c:pt idx="64">
                  <c:v>20</c:v>
                </c:pt>
                <c:pt idx="65">
                  <c:v>20.27027027027027</c:v>
                </c:pt>
                <c:pt idx="66">
                  <c:v>19.72972972972973</c:v>
                </c:pt>
                <c:pt idx="67">
                  <c:v>20.27027027027027</c:v>
                </c:pt>
                <c:pt idx="68">
                  <c:v>19.45945945945946</c:v>
                </c:pt>
                <c:pt idx="69">
                  <c:v>19.72972972972973</c:v>
                </c:pt>
                <c:pt idx="70">
                  <c:v>19.45945945945946</c:v>
                </c:pt>
                <c:pt idx="71">
                  <c:v>20.54054054054054</c:v>
                </c:pt>
                <c:pt idx="72">
                  <c:v>19.189189189189189</c:v>
                </c:pt>
                <c:pt idx="73">
                  <c:v>20.54054054054054</c:v>
                </c:pt>
                <c:pt idx="74">
                  <c:v>19.189189189189189</c:v>
                </c:pt>
                <c:pt idx="75">
                  <c:v>18.378378378378379</c:v>
                </c:pt>
                <c:pt idx="76">
                  <c:v>19.45945945945946</c:v>
                </c:pt>
                <c:pt idx="77">
                  <c:v>20.810810810810811</c:v>
                </c:pt>
                <c:pt idx="78">
                  <c:v>20.54054054054054</c:v>
                </c:pt>
                <c:pt idx="79">
                  <c:v>20.810810810810811</c:v>
                </c:pt>
                <c:pt idx="80">
                  <c:v>20.27027027027027</c:v>
                </c:pt>
                <c:pt idx="81">
                  <c:v>18.378378378378379</c:v>
                </c:pt>
                <c:pt idx="82">
                  <c:v>19.189189189189189</c:v>
                </c:pt>
                <c:pt idx="83">
                  <c:v>20</c:v>
                </c:pt>
                <c:pt idx="84">
                  <c:v>20.54054054054054</c:v>
                </c:pt>
                <c:pt idx="85">
                  <c:v>20.810810810810811</c:v>
                </c:pt>
                <c:pt idx="86">
                  <c:v>20.810810810810811</c:v>
                </c:pt>
                <c:pt idx="87">
                  <c:v>20</c:v>
                </c:pt>
                <c:pt idx="88">
                  <c:v>20</c:v>
                </c:pt>
                <c:pt idx="89">
                  <c:v>20.54054054054054</c:v>
                </c:pt>
                <c:pt idx="90">
                  <c:v>19.189189189189189</c:v>
                </c:pt>
                <c:pt idx="91">
                  <c:v>20</c:v>
                </c:pt>
                <c:pt idx="92">
                  <c:v>20.27027027027027</c:v>
                </c:pt>
                <c:pt idx="93">
                  <c:v>19.72972972972973</c:v>
                </c:pt>
                <c:pt idx="94">
                  <c:v>19.45945945945946</c:v>
                </c:pt>
                <c:pt idx="95">
                  <c:v>20.27027027027027</c:v>
                </c:pt>
                <c:pt idx="96">
                  <c:v>19.72972972972973</c:v>
                </c:pt>
                <c:pt idx="97">
                  <c:v>19.189189189189189</c:v>
                </c:pt>
                <c:pt idx="98">
                  <c:v>19.189189189189189</c:v>
                </c:pt>
                <c:pt idx="99">
                  <c:v>19.189189189189189</c:v>
                </c:pt>
                <c:pt idx="100">
                  <c:v>19.189189189189189</c:v>
                </c:pt>
                <c:pt idx="101">
                  <c:v>18.918918918918919</c:v>
                </c:pt>
                <c:pt idx="102">
                  <c:v>19.45945945945946</c:v>
                </c:pt>
                <c:pt idx="103">
                  <c:v>19.189189189189189</c:v>
                </c:pt>
                <c:pt idx="104">
                  <c:v>17.837837837837839</c:v>
                </c:pt>
                <c:pt idx="105">
                  <c:v>17.837837837837839</c:v>
                </c:pt>
                <c:pt idx="106">
                  <c:v>16.756756756756754</c:v>
                </c:pt>
                <c:pt idx="107">
                  <c:v>18.378378378378379</c:v>
                </c:pt>
                <c:pt idx="108">
                  <c:v>19.189189189189189</c:v>
                </c:pt>
                <c:pt idx="109">
                  <c:v>18.918918918918919</c:v>
                </c:pt>
                <c:pt idx="110">
                  <c:v>17.837837837837839</c:v>
                </c:pt>
                <c:pt idx="111">
                  <c:v>17.567567567567568</c:v>
                </c:pt>
                <c:pt idx="112">
                  <c:v>15.945945945945946</c:v>
                </c:pt>
                <c:pt idx="113">
                  <c:v>17.837837837837839</c:v>
                </c:pt>
                <c:pt idx="114">
                  <c:v>16.756756756756754</c:v>
                </c:pt>
                <c:pt idx="115">
                  <c:v>16.216216216216214</c:v>
                </c:pt>
                <c:pt idx="116">
                  <c:v>17.567567567567568</c:v>
                </c:pt>
                <c:pt idx="117">
                  <c:v>17.567567567567568</c:v>
                </c:pt>
                <c:pt idx="118">
                  <c:v>17.567567567567568</c:v>
                </c:pt>
                <c:pt idx="119">
                  <c:v>17.837837837837839</c:v>
                </c:pt>
                <c:pt idx="120">
                  <c:v>17.837837837837839</c:v>
                </c:pt>
                <c:pt idx="121">
                  <c:v>18.648648648648649</c:v>
                </c:pt>
                <c:pt idx="122">
                  <c:v>17.837837837837839</c:v>
                </c:pt>
                <c:pt idx="123">
                  <c:v>18.648648648648649</c:v>
                </c:pt>
                <c:pt idx="124">
                  <c:v>18.648648648648649</c:v>
                </c:pt>
                <c:pt idx="125">
                  <c:v>18.648648648648649</c:v>
                </c:pt>
                <c:pt idx="126">
                  <c:v>19.189189189189189</c:v>
                </c:pt>
                <c:pt idx="127">
                  <c:v>18.918918918918919</c:v>
                </c:pt>
                <c:pt idx="128">
                  <c:v>17.297297297297295</c:v>
                </c:pt>
                <c:pt idx="129">
                  <c:v>16.756756756756754</c:v>
                </c:pt>
                <c:pt idx="130">
                  <c:v>16.486486486486484</c:v>
                </c:pt>
                <c:pt idx="131">
                  <c:v>22.972972972972972</c:v>
                </c:pt>
                <c:pt idx="132">
                  <c:v>20.27027027027027</c:v>
                </c:pt>
                <c:pt idx="133">
                  <c:v>17.837837837837839</c:v>
                </c:pt>
                <c:pt idx="134">
                  <c:v>17.567567567567568</c:v>
                </c:pt>
                <c:pt idx="135">
                  <c:v>18.378378378378379</c:v>
                </c:pt>
                <c:pt idx="136">
                  <c:v>18.648648648648649</c:v>
                </c:pt>
                <c:pt idx="137">
                  <c:v>18.108108108108109</c:v>
                </c:pt>
                <c:pt idx="138">
                  <c:v>17.297297297297295</c:v>
                </c:pt>
                <c:pt idx="139">
                  <c:v>17.837837837837839</c:v>
                </c:pt>
                <c:pt idx="140">
                  <c:v>18.378378378378379</c:v>
                </c:pt>
                <c:pt idx="141">
                  <c:v>18.108108108108109</c:v>
                </c:pt>
                <c:pt idx="142">
                  <c:v>17.297297297297295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0A-FE4C-A5D4-FD5179A0C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9137056"/>
        <c:axId val="-2029684944"/>
      </c:lineChart>
      <c:scatterChart>
        <c:scatterStyle val="lineMarker"/>
        <c:varyColors val="0"/>
        <c:ser>
          <c:idx val="3"/>
          <c:order val="3"/>
          <c:spPr>
            <a:ln w="47625">
              <a:noFill/>
            </a:ln>
          </c:spPr>
          <c:marker>
            <c:symbol val="none"/>
          </c:marker>
          <c:dLbls>
            <c:dLbl>
              <c:idx val="0"/>
              <c:layout>
                <c:manualLayout>
                  <c:x val="0.11100745635234401"/>
                  <c:y val="0"/>
                </c:manualLayout>
              </c:layout>
              <c:tx>
                <c:strRef>
                  <c:f>'Figs 6 &amp; 7'!$BV$21</c:f>
                  <c:strCache>
                    <c:ptCount val="1"/>
                    <c:pt idx="0">
                      <c:v>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{0FE745A4-F862-054C-BE69-66BEA87B5B29}</c15:txfldGUID>
                      <c15:f>'Figs 6 &amp; 7'!$BV$21</c15:f>
                      <c15:dlblFieldTableCache>
                        <c:ptCount val="1"/>
                        <c:pt idx="0">
                          <c:v>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BA0A-FE4C-A5D4-FD5179A0CA0B}"/>
                </c:ext>
              </c:extLst>
            </c:dLbl>
            <c:dLbl>
              <c:idx val="1"/>
              <c:layout>
                <c:manualLayout>
                  <c:x val="0.10008095873913"/>
                  <c:y val="0"/>
                </c:manualLayout>
              </c:layout>
              <c:tx>
                <c:strRef>
                  <c:f>'Figs 6 &amp; 7'!$BV$22</c:f>
                  <c:strCache>
                    <c:ptCount val="1"/>
                    <c:pt idx="0">
                      <c:v>20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{869943BA-5DD6-BA4F-8C3E-8279BA19380F}</c15:txfldGUID>
                      <c15:f>'Figs 6 &amp; 7'!$BV$22</c15:f>
                      <c15:dlblFieldTableCache>
                        <c:ptCount val="1"/>
                        <c:pt idx="0">
                          <c:v>20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BA0A-FE4C-A5D4-FD5179A0CA0B}"/>
                </c:ext>
              </c:extLst>
            </c:dLbl>
            <c:dLbl>
              <c:idx val="2"/>
              <c:layout>
                <c:manualLayout>
                  <c:x val="0.10008095873913"/>
                  <c:y val="0"/>
                </c:manualLayout>
              </c:layout>
              <c:tx>
                <c:strRef>
                  <c:f>'Figs 6 &amp; 7'!$BV$23</c:f>
                  <c:strCache>
                    <c:ptCount val="1"/>
                    <c:pt idx="0">
                      <c:v>40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{C1CCF464-4B49-AD4B-BE61-0FF4246F8CB3}</c15:txfldGUID>
                      <c15:f>'Figs 6 &amp; 7'!$BV$23</c15:f>
                      <c15:dlblFieldTableCache>
                        <c:ptCount val="1"/>
                        <c:pt idx="0">
                          <c:v>40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BA0A-FE4C-A5D4-FD5179A0CA0B}"/>
                </c:ext>
              </c:extLst>
            </c:dLbl>
            <c:dLbl>
              <c:idx val="3"/>
              <c:layout>
                <c:manualLayout>
                  <c:x val="0.10008095873913"/>
                  <c:y val="0"/>
                </c:manualLayout>
              </c:layout>
              <c:tx>
                <c:strRef>
                  <c:f>'Figs 6 &amp; 7'!$BV$24</c:f>
                  <c:strCache>
                    <c:ptCount val="1"/>
                    <c:pt idx="0">
                      <c:v>60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{7DCF0F29-57C2-9541-86FF-E2E81CAF8AD0}</c15:txfldGUID>
                      <c15:f>'Figs 6 &amp; 7'!$BV$24</c15:f>
                      <c15:dlblFieldTableCache>
                        <c:ptCount val="1"/>
                        <c:pt idx="0">
                          <c:v>60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BA0A-FE4C-A5D4-FD5179A0CA0B}"/>
                </c:ext>
              </c:extLst>
            </c:dLbl>
            <c:dLbl>
              <c:idx val="4"/>
              <c:layout>
                <c:manualLayout>
                  <c:x val="0.10008095873913"/>
                  <c:y val="0"/>
                </c:manualLayout>
              </c:layout>
              <c:tx>
                <c:strRef>
                  <c:f>'Figs 6 &amp; 7'!$BV$25</c:f>
                  <c:strCache>
                    <c:ptCount val="1"/>
                    <c:pt idx="0">
                      <c:v>80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{78193117-AAC3-0545-8D24-D28F77AB1968}</c15:txfldGUID>
                      <c15:f>'Figs 6 &amp; 7'!$BV$25</c15:f>
                      <c15:dlblFieldTableCache>
                        <c:ptCount val="1"/>
                        <c:pt idx="0">
                          <c:v>80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BA0A-FE4C-A5D4-FD5179A0CA0B}"/>
                </c:ext>
              </c:extLst>
            </c:dLbl>
            <c:dLbl>
              <c:idx val="5"/>
              <c:layout>
                <c:manualLayout>
                  <c:x val="8.9154306801213098E-2"/>
                  <c:y val="0"/>
                </c:manualLayout>
              </c:layout>
              <c:tx>
                <c:strRef>
                  <c:f>'Figs 6 &amp; 7'!$BV$26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{F8BA4507-997F-6F4A-A163-58188E07D8A0}</c15:txfldGUID>
                      <c15:f>'Figs 6 &amp; 7'!$BV$26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BA0A-FE4C-A5D4-FD5179A0CA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'Figs 6 &amp; 7'!$BV$8:$BV$18</c:f>
              <c:numCache>
                <c:formatCode>m/d/yy</c:formatCode>
                <c:ptCount val="11"/>
                <c:pt idx="0">
                  <c:v>41705</c:v>
                </c:pt>
                <c:pt idx="1">
                  <c:v>41705</c:v>
                </c:pt>
                <c:pt idx="2">
                  <c:v>41705</c:v>
                </c:pt>
                <c:pt idx="3">
                  <c:v>41705</c:v>
                </c:pt>
                <c:pt idx="4">
                  <c:v>41705</c:v>
                </c:pt>
                <c:pt idx="5">
                  <c:v>41705</c:v>
                </c:pt>
                <c:pt idx="6">
                  <c:v>41705</c:v>
                </c:pt>
                <c:pt idx="7">
                  <c:v>41705</c:v>
                </c:pt>
                <c:pt idx="8">
                  <c:v>41705</c:v>
                </c:pt>
                <c:pt idx="9">
                  <c:v>41705</c:v>
                </c:pt>
                <c:pt idx="10">
                  <c:v>41705</c:v>
                </c:pt>
              </c:numCache>
            </c:numRef>
          </c:xVal>
          <c:yVal>
            <c:numRef>
              <c:f>'Figs 6 &amp; 7'!$BW$21:$BW$26</c:f>
              <c:numCache>
                <c:formatCode>General</c:formatCode>
                <c:ptCount val="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0A-FE4C-A5D4-FD5179A0C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137056"/>
        <c:axId val="-2029684944"/>
      </c:scatterChart>
      <c:valAx>
        <c:axId val="-2029643920"/>
        <c:scaling>
          <c:orientation val="minMax"/>
          <c:max val="8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CA" sz="1400"/>
                  <a:t>Evapotranspiration (cm/d)</a:t>
                </a:r>
              </a:p>
            </c:rich>
          </c:tx>
          <c:layout>
            <c:manualLayout>
              <c:xMode val="edge"/>
              <c:yMode val="edge"/>
              <c:x val="1.6409654688363301E-3"/>
              <c:y val="0.14338208890910401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11606208"/>
        <c:crosses val="autoZero"/>
        <c:crossBetween val="between"/>
      </c:valAx>
      <c:dateAx>
        <c:axId val="-201160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CA" sz="1400"/>
                  <a:t>Date</a:t>
                </a:r>
              </a:p>
            </c:rich>
          </c:tx>
          <c:layout>
            <c:manualLayout>
              <c:xMode val="edge"/>
              <c:yMode val="edge"/>
              <c:x val="0.40143675397129702"/>
              <c:y val="0.88327413971459701"/>
            </c:manualLayout>
          </c:layout>
          <c:overlay val="0"/>
        </c:title>
        <c:numFmt formatCode="mm/dd" sourceLinked="0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 rot="0"/>
          <a:lstStyle/>
          <a:p>
            <a:pPr>
              <a:defRPr sz="1200" b="1"/>
            </a:pPr>
            <a:endParaRPr lang="en-US"/>
          </a:p>
        </c:txPr>
        <c:crossAx val="-2029643920"/>
        <c:crosses val="autoZero"/>
        <c:auto val="1"/>
        <c:lblOffset val="100"/>
        <c:baseTimeUnit val="days"/>
        <c:majorUnit val="28"/>
        <c:majorTimeUnit val="days"/>
        <c:minorUnit val="14"/>
      </c:dateAx>
      <c:valAx>
        <c:axId val="-2029684944"/>
        <c:scaling>
          <c:orientation val="minMax"/>
          <c:max val="25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400"/>
                </a:pPr>
                <a:r>
                  <a:rPr lang="en-CA" sz="1400"/>
                  <a:t>Tank Surface Area (Ha)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29137056"/>
        <c:crosses val="max"/>
        <c:crossBetween val="between"/>
      </c:valAx>
      <c:dateAx>
        <c:axId val="-2029137056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029684944"/>
        <c:crosses val="autoZero"/>
        <c:auto val="1"/>
        <c:lblOffset val="100"/>
        <c:baseTimeUnit val="days"/>
      </c:dateAx>
      <c:spPr>
        <a:ln w="28575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279045933678698E-2"/>
          <c:y val="7.0471826259821499E-2"/>
          <c:w val="0.86424457039722602"/>
          <c:h val="0.77854029960998705"/>
        </c:manualLayout>
      </c:layout>
      <c:areaChart>
        <c:grouping val="stacked"/>
        <c:varyColors val="0"/>
        <c:ser>
          <c:idx val="1"/>
          <c:order val="1"/>
          <c:spPr>
            <a:solidFill>
              <a:schemeClr val="bg1">
                <a:lumMod val="75000"/>
                <a:alpha val="35000"/>
              </a:schemeClr>
            </a:solidFill>
            <a:effectLst/>
          </c:spPr>
          <c:cat>
            <c:strRef>
              <c:f>'Figs 6 &amp; 7'!$CN$28:$CN$124</c:f>
              <c:strCache>
                <c:ptCount val="97"/>
                <c:pt idx="0">
                  <c:v>10-16</c:v>
                </c:pt>
                <c:pt idx="1">
                  <c:v>10-17</c:v>
                </c:pt>
                <c:pt idx="2">
                  <c:v>10-18</c:v>
                </c:pt>
                <c:pt idx="3">
                  <c:v>10-19</c:v>
                </c:pt>
                <c:pt idx="4">
                  <c:v>10-20</c:v>
                </c:pt>
                <c:pt idx="5">
                  <c:v>10-21</c:v>
                </c:pt>
                <c:pt idx="6">
                  <c:v>10-22</c:v>
                </c:pt>
                <c:pt idx="7">
                  <c:v>10-23</c:v>
                </c:pt>
                <c:pt idx="8">
                  <c:v>10-24</c:v>
                </c:pt>
                <c:pt idx="9">
                  <c:v>10-25</c:v>
                </c:pt>
                <c:pt idx="10">
                  <c:v>10-26</c:v>
                </c:pt>
                <c:pt idx="11">
                  <c:v>10-27</c:v>
                </c:pt>
                <c:pt idx="12">
                  <c:v>10-28</c:v>
                </c:pt>
                <c:pt idx="13">
                  <c:v>10-29</c:v>
                </c:pt>
                <c:pt idx="14">
                  <c:v>10-30</c:v>
                </c:pt>
                <c:pt idx="15">
                  <c:v>10-31</c:v>
                </c:pt>
                <c:pt idx="16">
                  <c:v>11-1</c:v>
                </c:pt>
                <c:pt idx="17">
                  <c:v>11-2</c:v>
                </c:pt>
                <c:pt idx="18">
                  <c:v>11-3</c:v>
                </c:pt>
                <c:pt idx="19">
                  <c:v>11-4</c:v>
                </c:pt>
                <c:pt idx="20">
                  <c:v>11-5</c:v>
                </c:pt>
                <c:pt idx="21">
                  <c:v>11-6</c:v>
                </c:pt>
                <c:pt idx="22">
                  <c:v>11-7</c:v>
                </c:pt>
                <c:pt idx="23">
                  <c:v>11-8</c:v>
                </c:pt>
                <c:pt idx="24">
                  <c:v>11-9</c:v>
                </c:pt>
                <c:pt idx="25">
                  <c:v>11-10</c:v>
                </c:pt>
                <c:pt idx="26">
                  <c:v>11-11</c:v>
                </c:pt>
                <c:pt idx="27">
                  <c:v>11-12</c:v>
                </c:pt>
                <c:pt idx="28">
                  <c:v>11-13</c:v>
                </c:pt>
                <c:pt idx="29">
                  <c:v>11-14</c:v>
                </c:pt>
                <c:pt idx="30">
                  <c:v>11-15</c:v>
                </c:pt>
                <c:pt idx="31">
                  <c:v>11-16</c:v>
                </c:pt>
                <c:pt idx="32">
                  <c:v>11-17</c:v>
                </c:pt>
                <c:pt idx="33">
                  <c:v>11-18</c:v>
                </c:pt>
                <c:pt idx="34">
                  <c:v>11-19</c:v>
                </c:pt>
                <c:pt idx="35">
                  <c:v>11-20</c:v>
                </c:pt>
                <c:pt idx="36">
                  <c:v>11-21</c:v>
                </c:pt>
                <c:pt idx="37">
                  <c:v>11-22</c:v>
                </c:pt>
                <c:pt idx="38">
                  <c:v>11-23</c:v>
                </c:pt>
                <c:pt idx="39">
                  <c:v>11-24</c:v>
                </c:pt>
                <c:pt idx="40">
                  <c:v>11-25</c:v>
                </c:pt>
                <c:pt idx="41">
                  <c:v>11-26</c:v>
                </c:pt>
                <c:pt idx="42">
                  <c:v>11-27</c:v>
                </c:pt>
                <c:pt idx="43">
                  <c:v>11-28</c:v>
                </c:pt>
                <c:pt idx="44">
                  <c:v>11-29</c:v>
                </c:pt>
                <c:pt idx="45">
                  <c:v>11-30</c:v>
                </c:pt>
                <c:pt idx="46">
                  <c:v>12-1</c:v>
                </c:pt>
                <c:pt idx="47">
                  <c:v>12-2</c:v>
                </c:pt>
                <c:pt idx="48">
                  <c:v>12-3</c:v>
                </c:pt>
                <c:pt idx="49">
                  <c:v>12-4</c:v>
                </c:pt>
                <c:pt idx="50">
                  <c:v>12-5</c:v>
                </c:pt>
                <c:pt idx="51">
                  <c:v>12-6</c:v>
                </c:pt>
                <c:pt idx="52">
                  <c:v>12-7</c:v>
                </c:pt>
                <c:pt idx="53">
                  <c:v>12-8</c:v>
                </c:pt>
                <c:pt idx="54">
                  <c:v>12-9</c:v>
                </c:pt>
                <c:pt idx="55">
                  <c:v>12-10</c:v>
                </c:pt>
                <c:pt idx="56">
                  <c:v>12-11</c:v>
                </c:pt>
                <c:pt idx="57">
                  <c:v>12-12</c:v>
                </c:pt>
                <c:pt idx="58">
                  <c:v>12-13</c:v>
                </c:pt>
                <c:pt idx="59">
                  <c:v>12-14</c:v>
                </c:pt>
                <c:pt idx="60">
                  <c:v>12-15</c:v>
                </c:pt>
                <c:pt idx="61">
                  <c:v>12-16</c:v>
                </c:pt>
                <c:pt idx="62">
                  <c:v>12-17</c:v>
                </c:pt>
                <c:pt idx="63">
                  <c:v>12-18</c:v>
                </c:pt>
                <c:pt idx="64">
                  <c:v>12-19</c:v>
                </c:pt>
                <c:pt idx="65">
                  <c:v>12-20</c:v>
                </c:pt>
                <c:pt idx="66">
                  <c:v>12-21</c:v>
                </c:pt>
                <c:pt idx="67">
                  <c:v>12-22</c:v>
                </c:pt>
                <c:pt idx="68">
                  <c:v>12-23</c:v>
                </c:pt>
                <c:pt idx="69">
                  <c:v>12-24</c:v>
                </c:pt>
                <c:pt idx="70">
                  <c:v>12-25</c:v>
                </c:pt>
                <c:pt idx="71">
                  <c:v>12-26</c:v>
                </c:pt>
                <c:pt idx="72">
                  <c:v>12-27</c:v>
                </c:pt>
                <c:pt idx="73">
                  <c:v>12-28</c:v>
                </c:pt>
                <c:pt idx="74">
                  <c:v>12-29</c:v>
                </c:pt>
                <c:pt idx="75">
                  <c:v>12-30</c:v>
                </c:pt>
                <c:pt idx="76">
                  <c:v>12-31</c:v>
                </c:pt>
                <c:pt idx="77">
                  <c:v>1-1</c:v>
                </c:pt>
                <c:pt idx="78">
                  <c:v>1-2</c:v>
                </c:pt>
                <c:pt idx="79">
                  <c:v>1-3</c:v>
                </c:pt>
                <c:pt idx="80">
                  <c:v>1-4</c:v>
                </c:pt>
                <c:pt idx="81">
                  <c:v>1-5</c:v>
                </c:pt>
                <c:pt idx="82">
                  <c:v>1-6</c:v>
                </c:pt>
                <c:pt idx="83">
                  <c:v>1-7</c:v>
                </c:pt>
                <c:pt idx="84">
                  <c:v>1-8</c:v>
                </c:pt>
                <c:pt idx="85">
                  <c:v>1-9</c:v>
                </c:pt>
                <c:pt idx="86">
                  <c:v>1-10</c:v>
                </c:pt>
                <c:pt idx="87">
                  <c:v>1-11</c:v>
                </c:pt>
                <c:pt idx="88">
                  <c:v>1-12</c:v>
                </c:pt>
                <c:pt idx="89">
                  <c:v>1-13</c:v>
                </c:pt>
                <c:pt idx="90">
                  <c:v>1-14</c:v>
                </c:pt>
                <c:pt idx="91">
                  <c:v>1-15</c:v>
                </c:pt>
                <c:pt idx="92">
                  <c:v>1-16</c:v>
                </c:pt>
                <c:pt idx="93">
                  <c:v>1-17</c:v>
                </c:pt>
                <c:pt idx="94">
                  <c:v>1-18</c:v>
                </c:pt>
                <c:pt idx="95">
                  <c:v>1-19</c:v>
                </c:pt>
                <c:pt idx="96">
                  <c:v>1-20</c:v>
                </c:pt>
              </c:strCache>
            </c:strRef>
          </c:cat>
          <c:val>
            <c:numRef>
              <c:f>'Figs 6 &amp; 7'!$EI$8:$EI$96</c:f>
              <c:numCache>
                <c:formatCode>0.000</c:formatCode>
                <c:ptCount val="89"/>
                <c:pt idx="0" formatCode="General">
                  <c:v>3.1793810224401646</c:v>
                </c:pt>
                <c:pt idx="1">
                  <c:v>3.2773143565567313</c:v>
                </c:pt>
                <c:pt idx="2" formatCode="General">
                  <c:v>3.3345159959313371</c:v>
                </c:pt>
                <c:pt idx="3" formatCode="General">
                  <c:v>3.4026063881024378</c:v>
                </c:pt>
                <c:pt idx="4" formatCode="General">
                  <c:v>3.4228503382091855</c:v>
                </c:pt>
                <c:pt idx="5" formatCode="General">
                  <c:v>3.4088947052086631</c:v>
                </c:pt>
                <c:pt idx="6" formatCode="General">
                  <c:v>3.3914924557679615</c:v>
                </c:pt>
                <c:pt idx="7">
                  <c:v>3.371833767737586</c:v>
                </c:pt>
                <c:pt idx="8">
                  <c:v>3.3511229280280386</c:v>
                </c:pt>
                <c:pt idx="9">
                  <c:v>3.3322341775812401</c:v>
                </c:pt>
                <c:pt idx="10">
                  <c:v>3.3132409376518037</c:v>
                </c:pt>
                <c:pt idx="11">
                  <c:v>3.292209857675326</c:v>
                </c:pt>
                <c:pt idx="12">
                  <c:v>3.2727624191981519</c:v>
                </c:pt>
                <c:pt idx="13">
                  <c:v>3.2534329762465877</c:v>
                </c:pt>
                <c:pt idx="14">
                  <c:v>3.2334466778126245</c:v>
                </c:pt>
                <c:pt idx="15">
                  <c:v>3.2137524038752918</c:v>
                </c:pt>
                <c:pt idx="16" formatCode="General">
                  <c:v>3.1945710094669977</c:v>
                </c:pt>
                <c:pt idx="17" formatCode="General">
                  <c:v>3.1776802121516301</c:v>
                </c:pt>
                <c:pt idx="18" formatCode="General">
                  <c:v>3.1596771477230092</c:v>
                </c:pt>
                <c:pt idx="19" formatCode="General">
                  <c:v>3.1680194843017642</c:v>
                </c:pt>
                <c:pt idx="20" formatCode="General">
                  <c:v>3.1691288895585306</c:v>
                </c:pt>
                <c:pt idx="21" formatCode="General">
                  <c:v>3.1474530186407694</c:v>
                </c:pt>
                <c:pt idx="22" formatCode="General">
                  <c:v>3.1306487199818065</c:v>
                </c:pt>
                <c:pt idx="23">
                  <c:v>3.1099953411213708</c:v>
                </c:pt>
                <c:pt idx="24">
                  <c:v>3.0919184455944819</c:v>
                </c:pt>
                <c:pt idx="25">
                  <c:v>3.0709004524185612</c:v>
                </c:pt>
                <c:pt idx="26">
                  <c:v>3.0501161938040884</c:v>
                </c:pt>
                <c:pt idx="27">
                  <c:v>3.0268955413438121</c:v>
                </c:pt>
                <c:pt idx="28">
                  <c:v>3.0064748912332302</c:v>
                </c:pt>
                <c:pt idx="29" formatCode="General">
                  <c:v>2.9805939113679738</c:v>
                </c:pt>
                <c:pt idx="30">
                  <c:v>2.9560266236699828</c:v>
                </c:pt>
                <c:pt idx="31" formatCode="General">
                  <c:v>2.928978358456428</c:v>
                </c:pt>
                <c:pt idx="32" formatCode="General">
                  <c:v>3.230673051636181</c:v>
                </c:pt>
                <c:pt idx="33" formatCode="General">
                  <c:v>3.2119814440322791</c:v>
                </c:pt>
                <c:pt idx="34">
                  <c:v>3.1923401297129619</c:v>
                </c:pt>
                <c:pt idx="35">
                  <c:v>3.1712155743392252</c:v>
                </c:pt>
                <c:pt idx="36">
                  <c:v>3.1489272337360763</c:v>
                </c:pt>
                <c:pt idx="37">
                  <c:v>3.125172024677358</c:v>
                </c:pt>
                <c:pt idx="38">
                  <c:v>3.1047231540970941</c:v>
                </c:pt>
                <c:pt idx="39">
                  <c:v>3.081513953762153</c:v>
                </c:pt>
                <c:pt idx="40">
                  <c:v>3.0538722295991843</c:v>
                </c:pt>
                <c:pt idx="41">
                  <c:v>3.0250587306052825</c:v>
                </c:pt>
                <c:pt idx="42">
                  <c:v>2.9966634391078966</c:v>
                </c:pt>
                <c:pt idx="43">
                  <c:v>2.9721726488416049</c:v>
                </c:pt>
                <c:pt idx="44">
                  <c:v>2.9501452480592274</c:v>
                </c:pt>
                <c:pt idx="45">
                  <c:v>2.9242742858665238</c:v>
                </c:pt>
                <c:pt idx="46" formatCode="General">
                  <c:v>2.9012507692000664</c:v>
                </c:pt>
                <c:pt idx="47" formatCode="General">
                  <c:v>2.8964924910133441</c:v>
                </c:pt>
                <c:pt idx="48" formatCode="General">
                  <c:v>2.8756663033140768</c:v>
                </c:pt>
                <c:pt idx="49" formatCode="General">
                  <c:v>2.8481693677426971</c:v>
                </c:pt>
                <c:pt idx="50">
                  <c:v>2.8178550443621067</c:v>
                </c:pt>
                <c:pt idx="51">
                  <c:v>2.7797257992832947</c:v>
                </c:pt>
                <c:pt idx="52">
                  <c:v>2.7452350043176192</c:v>
                </c:pt>
                <c:pt idx="53">
                  <c:v>2.7107703853027498</c:v>
                </c:pt>
                <c:pt idx="54" formatCode="General">
                  <c:v>2.6747358193055391</c:v>
                </c:pt>
                <c:pt idx="55" formatCode="General">
                  <c:v>2.6353996280318732</c:v>
                </c:pt>
                <c:pt idx="56" formatCode="General">
                  <c:v>2.5918202734430693</c:v>
                </c:pt>
                <c:pt idx="57">
                  <c:v>2.588757282054349</c:v>
                </c:pt>
                <c:pt idx="58">
                  <c:v>2.6219521919043878</c:v>
                </c:pt>
                <c:pt idx="59">
                  <c:v>2.5973162032028565</c:v>
                </c:pt>
                <c:pt idx="60" formatCode="General">
                  <c:v>2.5751452457095354</c:v>
                </c:pt>
                <c:pt idx="61">
                  <c:v>2.5535566978348676</c:v>
                </c:pt>
                <c:pt idx="62">
                  <c:v>2.5267575104730966</c:v>
                </c:pt>
                <c:pt idx="63">
                  <c:v>2.4946082253497934</c:v>
                </c:pt>
                <c:pt idx="64">
                  <c:v>2.456787572889521</c:v>
                </c:pt>
                <c:pt idx="65">
                  <c:v>2.42622888955853</c:v>
                </c:pt>
                <c:pt idx="66">
                  <c:v>2.3935933107006484</c:v>
                </c:pt>
                <c:pt idx="67">
                  <c:v>2.3505738854216389</c:v>
                </c:pt>
                <c:pt idx="68">
                  <c:v>2.3118156048852239</c:v>
                </c:pt>
                <c:pt idx="69">
                  <c:v>2.2767434202106376</c:v>
                </c:pt>
                <c:pt idx="70">
                  <c:v>2.2421010906809613</c:v>
                </c:pt>
                <c:pt idx="71">
                  <c:v>2.2058965847504819</c:v>
                </c:pt>
                <c:pt idx="72">
                  <c:v>2.1696867673003695</c:v>
                </c:pt>
                <c:pt idx="73">
                  <c:v>2.1281540455995902</c:v>
                </c:pt>
                <c:pt idx="74">
                  <c:v>2.0889609988435236</c:v>
                </c:pt>
                <c:pt idx="75">
                  <c:v>2.0485505713273184</c:v>
                </c:pt>
                <c:pt idx="76">
                  <c:v>2.0045331858677997</c:v>
                </c:pt>
                <c:pt idx="77">
                  <c:v>1.9808798117067459</c:v>
                </c:pt>
                <c:pt idx="78" formatCode="General">
                  <c:v>1.9578538406777672</c:v>
                </c:pt>
                <c:pt idx="79">
                  <c:v>1.9360980098044942</c:v>
                </c:pt>
                <c:pt idx="80">
                  <c:v>1.9113853257985107</c:v>
                </c:pt>
                <c:pt idx="81">
                  <c:v>1.887739917742058</c:v>
                </c:pt>
                <c:pt idx="82">
                  <c:v>1.8694223344097904</c:v>
                </c:pt>
                <c:pt idx="83">
                  <c:v>1.6491466778126254</c:v>
                </c:pt>
                <c:pt idx="84">
                  <c:v>1.8071663127128443</c:v>
                </c:pt>
                <c:pt idx="85">
                  <c:v>1.8004505666279333</c:v>
                </c:pt>
                <c:pt idx="86">
                  <c:v>1.7729470923556627</c:v>
                </c:pt>
                <c:pt idx="87">
                  <c:v>1.1646311436986172</c:v>
                </c:pt>
                <c:pt idx="88">
                  <c:v>1.1184288942579135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F-A746-8D4E-90F281052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437088"/>
        <c:axId val="-2012943648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'Figs 6 &amp; 7'!$CN$28:$CN$170</c:f>
              <c:strCache>
                <c:ptCount val="143"/>
                <c:pt idx="0">
                  <c:v>10-16</c:v>
                </c:pt>
                <c:pt idx="1">
                  <c:v>10-17</c:v>
                </c:pt>
                <c:pt idx="2">
                  <c:v>10-18</c:v>
                </c:pt>
                <c:pt idx="3">
                  <c:v>10-19</c:v>
                </c:pt>
                <c:pt idx="4">
                  <c:v>10-20</c:v>
                </c:pt>
                <c:pt idx="5">
                  <c:v>10-21</c:v>
                </c:pt>
                <c:pt idx="6">
                  <c:v>10-22</c:v>
                </c:pt>
                <c:pt idx="7">
                  <c:v>10-23</c:v>
                </c:pt>
                <c:pt idx="8">
                  <c:v>10-24</c:v>
                </c:pt>
                <c:pt idx="9">
                  <c:v>10-25</c:v>
                </c:pt>
                <c:pt idx="10">
                  <c:v>10-26</c:v>
                </c:pt>
                <c:pt idx="11">
                  <c:v>10-27</c:v>
                </c:pt>
                <c:pt idx="12">
                  <c:v>10-28</c:v>
                </c:pt>
                <c:pt idx="13">
                  <c:v>10-29</c:v>
                </c:pt>
                <c:pt idx="14">
                  <c:v>10-30</c:v>
                </c:pt>
                <c:pt idx="15">
                  <c:v>10-31</c:v>
                </c:pt>
                <c:pt idx="16">
                  <c:v>11-1</c:v>
                </c:pt>
                <c:pt idx="17">
                  <c:v>11-2</c:v>
                </c:pt>
                <c:pt idx="18">
                  <c:v>11-3</c:v>
                </c:pt>
                <c:pt idx="19">
                  <c:v>11-4</c:v>
                </c:pt>
                <c:pt idx="20">
                  <c:v>11-5</c:v>
                </c:pt>
                <c:pt idx="21">
                  <c:v>11-6</c:v>
                </c:pt>
                <c:pt idx="22">
                  <c:v>11-7</c:v>
                </c:pt>
                <c:pt idx="23">
                  <c:v>11-8</c:v>
                </c:pt>
                <c:pt idx="24">
                  <c:v>11-9</c:v>
                </c:pt>
                <c:pt idx="25">
                  <c:v>11-10</c:v>
                </c:pt>
                <c:pt idx="26">
                  <c:v>11-11</c:v>
                </c:pt>
                <c:pt idx="27">
                  <c:v>11-12</c:v>
                </c:pt>
                <c:pt idx="28">
                  <c:v>11-13</c:v>
                </c:pt>
                <c:pt idx="29">
                  <c:v>11-14</c:v>
                </c:pt>
                <c:pt idx="30">
                  <c:v>11-15</c:v>
                </c:pt>
                <c:pt idx="31">
                  <c:v>11-16</c:v>
                </c:pt>
                <c:pt idx="32">
                  <c:v>11-17</c:v>
                </c:pt>
                <c:pt idx="33">
                  <c:v>11-18</c:v>
                </c:pt>
                <c:pt idx="34">
                  <c:v>11-19</c:v>
                </c:pt>
                <c:pt idx="35">
                  <c:v>11-20</c:v>
                </c:pt>
                <c:pt idx="36">
                  <c:v>11-21</c:v>
                </c:pt>
                <c:pt idx="37">
                  <c:v>11-22</c:v>
                </c:pt>
                <c:pt idx="38">
                  <c:v>11-23</c:v>
                </c:pt>
                <c:pt idx="39">
                  <c:v>11-24</c:v>
                </c:pt>
                <c:pt idx="40">
                  <c:v>11-25</c:v>
                </c:pt>
                <c:pt idx="41">
                  <c:v>11-26</c:v>
                </c:pt>
                <c:pt idx="42">
                  <c:v>11-27</c:v>
                </c:pt>
                <c:pt idx="43">
                  <c:v>11-28</c:v>
                </c:pt>
                <c:pt idx="44">
                  <c:v>11-29</c:v>
                </c:pt>
                <c:pt idx="45">
                  <c:v>11-30</c:v>
                </c:pt>
                <c:pt idx="46">
                  <c:v>12-1</c:v>
                </c:pt>
                <c:pt idx="47">
                  <c:v>12-2</c:v>
                </c:pt>
                <c:pt idx="48">
                  <c:v>12-3</c:v>
                </c:pt>
                <c:pt idx="49">
                  <c:v>12-4</c:v>
                </c:pt>
                <c:pt idx="50">
                  <c:v>12-5</c:v>
                </c:pt>
                <c:pt idx="51">
                  <c:v>12-6</c:v>
                </c:pt>
                <c:pt idx="52">
                  <c:v>12-7</c:v>
                </c:pt>
                <c:pt idx="53">
                  <c:v>12-8</c:v>
                </c:pt>
                <c:pt idx="54">
                  <c:v>12-9</c:v>
                </c:pt>
                <c:pt idx="55">
                  <c:v>12-10</c:v>
                </c:pt>
                <c:pt idx="56">
                  <c:v>12-11</c:v>
                </c:pt>
                <c:pt idx="57">
                  <c:v>12-12</c:v>
                </c:pt>
                <c:pt idx="58">
                  <c:v>12-13</c:v>
                </c:pt>
                <c:pt idx="59">
                  <c:v>12-14</c:v>
                </c:pt>
                <c:pt idx="60">
                  <c:v>12-15</c:v>
                </c:pt>
                <c:pt idx="61">
                  <c:v>12-16</c:v>
                </c:pt>
                <c:pt idx="62">
                  <c:v>12-17</c:v>
                </c:pt>
                <c:pt idx="63">
                  <c:v>12-18</c:v>
                </c:pt>
                <c:pt idx="64">
                  <c:v>12-19</c:v>
                </c:pt>
                <c:pt idx="65">
                  <c:v>12-20</c:v>
                </c:pt>
                <c:pt idx="66">
                  <c:v>12-21</c:v>
                </c:pt>
                <c:pt idx="67">
                  <c:v>12-22</c:v>
                </c:pt>
                <c:pt idx="68">
                  <c:v>12-23</c:v>
                </c:pt>
                <c:pt idx="69">
                  <c:v>12-24</c:v>
                </c:pt>
                <c:pt idx="70">
                  <c:v>12-25</c:v>
                </c:pt>
                <c:pt idx="71">
                  <c:v>12-26</c:v>
                </c:pt>
                <c:pt idx="72">
                  <c:v>12-27</c:v>
                </c:pt>
                <c:pt idx="73">
                  <c:v>12-28</c:v>
                </c:pt>
                <c:pt idx="74">
                  <c:v>12-29</c:v>
                </c:pt>
                <c:pt idx="75">
                  <c:v>12-30</c:v>
                </c:pt>
                <c:pt idx="76">
                  <c:v>12-31</c:v>
                </c:pt>
                <c:pt idx="77">
                  <c:v>1-1</c:v>
                </c:pt>
                <c:pt idx="78">
                  <c:v>1-2</c:v>
                </c:pt>
                <c:pt idx="79">
                  <c:v>1-3</c:v>
                </c:pt>
                <c:pt idx="80">
                  <c:v>1-4</c:v>
                </c:pt>
                <c:pt idx="81">
                  <c:v>1-5</c:v>
                </c:pt>
                <c:pt idx="82">
                  <c:v>1-6</c:v>
                </c:pt>
                <c:pt idx="83">
                  <c:v>1-7</c:v>
                </c:pt>
                <c:pt idx="84">
                  <c:v>1-8</c:v>
                </c:pt>
                <c:pt idx="85">
                  <c:v>1-9</c:v>
                </c:pt>
                <c:pt idx="86">
                  <c:v>1-10</c:v>
                </c:pt>
                <c:pt idx="87">
                  <c:v>1-11</c:v>
                </c:pt>
                <c:pt idx="88">
                  <c:v>1-12</c:v>
                </c:pt>
                <c:pt idx="89">
                  <c:v>1-13</c:v>
                </c:pt>
                <c:pt idx="90">
                  <c:v>1-14</c:v>
                </c:pt>
                <c:pt idx="91">
                  <c:v>1-15</c:v>
                </c:pt>
                <c:pt idx="92">
                  <c:v>1-16</c:v>
                </c:pt>
                <c:pt idx="93">
                  <c:v>1-17</c:v>
                </c:pt>
                <c:pt idx="94">
                  <c:v>1-18</c:v>
                </c:pt>
                <c:pt idx="95">
                  <c:v>1-19</c:v>
                </c:pt>
                <c:pt idx="96">
                  <c:v>1-20</c:v>
                </c:pt>
                <c:pt idx="97">
                  <c:v>1-21</c:v>
                </c:pt>
                <c:pt idx="98">
                  <c:v>1-22</c:v>
                </c:pt>
                <c:pt idx="99">
                  <c:v>1-23</c:v>
                </c:pt>
                <c:pt idx="100">
                  <c:v>1-24</c:v>
                </c:pt>
                <c:pt idx="101">
                  <c:v>1-25</c:v>
                </c:pt>
                <c:pt idx="102">
                  <c:v>1-26</c:v>
                </c:pt>
                <c:pt idx="103">
                  <c:v>1-27</c:v>
                </c:pt>
                <c:pt idx="104">
                  <c:v>1-28</c:v>
                </c:pt>
                <c:pt idx="105">
                  <c:v>1-29</c:v>
                </c:pt>
                <c:pt idx="106">
                  <c:v>1-30</c:v>
                </c:pt>
                <c:pt idx="107">
                  <c:v>1-31</c:v>
                </c:pt>
                <c:pt idx="108">
                  <c:v>2-1</c:v>
                </c:pt>
                <c:pt idx="109">
                  <c:v>2-2</c:v>
                </c:pt>
                <c:pt idx="110">
                  <c:v>2-3</c:v>
                </c:pt>
                <c:pt idx="111">
                  <c:v>2-4</c:v>
                </c:pt>
                <c:pt idx="112">
                  <c:v>2-5</c:v>
                </c:pt>
                <c:pt idx="113">
                  <c:v>2-6</c:v>
                </c:pt>
                <c:pt idx="114">
                  <c:v>2-7</c:v>
                </c:pt>
                <c:pt idx="115">
                  <c:v>2-8</c:v>
                </c:pt>
                <c:pt idx="116">
                  <c:v>2-9</c:v>
                </c:pt>
                <c:pt idx="117">
                  <c:v>2-10</c:v>
                </c:pt>
                <c:pt idx="118">
                  <c:v>2-11</c:v>
                </c:pt>
                <c:pt idx="119">
                  <c:v>2-12</c:v>
                </c:pt>
                <c:pt idx="120">
                  <c:v>2-13</c:v>
                </c:pt>
                <c:pt idx="121">
                  <c:v>2-14</c:v>
                </c:pt>
                <c:pt idx="122">
                  <c:v>2-15</c:v>
                </c:pt>
                <c:pt idx="123">
                  <c:v>2-16</c:v>
                </c:pt>
                <c:pt idx="124">
                  <c:v>2-17</c:v>
                </c:pt>
                <c:pt idx="125">
                  <c:v>2-18</c:v>
                </c:pt>
                <c:pt idx="126">
                  <c:v>2-19</c:v>
                </c:pt>
                <c:pt idx="127">
                  <c:v>2-20</c:v>
                </c:pt>
                <c:pt idx="128">
                  <c:v>2-21</c:v>
                </c:pt>
                <c:pt idx="129">
                  <c:v>2-22</c:v>
                </c:pt>
                <c:pt idx="130">
                  <c:v>2-23</c:v>
                </c:pt>
                <c:pt idx="131">
                  <c:v>2-24</c:v>
                </c:pt>
                <c:pt idx="132">
                  <c:v>2-25</c:v>
                </c:pt>
                <c:pt idx="133">
                  <c:v>2-26</c:v>
                </c:pt>
                <c:pt idx="134">
                  <c:v>2-27</c:v>
                </c:pt>
                <c:pt idx="135">
                  <c:v>2-28</c:v>
                </c:pt>
                <c:pt idx="136">
                  <c:v>3-1</c:v>
                </c:pt>
                <c:pt idx="137">
                  <c:v>3-2</c:v>
                </c:pt>
                <c:pt idx="138">
                  <c:v>3-3</c:v>
                </c:pt>
                <c:pt idx="139">
                  <c:v>3-4</c:v>
                </c:pt>
                <c:pt idx="140">
                  <c:v>3-5</c:v>
                </c:pt>
                <c:pt idx="141">
                  <c:v>3-6</c:v>
                </c:pt>
                <c:pt idx="142">
                  <c:v>3-7</c:v>
                </c:pt>
              </c:strCache>
            </c:strRef>
          </c:cat>
          <c:val>
            <c:numRef>
              <c:f>'Figs 6 &amp; 7'!$DW$8:$DW$150</c:f>
              <c:numCache>
                <c:formatCode>0.000</c:formatCode>
                <c:ptCount val="143"/>
                <c:pt idx="0">
                  <c:v>-89.39282983298591</c:v>
                </c:pt>
                <c:pt idx="1">
                  <c:v>-13.813091071491653</c:v>
                </c:pt>
                <c:pt idx="2">
                  <c:v>-8.7588965094032858</c:v>
                </c:pt>
                <c:pt idx="3">
                  <c:v>6.0718172407330346</c:v>
                </c:pt>
                <c:pt idx="4">
                  <c:v>7.1394184236861093</c:v>
                </c:pt>
                <c:pt idx="5">
                  <c:v>-2.7915721279501424</c:v>
                </c:pt>
                <c:pt idx="6">
                  <c:v>4.0824086873480798</c:v>
                </c:pt>
                <c:pt idx="7">
                  <c:v>0.50625285464152303</c:v>
                </c:pt>
                <c:pt idx="8">
                  <c:v>1.1592289323187195</c:v>
                </c:pt>
                <c:pt idx="9">
                  <c:v>1.0750730717676156</c:v>
                </c:pt>
                <c:pt idx="10">
                  <c:v>0.70414640446968635</c:v>
                </c:pt>
                <c:pt idx="11">
                  <c:v>0.52567030106860368</c:v>
                </c:pt>
                <c:pt idx="12">
                  <c:v>0.54089600162749174</c:v>
                </c:pt>
                <c:pt idx="13">
                  <c:v>0.55405076621011196</c:v>
                </c:pt>
                <c:pt idx="14">
                  <c:v>0.88096372110154597</c:v>
                </c:pt>
                <c:pt idx="15">
                  <c:v>0.58902411285490697</c:v>
                </c:pt>
                <c:pt idx="16">
                  <c:v>0.84885438943788749</c:v>
                </c:pt>
                <c:pt idx="17">
                  <c:v>0.68358631585880625</c:v>
                </c:pt>
                <c:pt idx="18">
                  <c:v>0.73742747578617829</c:v>
                </c:pt>
                <c:pt idx="19">
                  <c:v>0.76087563962627303</c:v>
                </c:pt>
                <c:pt idx="20">
                  <c:v>1.2442973560010548</c:v>
                </c:pt>
                <c:pt idx="21">
                  <c:v>0.25022633159912555</c:v>
                </c:pt>
                <c:pt idx="22">
                  <c:v>1.3960297288433301</c:v>
                </c:pt>
                <c:pt idx="23">
                  <c:v>0.91284390777321478</c:v>
                </c:pt>
                <c:pt idx="24">
                  <c:v>1.3068606978510799</c:v>
                </c:pt>
                <c:pt idx="25">
                  <c:v>0.91539453249542735</c:v>
                </c:pt>
                <c:pt idx="26">
                  <c:v>1.415770734711995</c:v>
                </c:pt>
                <c:pt idx="27">
                  <c:v>1.0833188185458038</c:v>
                </c:pt>
                <c:pt idx="28">
                  <c:v>1.5434019704100923</c:v>
                </c:pt>
                <c:pt idx="29">
                  <c:v>1.6261073777602995</c:v>
                </c:pt>
                <c:pt idx="30">
                  <c:v>1.7336650977119472</c:v>
                </c:pt>
                <c:pt idx="31">
                  <c:v>1.5688933436242667</c:v>
                </c:pt>
                <c:pt idx="32">
                  <c:v>1.7887421076838685</c:v>
                </c:pt>
                <c:pt idx="33">
                  <c:v>-7.5359277201776642</c:v>
                </c:pt>
                <c:pt idx="34">
                  <c:v>0.72519084492523489</c:v>
                </c:pt>
                <c:pt idx="35">
                  <c:v>0.89616841754780729</c:v>
                </c:pt>
                <c:pt idx="36">
                  <c:v>1.1213600437946742</c:v>
                </c:pt>
                <c:pt idx="37">
                  <c:v>1.3158187002211641</c:v>
                </c:pt>
                <c:pt idx="38">
                  <c:v>1.5417711041648789</c:v>
                </c:pt>
                <c:pt idx="39">
                  <c:v>1.2240004916699454</c:v>
                </c:pt>
                <c:pt idx="40">
                  <c:v>1.5118078168765059</c:v>
                </c:pt>
                <c:pt idx="41">
                  <c:v>1.9693946521314181</c:v>
                </c:pt>
                <c:pt idx="42">
                  <c:v>1.5696777496614087</c:v>
                </c:pt>
                <c:pt idx="43">
                  <c:v>2.2403702987116967</c:v>
                </c:pt>
                <c:pt idx="44">
                  <c:v>1.7403141789377914</c:v>
                </c:pt>
                <c:pt idx="45">
                  <c:v>1.3784950405007756</c:v>
                </c:pt>
                <c:pt idx="46">
                  <c:v>1.7640568089139417</c:v>
                </c:pt>
                <c:pt idx="47">
                  <c:v>1.4801596817324467</c:v>
                </c:pt>
                <c:pt idx="48">
                  <c:v>1.6077872779286448</c:v>
                </c:pt>
                <c:pt idx="49">
                  <c:v>1.4253516006980478</c:v>
                </c:pt>
                <c:pt idx="50">
                  <c:v>1.3393556730952001</c:v>
                </c:pt>
                <c:pt idx="51">
                  <c:v>1.8910806892071095</c:v>
                </c:pt>
                <c:pt idx="52">
                  <c:v>1.7955597399709995</c:v>
                </c:pt>
                <c:pt idx="53">
                  <c:v>2.1155167385857636</c:v>
                </c:pt>
                <c:pt idx="54">
                  <c:v>2.2294272675066482</c:v>
                </c:pt>
                <c:pt idx="55">
                  <c:v>2.1866144412357187</c:v>
                </c:pt>
                <c:pt idx="56">
                  <c:v>2.5634788808385451</c:v>
                </c:pt>
                <c:pt idx="57">
                  <c:v>2.8650014306715588</c:v>
                </c:pt>
                <c:pt idx="58">
                  <c:v>-0.98847688462440475</c:v>
                </c:pt>
                <c:pt idx="59">
                  <c:v>-4.597615342329811</c:v>
                </c:pt>
                <c:pt idx="60">
                  <c:v>1.1461027322692969</c:v>
                </c:pt>
                <c:pt idx="61">
                  <c:v>1.3107660964389327</c:v>
                </c:pt>
                <c:pt idx="62">
                  <c:v>0.93071386435971459</c:v>
                </c:pt>
                <c:pt idx="63">
                  <c:v>1.2231741351618475</c:v>
                </c:pt>
                <c:pt idx="64">
                  <c:v>1.6957201727489404</c:v>
                </c:pt>
                <c:pt idx="65">
                  <c:v>2.529940140609062</c:v>
                </c:pt>
                <c:pt idx="66">
                  <c:v>2.071014398483086</c:v>
                </c:pt>
                <c:pt idx="67">
                  <c:v>2.3595608248919047</c:v>
                </c:pt>
                <c:pt idx="68">
                  <c:v>3.2293127129462342</c:v>
                </c:pt>
                <c:pt idx="69">
                  <c:v>2.6349965501658623</c:v>
                </c:pt>
                <c:pt idx="70">
                  <c:v>2.0602434062651653</c:v>
                </c:pt>
                <c:pt idx="71">
                  <c:v>2.8535780423817458</c:v>
                </c:pt>
                <c:pt idx="72">
                  <c:v>2.2215100794748581</c:v>
                </c:pt>
                <c:pt idx="73">
                  <c:v>1.8489628663529076</c:v>
                </c:pt>
                <c:pt idx="74">
                  <c:v>1.6639015834679181</c:v>
                </c:pt>
                <c:pt idx="75">
                  <c:v>3.4811482193524226</c:v>
                </c:pt>
                <c:pt idx="76">
                  <c:v>0.90378747644363466</c:v>
                </c:pt>
                <c:pt idx="77">
                  <c:v>1.5727804140015467</c:v>
                </c:pt>
                <c:pt idx="78">
                  <c:v>0.32688450912724321</c:v>
                </c:pt>
                <c:pt idx="79">
                  <c:v>0.99278997740990227</c:v>
                </c:pt>
                <c:pt idx="80">
                  <c:v>0.50041994278655544</c:v>
                </c:pt>
                <c:pt idx="81">
                  <c:v>0.95706882410562466</c:v>
                </c:pt>
                <c:pt idx="82">
                  <c:v>1.0083357123997592</c:v>
                </c:pt>
                <c:pt idx="83">
                  <c:v>0.49559293197706089</c:v>
                </c:pt>
                <c:pt idx="84">
                  <c:v>20.710782849403934</c:v>
                </c:pt>
                <c:pt idx="85">
                  <c:v>-17.097612268616246</c:v>
                </c:pt>
                <c:pt idx="86">
                  <c:v>-0.60032232136566965</c:v>
                </c:pt>
                <c:pt idx="87">
                  <c:v>1.4961209645573195</c:v>
                </c:pt>
                <c:pt idx="88">
                  <c:v>-0.52110750501723047</c:v>
                </c:pt>
                <c:pt idx="89">
                  <c:v>-0.60700000000001042</c:v>
                </c:pt>
                <c:pt idx="90">
                  <c:v>-0.50699999999999923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8F-A746-8D4E-90F281052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437088"/>
        <c:axId val="-2012943648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  <c:invertIfNegative val="0"/>
          <c:cat>
            <c:strRef>
              <c:f>'Figs 6 &amp; 7'!$CN$28:$CN$124</c:f>
              <c:strCache>
                <c:ptCount val="97"/>
                <c:pt idx="0">
                  <c:v>10-16</c:v>
                </c:pt>
                <c:pt idx="1">
                  <c:v>10-17</c:v>
                </c:pt>
                <c:pt idx="2">
                  <c:v>10-18</c:v>
                </c:pt>
                <c:pt idx="3">
                  <c:v>10-19</c:v>
                </c:pt>
                <c:pt idx="4">
                  <c:v>10-20</c:v>
                </c:pt>
                <c:pt idx="5">
                  <c:v>10-21</c:v>
                </c:pt>
                <c:pt idx="6">
                  <c:v>10-22</c:v>
                </c:pt>
                <c:pt idx="7">
                  <c:v>10-23</c:v>
                </c:pt>
                <c:pt idx="8">
                  <c:v>10-24</c:v>
                </c:pt>
                <c:pt idx="9">
                  <c:v>10-25</c:v>
                </c:pt>
                <c:pt idx="10">
                  <c:v>10-26</c:v>
                </c:pt>
                <c:pt idx="11">
                  <c:v>10-27</c:v>
                </c:pt>
                <c:pt idx="12">
                  <c:v>10-28</c:v>
                </c:pt>
                <c:pt idx="13">
                  <c:v>10-29</c:v>
                </c:pt>
                <c:pt idx="14">
                  <c:v>10-30</c:v>
                </c:pt>
                <c:pt idx="15">
                  <c:v>10-31</c:v>
                </c:pt>
                <c:pt idx="16">
                  <c:v>11-1</c:v>
                </c:pt>
                <c:pt idx="17">
                  <c:v>11-2</c:v>
                </c:pt>
                <c:pt idx="18">
                  <c:v>11-3</c:v>
                </c:pt>
                <c:pt idx="19">
                  <c:v>11-4</c:v>
                </c:pt>
                <c:pt idx="20">
                  <c:v>11-5</c:v>
                </c:pt>
                <c:pt idx="21">
                  <c:v>11-6</c:v>
                </c:pt>
                <c:pt idx="22">
                  <c:v>11-7</c:v>
                </c:pt>
                <c:pt idx="23">
                  <c:v>11-8</c:v>
                </c:pt>
                <c:pt idx="24">
                  <c:v>11-9</c:v>
                </c:pt>
                <c:pt idx="25">
                  <c:v>11-10</c:v>
                </c:pt>
                <c:pt idx="26">
                  <c:v>11-11</c:v>
                </c:pt>
                <c:pt idx="27">
                  <c:v>11-12</c:v>
                </c:pt>
                <c:pt idx="28">
                  <c:v>11-13</c:v>
                </c:pt>
                <c:pt idx="29">
                  <c:v>11-14</c:v>
                </c:pt>
                <c:pt idx="30">
                  <c:v>11-15</c:v>
                </c:pt>
                <c:pt idx="31">
                  <c:v>11-16</c:v>
                </c:pt>
                <c:pt idx="32">
                  <c:v>11-17</c:v>
                </c:pt>
                <c:pt idx="33">
                  <c:v>11-18</c:v>
                </c:pt>
                <c:pt idx="34">
                  <c:v>11-19</c:v>
                </c:pt>
                <c:pt idx="35">
                  <c:v>11-20</c:v>
                </c:pt>
                <c:pt idx="36">
                  <c:v>11-21</c:v>
                </c:pt>
                <c:pt idx="37">
                  <c:v>11-22</c:v>
                </c:pt>
                <c:pt idx="38">
                  <c:v>11-23</c:v>
                </c:pt>
                <c:pt idx="39">
                  <c:v>11-24</c:v>
                </c:pt>
                <c:pt idx="40">
                  <c:v>11-25</c:v>
                </c:pt>
                <c:pt idx="41">
                  <c:v>11-26</c:v>
                </c:pt>
                <c:pt idx="42">
                  <c:v>11-27</c:v>
                </c:pt>
                <c:pt idx="43">
                  <c:v>11-28</c:v>
                </c:pt>
                <c:pt idx="44">
                  <c:v>11-29</c:v>
                </c:pt>
                <c:pt idx="45">
                  <c:v>11-30</c:v>
                </c:pt>
                <c:pt idx="46">
                  <c:v>12-1</c:v>
                </c:pt>
                <c:pt idx="47">
                  <c:v>12-2</c:v>
                </c:pt>
                <c:pt idx="48">
                  <c:v>12-3</c:v>
                </c:pt>
                <c:pt idx="49">
                  <c:v>12-4</c:v>
                </c:pt>
                <c:pt idx="50">
                  <c:v>12-5</c:v>
                </c:pt>
                <c:pt idx="51">
                  <c:v>12-6</c:v>
                </c:pt>
                <c:pt idx="52">
                  <c:v>12-7</c:v>
                </c:pt>
                <c:pt idx="53">
                  <c:v>12-8</c:v>
                </c:pt>
                <c:pt idx="54">
                  <c:v>12-9</c:v>
                </c:pt>
                <c:pt idx="55">
                  <c:v>12-10</c:v>
                </c:pt>
                <c:pt idx="56">
                  <c:v>12-11</c:v>
                </c:pt>
                <c:pt idx="57">
                  <c:v>12-12</c:v>
                </c:pt>
                <c:pt idx="58">
                  <c:v>12-13</c:v>
                </c:pt>
                <c:pt idx="59">
                  <c:v>12-14</c:v>
                </c:pt>
                <c:pt idx="60">
                  <c:v>12-15</c:v>
                </c:pt>
                <c:pt idx="61">
                  <c:v>12-16</c:v>
                </c:pt>
                <c:pt idx="62">
                  <c:v>12-17</c:v>
                </c:pt>
                <c:pt idx="63">
                  <c:v>12-18</c:v>
                </c:pt>
                <c:pt idx="64">
                  <c:v>12-19</c:v>
                </c:pt>
                <c:pt idx="65">
                  <c:v>12-20</c:v>
                </c:pt>
                <c:pt idx="66">
                  <c:v>12-21</c:v>
                </c:pt>
                <c:pt idx="67">
                  <c:v>12-22</c:v>
                </c:pt>
                <c:pt idx="68">
                  <c:v>12-23</c:v>
                </c:pt>
                <c:pt idx="69">
                  <c:v>12-24</c:v>
                </c:pt>
                <c:pt idx="70">
                  <c:v>12-25</c:v>
                </c:pt>
                <c:pt idx="71">
                  <c:v>12-26</c:v>
                </c:pt>
                <c:pt idx="72">
                  <c:v>12-27</c:v>
                </c:pt>
                <c:pt idx="73">
                  <c:v>12-28</c:v>
                </c:pt>
                <c:pt idx="74">
                  <c:v>12-29</c:v>
                </c:pt>
                <c:pt idx="75">
                  <c:v>12-30</c:v>
                </c:pt>
                <c:pt idx="76">
                  <c:v>12-31</c:v>
                </c:pt>
                <c:pt idx="77">
                  <c:v>1-1</c:v>
                </c:pt>
                <c:pt idx="78">
                  <c:v>1-2</c:v>
                </c:pt>
                <c:pt idx="79">
                  <c:v>1-3</c:v>
                </c:pt>
                <c:pt idx="80">
                  <c:v>1-4</c:v>
                </c:pt>
                <c:pt idx="81">
                  <c:v>1-5</c:v>
                </c:pt>
                <c:pt idx="82">
                  <c:v>1-6</c:v>
                </c:pt>
                <c:pt idx="83">
                  <c:v>1-7</c:v>
                </c:pt>
                <c:pt idx="84">
                  <c:v>1-8</c:v>
                </c:pt>
                <c:pt idx="85">
                  <c:v>1-9</c:v>
                </c:pt>
                <c:pt idx="86">
                  <c:v>1-10</c:v>
                </c:pt>
                <c:pt idx="87">
                  <c:v>1-11</c:v>
                </c:pt>
                <c:pt idx="88">
                  <c:v>1-12</c:v>
                </c:pt>
                <c:pt idx="89">
                  <c:v>1-13</c:v>
                </c:pt>
                <c:pt idx="90">
                  <c:v>1-14</c:v>
                </c:pt>
                <c:pt idx="91">
                  <c:v>1-15</c:v>
                </c:pt>
                <c:pt idx="92">
                  <c:v>1-16</c:v>
                </c:pt>
                <c:pt idx="93">
                  <c:v>1-17</c:v>
                </c:pt>
                <c:pt idx="94">
                  <c:v>1-18</c:v>
                </c:pt>
                <c:pt idx="95">
                  <c:v>1-19</c:v>
                </c:pt>
                <c:pt idx="96">
                  <c:v>1-20</c:v>
                </c:pt>
              </c:strCache>
            </c:strRef>
          </c:cat>
          <c:val>
            <c:numRef>
              <c:f>'Figs 6 &amp; 7'!$CA$84:$CA$226</c:f>
              <c:numCache>
                <c:formatCode>###0.00;###0.00</c:formatCode>
                <c:ptCount val="143"/>
                <c:pt idx="0">
                  <c:v>0.2</c:v>
                </c:pt>
                <c:pt idx="1">
                  <c:v>0</c:v>
                </c:pt>
                <c:pt idx="2">
                  <c:v>0.05</c:v>
                </c:pt>
                <c:pt idx="3">
                  <c:v>0.05</c:v>
                </c:pt>
                <c:pt idx="4">
                  <c:v>0</c:v>
                </c:pt>
                <c:pt idx="5">
                  <c:v>4.8</c:v>
                </c:pt>
                <c:pt idx="6">
                  <c:v>0.1</c:v>
                </c:pt>
                <c:pt idx="7">
                  <c:v>0</c:v>
                </c:pt>
                <c:pt idx="8">
                  <c:v>0.08</c:v>
                </c:pt>
                <c:pt idx="9">
                  <c:v>1.3</c:v>
                </c:pt>
                <c:pt idx="10">
                  <c:v>0.08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0.61</c:v>
                </c:pt>
                <c:pt idx="18">
                  <c:v>0</c:v>
                </c:pt>
                <c:pt idx="19">
                  <c:v>0.64</c:v>
                </c:pt>
                <c:pt idx="20">
                  <c:v>1.3</c:v>
                </c:pt>
                <c:pt idx="21">
                  <c:v>0.71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14.99</c:v>
                </c:pt>
                <c:pt idx="32">
                  <c:v>0</c:v>
                </c:pt>
                <c:pt idx="33">
                  <c:v>0.71</c:v>
                </c:pt>
                <c:pt idx="34">
                  <c:v>0.08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0.05</c:v>
                </c:pt>
                <c:pt idx="47" formatCode="General">
                  <c:v>1.19</c:v>
                </c:pt>
                <c:pt idx="48">
                  <c:v>0.51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0.03</c:v>
                </c:pt>
                <c:pt idx="58">
                  <c:v>1.37</c:v>
                </c:pt>
                <c:pt idx="59">
                  <c:v>0.05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0.03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0.03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 formatCode="###0.00">
                  <c:v>1.3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0.05</c:v>
                </c:pt>
                <c:pt idx="141">
                  <c:v>0</c:v>
                </c:pt>
                <c:pt idx="1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8F-A746-8D4E-90F281052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5359040"/>
        <c:axId val="-2025361872"/>
      </c:barChart>
      <c:valAx>
        <c:axId val="-2012943648"/>
        <c:scaling>
          <c:orientation val="minMax"/>
          <c:max val="6.5"/>
          <c:min val="-1.5"/>
        </c:scaling>
        <c:delete val="0"/>
        <c:axPos val="r"/>
        <c:majorGridlines/>
        <c:numFmt formatCode="General" sourceLinked="0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-2029437088"/>
        <c:crosses val="max"/>
        <c:crossBetween val="between"/>
        <c:majorUnit val="1"/>
      </c:valAx>
      <c:dateAx>
        <c:axId val="-2029437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/>
                </a:pPr>
                <a:r>
                  <a:rPr lang="en-CA" sz="1200" b="1"/>
                  <a:t>Date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low"/>
        <c:spPr>
          <a:ln w="19050">
            <a:solidFill>
              <a:schemeClr val="tx1"/>
            </a:solidFill>
          </a:ln>
        </c:spPr>
        <c:txPr>
          <a:bodyPr rot="-3000000" anchor="ctr" anchorCtr="1"/>
          <a:lstStyle/>
          <a:p>
            <a:pPr>
              <a:defRPr sz="1200" b="1"/>
            </a:pPr>
            <a:endParaRPr lang="en-US"/>
          </a:p>
        </c:txPr>
        <c:crossAx val="-2012943648"/>
        <c:crosses val="autoZero"/>
        <c:auto val="0"/>
        <c:lblOffset val="100"/>
        <c:baseTimeUnit val="days"/>
        <c:majorUnit val="14"/>
        <c:minorUnit val="14"/>
      </c:dateAx>
      <c:valAx>
        <c:axId val="-2025361872"/>
        <c:scaling>
          <c:orientation val="maxMin"/>
          <c:max val="50"/>
        </c:scaling>
        <c:delete val="0"/>
        <c:axPos val="l"/>
        <c:numFmt formatCode="###0.00;###0.00" sourceLinked="1"/>
        <c:majorTickMark val="none"/>
        <c:minorTickMark val="none"/>
        <c:tickLblPos val="none"/>
        <c:crossAx val="-2025359040"/>
        <c:crosses val="autoZero"/>
        <c:crossBetween val="between"/>
      </c:valAx>
      <c:catAx>
        <c:axId val="-2025359040"/>
        <c:scaling>
          <c:orientation val="minMax"/>
        </c:scaling>
        <c:delete val="1"/>
        <c:axPos val="t"/>
        <c:numFmt formatCode="General" sourceLinked="0"/>
        <c:majorTickMark val="out"/>
        <c:minorTickMark val="none"/>
        <c:tickLblPos val="nextTo"/>
        <c:crossAx val="-2025361872"/>
        <c:crosses val="autoZero"/>
        <c:auto val="1"/>
        <c:lblAlgn val="ctr"/>
        <c:lblOffset val="100"/>
        <c:noMultiLvlLbl val="0"/>
      </c:catAx>
      <c:spPr>
        <a:ln w="28575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73476632551001"/>
          <c:y val="4.1183015388222402E-2"/>
          <c:w val="0.68075876687646797"/>
          <c:h val="0.76957428625928204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47625">
              <a:noFill/>
            </a:ln>
            <a:effectLst/>
          </c:spP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7'!$DF$7:$DF$103</c:f>
              <c:numCache>
                <c:formatCode>0.000</c:formatCode>
                <c:ptCount val="97"/>
                <c:pt idx="0" formatCode="General">
                  <c:v>0</c:v>
                </c:pt>
                <c:pt idx="1">
                  <c:v>10.946832704118993</c:v>
                </c:pt>
                <c:pt idx="2">
                  <c:v>10.946832704118993</c:v>
                </c:pt>
                <c:pt idx="3">
                  <c:v>10.946832704118993</c:v>
                </c:pt>
                <c:pt idx="4">
                  <c:v>14.375312506064045</c:v>
                </c:pt>
                <c:pt idx="5">
                  <c:v>14.522976107902956</c:v>
                </c:pt>
                <c:pt idx="6">
                  <c:v>15.34026766597859</c:v>
                </c:pt>
                <c:pt idx="7">
                  <c:v>15.279323920742733</c:v>
                </c:pt>
                <c:pt idx="8">
                  <c:v>15.063696288914642</c:v>
                </c:pt>
                <c:pt idx="9">
                  <c:v>14.825645102915784</c:v>
                </c:pt>
                <c:pt idx="10">
                  <c:v>14.589801743237125</c:v>
                </c:pt>
                <c:pt idx="11">
                  <c:v>14.365587017483278</c:v>
                </c:pt>
                <c:pt idx="12">
                  <c:v>14.161918211394607</c:v>
                </c:pt>
                <c:pt idx="13">
                  <c:v>13.922926808567647</c:v>
                </c:pt>
                <c:pt idx="14">
                  <c:v>13.724647705518739</c:v>
                </c:pt>
                <c:pt idx="15">
                  <c:v>13.527999736963169</c:v>
                </c:pt>
                <c:pt idx="16">
                  <c:v>13.312699951236945</c:v>
                </c:pt>
                <c:pt idx="17">
                  <c:v>13.112949649099869</c:v>
                </c:pt>
                <c:pt idx="18">
                  <c:v>12.915263084356473</c:v>
                </c:pt>
                <c:pt idx="19">
                  <c:v>12.775618074685683</c:v>
                </c:pt>
                <c:pt idx="20">
                  <c:v>12.582066469679749</c:v>
                </c:pt>
                <c:pt idx="21">
                  <c:v>12.404319699298872</c:v>
                </c:pt>
                <c:pt idx="22">
                  <c:v>12.225701352819732</c:v>
                </c:pt>
                <c:pt idx="23">
                  <c:v>12.329212093016617</c:v>
                </c:pt>
                <c:pt idx="24">
                  <c:v>12.283055705262347</c:v>
                </c:pt>
                <c:pt idx="25">
                  <c:v>12.099035684521638</c:v>
                </c:pt>
                <c:pt idx="26">
                  <c:v>11.923403613807922</c:v>
                </c:pt>
                <c:pt idx="27">
                  <c:v>11.754989206410977</c:v>
                </c:pt>
                <c:pt idx="28">
                  <c:v>11.56808407751034</c:v>
                </c:pt>
                <c:pt idx="29">
                  <c:v>11.369898801083011</c:v>
                </c:pt>
                <c:pt idx="30">
                  <c:v>11.179403962990978</c:v>
                </c:pt>
                <c:pt idx="31">
                  <c:v>10.999806796887928</c:v>
                </c:pt>
                <c:pt idx="32">
                  <c:v>10.847674769374647</c:v>
                </c:pt>
                <c:pt idx="33">
                  <c:v>10.635976691847494</c:v>
                </c:pt>
                <c:pt idx="34">
                  <c:v>10.407341051803693</c:v>
                </c:pt>
                <c:pt idx="35">
                  <c:v>10.17415207898885</c:v>
                </c:pt>
                <c:pt idx="36">
                  <c:v>10.501195420405473</c:v>
                </c:pt>
                <c:pt idx="37">
                  <c:v>10.283427862626768</c:v>
                </c:pt>
                <c:pt idx="38">
                  <c:v>10.056646285164648</c:v>
                </c:pt>
                <c:pt idx="39">
                  <c:v>9.8324459592546365</c:v>
                </c:pt>
                <c:pt idx="40">
                  <c:v>9.5561041444195745</c:v>
                </c:pt>
                <c:pt idx="41">
                  <c:v>9.2766013831127658</c:v>
                </c:pt>
                <c:pt idx="42">
                  <c:v>9.0352428130879314</c:v>
                </c:pt>
                <c:pt idx="43">
                  <c:v>8.791643289905041</c:v>
                </c:pt>
                <c:pt idx="44">
                  <c:v>8.5650676840994588</c:v>
                </c:pt>
                <c:pt idx="45">
                  <c:v>8.3782777807224367</c:v>
                </c:pt>
                <c:pt idx="46">
                  <c:v>8.1914540124639732</c:v>
                </c:pt>
                <c:pt idx="47">
                  <c:v>8.0105301993791969</c:v>
                </c:pt>
                <c:pt idx="48">
                  <c:v>7.7695090607471862</c:v>
                </c:pt>
                <c:pt idx="49">
                  <c:v>7.5557670563580626</c:v>
                </c:pt>
                <c:pt idx="50">
                  <c:v>7.3903868800684958</c:v>
                </c:pt>
                <c:pt idx="51">
                  <c:v>7.3469758309363344</c:v>
                </c:pt>
                <c:pt idx="52">
                  <c:v>7.1889282478442835</c:v>
                </c:pt>
                <c:pt idx="53">
                  <c:v>7.0367676986999488</c:v>
                </c:pt>
                <c:pt idx="54">
                  <c:v>6.8784142779891919</c:v>
                </c:pt>
                <c:pt idx="55">
                  <c:v>6.7242486673832795</c:v>
                </c:pt>
                <c:pt idx="56">
                  <c:v>6.588742976002437</c:v>
                </c:pt>
                <c:pt idx="57">
                  <c:v>6.4526372620970065</c:v>
                </c:pt>
                <c:pt idx="58">
                  <c:v>6.3213367289268358</c:v>
                </c:pt>
                <c:pt idx="59">
                  <c:v>6.1892983463937723</c:v>
                </c:pt>
                <c:pt idx="60">
                  <c:v>6.0738624394500533</c:v>
                </c:pt>
                <c:pt idx="61">
                  <c:v>6.0555361457826535</c:v>
                </c:pt>
                <c:pt idx="62">
                  <c:v>6.0920423381005993</c:v>
                </c:pt>
                <c:pt idx="63">
                  <c:v>5.953642006395448</c:v>
                </c:pt>
                <c:pt idx="64">
                  <c:v>5.8114808012899166</c:v>
                </c:pt>
                <c:pt idx="65">
                  <c:v>5.6705160374776185</c:v>
                </c:pt>
                <c:pt idx="66">
                  <c:v>5.5360946690609891</c:v>
                </c:pt>
                <c:pt idx="67">
                  <c:v>5.396424871330292</c:v>
                </c:pt>
                <c:pt idx="68">
                  <c:v>5.2750096931800803</c:v>
                </c:pt>
                <c:pt idx="69">
                  <c:v>5.1575033095043619</c:v>
                </c:pt>
                <c:pt idx="70">
                  <c:v>5.0355597167665955</c:v>
                </c:pt>
                <c:pt idx="71">
                  <c:v>4.9091812601177773</c:v>
                </c:pt>
                <c:pt idx="72">
                  <c:v>4.7819574629018939</c:v>
                </c:pt>
                <c:pt idx="73">
                  <c:v>4.6659105750523002</c:v>
                </c:pt>
                <c:pt idx="74">
                  <c:v>4.5374546265263689</c:v>
                </c:pt>
                <c:pt idx="75">
                  <c:v>4.3934194555399761</c:v>
                </c:pt>
                <c:pt idx="76">
                  <c:v>4.257802781784374</c:v>
                </c:pt>
                <c:pt idx="77">
                  <c:v>4.1332862481743078</c:v>
                </c:pt>
                <c:pt idx="78">
                  <c:v>4.0440239450527109</c:v>
                </c:pt>
                <c:pt idx="79">
                  <c:v>3.9520465390699946</c:v>
                </c:pt>
                <c:pt idx="80">
                  <c:v>3.8564894160792496</c:v>
                </c:pt>
                <c:pt idx="81">
                  <c:v>3.7591121221764494</c:v>
                </c:pt>
                <c:pt idx="82">
                  <c:v>3.6206974119805695</c:v>
                </c:pt>
                <c:pt idx="83">
                  <c:v>3.4904962395740746</c:v>
                </c:pt>
                <c:pt idx="84">
                  <c:v>3.3346224958955952</c:v>
                </c:pt>
                <c:pt idx="85">
                  <c:v>3.1999337520530693</c:v>
                </c:pt>
                <c:pt idx="86">
                  <c:v>3.0993266021160792</c:v>
                </c:pt>
                <c:pt idx="87">
                  <c:v>3.0220631911468221</c:v>
                </c:pt>
                <c:pt idx="88">
                  <c:v>2.9997519792274656</c:v>
                </c:pt>
                <c:pt idx="89">
                  <c:v>2.9211682423382408</c:v>
                </c:pt>
                <c:pt idx="90">
                  <c:v>2.8182814043652487</c:v>
                </c:pt>
                <c:pt idx="91">
                  <c:v>2.7093360807291225</c:v>
                </c:pt>
                <c:pt idx="92">
                  <c:v>2.504462923888727</c:v>
                </c:pt>
                <c:pt idx="93">
                  <c:v>2.1663362700580242</c:v>
                </c:pt>
                <c:pt idx="94">
                  <c:v>1.8065042060545358</c:v>
                </c:pt>
                <c:pt idx="95">
                  <c:v>1.5960966743050571</c:v>
                </c:pt>
                <c:pt idx="96">
                  <c:v>1.1831317851312559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F-2B43-85DE-FB18471C4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4729760"/>
        <c:axId val="-2064734976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3175">
              <a:noFill/>
            </a:ln>
            <a:effectLst/>
          </c:spPr>
          <c:invertIfNegative val="0"/>
          <c:cat>
            <c:numRef>
              <c:f>'Figs 6 &amp; 7'!$DE$8:$DE$152</c:f>
              <c:numCache>
                <c:formatCode>m/d/yy</c:formatCode>
                <c:ptCount val="145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7'!$DR$8:$DR$150</c:f>
              <c:numCache>
                <c:formatCode>0.000</c:formatCode>
                <c:ptCount val="143"/>
                <c:pt idx="0">
                  <c:v>0.55400000000000005</c:v>
                </c:pt>
                <c:pt idx="1">
                  <c:v>0.55400000000000005</c:v>
                </c:pt>
                <c:pt idx="2">
                  <c:v>0.55400000000000005</c:v>
                </c:pt>
                <c:pt idx="3">
                  <c:v>0.55400000000000005</c:v>
                </c:pt>
                <c:pt idx="4">
                  <c:v>0.55400000000000005</c:v>
                </c:pt>
                <c:pt idx="5">
                  <c:v>0.55400000000000005</c:v>
                </c:pt>
                <c:pt idx="6">
                  <c:v>0.55400000000000005</c:v>
                </c:pt>
                <c:pt idx="7">
                  <c:v>0.518384666274609</c:v>
                </c:pt>
                <c:pt idx="8">
                  <c:v>0.48276933254921789</c:v>
                </c:pt>
                <c:pt idx="9">
                  <c:v>0.44715399882382678</c:v>
                </c:pt>
                <c:pt idx="10">
                  <c:v>0.41153866509843567</c:v>
                </c:pt>
                <c:pt idx="11">
                  <c:v>0.37592333137304457</c:v>
                </c:pt>
                <c:pt idx="12">
                  <c:v>0.34030799764765352</c:v>
                </c:pt>
                <c:pt idx="13">
                  <c:v>0.38962614640205739</c:v>
                </c:pt>
                <c:pt idx="14">
                  <c:v>0.43894429515646127</c:v>
                </c:pt>
                <c:pt idx="15">
                  <c:v>0.42736775901404106</c:v>
                </c:pt>
                <c:pt idx="16">
                  <c:v>0.41579122287162085</c:v>
                </c:pt>
                <c:pt idx="17">
                  <c:v>0.40421468672920063</c:v>
                </c:pt>
                <c:pt idx="18">
                  <c:v>0.39263815058678042</c:v>
                </c:pt>
                <c:pt idx="19">
                  <c:v>0.38106161444436021</c:v>
                </c:pt>
                <c:pt idx="20">
                  <c:v>0.36948507830194</c:v>
                </c:pt>
                <c:pt idx="21">
                  <c:v>0.35790854215951978</c:v>
                </c:pt>
                <c:pt idx="22">
                  <c:v>0.34633200601709957</c:v>
                </c:pt>
                <c:pt idx="23">
                  <c:v>0.33475546987467936</c:v>
                </c:pt>
                <c:pt idx="24">
                  <c:v>0.32317893373225914</c:v>
                </c:pt>
                <c:pt idx="25">
                  <c:v>0.31160239758983893</c:v>
                </c:pt>
                <c:pt idx="26">
                  <c:v>0.30002586144741872</c:v>
                </c:pt>
                <c:pt idx="27">
                  <c:v>0.3000258614474185</c:v>
                </c:pt>
                <c:pt idx="28">
                  <c:v>5.046524602738689E-2</c:v>
                </c:pt>
                <c:pt idx="29">
                  <c:v>0.30928161627658368</c:v>
                </c:pt>
                <c:pt idx="30">
                  <c:v>0.56809798652578047</c:v>
                </c:pt>
                <c:pt idx="31">
                  <c:v>0.54086367999191076</c:v>
                </c:pt>
                <c:pt idx="32">
                  <c:v>0.51362937345804105</c:v>
                </c:pt>
                <c:pt idx="33">
                  <c:v>0.48639506692417134</c:v>
                </c:pt>
                <c:pt idx="34">
                  <c:v>0.45916076039030163</c:v>
                </c:pt>
                <c:pt idx="35">
                  <c:v>0.51293143193180812</c:v>
                </c:pt>
                <c:pt idx="36">
                  <c:v>0.29845553737366171</c:v>
                </c:pt>
                <c:pt idx="37">
                  <c:v>0.4561993775912484</c:v>
                </c:pt>
                <c:pt idx="38">
                  <c:v>0.6139432178088351</c:v>
                </c:pt>
                <c:pt idx="39">
                  <c:v>0.7716870580264219</c:v>
                </c:pt>
                <c:pt idx="40">
                  <c:v>0.73092003349412416</c:v>
                </c:pt>
                <c:pt idx="41">
                  <c:v>2.5772416296725886E-2</c:v>
                </c:pt>
                <c:pt idx="42">
                  <c:v>0.61094989939016964</c:v>
                </c:pt>
                <c:pt idx="43">
                  <c:v>0.37432914973865294</c:v>
                </c:pt>
                <c:pt idx="44">
                  <c:v>0.91187902662910192</c:v>
                </c:pt>
                <c:pt idx="45">
                  <c:v>1.9239400782378406</c:v>
                </c:pt>
                <c:pt idx="46">
                  <c:v>0.82744193273086319</c:v>
                </c:pt>
                <c:pt idx="47">
                  <c:v>0.74300483883262447</c:v>
                </c:pt>
                <c:pt idx="48">
                  <c:v>0.65856774493438575</c:v>
                </c:pt>
                <c:pt idx="49">
                  <c:v>0.57413065103614702</c:v>
                </c:pt>
                <c:pt idx="50">
                  <c:v>0.48969355713790819</c:v>
                </c:pt>
                <c:pt idx="51">
                  <c:v>0.50423233805916157</c:v>
                </c:pt>
                <c:pt idx="52">
                  <c:v>0.84332450788100743</c:v>
                </c:pt>
                <c:pt idx="53">
                  <c:v>0.95907949656755109</c:v>
                </c:pt>
                <c:pt idx="54">
                  <c:v>0.77129348714572143</c:v>
                </c:pt>
                <c:pt idx="55">
                  <c:v>0.58350747772389178</c:v>
                </c:pt>
                <c:pt idx="56">
                  <c:v>0.39572146830206212</c:v>
                </c:pt>
                <c:pt idx="57">
                  <c:v>0.20793545888023246</c:v>
                </c:pt>
                <c:pt idx="58">
                  <c:v>0.34052553149323217</c:v>
                </c:pt>
                <c:pt idx="59">
                  <c:v>0.47311560410623188</c:v>
                </c:pt>
                <c:pt idx="60">
                  <c:v>0.60570567671923159</c:v>
                </c:pt>
                <c:pt idx="61">
                  <c:v>0.7382957493322313</c:v>
                </c:pt>
                <c:pt idx="62">
                  <c:v>0.74885478746663026</c:v>
                </c:pt>
                <c:pt idx="63">
                  <c:v>0.86471873617722284</c:v>
                </c:pt>
                <c:pt idx="64">
                  <c:v>0.90772851233017482</c:v>
                </c:pt>
                <c:pt idx="65">
                  <c:v>0.83726524602733865</c:v>
                </c:pt>
                <c:pt idx="66">
                  <c:v>0.84746833309909908</c:v>
                </c:pt>
                <c:pt idx="67">
                  <c:v>0.95955788578806134</c:v>
                </c:pt>
                <c:pt idx="68">
                  <c:v>0.61154252790108687</c:v>
                </c:pt>
                <c:pt idx="69">
                  <c:v>1.2114280536414836</c:v>
                </c:pt>
                <c:pt idx="70">
                  <c:v>1.2060184674584573</c:v>
                </c:pt>
                <c:pt idx="71">
                  <c:v>1.4053529529677999</c:v>
                </c:pt>
                <c:pt idx="72">
                  <c:v>0.66445059304787168</c:v>
                </c:pt>
                <c:pt idx="73">
                  <c:v>1.315781745011203</c:v>
                </c:pt>
                <c:pt idx="74">
                  <c:v>1.2608721700778929</c:v>
                </c:pt>
                <c:pt idx="75">
                  <c:v>1.18506467560675</c:v>
                </c:pt>
                <c:pt idx="76">
                  <c:v>1.1848827516205676</c:v>
                </c:pt>
                <c:pt idx="77">
                  <c:v>1.8761385459518656</c:v>
                </c:pt>
                <c:pt idx="78">
                  <c:v>2.499247824424883</c:v>
                </c:pt>
                <c:pt idx="79">
                  <c:v>3.1223571028979005</c:v>
                </c:pt>
                <c:pt idx="80">
                  <c:v>2.563663087327257</c:v>
                </c:pt>
                <c:pt idx="81">
                  <c:v>2.9565484005983818</c:v>
                </c:pt>
                <c:pt idx="82">
                  <c:v>2.089340805645215</c:v>
                </c:pt>
                <c:pt idx="83">
                  <c:v>0.85543833322681206</c:v>
                </c:pt>
                <c:pt idx="84">
                  <c:v>0.69583042498158754</c:v>
                </c:pt>
                <c:pt idx="85">
                  <c:v>0.53622251673636301</c:v>
                </c:pt>
                <c:pt idx="86">
                  <c:v>0.37661460849113859</c:v>
                </c:pt>
                <c:pt idx="87">
                  <c:v>0.93986742722731598</c:v>
                </c:pt>
                <c:pt idx="88">
                  <c:v>1.8875148657044818</c:v>
                </c:pt>
                <c:pt idx="89">
                  <c:v>4.2378249440702032</c:v>
                </c:pt>
                <c:pt idx="90">
                  <c:v>3.6949481096353867</c:v>
                </c:pt>
                <c:pt idx="91">
                  <c:v>3.8966151454176234</c:v>
                </c:pt>
                <c:pt idx="92">
                  <c:v>5.5296404511778423</c:v>
                </c:pt>
                <c:pt idx="93">
                  <c:v>3.2822249440699256</c:v>
                </c:pt>
                <c:pt idx="94">
                  <c:v>1.521256812190753</c:v>
                </c:pt>
                <c:pt idx="95">
                  <c:v>0.13885384758989261</c:v>
                </c:pt>
                <c:pt idx="96">
                  <c:v>0.61079731536750614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FF-2B43-85DE-FB18471C4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064737904"/>
        <c:axId val="-2064743280"/>
      </c:barChart>
      <c:scatterChart>
        <c:scatterStyle val="lineMarker"/>
        <c:varyColors val="0"/>
        <c:ser>
          <c:idx val="3"/>
          <c:order val="2"/>
          <c:spPr>
            <a:ln w="47625">
              <a:noFill/>
            </a:ln>
          </c:spPr>
          <c:marker>
            <c:symbol val="none"/>
          </c:marker>
          <c:xVal>
            <c:numRef>
              <c:f>'Figs 6 &amp; 7'!$BV$8:$BV$18</c:f>
              <c:numCache>
                <c:formatCode>m/d/yy</c:formatCode>
                <c:ptCount val="11"/>
                <c:pt idx="0">
                  <c:v>41705</c:v>
                </c:pt>
                <c:pt idx="1">
                  <c:v>41705</c:v>
                </c:pt>
                <c:pt idx="2">
                  <c:v>41705</c:v>
                </c:pt>
                <c:pt idx="3">
                  <c:v>41705</c:v>
                </c:pt>
                <c:pt idx="4">
                  <c:v>41705</c:v>
                </c:pt>
                <c:pt idx="5">
                  <c:v>41705</c:v>
                </c:pt>
                <c:pt idx="6">
                  <c:v>41705</c:v>
                </c:pt>
                <c:pt idx="7">
                  <c:v>41705</c:v>
                </c:pt>
                <c:pt idx="8">
                  <c:v>41705</c:v>
                </c:pt>
                <c:pt idx="9">
                  <c:v>41705</c:v>
                </c:pt>
                <c:pt idx="10">
                  <c:v>41705</c:v>
                </c:pt>
              </c:numCache>
            </c:numRef>
          </c:xVal>
          <c:yVal>
            <c:numRef>
              <c:f>'Figs 6 &amp; 7'!$BU$8:$BU$18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FF-2B43-85DE-FB18471C4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4729760"/>
        <c:axId val="-2064734976"/>
      </c:scatterChart>
      <c:valAx>
        <c:axId val="-2064743280"/>
        <c:scaling>
          <c:orientation val="minMax"/>
          <c:max val="6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CA" sz="1600"/>
                  <a:t>Evapotranspiration (cm/d)</a:t>
                </a:r>
              </a:p>
            </c:rich>
          </c:tx>
          <c:layout>
            <c:manualLayout>
              <c:xMode val="edge"/>
              <c:yMode val="edge"/>
              <c:x val="5.9518859236574002E-3"/>
              <c:y val="0.102652694247262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64737904"/>
        <c:crosses val="autoZero"/>
        <c:crossBetween val="between"/>
      </c:valAx>
      <c:dateAx>
        <c:axId val="-2064737904"/>
        <c:scaling>
          <c:orientation val="minMax"/>
          <c:max val="41690"/>
        </c:scaling>
        <c:delete val="1"/>
        <c:axPos val="b"/>
        <c:numFmt formatCode="mm/dd" sourceLinked="0"/>
        <c:majorTickMark val="in"/>
        <c:minorTickMark val="none"/>
        <c:tickLblPos val="nextTo"/>
        <c:crossAx val="-2064743280"/>
        <c:crosses val="autoZero"/>
        <c:auto val="1"/>
        <c:lblOffset val="100"/>
        <c:baseTimeUnit val="days"/>
        <c:majorUnit val="28"/>
        <c:majorTimeUnit val="days"/>
        <c:minorUnit val="14"/>
        <c:minorTimeUnit val="days"/>
      </c:dateAx>
      <c:valAx>
        <c:axId val="-2064734976"/>
        <c:scaling>
          <c:orientation val="minMax"/>
          <c:max val="21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CA" sz="1600"/>
                  <a:t>Tank Surface Area (Ha)</a:t>
                </a:r>
              </a:p>
            </c:rich>
          </c:tx>
          <c:layout>
            <c:manualLayout>
              <c:xMode val="edge"/>
              <c:yMode val="edge"/>
              <c:x val="0.89472368401847002"/>
              <c:y val="0.115477346803349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64729760"/>
        <c:crosses val="max"/>
        <c:crossBetween val="between"/>
      </c:valAx>
      <c:dateAx>
        <c:axId val="-206472976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064734976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73476632551001"/>
          <c:y val="4.1183015388222402E-2"/>
          <c:w val="0.68075876687646797"/>
          <c:h val="0.76957428625928204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47625">
              <a:noFill/>
            </a:ln>
            <a:effectLst/>
          </c:spP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7'!$DG$7:$DG$103</c:f>
              <c:numCache>
                <c:formatCode>0.000</c:formatCode>
                <c:ptCount val="97"/>
                <c:pt idx="0" formatCode="General">
                  <c:v>0</c:v>
                </c:pt>
                <c:pt idx="1">
                  <c:v>33.676731100706128</c:v>
                </c:pt>
                <c:pt idx="2">
                  <c:v>33.676731100706128</c:v>
                </c:pt>
                <c:pt idx="3">
                  <c:v>33.676731100706128</c:v>
                </c:pt>
                <c:pt idx="4">
                  <c:v>41.214813343300051</c:v>
                </c:pt>
                <c:pt idx="5">
                  <c:v>44.982641771272924</c:v>
                </c:pt>
                <c:pt idx="6">
                  <c:v>47.283934630679234</c:v>
                </c:pt>
                <c:pt idx="7">
                  <c:v>50.121907334035718</c:v>
                </c:pt>
                <c:pt idx="8">
                  <c:v>50.986600211189312</c:v>
                </c:pt>
                <c:pt idx="9">
                  <c:v>50.38947022636129</c:v>
                </c:pt>
                <c:pt idx="10">
                  <c:v>49.651291099891168</c:v>
                </c:pt>
                <c:pt idx="11">
                  <c:v>48.825935666765183</c:v>
                </c:pt>
                <c:pt idx="12">
                  <c:v>47.966155989572549</c:v>
                </c:pt>
                <c:pt idx="13">
                  <c:v>47.190694705611278</c:v>
                </c:pt>
                <c:pt idx="14">
                  <c:v>46.419247338900497</c:v>
                </c:pt>
                <c:pt idx="15">
                  <c:v>45.574693079846732</c:v>
                </c:pt>
                <c:pt idx="16">
                  <c:v>44.802723659196346</c:v>
                </c:pt>
                <c:pt idx="17">
                  <c:v>44.043951975477661</c:v>
                </c:pt>
                <c:pt idx="18">
                  <c:v>43.26827394458401</c:v>
                </c:pt>
                <c:pt idx="19">
                  <c:v>42.512712126581029</c:v>
                </c:pt>
                <c:pt idx="20">
                  <c:v>41.785162124934132</c:v>
                </c:pt>
                <c:pt idx="21">
                  <c:v>41.151270334335322</c:v>
                </c:pt>
                <c:pt idx="22">
                  <c:v>40.482587813120574</c:v>
                </c:pt>
                <c:pt idx="23">
                  <c:v>40.791555151767639</c:v>
                </c:pt>
                <c:pt idx="24">
                  <c:v>40.832758813328624</c:v>
                </c:pt>
                <c:pt idx="25">
                  <c:v>40.032621462657531</c:v>
                </c:pt>
                <c:pt idx="26">
                  <c:v>39.41941118659652</c:v>
                </c:pt>
                <c:pt idx="27">
                  <c:v>38.674189466858891</c:v>
                </c:pt>
                <c:pt idx="28">
                  <c:v>38.029537150278358</c:v>
                </c:pt>
                <c:pt idx="29">
                  <c:v>37.288874181084189</c:v>
                </c:pt>
                <c:pt idx="30">
                  <c:v>36.565777153401783</c:v>
                </c:pt>
                <c:pt idx="31">
                  <c:v>35.768820121335018</c:v>
                </c:pt>
                <c:pt idx="32">
                  <c:v>35.077412503886862</c:v>
                </c:pt>
                <c:pt idx="33">
                  <c:v>34.213749179920406</c:v>
                </c:pt>
                <c:pt idx="34">
                  <c:v>33.406887665968419</c:v>
                </c:pt>
                <c:pt idx="35">
                  <c:v>32.533034231173431</c:v>
                </c:pt>
                <c:pt idx="36">
                  <c:v>43.161338701040059</c:v>
                </c:pt>
                <c:pt idx="37">
                  <c:v>42.445195666430386</c:v>
                </c:pt>
                <c:pt idx="38">
                  <c:v>41.701076837820594</c:v>
                </c:pt>
                <c:pt idx="39">
                  <c:v>40.910332582639491</c:v>
                </c:pt>
                <c:pt idx="40">
                  <c:v>40.086712727261521</c:v>
                </c:pt>
                <c:pt idx="41">
                  <c:v>39.220893769065434</c:v>
                </c:pt>
                <c:pt idx="42">
                  <c:v>38.485443060841909</c:v>
                </c:pt>
                <c:pt idx="43">
                  <c:v>37.661699039867635</c:v>
                </c:pt>
                <c:pt idx="44">
                  <c:v>36.695767663527242</c:v>
                </c:pt>
                <c:pt idx="45">
                  <c:v>35.706267814793286</c:v>
                </c:pt>
                <c:pt idx="46">
                  <c:v>34.748342945463243</c:v>
                </c:pt>
                <c:pt idx="47">
                  <c:v>33.935752967690604</c:v>
                </c:pt>
                <c:pt idx="48">
                  <c:v>33.215588748334895</c:v>
                </c:pt>
                <c:pt idx="49">
                  <c:v>32.382600466403787</c:v>
                </c:pt>
                <c:pt idx="50">
                  <c:v>31.652873110515774</c:v>
                </c:pt>
                <c:pt idx="51">
                  <c:v>31.503412527511699</c:v>
                </c:pt>
                <c:pt idx="52">
                  <c:v>30.854672863144661</c:v>
                </c:pt>
                <c:pt idx="53">
                  <c:v>30.011591848844912</c:v>
                </c:pt>
                <c:pt idx="54">
                  <c:v>29.099728532020155</c:v>
                </c:pt>
                <c:pt idx="55">
                  <c:v>27.978740502915425</c:v>
                </c:pt>
                <c:pt idx="56">
                  <c:v>26.989359829110256</c:v>
                </c:pt>
                <c:pt idx="57">
                  <c:v>26.02384170602075</c:v>
                </c:pt>
                <c:pt idx="58">
                  <c:v>25.03876889513614</c:v>
                </c:pt>
                <c:pt idx="59">
                  <c:v>23.99160710741419</c:v>
                </c:pt>
                <c:pt idx="60">
                  <c:v>22.86536791615125</c:v>
                </c:pt>
                <c:pt idx="61">
                  <c:v>22.787536381641122</c:v>
                </c:pt>
                <c:pt idx="62">
                  <c:v>23.640302801285898</c:v>
                </c:pt>
                <c:pt idx="63">
                  <c:v>23.005456062922235</c:v>
                </c:pt>
                <c:pt idx="64">
                  <c:v>22.443743768107218</c:v>
                </c:pt>
                <c:pt idx="65">
                  <c:v>21.905470154571383</c:v>
                </c:pt>
                <c:pt idx="66">
                  <c:v>21.249100725170592</c:v>
                </c:pt>
                <c:pt idx="67">
                  <c:v>20.478813500872562</c:v>
                </c:pt>
                <c:pt idx="68">
                  <c:v>19.596274239121797</c:v>
                </c:pt>
                <c:pt idx="69">
                  <c:v>18.901630649969842</c:v>
                </c:pt>
                <c:pt idx="70">
                  <c:v>18.177754549676244</c:v>
                </c:pt>
                <c:pt idx="71">
                  <c:v>17.251564063088445</c:v>
                </c:pt>
                <c:pt idx="72">
                  <c:v>16.44400275059019</c:v>
                </c:pt>
                <c:pt idx="73">
                  <c:v>15.734889365006483</c:v>
                </c:pt>
                <c:pt idx="74">
                  <c:v>15.054375865196524</c:v>
                </c:pt>
                <c:pt idx="75">
                  <c:v>14.364029549026707</c:v>
                </c:pt>
                <c:pt idx="76">
                  <c:v>13.69460090596216</c:v>
                </c:pt>
                <c:pt idx="77">
                  <c:v>12.952253659105248</c:v>
                </c:pt>
                <c:pt idx="78">
                  <c:v>12.276303770305731</c:v>
                </c:pt>
                <c:pt idx="79">
                  <c:v>11.603928500459855</c:v>
                </c:pt>
                <c:pt idx="80">
                  <c:v>10.89942839932727</c:v>
                </c:pt>
                <c:pt idx="81">
                  <c:v>10.53268074868177</c:v>
                </c:pt>
                <c:pt idx="82">
                  <c:v>10.18349643493031</c:v>
                </c:pt>
                <c:pt idx="83">
                  <c:v>9.8606034874055446</c:v>
                </c:pt>
                <c:pt idx="84">
                  <c:v>9.502025386527631</c:v>
                </c:pt>
                <c:pt idx="85">
                  <c:v>9.1670105552986119</c:v>
                </c:pt>
                <c:pt idx="86">
                  <c:v>8.912855806290068</c:v>
                </c:pt>
                <c:pt idx="87">
                  <c:v>6.208914233810984</c:v>
                </c:pt>
                <c:pt idx="88">
                  <c:v>8.0835587765657895</c:v>
                </c:pt>
                <c:pt idx="89">
                  <c:v>7.9972414856831602</c:v>
                </c:pt>
                <c:pt idx="90">
                  <c:v>7.6500237609492618</c:v>
                </c:pt>
                <c:pt idx="91">
                  <c:v>2.2772083348790746</c:v>
                </c:pt>
                <c:pt idx="92">
                  <c:v>2.0263327977559964</c:v>
                </c:pt>
                <c:pt idx="93">
                  <c:v>1.8860414322402668</c:v>
                </c:pt>
                <c:pt idx="94">
                  <c:v>1.8963581528896054</c:v>
                </c:pt>
                <c:pt idx="95">
                  <c:v>1.9166239963212277</c:v>
                </c:pt>
                <c:pt idx="96">
                  <c:v>1.9125852897432305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7-4B40-8FCC-0C5349558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4955616"/>
        <c:axId val="-2064941712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1270" cmpd="sng">
              <a:noFill/>
            </a:ln>
            <a:effectLst/>
          </c:spPr>
          <c:invertIfNegative val="0"/>
          <c:cat>
            <c:numRef>
              <c:f>'Figs 6 &amp; 7'!$DE$8:$DE$152</c:f>
              <c:numCache>
                <c:formatCode>m/d/yy</c:formatCode>
                <c:ptCount val="145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7'!$DS$8:$DS$150</c:f>
              <c:numCache>
                <c:formatCode>0.000</c:formatCode>
                <c:ptCount val="143"/>
                <c:pt idx="0">
                  <c:v>0.45900000000000002</c:v>
                </c:pt>
                <c:pt idx="1">
                  <c:v>0.45900000000000002</c:v>
                </c:pt>
                <c:pt idx="2">
                  <c:v>0.45900000000000002</c:v>
                </c:pt>
                <c:pt idx="3">
                  <c:v>0.45900000000000002</c:v>
                </c:pt>
                <c:pt idx="4">
                  <c:v>0.45900000000000002</c:v>
                </c:pt>
                <c:pt idx="5">
                  <c:v>0.45900000000000002</c:v>
                </c:pt>
                <c:pt idx="6">
                  <c:v>0.45900000000000002</c:v>
                </c:pt>
                <c:pt idx="7">
                  <c:v>0.45900000000000002</c:v>
                </c:pt>
                <c:pt idx="8">
                  <c:v>3.6268803037551534E-2</c:v>
                </c:pt>
                <c:pt idx="9">
                  <c:v>0.23113860169010575</c:v>
                </c:pt>
                <c:pt idx="10">
                  <c:v>0.42600840034265997</c:v>
                </c:pt>
                <c:pt idx="11">
                  <c:v>0.62087819899521413</c:v>
                </c:pt>
                <c:pt idx="12">
                  <c:v>0.8157479976477684</c:v>
                </c:pt>
                <c:pt idx="13">
                  <c:v>0.65162384771741166</c:v>
                </c:pt>
                <c:pt idx="14">
                  <c:v>0.32014429515642462</c:v>
                </c:pt>
                <c:pt idx="15">
                  <c:v>0.68534984339631544</c:v>
                </c:pt>
                <c:pt idx="16">
                  <c:v>0.61124834872722256</c:v>
                </c:pt>
                <c:pt idx="17">
                  <c:v>0.53714685405812967</c:v>
                </c:pt>
                <c:pt idx="18">
                  <c:v>0.46304535938903679</c:v>
                </c:pt>
                <c:pt idx="19">
                  <c:v>0.38894386471994391</c:v>
                </c:pt>
                <c:pt idx="20">
                  <c:v>0.31484237005085103</c:v>
                </c:pt>
                <c:pt idx="21">
                  <c:v>0.24074087538175815</c:v>
                </c:pt>
                <c:pt idx="22">
                  <c:v>0.16663938071266526</c:v>
                </c:pt>
                <c:pt idx="23">
                  <c:v>9.2537886043572382E-2</c:v>
                </c:pt>
                <c:pt idx="24">
                  <c:v>9.2537886043572382E-2</c:v>
                </c:pt>
                <c:pt idx="25">
                  <c:v>0.23808955268888465</c:v>
                </c:pt>
                <c:pt idx="26">
                  <c:v>4.2599317592068253E-2</c:v>
                </c:pt>
                <c:pt idx="27">
                  <c:v>0.36482586144728635</c:v>
                </c:pt>
                <c:pt idx="28">
                  <c:v>0.16206524602762684</c:v>
                </c:pt>
                <c:pt idx="29">
                  <c:v>0.21548434890013893</c:v>
                </c:pt>
                <c:pt idx="30">
                  <c:v>0.26890345177265101</c:v>
                </c:pt>
                <c:pt idx="31">
                  <c:v>0.32232255464516307</c:v>
                </c:pt>
                <c:pt idx="32">
                  <c:v>0.37574165751767513</c:v>
                </c:pt>
                <c:pt idx="33">
                  <c:v>0.42916076039018719</c:v>
                </c:pt>
                <c:pt idx="34">
                  <c:v>0.42916076039018725</c:v>
                </c:pt>
                <c:pt idx="35">
                  <c:v>0.36135079676059811</c:v>
                </c:pt>
                <c:pt idx="36">
                  <c:v>0.29354083313100898</c:v>
                </c:pt>
                <c:pt idx="37">
                  <c:v>0.22573086950141985</c:v>
                </c:pt>
                <c:pt idx="38">
                  <c:v>0.15792090587183072</c:v>
                </c:pt>
                <c:pt idx="39">
                  <c:v>0.158</c:v>
                </c:pt>
                <c:pt idx="40">
                  <c:v>0.158</c:v>
                </c:pt>
                <c:pt idx="41">
                  <c:v>0.157772416296873</c:v>
                </c:pt>
                <c:pt idx="42">
                  <c:v>0.69254989939017308</c:v>
                </c:pt>
                <c:pt idx="43">
                  <c:v>0</c:v>
                </c:pt>
                <c:pt idx="44">
                  <c:v>0.13067902662916442</c:v>
                </c:pt>
                <c:pt idx="45">
                  <c:v>0.26551478171396481</c:v>
                </c:pt>
                <c:pt idx="46">
                  <c:v>0.33770104110481197</c:v>
                </c:pt>
                <c:pt idx="47">
                  <c:v>0.5497049522342099</c:v>
                </c:pt>
                <c:pt idx="48">
                  <c:v>0.62013404295643182</c:v>
                </c:pt>
                <c:pt idx="49">
                  <c:v>0.69449395032131878</c:v>
                </c:pt>
                <c:pt idx="50">
                  <c:v>0.93969355713796654</c:v>
                </c:pt>
                <c:pt idx="51">
                  <c:v>0.69863233805904779</c:v>
                </c:pt>
                <c:pt idx="52">
                  <c:v>1.6097245078811993</c:v>
                </c:pt>
                <c:pt idx="53">
                  <c:v>0.97227949656754165</c:v>
                </c:pt>
                <c:pt idx="54">
                  <c:v>1.0662934871457539</c:v>
                </c:pt>
                <c:pt idx="55">
                  <c:v>1.1603074777239661</c:v>
                </c:pt>
                <c:pt idx="56">
                  <c:v>1.2543214683021784</c:v>
                </c:pt>
                <c:pt idx="57">
                  <c:v>1.3483354588803906</c:v>
                </c:pt>
                <c:pt idx="58">
                  <c:v>1.2188455314933204</c:v>
                </c:pt>
                <c:pt idx="59">
                  <c:v>1.2022078454866851</c:v>
                </c:pt>
                <c:pt idx="60">
                  <c:v>1.2469155681592889</c:v>
                </c:pt>
                <c:pt idx="61">
                  <c:v>0.83037574933210978</c:v>
                </c:pt>
                <c:pt idx="62">
                  <c:v>1.1522947874667797</c:v>
                </c:pt>
                <c:pt idx="63">
                  <c:v>1.3810387361771004</c:v>
                </c:pt>
                <c:pt idx="64">
                  <c:v>1.4437285123303172</c:v>
                </c:pt>
                <c:pt idx="65">
                  <c:v>1.1769984227147079</c:v>
                </c:pt>
                <c:pt idx="66">
                  <c:v>0.91026833309909883</c:v>
                </c:pt>
                <c:pt idx="67">
                  <c:v>0.82995788578815954</c:v>
                </c:pt>
                <c:pt idx="68">
                  <c:v>0.99929296971483272</c:v>
                </c:pt>
                <c:pt idx="69">
                  <c:v>1.1686280536415059</c:v>
                </c:pt>
                <c:pt idx="70">
                  <c:v>1.376018467458628</c:v>
                </c:pt>
                <c:pt idx="71">
                  <c:v>0.54103295296762788</c:v>
                </c:pt>
                <c:pt idx="72">
                  <c:v>1.3308505930479413</c:v>
                </c:pt>
                <c:pt idx="73">
                  <c:v>1.7057817450112427</c:v>
                </c:pt>
                <c:pt idx="74">
                  <c:v>2.4252721700779265</c:v>
                </c:pt>
                <c:pt idx="75">
                  <c:v>0.37690467560666052</c:v>
                </c:pt>
                <c:pt idx="76">
                  <c:v>3.079122751620516</c:v>
                </c:pt>
                <c:pt idx="77">
                  <c:v>2.7745385459518719</c:v>
                </c:pt>
                <c:pt idx="78">
                  <c:v>2.0187278244248672</c:v>
                </c:pt>
                <c:pt idx="79">
                  <c:v>1.262917102897863</c:v>
                </c:pt>
                <c:pt idx="80">
                  <c:v>1.6312630873273042</c:v>
                </c:pt>
                <c:pt idx="81">
                  <c:v>1.4733484005983477</c:v>
                </c:pt>
                <c:pt idx="82">
                  <c:v>1.3191008056452767</c:v>
                </c:pt>
                <c:pt idx="83">
                  <c:v>1.3029501299616337</c:v>
                </c:pt>
                <c:pt idx="84">
                  <c:v>1.2867994542779908</c:v>
                </c:pt>
                <c:pt idx="85">
                  <c:v>1.2706487785943479</c:v>
                </c:pt>
                <c:pt idx="86">
                  <c:v>1.254498102910705</c:v>
                </c:pt>
                <c:pt idx="87">
                  <c:v>1.2383474272270623</c:v>
                </c:pt>
                <c:pt idx="88">
                  <c:v>1.3065275856021947</c:v>
                </c:pt>
                <c:pt idx="89">
                  <c:v>1.3069999999999999</c:v>
                </c:pt>
                <c:pt idx="90">
                  <c:v>1.3069999999999999</c:v>
                </c:pt>
                <c:pt idx="91">
                  <c:v>1.3069999999999999</c:v>
                </c:pt>
                <c:pt idx="92">
                  <c:v>1.3069999999999999</c:v>
                </c:pt>
                <c:pt idx="93">
                  <c:v>1.3069999999999999</c:v>
                </c:pt>
                <c:pt idx="94">
                  <c:v>1.3069999999999999</c:v>
                </c:pt>
                <c:pt idx="95">
                  <c:v>1.3069999999999999</c:v>
                </c:pt>
                <c:pt idx="96">
                  <c:v>1.3069999999999999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7-4B40-8FCC-0C5349558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064940400"/>
        <c:axId val="-2064934864"/>
      </c:barChart>
      <c:scatterChart>
        <c:scatterStyle val="lineMarker"/>
        <c:varyColors val="0"/>
        <c:ser>
          <c:idx val="3"/>
          <c:order val="2"/>
          <c:spPr>
            <a:ln w="47625">
              <a:noFill/>
            </a:ln>
          </c:spPr>
          <c:marker>
            <c:symbol val="none"/>
          </c:marker>
          <c:xVal>
            <c:numRef>
              <c:f>'Figs 6 &amp; 7'!$BV$8:$BV$18</c:f>
              <c:numCache>
                <c:formatCode>m/d/yy</c:formatCode>
                <c:ptCount val="11"/>
                <c:pt idx="0">
                  <c:v>41705</c:v>
                </c:pt>
                <c:pt idx="1">
                  <c:v>41705</c:v>
                </c:pt>
                <c:pt idx="2">
                  <c:v>41705</c:v>
                </c:pt>
                <c:pt idx="3">
                  <c:v>41705</c:v>
                </c:pt>
                <c:pt idx="4">
                  <c:v>41705</c:v>
                </c:pt>
                <c:pt idx="5">
                  <c:v>41705</c:v>
                </c:pt>
                <c:pt idx="6">
                  <c:v>41705</c:v>
                </c:pt>
                <c:pt idx="7">
                  <c:v>41705</c:v>
                </c:pt>
                <c:pt idx="8">
                  <c:v>41705</c:v>
                </c:pt>
                <c:pt idx="9">
                  <c:v>41705</c:v>
                </c:pt>
                <c:pt idx="10">
                  <c:v>41705</c:v>
                </c:pt>
              </c:numCache>
            </c:numRef>
          </c:xVal>
          <c:yVal>
            <c:numRef>
              <c:f>'Figs 6 &amp; 7'!$BU$8:$BU$18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57-4B40-8FCC-0C5349558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4955616"/>
        <c:axId val="-2064941712"/>
      </c:scatterChart>
      <c:valAx>
        <c:axId val="-2064934864"/>
        <c:scaling>
          <c:orientation val="minMax"/>
          <c:max val="6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CA" sz="1600"/>
                  <a:t>Evapotranspiration (cm/d)</a:t>
                </a:r>
              </a:p>
            </c:rich>
          </c:tx>
          <c:layout>
            <c:manualLayout>
              <c:xMode val="edge"/>
              <c:yMode val="edge"/>
              <c:x val="5.9518859236574002E-3"/>
              <c:y val="0.102652694247262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64940400"/>
        <c:crosses val="autoZero"/>
        <c:crossBetween val="between"/>
      </c:valAx>
      <c:dateAx>
        <c:axId val="-2064940400"/>
        <c:scaling>
          <c:orientation val="minMax"/>
          <c:max val="41690"/>
        </c:scaling>
        <c:delete val="1"/>
        <c:axPos val="b"/>
        <c:numFmt formatCode="mm/dd" sourceLinked="0"/>
        <c:majorTickMark val="in"/>
        <c:minorTickMark val="none"/>
        <c:tickLblPos val="nextTo"/>
        <c:crossAx val="-2064934864"/>
        <c:crosses val="autoZero"/>
        <c:auto val="1"/>
        <c:lblOffset val="100"/>
        <c:baseTimeUnit val="days"/>
        <c:majorUnit val="28"/>
        <c:majorTimeUnit val="days"/>
        <c:minorUnit val="14"/>
        <c:minorTimeUnit val="days"/>
      </c:dateAx>
      <c:valAx>
        <c:axId val="-2064941712"/>
        <c:scaling>
          <c:orientation val="minMax"/>
          <c:max val="6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CA" sz="1600"/>
                  <a:t>Tank Surface Area (Ha)</a:t>
                </a:r>
              </a:p>
            </c:rich>
          </c:tx>
          <c:layout>
            <c:manualLayout>
              <c:xMode val="edge"/>
              <c:yMode val="edge"/>
              <c:x val="0.89472368401847002"/>
              <c:y val="0.115477346803349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64955616"/>
        <c:crosses val="max"/>
        <c:crossBetween val="between"/>
      </c:valAx>
      <c:dateAx>
        <c:axId val="-2064955616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064941712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73476632551001"/>
          <c:y val="4.1183015388222402E-2"/>
          <c:w val="0.68075876687646797"/>
          <c:h val="0.76957428625928204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47625">
              <a:noFill/>
            </a:ln>
            <a:effectLst/>
          </c:spP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7'!$DH$7:$DH$103</c:f>
              <c:numCache>
                <c:formatCode>0.000</c:formatCode>
                <c:ptCount val="97"/>
                <c:pt idx="0" formatCode="General">
                  <c:v>0</c:v>
                </c:pt>
                <c:pt idx="1">
                  <c:v>9.1406617200152738</c:v>
                </c:pt>
                <c:pt idx="2">
                  <c:v>9.1406617200152738</c:v>
                </c:pt>
                <c:pt idx="3">
                  <c:v>9.1406617200152738</c:v>
                </c:pt>
                <c:pt idx="4">
                  <c:v>10.474548976641474</c:v>
                </c:pt>
                <c:pt idx="5">
                  <c:v>11.56305948925881</c:v>
                </c:pt>
                <c:pt idx="6">
                  <c:v>12.270115242268812</c:v>
                </c:pt>
                <c:pt idx="7">
                  <c:v>13.830376114268779</c:v>
                </c:pt>
                <c:pt idx="8">
                  <c:v>14.441410030668528</c:v>
                </c:pt>
                <c:pt idx="9">
                  <c:v>14.231334371914095</c:v>
                </c:pt>
                <c:pt idx="10">
                  <c:v>13.915217238096252</c:v>
                </c:pt>
                <c:pt idx="11">
                  <c:v>13.599416407751772</c:v>
                </c:pt>
                <c:pt idx="12">
                  <c:v>13.269966154766699</c:v>
                </c:pt>
                <c:pt idx="13">
                  <c:v>12.9387744675794</c:v>
                </c:pt>
                <c:pt idx="14">
                  <c:v>12.699406286404667</c:v>
                </c:pt>
                <c:pt idx="15">
                  <c:v>12.384472811572905</c:v>
                </c:pt>
                <c:pt idx="16">
                  <c:v>12.107026414495675</c:v>
                </c:pt>
                <c:pt idx="17">
                  <c:v>11.94504367006264</c:v>
                </c:pt>
                <c:pt idx="18">
                  <c:v>11.682210577398035</c:v>
                </c:pt>
                <c:pt idx="19">
                  <c:v>11.388130045951577</c:v>
                </c:pt>
                <c:pt idx="20">
                  <c:v>11.099703707205753</c:v>
                </c:pt>
                <c:pt idx="21">
                  <c:v>10.91483616547097</c:v>
                </c:pt>
                <c:pt idx="22">
                  <c:v>10.72346991310844</c:v>
                </c:pt>
                <c:pt idx="23">
                  <c:v>10.706992066270562</c:v>
                </c:pt>
                <c:pt idx="24">
                  <c:v>10.573748717009765</c:v>
                </c:pt>
                <c:pt idx="25">
                  <c:v>10.385760446823554</c:v>
                </c:pt>
                <c:pt idx="26">
                  <c:v>10.176225914628679</c:v>
                </c:pt>
                <c:pt idx="27">
                  <c:v>9.9559080431165672</c:v>
                </c:pt>
                <c:pt idx="28">
                  <c:v>9.7472133513332704</c:v>
                </c:pt>
                <c:pt idx="29">
                  <c:v>9.530203658419893</c:v>
                </c:pt>
                <c:pt idx="30">
                  <c:v>9.310819615439927</c:v>
                </c:pt>
                <c:pt idx="31">
                  <c:v>9.1313677200865495</c:v>
                </c:pt>
                <c:pt idx="32">
                  <c:v>8.9704501397048801</c:v>
                </c:pt>
                <c:pt idx="33">
                  <c:v>8.7803656083444519</c:v>
                </c:pt>
                <c:pt idx="34">
                  <c:v>8.5684153624727042</c:v>
                </c:pt>
                <c:pt idx="35">
                  <c:v>8.3633453268840583</c:v>
                </c:pt>
                <c:pt idx="36">
                  <c:v>12.680987806528073</c:v>
                </c:pt>
                <c:pt idx="37">
                  <c:v>12.639056860542118</c:v>
                </c:pt>
                <c:pt idx="38">
                  <c:v>12.414364996844403</c:v>
                </c:pt>
                <c:pt idx="39">
                  <c:v>12.176813112263801</c:v>
                </c:pt>
                <c:pt idx="40">
                  <c:v>11.93741237622784</c:v>
                </c:pt>
                <c:pt idx="41">
                  <c:v>11.716529023967182</c:v>
                </c:pt>
                <c:pt idx="42">
                  <c:v>11.476824433292842</c:v>
                </c:pt>
                <c:pt idx="43">
                  <c:v>11.243520992574638</c:v>
                </c:pt>
                <c:pt idx="44">
                  <c:v>11.020613739595813</c:v>
                </c:pt>
                <c:pt idx="45">
                  <c:v>10.817735491152931</c:v>
                </c:pt>
                <c:pt idx="46">
                  <c:v>10.560097437538763</c:v>
                </c:pt>
                <c:pt idx="47">
                  <c:v>10.317282332188201</c:v>
                </c:pt>
                <c:pt idx="48">
                  <c:v>10.13050927837134</c:v>
                </c:pt>
                <c:pt idx="49">
                  <c:v>9.9816966118984425</c:v>
                </c:pt>
                <c:pt idx="50">
                  <c:v>9.7842835378023718</c:v>
                </c:pt>
                <c:pt idx="51">
                  <c:v>9.7097059367664897</c:v>
                </c:pt>
                <c:pt idx="52">
                  <c:v>9.5617864694241046</c:v>
                </c:pt>
                <c:pt idx="53">
                  <c:v>9.3981943618657375</c:v>
                </c:pt>
                <c:pt idx="54">
                  <c:v>9.2050013670390971</c:v>
                </c:pt>
                <c:pt idx="55">
                  <c:v>8.9985441626155271</c:v>
                </c:pt>
                <c:pt idx="56">
                  <c:v>8.8464998621104733</c:v>
                </c:pt>
                <c:pt idx="57">
                  <c:v>8.7099640942482903</c:v>
                </c:pt>
                <c:pt idx="58">
                  <c:v>8.5145324322079841</c:v>
                </c:pt>
                <c:pt idx="59">
                  <c:v>8.3394982264264605</c:v>
                </c:pt>
                <c:pt idx="60">
                  <c:v>8.1283460745780065</c:v>
                </c:pt>
                <c:pt idx="61">
                  <c:v>8.0910914141853318</c:v>
                </c:pt>
                <c:pt idx="62">
                  <c:v>8.1551499003104055</c:v>
                </c:pt>
                <c:pt idx="63">
                  <c:v>8.063353182889955</c:v>
                </c:pt>
                <c:pt idx="64">
                  <c:v>7.9118137595055433</c:v>
                </c:pt>
                <c:pt idx="65">
                  <c:v>7.7774116912050104</c:v>
                </c:pt>
                <c:pt idx="66">
                  <c:v>7.5994053821532317</c:v>
                </c:pt>
                <c:pt idx="67">
                  <c:v>7.4177754242322944</c:v>
                </c:pt>
                <c:pt idx="68">
                  <c:v>7.2255803248609594</c:v>
                </c:pt>
                <c:pt idx="69">
                  <c:v>7.0234187279230227</c:v>
                </c:pt>
                <c:pt idx="70">
                  <c:v>6.8188819510811056</c:v>
                </c:pt>
                <c:pt idx="71">
                  <c:v>6.6685099432119461</c:v>
                </c:pt>
                <c:pt idx="72">
                  <c:v>6.5248163033948643</c:v>
                </c:pt>
                <c:pt idx="73">
                  <c:v>6.3709293218585952</c:v>
                </c:pt>
                <c:pt idx="74">
                  <c:v>6.2266857149561696</c:v>
                </c:pt>
                <c:pt idx="75">
                  <c:v>6.0649917599183896</c:v>
                </c:pt>
                <c:pt idx="76">
                  <c:v>5.8965972842538461</c:v>
                </c:pt>
                <c:pt idx="77">
                  <c:v>5.7297821265892956</c:v>
                </c:pt>
                <c:pt idx="78">
                  <c:v>5.5756829335070917</c:v>
                </c:pt>
                <c:pt idx="79">
                  <c:v>5.3978316965056958</c:v>
                </c:pt>
                <c:pt idx="80">
                  <c:v>5.2022450150795247</c:v>
                </c:pt>
                <c:pt idx="81">
                  <c:v>5.0703923479969006</c:v>
                </c:pt>
                <c:pt idx="82">
                  <c:v>4.9516272679751863</c:v>
                </c:pt>
                <c:pt idx="83">
                  <c:v>4.840655409649794</c:v>
                </c:pt>
                <c:pt idx="84">
                  <c:v>4.7297993879199316</c:v>
                </c:pt>
                <c:pt idx="85">
                  <c:v>4.6115059824753599</c:v>
                </c:pt>
                <c:pt idx="86">
                  <c:v>4.4935055529652006</c:v>
                </c:pt>
                <c:pt idx="87">
                  <c:v>4.4033074659239322</c:v>
                </c:pt>
                <c:pt idx="88">
                  <c:v>4.3422669197206387</c:v>
                </c:pt>
                <c:pt idx="89">
                  <c:v>4.2458776899379771</c:v>
                </c:pt>
                <c:pt idx="90">
                  <c:v>4.1479263788799416</c:v>
                </c:pt>
                <c:pt idx="91">
                  <c:v>4.0429703001468296</c:v>
                </c:pt>
                <c:pt idx="92">
                  <c:v>3.9410439585451242</c:v>
                </c:pt>
                <c:pt idx="93">
                  <c:v>3.8442238869605032</c:v>
                </c:pt>
                <c:pt idx="94">
                  <c:v>3.7563587287391087</c:v>
                </c:pt>
                <c:pt idx="95">
                  <c:v>3.6571565301389857</c:v>
                </c:pt>
                <c:pt idx="96">
                  <c:v>3.5682437209028555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13-954E-8CC9-BDA99A629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031056"/>
        <c:axId val="-2065017792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9525">
              <a:noFill/>
            </a:ln>
            <a:effectLst/>
          </c:spPr>
          <c:invertIfNegative val="0"/>
          <c:cat>
            <c:numRef>
              <c:f>'Figs 6 &amp; 7'!$DE$8:$DE$152</c:f>
              <c:numCache>
                <c:formatCode>m/d/yy</c:formatCode>
                <c:ptCount val="145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7'!$DT$8:$DT$150</c:f>
              <c:numCache>
                <c:formatCode>0.000</c:formatCode>
                <c:ptCount val="143"/>
                <c:pt idx="0">
                  <c:v>0.83199999999999996</c:v>
                </c:pt>
                <c:pt idx="1">
                  <c:v>0.83199999999999996</c:v>
                </c:pt>
                <c:pt idx="2">
                  <c:v>0.83199999999999996</c:v>
                </c:pt>
                <c:pt idx="3">
                  <c:v>0.83199999999999996</c:v>
                </c:pt>
                <c:pt idx="4">
                  <c:v>0.83199999999999996</c:v>
                </c:pt>
                <c:pt idx="5">
                  <c:v>0.83199999999999996</c:v>
                </c:pt>
                <c:pt idx="6">
                  <c:v>0.83199999999999996</c:v>
                </c:pt>
                <c:pt idx="7">
                  <c:v>0.83199999999999996</c:v>
                </c:pt>
                <c:pt idx="8">
                  <c:v>0.83199999999999996</c:v>
                </c:pt>
                <c:pt idx="9">
                  <c:v>0.83199999999999996</c:v>
                </c:pt>
                <c:pt idx="10">
                  <c:v>0.16887504467992542</c:v>
                </c:pt>
                <c:pt idx="11">
                  <c:v>0.29459152116388321</c:v>
                </c:pt>
                <c:pt idx="12">
                  <c:v>0.42030799764784099</c:v>
                </c:pt>
                <c:pt idx="13">
                  <c:v>0.36034384771757466</c:v>
                </c:pt>
                <c:pt idx="14">
                  <c:v>0.74748684555693989</c:v>
                </c:pt>
                <c:pt idx="15">
                  <c:v>1.1346298433963051</c:v>
                </c:pt>
                <c:pt idx="16">
                  <c:v>1.055804846208799</c:v>
                </c:pt>
                <c:pt idx="17">
                  <c:v>0.99459647618814029</c:v>
                </c:pt>
                <c:pt idx="18">
                  <c:v>0.94763311075074907</c:v>
                </c:pt>
                <c:pt idx="19">
                  <c:v>0.92360388660591441</c:v>
                </c:pt>
                <c:pt idx="20">
                  <c:v>0.90620663346109875</c:v>
                </c:pt>
                <c:pt idx="21">
                  <c:v>0.86988704217098112</c:v>
                </c:pt>
                <c:pt idx="22">
                  <c:v>0.81701040500372413</c:v>
                </c:pt>
                <c:pt idx="23">
                  <c:v>0.50402986589625653</c:v>
                </c:pt>
                <c:pt idx="24">
                  <c:v>0.56613788604352955</c:v>
                </c:pt>
                <c:pt idx="25">
                  <c:v>0.6188895526890108</c:v>
                </c:pt>
                <c:pt idx="26">
                  <c:v>0.75539931759207191</c:v>
                </c:pt>
                <c:pt idx="27">
                  <c:v>0.78442586144738957</c:v>
                </c:pt>
                <c:pt idx="28">
                  <c:v>0.61564990314015755</c:v>
                </c:pt>
                <c:pt idx="29">
                  <c:v>0.44687394483292553</c:v>
                </c:pt>
                <c:pt idx="30">
                  <c:v>0.2780979865256934</c:v>
                </c:pt>
                <c:pt idx="31">
                  <c:v>0.46554467560691359</c:v>
                </c:pt>
                <c:pt idx="32">
                  <c:v>0.65299136468813379</c:v>
                </c:pt>
                <c:pt idx="33">
                  <c:v>0.84043805376935399</c:v>
                </c:pt>
                <c:pt idx="34">
                  <c:v>1.0278847428505742</c:v>
                </c:pt>
                <c:pt idx="35">
                  <c:v>1.2153314319317943</c:v>
                </c:pt>
                <c:pt idx="36">
                  <c:v>0.81828274612331686</c:v>
                </c:pt>
                <c:pt idx="37">
                  <c:v>0.42123406031483945</c:v>
                </c:pt>
                <c:pt idx="38">
                  <c:v>0.38272090587171892</c:v>
                </c:pt>
                <c:pt idx="39">
                  <c:v>0.7132870580264461</c:v>
                </c:pt>
                <c:pt idx="40">
                  <c:v>0.28092003349409556</c:v>
                </c:pt>
                <c:pt idx="41">
                  <c:v>0.52137241629681075</c:v>
                </c:pt>
                <c:pt idx="42">
                  <c:v>0.93294989939024786</c:v>
                </c:pt>
                <c:pt idx="43">
                  <c:v>1.3895291497385087</c:v>
                </c:pt>
                <c:pt idx="44">
                  <c:v>1.1114790266292149</c:v>
                </c:pt>
                <c:pt idx="45">
                  <c:v>0.71554007823775168</c:v>
                </c:pt>
                <c:pt idx="46">
                  <c:v>0.90437077401777366</c:v>
                </c:pt>
                <c:pt idx="47">
                  <c:v>1.0932014697977956</c:v>
                </c:pt>
                <c:pt idx="48">
                  <c:v>1.2820321655778175</c:v>
                </c:pt>
                <c:pt idx="49">
                  <c:v>1.4708628613578394</c:v>
                </c:pt>
                <c:pt idx="50">
                  <c:v>1.6596935571378615</c:v>
                </c:pt>
                <c:pt idx="51">
                  <c:v>1.6610323380591088</c:v>
                </c:pt>
                <c:pt idx="52">
                  <c:v>1.5493245078811579</c:v>
                </c:pt>
                <c:pt idx="53">
                  <c:v>1.4833666980809801</c:v>
                </c:pt>
                <c:pt idx="54">
                  <c:v>1.4174088882808022</c:v>
                </c:pt>
                <c:pt idx="55">
                  <c:v>1.3514510784806244</c:v>
                </c:pt>
                <c:pt idx="56">
                  <c:v>1.2854932686804466</c:v>
                </c:pt>
                <c:pt idx="57">
                  <c:v>1.2195354588802685</c:v>
                </c:pt>
                <c:pt idx="58">
                  <c:v>1.2785255314932047</c:v>
                </c:pt>
                <c:pt idx="59">
                  <c:v>1.3375156041061409</c:v>
                </c:pt>
                <c:pt idx="60">
                  <c:v>1.3965056767190771</c:v>
                </c:pt>
                <c:pt idx="61">
                  <c:v>1.4554957493320129</c:v>
                </c:pt>
                <c:pt idx="62">
                  <c:v>0.39285478746677871</c:v>
                </c:pt>
                <c:pt idx="63">
                  <c:v>1.2663187361772099</c:v>
                </c:pt>
                <c:pt idx="64">
                  <c:v>1.3525285123301622</c:v>
                </c:pt>
                <c:pt idx="65">
                  <c:v>1.4468652460272553</c:v>
                </c:pt>
                <c:pt idx="66">
                  <c:v>1.5090683330991119</c:v>
                </c:pt>
                <c:pt idx="67">
                  <c:v>0.70955788578822832</c:v>
                </c:pt>
                <c:pt idx="68">
                  <c:v>0.92154252790094615</c:v>
                </c:pt>
                <c:pt idx="69">
                  <c:v>0.90622805364149173</c:v>
                </c:pt>
                <c:pt idx="70">
                  <c:v>1.2540184674585673</c:v>
                </c:pt>
                <c:pt idx="71">
                  <c:v>0.99903295296771466</c:v>
                </c:pt>
                <c:pt idx="72">
                  <c:v>1.7664505930479093</c:v>
                </c:pt>
                <c:pt idx="73">
                  <c:v>1.7653817450112772</c:v>
                </c:pt>
                <c:pt idx="74">
                  <c:v>1.1728721700777518</c:v>
                </c:pt>
                <c:pt idx="75">
                  <c:v>1.9701046756068881</c:v>
                </c:pt>
                <c:pt idx="76">
                  <c:v>1.5262427516204666</c:v>
                </c:pt>
                <c:pt idx="77">
                  <c:v>1.8109385459518514</c:v>
                </c:pt>
                <c:pt idx="78">
                  <c:v>1.6695678244248642</c:v>
                </c:pt>
                <c:pt idx="79">
                  <c:v>1.5281971028978771</c:v>
                </c:pt>
                <c:pt idx="80">
                  <c:v>1.3323830873272335</c:v>
                </c:pt>
                <c:pt idx="81">
                  <c:v>1.1420684005983734</c:v>
                </c:pt>
                <c:pt idx="82">
                  <c:v>1.1205408056452439</c:v>
                </c:pt>
                <c:pt idx="83">
                  <c:v>1.3061583332266573</c:v>
                </c:pt>
                <c:pt idx="84">
                  <c:v>1.1202304249814599</c:v>
                </c:pt>
                <c:pt idx="85">
                  <c:v>1.0576027590633972</c:v>
                </c:pt>
                <c:pt idx="86">
                  <c:v>0.74837460849106519</c:v>
                </c:pt>
                <c:pt idx="87">
                  <c:v>0.93234742722727204</c:v>
                </c:pt>
                <c:pt idx="88">
                  <c:v>1.3839948657046064</c:v>
                </c:pt>
                <c:pt idx="89">
                  <c:v>1.361424944070303</c:v>
                </c:pt>
                <c:pt idx="90">
                  <c:v>1.5953481096353215</c:v>
                </c:pt>
                <c:pt idx="91">
                  <c:v>0.77981514541754371</c:v>
                </c:pt>
                <c:pt idx="92">
                  <c:v>1.1759186911778847</c:v>
                </c:pt>
                <c:pt idx="93">
                  <c:v>1.2611849440699752</c:v>
                </c:pt>
                <c:pt idx="94">
                  <c:v>0.94565681219066211</c:v>
                </c:pt>
                <c:pt idx="95">
                  <c:v>1.33813384758994</c:v>
                </c:pt>
                <c:pt idx="96">
                  <c:v>1.5417573153674289</c:v>
                </c:pt>
                <c:pt idx="97">
                  <c:v>1.4785910067371479</c:v>
                </c:pt>
                <c:pt idx="98">
                  <c:v>1.6495987921710202</c:v>
                </c:pt>
                <c:pt idx="99">
                  <c:v>1.6136101006097725</c:v>
                </c:pt>
                <c:pt idx="100">
                  <c:v>1.7395662976360859</c:v>
                </c:pt>
                <c:pt idx="101">
                  <c:v>1.8655224946623994</c:v>
                </c:pt>
                <c:pt idx="102">
                  <c:v>2.5209225391509462</c:v>
                </c:pt>
                <c:pt idx="103">
                  <c:v>2.2977540268209085</c:v>
                </c:pt>
                <c:pt idx="104">
                  <c:v>2.6000933221684734</c:v>
                </c:pt>
                <c:pt idx="105">
                  <c:v>2.3474618679930326</c:v>
                </c:pt>
                <c:pt idx="106">
                  <c:v>2.3815822034438194</c:v>
                </c:pt>
                <c:pt idx="107">
                  <c:v>2.2005268277617804</c:v>
                </c:pt>
                <c:pt idx="108">
                  <c:v>2.2627311948658786</c:v>
                </c:pt>
                <c:pt idx="109">
                  <c:v>2.053112279457439</c:v>
                </c:pt>
                <c:pt idx="110">
                  <c:v>1.9516049689221364</c:v>
                </c:pt>
                <c:pt idx="111">
                  <c:v>2.1898907406258834</c:v>
                </c:pt>
                <c:pt idx="112">
                  <c:v>2.6730051567954249</c:v>
                </c:pt>
                <c:pt idx="113">
                  <c:v>2.7088173936054547</c:v>
                </c:pt>
                <c:pt idx="114">
                  <c:v>3.4315410851027757</c:v>
                </c:pt>
                <c:pt idx="115">
                  <c:v>3.1555981542515648</c:v>
                </c:pt>
                <c:pt idx="116">
                  <c:v>3.0276353021487412</c:v>
                </c:pt>
                <c:pt idx="117">
                  <c:v>3.1392048433325725</c:v>
                </c:pt>
                <c:pt idx="118">
                  <c:v>3.0741943512776437</c:v>
                </c:pt>
                <c:pt idx="119">
                  <c:v>3.0365507272795531</c:v>
                </c:pt>
                <c:pt idx="120">
                  <c:v>2.1336724516321581</c:v>
                </c:pt>
                <c:pt idx="121">
                  <c:v>2.1760065634916783</c:v>
                </c:pt>
                <c:pt idx="122">
                  <c:v>1.2432146309908307</c:v>
                </c:pt>
                <c:pt idx="123">
                  <c:v>1.7282935796374643</c:v>
                </c:pt>
                <c:pt idx="124">
                  <c:v>1.8630550669241157</c:v>
                </c:pt>
                <c:pt idx="125">
                  <c:v>1.6547108162563235</c:v>
                </c:pt>
                <c:pt idx="126">
                  <c:v>1.4108460903008968</c:v>
                </c:pt>
                <c:pt idx="127">
                  <c:v>2.3427004162969345</c:v>
                </c:pt>
                <c:pt idx="128">
                  <c:v>2.037510644081721</c:v>
                </c:pt>
                <c:pt idx="129">
                  <c:v>1.8799248993264281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13-954E-8CC9-BDA99A629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065011232"/>
        <c:axId val="-2064999808"/>
      </c:barChart>
      <c:scatterChart>
        <c:scatterStyle val="lineMarker"/>
        <c:varyColors val="0"/>
        <c:ser>
          <c:idx val="3"/>
          <c:order val="2"/>
          <c:spPr>
            <a:ln w="47625">
              <a:noFill/>
            </a:ln>
          </c:spPr>
          <c:marker>
            <c:symbol val="none"/>
          </c:marker>
          <c:xVal>
            <c:numRef>
              <c:f>'Figs 6 &amp; 7'!$BV$8:$BV$18</c:f>
              <c:numCache>
                <c:formatCode>m/d/yy</c:formatCode>
                <c:ptCount val="11"/>
                <c:pt idx="0">
                  <c:v>41705</c:v>
                </c:pt>
                <c:pt idx="1">
                  <c:v>41705</c:v>
                </c:pt>
                <c:pt idx="2">
                  <c:v>41705</c:v>
                </c:pt>
                <c:pt idx="3">
                  <c:v>41705</c:v>
                </c:pt>
                <c:pt idx="4">
                  <c:v>41705</c:v>
                </c:pt>
                <c:pt idx="5">
                  <c:v>41705</c:v>
                </c:pt>
                <c:pt idx="6">
                  <c:v>41705</c:v>
                </c:pt>
                <c:pt idx="7">
                  <c:v>41705</c:v>
                </c:pt>
                <c:pt idx="8">
                  <c:v>41705</c:v>
                </c:pt>
                <c:pt idx="9">
                  <c:v>41705</c:v>
                </c:pt>
                <c:pt idx="10">
                  <c:v>41705</c:v>
                </c:pt>
              </c:numCache>
            </c:numRef>
          </c:xVal>
          <c:yVal>
            <c:numRef>
              <c:f>'Figs 6 &amp; 7'!$BU$8:$BU$18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13-954E-8CC9-BDA99A629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031056"/>
        <c:axId val="-2065017792"/>
      </c:scatterChart>
      <c:valAx>
        <c:axId val="-2064999808"/>
        <c:scaling>
          <c:orientation val="minMax"/>
          <c:max val="6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CA" sz="1600"/>
                  <a:t>Evapotranspiration (cm/d)</a:t>
                </a:r>
              </a:p>
            </c:rich>
          </c:tx>
          <c:layout>
            <c:manualLayout>
              <c:xMode val="edge"/>
              <c:yMode val="edge"/>
              <c:x val="5.9518859236574002E-3"/>
              <c:y val="0.102652694247262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65011232"/>
        <c:crosses val="autoZero"/>
        <c:crossBetween val="between"/>
      </c:valAx>
      <c:dateAx>
        <c:axId val="-2065011232"/>
        <c:scaling>
          <c:orientation val="minMax"/>
          <c:max val="41690"/>
        </c:scaling>
        <c:delete val="0"/>
        <c:axPos val="b"/>
        <c:numFmt formatCode="mm/dd" sourceLinked="0"/>
        <c:majorTickMark val="in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 rot="0"/>
          <a:lstStyle/>
          <a:p>
            <a:pPr>
              <a:defRPr sz="1400" b="1"/>
            </a:pPr>
            <a:endParaRPr lang="en-US"/>
          </a:p>
        </c:txPr>
        <c:crossAx val="-2064999808"/>
        <c:crosses val="autoZero"/>
        <c:auto val="1"/>
        <c:lblOffset val="100"/>
        <c:baseTimeUnit val="days"/>
        <c:majorUnit val="28"/>
        <c:majorTimeUnit val="days"/>
        <c:minorUnit val="14"/>
        <c:minorTimeUnit val="days"/>
      </c:dateAx>
      <c:valAx>
        <c:axId val="-2065017792"/>
        <c:scaling>
          <c:orientation val="minMax"/>
          <c:max val="21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CA" sz="1600"/>
                  <a:t>Tank Surface Area (Ha)</a:t>
                </a:r>
              </a:p>
            </c:rich>
          </c:tx>
          <c:layout>
            <c:manualLayout>
              <c:xMode val="edge"/>
              <c:yMode val="edge"/>
              <c:x val="0.89472368401847002"/>
              <c:y val="0.115477346803349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65031056"/>
        <c:crosses val="max"/>
        <c:crossBetween val="between"/>
      </c:valAx>
      <c:dateAx>
        <c:axId val="-2065031056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065017792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73476632551001"/>
          <c:y val="4.1183015388222402E-2"/>
          <c:w val="0.68075876687646797"/>
          <c:h val="0.76957428625928204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47625">
              <a:noFill/>
            </a:ln>
            <a:effectLst/>
          </c:spP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7'!$DI$7:$DI$103</c:f>
              <c:numCache>
                <c:formatCode>0.000</c:formatCode>
                <c:ptCount val="97"/>
                <c:pt idx="0" formatCode="General">
                  <c:v>0</c:v>
                </c:pt>
                <c:pt idx="1">
                  <c:v>12.568729497438397</c:v>
                </c:pt>
                <c:pt idx="2">
                  <c:v>12.568729497438397</c:v>
                </c:pt>
                <c:pt idx="3">
                  <c:v>12.568729497438397</c:v>
                </c:pt>
                <c:pt idx="4">
                  <c:v>16.67827740515148</c:v>
                </c:pt>
                <c:pt idx="5">
                  <c:v>17.734384750325638</c:v>
                </c:pt>
                <c:pt idx="6">
                  <c:v>19.020776020799023</c:v>
                </c:pt>
                <c:pt idx="7">
                  <c:v>21.441558927759768</c:v>
                </c:pt>
                <c:pt idx="8">
                  <c:v>17.756342791401636</c:v>
                </c:pt>
                <c:pt idx="9">
                  <c:v>17.921168957613887</c:v>
                </c:pt>
                <c:pt idx="10">
                  <c:v>17.306083137466274</c:v>
                </c:pt>
                <c:pt idx="11">
                  <c:v>16.762735937784512</c:v>
                </c:pt>
                <c:pt idx="12">
                  <c:v>16.443514206189434</c:v>
                </c:pt>
                <c:pt idx="13">
                  <c:v>16.274043365066206</c:v>
                </c:pt>
                <c:pt idx="14">
                  <c:v>15.91371921793551</c:v>
                </c:pt>
                <c:pt idx="15">
                  <c:v>15.52263760077158</c:v>
                </c:pt>
                <c:pt idx="16">
                  <c:v>15.110906686651358</c:v>
                </c:pt>
                <c:pt idx="17">
                  <c:v>14.827582904752926</c:v>
                </c:pt>
                <c:pt idx="18">
                  <c:v>14.53621309254331</c:v>
                </c:pt>
                <c:pt idx="19">
                  <c:v>14.259382054918509</c:v>
                </c:pt>
                <c:pt idx="20">
                  <c:v>13.950234414611661</c:v>
                </c:pt>
                <c:pt idx="21">
                  <c:v>13.684179517772311</c:v>
                </c:pt>
                <c:pt idx="22">
                  <c:v>13.408270040917277</c:v>
                </c:pt>
                <c:pt idx="23">
                  <c:v>13.594347196668462</c:v>
                </c:pt>
                <c:pt idx="24">
                  <c:v>13.460368374474015</c:v>
                </c:pt>
                <c:pt idx="25">
                  <c:v>13.14746802810955</c:v>
                </c:pt>
                <c:pt idx="26">
                  <c:v>12.830678043330082</c:v>
                </c:pt>
                <c:pt idx="27">
                  <c:v>12.487782621366398</c:v>
                </c:pt>
                <c:pt idx="28">
                  <c:v>12.164620334936068</c:v>
                </c:pt>
                <c:pt idx="29">
                  <c:v>11.792984648162259</c:v>
                </c:pt>
                <c:pt idx="30">
                  <c:v>11.279438263515738</c:v>
                </c:pt>
                <c:pt idx="31">
                  <c:v>10.991715605031246</c:v>
                </c:pt>
                <c:pt idx="32">
                  <c:v>10.75055218023217</c:v>
                </c:pt>
                <c:pt idx="33">
                  <c:v>10.446783923845516</c:v>
                </c:pt>
                <c:pt idx="34">
                  <c:v>10.008325688498388</c:v>
                </c:pt>
                <c:pt idx="35">
                  <c:v>9.5573728815575425</c:v>
                </c:pt>
                <c:pt idx="36">
                  <c:v>16.946882005007982</c:v>
                </c:pt>
                <c:pt idx="37">
                  <c:v>16.642562141235512</c:v>
                </c:pt>
                <c:pt idx="38">
                  <c:v>16.252393321749089</c:v>
                </c:pt>
                <c:pt idx="39">
                  <c:v>15.839251702303153</c:v>
                </c:pt>
                <c:pt idx="40">
                  <c:v>15.424300466454378</c:v>
                </c:pt>
                <c:pt idx="41">
                  <c:v>15.004752212363913</c:v>
                </c:pt>
                <c:pt idx="42">
                  <c:v>14.600990470580847</c:v>
                </c:pt>
                <c:pt idx="43">
                  <c:v>14.220623967918151</c:v>
                </c:pt>
                <c:pt idx="44">
                  <c:v>13.84814470354525</c:v>
                </c:pt>
                <c:pt idx="45">
                  <c:v>13.472560855821305</c:v>
                </c:pt>
                <c:pt idx="46">
                  <c:v>13.071175426875227</c:v>
                </c:pt>
                <c:pt idx="47">
                  <c:v>12.692262641047995</c:v>
                </c:pt>
                <c:pt idx="48">
                  <c:v>12.319091850528888</c:v>
                </c:pt>
                <c:pt idx="49">
                  <c:v>11.965139511254248</c:v>
                </c:pt>
                <c:pt idx="50">
                  <c:v>11.613572083749787</c:v>
                </c:pt>
                <c:pt idx="51">
                  <c:v>11.478000981471109</c:v>
                </c:pt>
                <c:pt idx="52">
                  <c:v>11.193182808740652</c:v>
                </c:pt>
                <c:pt idx="53">
                  <c:v>10.865401909486174</c:v>
                </c:pt>
                <c:pt idx="54">
                  <c:v>10.485831509030568</c:v>
                </c:pt>
                <c:pt idx="55">
                  <c:v>10.027492862307211</c:v>
                </c:pt>
                <c:pt idx="56">
                  <c:v>9.6091824586844243</c:v>
                </c:pt>
                <c:pt idx="57">
                  <c:v>9.1988170806339333</c:v>
                </c:pt>
                <c:pt idx="58">
                  <c:v>8.8075874695683574</c:v>
                </c:pt>
                <c:pt idx="59">
                  <c:v>8.4119968197370465</c:v>
                </c:pt>
                <c:pt idx="60">
                  <c:v>8.0170515907154023</c:v>
                </c:pt>
                <c:pt idx="61">
                  <c:v>7.9835514125695335</c:v>
                </c:pt>
                <c:pt idx="62">
                  <c:v>8.2300700530499764</c:v>
                </c:pt>
                <c:pt idx="63">
                  <c:v>7.999544354238437</c:v>
                </c:pt>
                <c:pt idx="64">
                  <c:v>7.7450032731014185</c:v>
                </c:pt>
                <c:pt idx="65">
                  <c:v>7.4440164430167233</c:v>
                </c:pt>
                <c:pt idx="66">
                  <c:v>7.0800467308594932</c:v>
                </c:pt>
                <c:pt idx="67">
                  <c:v>6.7390023637171907</c:v>
                </c:pt>
                <c:pt idx="68">
                  <c:v>6.2489245039029528</c:v>
                </c:pt>
                <c:pt idx="69">
                  <c:v>5.5392823162519846</c:v>
                </c:pt>
                <c:pt idx="70">
                  <c:v>4.8910012969009626</c:v>
                </c:pt>
                <c:pt idx="71">
                  <c:v>4.4077915518915409</c:v>
                </c:pt>
                <c:pt idx="72">
                  <c:v>4.0526296158566426</c:v>
                </c:pt>
                <c:pt idx="73">
                  <c:v>3.7638306771710304</c:v>
                </c:pt>
                <c:pt idx="74">
                  <c:v>3.5792110681105695</c:v>
                </c:pt>
                <c:pt idx="75">
                  <c:v>3.4636377273115651</c:v>
                </c:pt>
                <c:pt idx="76">
                  <c:v>3.3568370266413354</c:v>
                </c:pt>
                <c:pt idx="77">
                  <c:v>3.253856489352466</c:v>
                </c:pt>
                <c:pt idx="78">
                  <c:v>3.0712754300120237</c:v>
                </c:pt>
                <c:pt idx="79">
                  <c:v>2.8688364523050347</c:v>
                </c:pt>
                <c:pt idx="80">
                  <c:v>2.6820278391719996</c:v>
                </c:pt>
                <c:pt idx="81">
                  <c:v>2.5225702820888301</c:v>
                </c:pt>
                <c:pt idx="82">
                  <c:v>2.3979924710149061</c:v>
                </c:pt>
                <c:pt idx="83">
                  <c:v>2.2888476483113789</c:v>
                </c:pt>
                <c:pt idx="84">
                  <c:v>2.2078050491996462</c:v>
                </c:pt>
                <c:pt idx="85">
                  <c:v>2.1249126713246604</c:v>
                </c:pt>
                <c:pt idx="86">
                  <c:v>2.0442996922775061</c:v>
                </c:pt>
                <c:pt idx="87">
                  <c:v>1.9761578374170774</c:v>
                </c:pt>
                <c:pt idx="88">
                  <c:v>1.9629334554875872</c:v>
                </c:pt>
                <c:pt idx="89">
                  <c:v>1.8995783249573752</c:v>
                </c:pt>
                <c:pt idx="90">
                  <c:v>1.8347085971215795</c:v>
                </c:pt>
                <c:pt idx="91">
                  <c:v>1.77643120438623</c:v>
                </c:pt>
                <c:pt idx="92">
                  <c:v>1.715929073302626</c:v>
                </c:pt>
                <c:pt idx="93">
                  <c:v>1.6499822544435911</c:v>
                </c:pt>
                <c:pt idx="94">
                  <c:v>1.5883346149700894</c:v>
                </c:pt>
                <c:pt idx="95">
                  <c:v>1.5275388515853003</c:v>
                </c:pt>
                <c:pt idx="96">
                  <c:v>1.4672808817642398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3-0245-8EF9-B185524EB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141888"/>
        <c:axId val="-2065131104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9525">
              <a:noFill/>
            </a:ln>
            <a:effectLst/>
          </c:spPr>
          <c:invertIfNegative val="0"/>
          <c:cat>
            <c:numRef>
              <c:f>'Figs 6 &amp; 7'!$DE$8:$DE$152</c:f>
              <c:numCache>
                <c:formatCode>m/d/yy</c:formatCode>
                <c:ptCount val="145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7'!$DU$8:$DU$150</c:f>
              <c:numCache>
                <c:formatCode>0.000</c:formatCode>
                <c:ptCount val="143"/>
                <c:pt idx="0">
                  <c:v>0.49299999999999999</c:v>
                </c:pt>
                <c:pt idx="1">
                  <c:v>0.49299999999999999</c:v>
                </c:pt>
                <c:pt idx="2">
                  <c:v>0.49299999999999999</c:v>
                </c:pt>
                <c:pt idx="3">
                  <c:v>0.49299999999999999</c:v>
                </c:pt>
                <c:pt idx="4">
                  <c:v>0.49299999999999999</c:v>
                </c:pt>
                <c:pt idx="5">
                  <c:v>0.49299999999999999</c:v>
                </c:pt>
                <c:pt idx="6">
                  <c:v>0.49299999999999999</c:v>
                </c:pt>
                <c:pt idx="7">
                  <c:v>0.49299999999999999</c:v>
                </c:pt>
                <c:pt idx="8">
                  <c:v>1.5042688030376437</c:v>
                </c:pt>
                <c:pt idx="9">
                  <c:v>1.2584438119736281</c:v>
                </c:pt>
                <c:pt idx="10">
                  <c:v>1.0126188209096125</c:v>
                </c:pt>
                <c:pt idx="11">
                  <c:v>0.76679382984559685</c:v>
                </c:pt>
                <c:pt idx="12">
                  <c:v>0.52096883878158118</c:v>
                </c:pt>
                <c:pt idx="13">
                  <c:v>0.27514384771756539</c:v>
                </c:pt>
                <c:pt idx="14">
                  <c:v>0.51748684555700319</c:v>
                </c:pt>
                <c:pt idx="15">
                  <c:v>0.759829843396441</c:v>
                </c:pt>
                <c:pt idx="16">
                  <c:v>0.81947484620890143</c:v>
                </c:pt>
                <c:pt idx="17">
                  <c:v>0.78205772618823854</c:v>
                </c:pt>
                <c:pt idx="18">
                  <c:v>0.77086307847864743</c:v>
                </c:pt>
                <c:pt idx="19">
                  <c:v>0.78261309404124402</c:v>
                </c:pt>
                <c:pt idx="20">
                  <c:v>0.81443968996700489</c:v>
                </c:pt>
                <c:pt idx="21">
                  <c:v>0.83636461094086267</c:v>
                </c:pt>
                <c:pt idx="22">
                  <c:v>0.8496255663318053</c:v>
                </c:pt>
                <c:pt idx="23">
                  <c:v>1.2369898658961243</c:v>
                </c:pt>
                <c:pt idx="24">
                  <c:v>0.52013788604359834</c:v>
                </c:pt>
                <c:pt idx="25">
                  <c:v>0.69250054451150922</c:v>
                </c:pt>
                <c:pt idx="26">
                  <c:v>0.8648632029794201</c:v>
                </c:pt>
                <c:pt idx="27">
                  <c:v>1.0372258614473311</c:v>
                </c:pt>
                <c:pt idx="28">
                  <c:v>0.98983905775786729</c:v>
                </c:pt>
                <c:pt idx="29">
                  <c:v>0.94245225406840349</c:v>
                </c:pt>
                <c:pt idx="30">
                  <c:v>0.8950654503789397</c:v>
                </c:pt>
                <c:pt idx="31">
                  <c:v>0.8476786466894759</c:v>
                </c:pt>
                <c:pt idx="32">
                  <c:v>0.8002918430000121</c:v>
                </c:pt>
                <c:pt idx="33">
                  <c:v>0.75290503931054831</c:v>
                </c:pt>
                <c:pt idx="34">
                  <c:v>0.70551823562108451</c:v>
                </c:pt>
                <c:pt idx="35">
                  <c:v>0.65813143193162094</c:v>
                </c:pt>
                <c:pt idx="36">
                  <c:v>0.40445553737367224</c:v>
                </c:pt>
                <c:pt idx="37">
                  <c:v>0.1728340603148526</c:v>
                </c:pt>
                <c:pt idx="38">
                  <c:v>0.46552090587178085</c:v>
                </c:pt>
                <c:pt idx="39">
                  <c:v>0.40048705802657603</c:v>
                </c:pt>
                <c:pt idx="40">
                  <c:v>0.5509200334939397</c:v>
                </c:pt>
                <c:pt idx="41">
                  <c:v>0.5777724162968616</c:v>
                </c:pt>
                <c:pt idx="42">
                  <c:v>0.41454989939010067</c:v>
                </c:pt>
                <c:pt idx="43">
                  <c:v>0.74352914973878192</c:v>
                </c:pt>
                <c:pt idx="44">
                  <c:v>0.57107902662902976</c:v>
                </c:pt>
                <c:pt idx="45">
                  <c:v>0.32554007823772313</c:v>
                </c:pt>
                <c:pt idx="46">
                  <c:v>0.28237077401775379</c:v>
                </c:pt>
                <c:pt idx="47">
                  <c:v>0.23920146979778442</c:v>
                </c:pt>
                <c:pt idx="48">
                  <c:v>0.19603216557781505</c:v>
                </c:pt>
                <c:pt idx="49">
                  <c:v>0.15286286135784569</c:v>
                </c:pt>
                <c:pt idx="50">
                  <c:v>0.10969355713787632</c:v>
                </c:pt>
                <c:pt idx="51">
                  <c:v>1.1594323380590479</c:v>
                </c:pt>
                <c:pt idx="52">
                  <c:v>0.76772450788113789</c:v>
                </c:pt>
                <c:pt idx="53">
                  <c:v>0.27027949656750971</c:v>
                </c:pt>
                <c:pt idx="54">
                  <c:v>0.32848152816306686</c:v>
                </c:pt>
                <c:pt idx="55">
                  <c:v>0.38668355975862401</c:v>
                </c:pt>
                <c:pt idx="56">
                  <c:v>0.44488559135418115</c:v>
                </c:pt>
                <c:pt idx="57">
                  <c:v>0.5030876229497383</c:v>
                </c:pt>
                <c:pt idx="58">
                  <c:v>0.56128965454529545</c:v>
                </c:pt>
                <c:pt idx="59">
                  <c:v>0.61949168614085259</c:v>
                </c:pt>
                <c:pt idx="60">
                  <c:v>0.67769371773640974</c:v>
                </c:pt>
                <c:pt idx="61">
                  <c:v>0.73589574933196666</c:v>
                </c:pt>
                <c:pt idx="62">
                  <c:v>0.82125478746686031</c:v>
                </c:pt>
                <c:pt idx="63">
                  <c:v>1.7883187361770001</c:v>
                </c:pt>
                <c:pt idx="64">
                  <c:v>0.70852851233031089</c:v>
                </c:pt>
                <c:pt idx="65">
                  <c:v>2.2720652460272972</c:v>
                </c:pt>
                <c:pt idx="66">
                  <c:v>1.8035059479308697</c:v>
                </c:pt>
                <c:pt idx="67">
                  <c:v>1.3349466498344422</c:v>
                </c:pt>
                <c:pt idx="68">
                  <c:v>0.86638735173801462</c:v>
                </c:pt>
                <c:pt idx="69">
                  <c:v>0.3978280536415868</c:v>
                </c:pt>
                <c:pt idx="70">
                  <c:v>1.0648184674585512</c:v>
                </c:pt>
                <c:pt idx="71">
                  <c:v>0.68023453025320346</c:v>
                </c:pt>
                <c:pt idx="72">
                  <c:v>0.29565059304785568</c:v>
                </c:pt>
                <c:pt idx="73">
                  <c:v>0.95226174501123539</c:v>
                </c:pt>
                <c:pt idx="74">
                  <c:v>0.87271217007780322</c:v>
                </c:pt>
                <c:pt idx="75">
                  <c:v>2.371384675606877</c:v>
                </c:pt>
                <c:pt idx="76">
                  <c:v>0.37304275162048706</c:v>
                </c:pt>
                <c:pt idx="77">
                  <c:v>0.92053854595191931</c:v>
                </c:pt>
                <c:pt idx="78">
                  <c:v>0.94816782442492298</c:v>
                </c:pt>
                <c:pt idx="79">
                  <c:v>0.97579710289792665</c:v>
                </c:pt>
                <c:pt idx="80">
                  <c:v>0.58918308732713798</c:v>
                </c:pt>
                <c:pt idx="81">
                  <c:v>0.45846840059827842</c:v>
                </c:pt>
                <c:pt idx="82">
                  <c:v>0.75334080564527395</c:v>
                </c:pt>
                <c:pt idx="83">
                  <c:v>1.2271983332267575</c:v>
                </c:pt>
                <c:pt idx="84">
                  <c:v>0.90260375831482831</c:v>
                </c:pt>
                <c:pt idx="85">
                  <c:v>0.84638498128566264</c:v>
                </c:pt>
                <c:pt idx="86">
                  <c:v>0.25341460849097008</c:v>
                </c:pt>
                <c:pt idx="87">
                  <c:v>0.73394742722733119</c:v>
                </c:pt>
                <c:pt idx="88">
                  <c:v>0.9451148657044387</c:v>
                </c:pt>
                <c:pt idx="89">
                  <c:v>1.0941449440702966</c:v>
                </c:pt>
                <c:pt idx="90">
                  <c:v>1.0951881096353251</c:v>
                </c:pt>
                <c:pt idx="91">
                  <c:v>1.1755751454175529</c:v>
                </c:pt>
                <c:pt idx="92">
                  <c:v>1.2848786911779528</c:v>
                </c:pt>
                <c:pt idx="93">
                  <c:v>1.2151049440698771</c:v>
                </c:pt>
                <c:pt idx="94">
                  <c:v>0.78573681219076752</c:v>
                </c:pt>
                <c:pt idx="95">
                  <c:v>1.0786138475899754</c:v>
                </c:pt>
                <c:pt idx="96">
                  <c:v>1.3708773153674554</c:v>
                </c:pt>
                <c:pt idx="97">
                  <c:v>1.4297110067370578</c:v>
                </c:pt>
                <c:pt idx="98">
                  <c:v>1.687358792171</c:v>
                </c:pt>
                <c:pt idx="99">
                  <c:v>1.8272101006097348</c:v>
                </c:pt>
                <c:pt idx="100">
                  <c:v>1.8118862976360903</c:v>
                </c:pt>
                <c:pt idx="101">
                  <c:v>1.7965624946624459</c:v>
                </c:pt>
                <c:pt idx="102">
                  <c:v>1.203162539151013</c:v>
                </c:pt>
                <c:pt idx="103">
                  <c:v>2.3846980268207512</c:v>
                </c:pt>
                <c:pt idx="104">
                  <c:v>2.4025237221687177</c:v>
                </c:pt>
                <c:pt idx="105">
                  <c:v>2.2093498679927444</c:v>
                </c:pt>
                <c:pt idx="106">
                  <c:v>2.2839822034439616</c:v>
                </c:pt>
                <c:pt idx="107">
                  <c:v>2.5674068277617366</c:v>
                </c:pt>
                <c:pt idx="108">
                  <c:v>2.3666991948659057</c:v>
                </c:pt>
                <c:pt idx="109">
                  <c:v>2.2447602794573775</c:v>
                </c:pt>
                <c:pt idx="110">
                  <c:v>2.4660369689221944</c:v>
                </c:pt>
                <c:pt idx="111">
                  <c:v>2.5104507406260437</c:v>
                </c:pt>
                <c:pt idx="112">
                  <c:v>2.3417571567951243</c:v>
                </c:pt>
                <c:pt idx="113">
                  <c:v>2.5667373936056435</c:v>
                </c:pt>
                <c:pt idx="114">
                  <c:v>3.1523410851028224</c:v>
                </c:pt>
                <c:pt idx="115">
                  <c:v>2.9202381542514915</c:v>
                </c:pt>
                <c:pt idx="116">
                  <c:v>2.8959553021486037</c:v>
                </c:pt>
                <c:pt idx="117">
                  <c:v>2.8892848433326304</c:v>
                </c:pt>
                <c:pt idx="118">
                  <c:v>3.3235543512776342</c:v>
                </c:pt>
                <c:pt idx="119">
                  <c:v>3.4904707272796309</c:v>
                </c:pt>
                <c:pt idx="120">
                  <c:v>2.5896724516320675</c:v>
                </c:pt>
                <c:pt idx="121">
                  <c:v>2.5041345634917329</c:v>
                </c:pt>
                <c:pt idx="122">
                  <c:v>0.88417463099085336</c:v>
                </c:pt>
                <c:pt idx="123">
                  <c:v>2.7338935796375892</c:v>
                </c:pt>
                <c:pt idx="124">
                  <c:v>2.6838550669241648</c:v>
                </c:pt>
                <c:pt idx="125">
                  <c:v>1.8288708162561718</c:v>
                </c:pt>
                <c:pt idx="126">
                  <c:v>1.5962668903008905</c:v>
                </c:pt>
                <c:pt idx="127">
                  <c:v>3.6305724162968618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3-0245-8EF9-B185524EB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065124256"/>
        <c:axId val="-2065114880"/>
      </c:barChart>
      <c:scatterChart>
        <c:scatterStyle val="lineMarker"/>
        <c:varyColors val="0"/>
        <c:ser>
          <c:idx val="3"/>
          <c:order val="2"/>
          <c:spPr>
            <a:ln w="47625">
              <a:noFill/>
            </a:ln>
          </c:spPr>
          <c:marker>
            <c:symbol val="none"/>
          </c:marker>
          <c:xVal>
            <c:numRef>
              <c:f>'Figs 6 &amp; 7'!$BV$8:$BV$18</c:f>
              <c:numCache>
                <c:formatCode>m/d/yy</c:formatCode>
                <c:ptCount val="11"/>
                <c:pt idx="0">
                  <c:v>41705</c:v>
                </c:pt>
                <c:pt idx="1">
                  <c:v>41705</c:v>
                </c:pt>
                <c:pt idx="2">
                  <c:v>41705</c:v>
                </c:pt>
                <c:pt idx="3">
                  <c:v>41705</c:v>
                </c:pt>
                <c:pt idx="4">
                  <c:v>41705</c:v>
                </c:pt>
                <c:pt idx="5">
                  <c:v>41705</c:v>
                </c:pt>
                <c:pt idx="6">
                  <c:v>41705</c:v>
                </c:pt>
                <c:pt idx="7">
                  <c:v>41705</c:v>
                </c:pt>
                <c:pt idx="8">
                  <c:v>41705</c:v>
                </c:pt>
                <c:pt idx="9">
                  <c:v>41705</c:v>
                </c:pt>
                <c:pt idx="10">
                  <c:v>41705</c:v>
                </c:pt>
              </c:numCache>
            </c:numRef>
          </c:xVal>
          <c:yVal>
            <c:numRef>
              <c:f>'Figs 6 &amp; 7'!$BU$8:$BU$18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13-0245-8EF9-B185524EB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141888"/>
        <c:axId val="-2065131104"/>
      </c:scatterChart>
      <c:valAx>
        <c:axId val="-2065114880"/>
        <c:scaling>
          <c:orientation val="minMax"/>
          <c:max val="6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CA" sz="1600"/>
                  <a:t>Evapotranspiration (cm/d)</a:t>
                </a:r>
              </a:p>
            </c:rich>
          </c:tx>
          <c:layout>
            <c:manualLayout>
              <c:xMode val="edge"/>
              <c:yMode val="edge"/>
              <c:x val="5.9518859236574002E-3"/>
              <c:y val="0.102652694247262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65124256"/>
        <c:crosses val="autoZero"/>
        <c:crossBetween val="between"/>
      </c:valAx>
      <c:dateAx>
        <c:axId val="-2065124256"/>
        <c:scaling>
          <c:orientation val="minMax"/>
          <c:max val="41690"/>
        </c:scaling>
        <c:delete val="0"/>
        <c:axPos val="b"/>
        <c:numFmt formatCode="mm/dd" sourceLinked="0"/>
        <c:majorTickMark val="in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 rot="0"/>
          <a:lstStyle/>
          <a:p>
            <a:pPr>
              <a:defRPr sz="1400" b="1"/>
            </a:pPr>
            <a:endParaRPr lang="en-US"/>
          </a:p>
        </c:txPr>
        <c:crossAx val="-2065114880"/>
        <c:crosses val="autoZero"/>
        <c:auto val="1"/>
        <c:lblOffset val="100"/>
        <c:baseTimeUnit val="days"/>
        <c:majorUnit val="28"/>
        <c:majorTimeUnit val="days"/>
        <c:minorUnit val="14"/>
        <c:minorTimeUnit val="days"/>
      </c:dateAx>
      <c:valAx>
        <c:axId val="-2065131104"/>
        <c:scaling>
          <c:orientation val="minMax"/>
          <c:max val="22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CA" sz="1600"/>
                  <a:t>Tank Surface Area (Ha)</a:t>
                </a:r>
              </a:p>
            </c:rich>
          </c:tx>
          <c:layout>
            <c:manualLayout>
              <c:xMode val="edge"/>
              <c:yMode val="edge"/>
              <c:x val="0.89472368401847002"/>
              <c:y val="0.115477346803349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65141888"/>
        <c:crosses val="max"/>
        <c:crossBetween val="between"/>
      </c:valAx>
      <c:dateAx>
        <c:axId val="-2065141888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065131104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73476632551001"/>
          <c:y val="4.1183015388222402E-2"/>
          <c:w val="0.68075876687646797"/>
          <c:h val="0.76957428625928204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47625">
              <a:noFill/>
            </a:ln>
            <a:effectLst/>
          </c:spP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7'!$DF$7:$DF$103</c:f>
              <c:numCache>
                <c:formatCode>0.000</c:formatCode>
                <c:ptCount val="97"/>
                <c:pt idx="0" formatCode="General">
                  <c:v>0</c:v>
                </c:pt>
                <c:pt idx="1">
                  <c:v>10.946832704118993</c:v>
                </c:pt>
                <c:pt idx="2">
                  <c:v>10.946832704118993</c:v>
                </c:pt>
                <c:pt idx="3">
                  <c:v>10.946832704118993</c:v>
                </c:pt>
                <c:pt idx="4">
                  <c:v>14.375312506064045</c:v>
                </c:pt>
                <c:pt idx="5">
                  <c:v>14.522976107902956</c:v>
                </c:pt>
                <c:pt idx="6">
                  <c:v>15.34026766597859</c:v>
                </c:pt>
                <c:pt idx="7">
                  <c:v>15.279323920742733</c:v>
                </c:pt>
                <c:pt idx="8">
                  <c:v>15.063696288914642</c:v>
                </c:pt>
                <c:pt idx="9">
                  <c:v>14.825645102915784</c:v>
                </c:pt>
                <c:pt idx="10">
                  <c:v>14.589801743237125</c:v>
                </c:pt>
                <c:pt idx="11">
                  <c:v>14.365587017483278</c:v>
                </c:pt>
                <c:pt idx="12">
                  <c:v>14.161918211394607</c:v>
                </c:pt>
                <c:pt idx="13">
                  <c:v>13.922926808567647</c:v>
                </c:pt>
                <c:pt idx="14">
                  <c:v>13.724647705518739</c:v>
                </c:pt>
                <c:pt idx="15">
                  <c:v>13.527999736963169</c:v>
                </c:pt>
                <c:pt idx="16">
                  <c:v>13.312699951236945</c:v>
                </c:pt>
                <c:pt idx="17">
                  <c:v>13.112949649099869</c:v>
                </c:pt>
                <c:pt idx="18">
                  <c:v>12.915263084356473</c:v>
                </c:pt>
                <c:pt idx="19">
                  <c:v>12.775618074685683</c:v>
                </c:pt>
                <c:pt idx="20">
                  <c:v>12.582066469679749</c:v>
                </c:pt>
                <c:pt idx="21">
                  <c:v>12.404319699298872</c:v>
                </c:pt>
                <c:pt idx="22">
                  <c:v>12.225701352819732</c:v>
                </c:pt>
                <c:pt idx="23">
                  <c:v>12.329212093016617</c:v>
                </c:pt>
                <c:pt idx="24">
                  <c:v>12.283055705262347</c:v>
                </c:pt>
                <c:pt idx="25">
                  <c:v>12.099035684521638</c:v>
                </c:pt>
                <c:pt idx="26">
                  <c:v>11.923403613807922</c:v>
                </c:pt>
                <c:pt idx="27">
                  <c:v>11.754989206410977</c:v>
                </c:pt>
                <c:pt idx="28">
                  <c:v>11.56808407751034</c:v>
                </c:pt>
                <c:pt idx="29">
                  <c:v>11.369898801083011</c:v>
                </c:pt>
                <c:pt idx="30">
                  <c:v>11.179403962990978</c:v>
                </c:pt>
                <c:pt idx="31">
                  <c:v>10.999806796887928</c:v>
                </c:pt>
                <c:pt idx="32">
                  <c:v>10.847674769374647</c:v>
                </c:pt>
                <c:pt idx="33">
                  <c:v>10.635976691847494</c:v>
                </c:pt>
                <c:pt idx="34">
                  <c:v>10.407341051803693</c:v>
                </c:pt>
                <c:pt idx="35">
                  <c:v>10.17415207898885</c:v>
                </c:pt>
                <c:pt idx="36">
                  <c:v>10.501195420405473</c:v>
                </c:pt>
                <c:pt idx="37">
                  <c:v>10.283427862626768</c:v>
                </c:pt>
                <c:pt idx="38">
                  <c:v>10.056646285164648</c:v>
                </c:pt>
                <c:pt idx="39">
                  <c:v>9.8324459592546365</c:v>
                </c:pt>
                <c:pt idx="40">
                  <c:v>9.5561041444195745</c:v>
                </c:pt>
                <c:pt idx="41">
                  <c:v>9.2766013831127658</c:v>
                </c:pt>
                <c:pt idx="42">
                  <c:v>9.0352428130879314</c:v>
                </c:pt>
                <c:pt idx="43">
                  <c:v>8.791643289905041</c:v>
                </c:pt>
                <c:pt idx="44">
                  <c:v>8.5650676840994588</c:v>
                </c:pt>
                <c:pt idx="45">
                  <c:v>8.3782777807224367</c:v>
                </c:pt>
                <c:pt idx="46">
                  <c:v>8.1914540124639732</c:v>
                </c:pt>
                <c:pt idx="47">
                  <c:v>8.0105301993791969</c:v>
                </c:pt>
                <c:pt idx="48">
                  <c:v>7.7695090607471862</c:v>
                </c:pt>
                <c:pt idx="49">
                  <c:v>7.5557670563580626</c:v>
                </c:pt>
                <c:pt idx="50">
                  <c:v>7.3903868800684958</c:v>
                </c:pt>
                <c:pt idx="51">
                  <c:v>7.3469758309363344</c:v>
                </c:pt>
                <c:pt idx="52">
                  <c:v>7.1889282478442835</c:v>
                </c:pt>
                <c:pt idx="53">
                  <c:v>7.0367676986999488</c:v>
                </c:pt>
                <c:pt idx="54">
                  <c:v>6.8784142779891919</c:v>
                </c:pt>
                <c:pt idx="55">
                  <c:v>6.7242486673832795</c:v>
                </c:pt>
                <c:pt idx="56">
                  <c:v>6.588742976002437</c:v>
                </c:pt>
                <c:pt idx="57">
                  <c:v>6.4526372620970065</c:v>
                </c:pt>
                <c:pt idx="58">
                  <c:v>6.3213367289268358</c:v>
                </c:pt>
                <c:pt idx="59">
                  <c:v>6.1892983463937723</c:v>
                </c:pt>
                <c:pt idx="60">
                  <c:v>6.0738624394500533</c:v>
                </c:pt>
                <c:pt idx="61">
                  <c:v>6.0555361457826535</c:v>
                </c:pt>
                <c:pt idx="62">
                  <c:v>6.0920423381005993</c:v>
                </c:pt>
                <c:pt idx="63">
                  <c:v>5.953642006395448</c:v>
                </c:pt>
                <c:pt idx="64">
                  <c:v>5.8114808012899166</c:v>
                </c:pt>
                <c:pt idx="65">
                  <c:v>5.6705160374776185</c:v>
                </c:pt>
                <c:pt idx="66">
                  <c:v>5.5360946690609891</c:v>
                </c:pt>
                <c:pt idx="67">
                  <c:v>5.396424871330292</c:v>
                </c:pt>
                <c:pt idx="68">
                  <c:v>5.2750096931800803</c:v>
                </c:pt>
                <c:pt idx="69">
                  <c:v>5.1575033095043619</c:v>
                </c:pt>
                <c:pt idx="70">
                  <c:v>5.0355597167665955</c:v>
                </c:pt>
                <c:pt idx="71">
                  <c:v>4.9091812601177773</c:v>
                </c:pt>
                <c:pt idx="72">
                  <c:v>4.7819574629018939</c:v>
                </c:pt>
                <c:pt idx="73">
                  <c:v>4.6659105750523002</c:v>
                </c:pt>
                <c:pt idx="74">
                  <c:v>4.5374546265263689</c:v>
                </c:pt>
                <c:pt idx="75">
                  <c:v>4.3934194555399761</c:v>
                </c:pt>
                <c:pt idx="76">
                  <c:v>4.257802781784374</c:v>
                </c:pt>
                <c:pt idx="77">
                  <c:v>4.1332862481743078</c:v>
                </c:pt>
                <c:pt idx="78">
                  <c:v>4.0440239450527109</c:v>
                </c:pt>
                <c:pt idx="79">
                  <c:v>3.9520465390699946</c:v>
                </c:pt>
                <c:pt idx="80">
                  <c:v>3.8564894160792496</c:v>
                </c:pt>
                <c:pt idx="81">
                  <c:v>3.7591121221764494</c:v>
                </c:pt>
                <c:pt idx="82">
                  <c:v>3.6206974119805695</c:v>
                </c:pt>
                <c:pt idx="83">
                  <c:v>3.4904962395740746</c:v>
                </c:pt>
                <c:pt idx="84">
                  <c:v>3.3346224958955952</c:v>
                </c:pt>
                <c:pt idx="85">
                  <c:v>3.1999337520530693</c:v>
                </c:pt>
                <c:pt idx="86">
                  <c:v>3.0993266021160792</c:v>
                </c:pt>
                <c:pt idx="87">
                  <c:v>3.0220631911468221</c:v>
                </c:pt>
                <c:pt idx="88">
                  <c:v>2.9997519792274656</c:v>
                </c:pt>
                <c:pt idx="89">
                  <c:v>2.9211682423382408</c:v>
                </c:pt>
                <c:pt idx="90">
                  <c:v>2.8182814043652487</c:v>
                </c:pt>
                <c:pt idx="91">
                  <c:v>2.7093360807291225</c:v>
                </c:pt>
                <c:pt idx="92">
                  <c:v>2.504462923888727</c:v>
                </c:pt>
                <c:pt idx="93">
                  <c:v>2.1663362700580242</c:v>
                </c:pt>
                <c:pt idx="94">
                  <c:v>1.8065042060545358</c:v>
                </c:pt>
                <c:pt idx="95">
                  <c:v>1.5960966743050571</c:v>
                </c:pt>
                <c:pt idx="96">
                  <c:v>1.1831317851312559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F-3446-9965-2A773B86D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2228048"/>
        <c:axId val="-2045127424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3175">
              <a:noFill/>
            </a:ln>
            <a:effectLst/>
          </c:spPr>
          <c:invertIfNegative val="0"/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7'!$DN$8:$DN$150</c:f>
              <c:numCache>
                <c:formatCode>0.000</c:formatCode>
                <c:ptCount val="143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3.4030799764765352</c:v>
                </c:pt>
                <c:pt idx="13">
                  <c:v>0</c:v>
                </c:pt>
                <c:pt idx="14">
                  <c:v>4.3894429515646127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3.000258614474185</c:v>
                </c:pt>
                <c:pt idx="28">
                  <c:v>0.5046524602738689</c:v>
                </c:pt>
                <c:pt idx="29">
                  <c:v>0</c:v>
                </c:pt>
                <c:pt idx="30">
                  <c:v>5.6809798652578047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4.5916076039030163</c:v>
                </c:pt>
                <c:pt idx="35">
                  <c:v>5.1293143193180812</c:v>
                </c:pt>
                <c:pt idx="36">
                  <c:v>2.9845553737366171</c:v>
                </c:pt>
                <c:pt idx="37">
                  <c:v>0</c:v>
                </c:pt>
                <c:pt idx="38">
                  <c:v>0</c:v>
                </c:pt>
                <c:pt idx="39">
                  <c:v>7.716870580264219</c:v>
                </c:pt>
                <c:pt idx="40">
                  <c:v>7.3092003349412416</c:v>
                </c:pt>
                <c:pt idx="41">
                  <c:v>0.25772416296725886</c:v>
                </c:pt>
                <c:pt idx="42">
                  <c:v>6.1094989939016964</c:v>
                </c:pt>
                <c:pt idx="43">
                  <c:v>3.7432914973865294</c:v>
                </c:pt>
                <c:pt idx="44">
                  <c:v>9.1187902662910183</c:v>
                </c:pt>
                <c:pt idx="45">
                  <c:v>19.239400782378407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4.8969355713790819</c:v>
                </c:pt>
                <c:pt idx="51">
                  <c:v>5.0423233805916157</c:v>
                </c:pt>
                <c:pt idx="52">
                  <c:v>8.4332450788100743</c:v>
                </c:pt>
                <c:pt idx="53">
                  <c:v>9.59079496567551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2.0793545888023246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7.382957493322313</c:v>
                </c:pt>
                <c:pt idx="62">
                  <c:v>7.4885478746663026</c:v>
                </c:pt>
                <c:pt idx="63">
                  <c:v>8.6471873617722288</c:v>
                </c:pt>
                <c:pt idx="64">
                  <c:v>9.0772851233017491</c:v>
                </c:pt>
                <c:pt idx="65">
                  <c:v>8.3726524602733861</c:v>
                </c:pt>
                <c:pt idx="66">
                  <c:v>8.4746833309909917</c:v>
                </c:pt>
                <c:pt idx="67">
                  <c:v>9.5955788578806143</c:v>
                </c:pt>
                <c:pt idx="68">
                  <c:v>6.1154252790108687</c:v>
                </c:pt>
                <c:pt idx="69">
                  <c:v>12.114280536414837</c:v>
                </c:pt>
                <c:pt idx="70">
                  <c:v>12.060184674584573</c:v>
                </c:pt>
                <c:pt idx="71">
                  <c:v>14.053529529677999</c:v>
                </c:pt>
                <c:pt idx="72">
                  <c:v>6.6445059304787168</c:v>
                </c:pt>
                <c:pt idx="73">
                  <c:v>13.157817450112031</c:v>
                </c:pt>
                <c:pt idx="74">
                  <c:v>12.608721700778929</c:v>
                </c:pt>
                <c:pt idx="75">
                  <c:v>11.8506467560675</c:v>
                </c:pt>
                <c:pt idx="76">
                  <c:v>11.848827516205676</c:v>
                </c:pt>
                <c:pt idx="77">
                  <c:v>18.761385459518657</c:v>
                </c:pt>
                <c:pt idx="78">
                  <c:v>0</c:v>
                </c:pt>
                <c:pt idx="79">
                  <c:v>31.223571028979006</c:v>
                </c:pt>
                <c:pt idx="80">
                  <c:v>25.636630873272569</c:v>
                </c:pt>
                <c:pt idx="81">
                  <c:v>29.565484005983819</c:v>
                </c:pt>
                <c:pt idx="82">
                  <c:v>20.893408056452149</c:v>
                </c:pt>
                <c:pt idx="83">
                  <c:v>8.5543833322681202</c:v>
                </c:pt>
                <c:pt idx="84">
                  <c:v>0</c:v>
                </c:pt>
                <c:pt idx="85">
                  <c:v>0</c:v>
                </c:pt>
                <c:pt idx="86">
                  <c:v>3.7661460849113859</c:v>
                </c:pt>
                <c:pt idx="87">
                  <c:v>9.3986742722731602</c:v>
                </c:pt>
                <c:pt idx="88">
                  <c:v>18.875148657044818</c:v>
                </c:pt>
                <c:pt idx="89">
                  <c:v>42.378249440702035</c:v>
                </c:pt>
                <c:pt idx="90">
                  <c:v>36.949481096353864</c:v>
                </c:pt>
                <c:pt idx="91">
                  <c:v>38.966151454176234</c:v>
                </c:pt>
                <c:pt idx="92">
                  <c:v>55.29640451177842</c:v>
                </c:pt>
                <c:pt idx="93">
                  <c:v>32.822249440699252</c:v>
                </c:pt>
                <c:pt idx="94">
                  <c:v>15.21256812190753</c:v>
                </c:pt>
                <c:pt idx="95">
                  <c:v>1.3885384758989261</c:v>
                </c:pt>
                <c:pt idx="96">
                  <c:v>6.1079731536750614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F-3446-9965-2A773B86D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045210848"/>
        <c:axId val="-2045165392"/>
      </c:barChart>
      <c:scatterChart>
        <c:scatterStyle val="lineMarker"/>
        <c:varyColors val="0"/>
        <c:ser>
          <c:idx val="3"/>
          <c:order val="2"/>
          <c:spPr>
            <a:ln w="47625">
              <a:noFill/>
            </a:ln>
          </c:spPr>
          <c:marker>
            <c:symbol val="none"/>
          </c:marker>
          <c:xVal>
            <c:numRef>
              <c:f>'Figs 6 &amp; 7'!$BV$8:$BV$18</c:f>
              <c:numCache>
                <c:formatCode>m/d/yy</c:formatCode>
                <c:ptCount val="11"/>
                <c:pt idx="0">
                  <c:v>41705</c:v>
                </c:pt>
                <c:pt idx="1">
                  <c:v>41705</c:v>
                </c:pt>
                <c:pt idx="2">
                  <c:v>41705</c:v>
                </c:pt>
                <c:pt idx="3">
                  <c:v>41705</c:v>
                </c:pt>
                <c:pt idx="4">
                  <c:v>41705</c:v>
                </c:pt>
                <c:pt idx="5">
                  <c:v>41705</c:v>
                </c:pt>
                <c:pt idx="6">
                  <c:v>41705</c:v>
                </c:pt>
                <c:pt idx="7">
                  <c:v>41705</c:v>
                </c:pt>
                <c:pt idx="8">
                  <c:v>41705</c:v>
                </c:pt>
                <c:pt idx="9">
                  <c:v>41705</c:v>
                </c:pt>
                <c:pt idx="10">
                  <c:v>41705</c:v>
                </c:pt>
              </c:numCache>
            </c:numRef>
          </c:xVal>
          <c:yVal>
            <c:numRef>
              <c:f>'Figs 6 &amp; 7'!$BU$8:$BU$18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8F-3446-9965-2A773B86D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2228048"/>
        <c:axId val="-2045127424"/>
      </c:scatterChart>
      <c:valAx>
        <c:axId val="-2045165392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CA" sz="1600"/>
                  <a:t>Evapotranspiration (mm/d)</a:t>
                </a:r>
              </a:p>
            </c:rich>
          </c:tx>
          <c:layout>
            <c:manualLayout>
              <c:xMode val="edge"/>
              <c:yMode val="edge"/>
              <c:x val="5.9518859236574002E-3"/>
              <c:y val="0.102652694247262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45210848"/>
        <c:crosses val="autoZero"/>
        <c:crossBetween val="between"/>
      </c:valAx>
      <c:dateAx>
        <c:axId val="-2045210848"/>
        <c:scaling>
          <c:orientation val="minMax"/>
          <c:max val="41690"/>
        </c:scaling>
        <c:delete val="1"/>
        <c:axPos val="b"/>
        <c:numFmt formatCode="mm/dd" sourceLinked="0"/>
        <c:majorTickMark val="in"/>
        <c:minorTickMark val="none"/>
        <c:tickLblPos val="nextTo"/>
        <c:crossAx val="-2045165392"/>
        <c:crosses val="autoZero"/>
        <c:auto val="1"/>
        <c:lblOffset val="100"/>
        <c:baseTimeUnit val="days"/>
        <c:majorUnit val="28"/>
        <c:majorTimeUnit val="days"/>
        <c:minorUnit val="14"/>
        <c:minorTimeUnit val="days"/>
      </c:dateAx>
      <c:valAx>
        <c:axId val="-2045127424"/>
        <c:scaling>
          <c:orientation val="minMax"/>
          <c:max val="21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CA" sz="1600"/>
                  <a:t>Tank Surface Area (Ha)</a:t>
                </a:r>
              </a:p>
            </c:rich>
          </c:tx>
          <c:layout>
            <c:manualLayout>
              <c:xMode val="edge"/>
              <c:yMode val="edge"/>
              <c:x val="0.89472368401847002"/>
              <c:y val="0.115477346803349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2228048"/>
        <c:crosses val="max"/>
        <c:crossBetween val="between"/>
      </c:valAx>
      <c:dateAx>
        <c:axId val="-2022228048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045127424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73476632551001"/>
          <c:y val="4.1183015388222402E-2"/>
          <c:w val="0.68075876687646797"/>
          <c:h val="0.76957428625928204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47625">
              <a:noFill/>
            </a:ln>
            <a:effectLst/>
          </c:spP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7'!$DG$7:$DG$103</c:f>
              <c:numCache>
                <c:formatCode>0.000</c:formatCode>
                <c:ptCount val="97"/>
                <c:pt idx="0" formatCode="General">
                  <c:v>0</c:v>
                </c:pt>
                <c:pt idx="1">
                  <c:v>33.676731100706128</c:v>
                </c:pt>
                <c:pt idx="2">
                  <c:v>33.676731100706128</c:v>
                </c:pt>
                <c:pt idx="3">
                  <c:v>33.676731100706128</c:v>
                </c:pt>
                <c:pt idx="4">
                  <c:v>41.214813343300051</c:v>
                </c:pt>
                <c:pt idx="5">
                  <c:v>44.982641771272924</c:v>
                </c:pt>
                <c:pt idx="6">
                  <c:v>47.283934630679234</c:v>
                </c:pt>
                <c:pt idx="7">
                  <c:v>50.121907334035718</c:v>
                </c:pt>
                <c:pt idx="8">
                  <c:v>50.986600211189312</c:v>
                </c:pt>
                <c:pt idx="9">
                  <c:v>50.38947022636129</c:v>
                </c:pt>
                <c:pt idx="10">
                  <c:v>49.651291099891168</c:v>
                </c:pt>
                <c:pt idx="11">
                  <c:v>48.825935666765183</c:v>
                </c:pt>
                <c:pt idx="12">
                  <c:v>47.966155989572549</c:v>
                </c:pt>
                <c:pt idx="13">
                  <c:v>47.190694705611278</c:v>
                </c:pt>
                <c:pt idx="14">
                  <c:v>46.419247338900497</c:v>
                </c:pt>
                <c:pt idx="15">
                  <c:v>45.574693079846732</c:v>
                </c:pt>
                <c:pt idx="16">
                  <c:v>44.802723659196346</c:v>
                </c:pt>
                <c:pt idx="17">
                  <c:v>44.043951975477661</c:v>
                </c:pt>
                <c:pt idx="18">
                  <c:v>43.26827394458401</c:v>
                </c:pt>
                <c:pt idx="19">
                  <c:v>42.512712126581029</c:v>
                </c:pt>
                <c:pt idx="20">
                  <c:v>41.785162124934132</c:v>
                </c:pt>
                <c:pt idx="21">
                  <c:v>41.151270334335322</c:v>
                </c:pt>
                <c:pt idx="22">
                  <c:v>40.482587813120574</c:v>
                </c:pt>
                <c:pt idx="23">
                  <c:v>40.791555151767639</c:v>
                </c:pt>
                <c:pt idx="24">
                  <c:v>40.832758813328624</c:v>
                </c:pt>
                <c:pt idx="25">
                  <c:v>40.032621462657531</c:v>
                </c:pt>
                <c:pt idx="26">
                  <c:v>39.41941118659652</c:v>
                </c:pt>
                <c:pt idx="27">
                  <c:v>38.674189466858891</c:v>
                </c:pt>
                <c:pt idx="28">
                  <c:v>38.029537150278358</c:v>
                </c:pt>
                <c:pt idx="29">
                  <c:v>37.288874181084189</c:v>
                </c:pt>
                <c:pt idx="30">
                  <c:v>36.565777153401783</c:v>
                </c:pt>
                <c:pt idx="31">
                  <c:v>35.768820121335018</c:v>
                </c:pt>
                <c:pt idx="32">
                  <c:v>35.077412503886862</c:v>
                </c:pt>
                <c:pt idx="33">
                  <c:v>34.213749179920406</c:v>
                </c:pt>
                <c:pt idx="34">
                  <c:v>33.406887665968419</c:v>
                </c:pt>
                <c:pt idx="35">
                  <c:v>32.533034231173431</c:v>
                </c:pt>
                <c:pt idx="36">
                  <c:v>43.161338701040059</c:v>
                </c:pt>
                <c:pt idx="37">
                  <c:v>42.445195666430386</c:v>
                </c:pt>
                <c:pt idx="38">
                  <c:v>41.701076837820594</c:v>
                </c:pt>
                <c:pt idx="39">
                  <c:v>40.910332582639491</c:v>
                </c:pt>
                <c:pt idx="40">
                  <c:v>40.086712727261521</c:v>
                </c:pt>
                <c:pt idx="41">
                  <c:v>39.220893769065434</c:v>
                </c:pt>
                <c:pt idx="42">
                  <c:v>38.485443060841909</c:v>
                </c:pt>
                <c:pt idx="43">
                  <c:v>37.661699039867635</c:v>
                </c:pt>
                <c:pt idx="44">
                  <c:v>36.695767663527242</c:v>
                </c:pt>
                <c:pt idx="45">
                  <c:v>35.706267814793286</c:v>
                </c:pt>
                <c:pt idx="46">
                  <c:v>34.748342945463243</c:v>
                </c:pt>
                <c:pt idx="47">
                  <c:v>33.935752967690604</c:v>
                </c:pt>
                <c:pt idx="48">
                  <c:v>33.215588748334895</c:v>
                </c:pt>
                <c:pt idx="49">
                  <c:v>32.382600466403787</c:v>
                </c:pt>
                <c:pt idx="50">
                  <c:v>31.652873110515774</c:v>
                </c:pt>
                <c:pt idx="51">
                  <c:v>31.503412527511699</c:v>
                </c:pt>
                <c:pt idx="52">
                  <c:v>30.854672863144661</c:v>
                </c:pt>
                <c:pt idx="53">
                  <c:v>30.011591848844912</c:v>
                </c:pt>
                <c:pt idx="54">
                  <c:v>29.099728532020155</c:v>
                </c:pt>
                <c:pt idx="55">
                  <c:v>27.978740502915425</c:v>
                </c:pt>
                <c:pt idx="56">
                  <c:v>26.989359829110256</c:v>
                </c:pt>
                <c:pt idx="57">
                  <c:v>26.02384170602075</c:v>
                </c:pt>
                <c:pt idx="58">
                  <c:v>25.03876889513614</c:v>
                </c:pt>
                <c:pt idx="59">
                  <c:v>23.99160710741419</c:v>
                </c:pt>
                <c:pt idx="60">
                  <c:v>22.86536791615125</c:v>
                </c:pt>
                <c:pt idx="61">
                  <c:v>22.787536381641122</c:v>
                </c:pt>
                <c:pt idx="62">
                  <c:v>23.640302801285898</c:v>
                </c:pt>
                <c:pt idx="63">
                  <c:v>23.005456062922235</c:v>
                </c:pt>
                <c:pt idx="64">
                  <c:v>22.443743768107218</c:v>
                </c:pt>
                <c:pt idx="65">
                  <c:v>21.905470154571383</c:v>
                </c:pt>
                <c:pt idx="66">
                  <c:v>21.249100725170592</c:v>
                </c:pt>
                <c:pt idx="67">
                  <c:v>20.478813500872562</c:v>
                </c:pt>
                <c:pt idx="68">
                  <c:v>19.596274239121797</c:v>
                </c:pt>
                <c:pt idx="69">
                  <c:v>18.901630649969842</c:v>
                </c:pt>
                <c:pt idx="70">
                  <c:v>18.177754549676244</c:v>
                </c:pt>
                <c:pt idx="71">
                  <c:v>17.251564063088445</c:v>
                </c:pt>
                <c:pt idx="72">
                  <c:v>16.44400275059019</c:v>
                </c:pt>
                <c:pt idx="73">
                  <c:v>15.734889365006483</c:v>
                </c:pt>
                <c:pt idx="74">
                  <c:v>15.054375865196524</c:v>
                </c:pt>
                <c:pt idx="75">
                  <c:v>14.364029549026707</c:v>
                </c:pt>
                <c:pt idx="76">
                  <c:v>13.69460090596216</c:v>
                </c:pt>
                <c:pt idx="77">
                  <c:v>12.952253659105248</c:v>
                </c:pt>
                <c:pt idx="78">
                  <c:v>12.276303770305731</c:v>
                </c:pt>
                <c:pt idx="79">
                  <c:v>11.603928500459855</c:v>
                </c:pt>
                <c:pt idx="80">
                  <c:v>10.89942839932727</c:v>
                </c:pt>
                <c:pt idx="81">
                  <c:v>10.53268074868177</c:v>
                </c:pt>
                <c:pt idx="82">
                  <c:v>10.18349643493031</c:v>
                </c:pt>
                <c:pt idx="83">
                  <c:v>9.8606034874055446</c:v>
                </c:pt>
                <c:pt idx="84">
                  <c:v>9.502025386527631</c:v>
                </c:pt>
                <c:pt idx="85">
                  <c:v>9.1670105552986119</c:v>
                </c:pt>
                <c:pt idx="86">
                  <c:v>8.912855806290068</c:v>
                </c:pt>
                <c:pt idx="87">
                  <c:v>6.208914233810984</c:v>
                </c:pt>
                <c:pt idx="88">
                  <c:v>8.0835587765657895</c:v>
                </c:pt>
                <c:pt idx="89">
                  <c:v>7.9972414856831602</c:v>
                </c:pt>
                <c:pt idx="90">
                  <c:v>7.6500237609492618</c:v>
                </c:pt>
                <c:pt idx="91">
                  <c:v>2.2772083348790746</c:v>
                </c:pt>
                <c:pt idx="92">
                  <c:v>2.0263327977559964</c:v>
                </c:pt>
                <c:pt idx="93">
                  <c:v>1.8860414322402668</c:v>
                </c:pt>
                <c:pt idx="94">
                  <c:v>1.8963581528896054</c:v>
                </c:pt>
                <c:pt idx="95">
                  <c:v>1.9166239963212277</c:v>
                </c:pt>
                <c:pt idx="96">
                  <c:v>1.9125852897432305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8-654C-8E6C-29BEC5F8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988832"/>
        <c:axId val="-2024953040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1270" cmpd="sng">
              <a:noFill/>
            </a:ln>
            <a:effectLst/>
          </c:spPr>
          <c:invertIfNegative val="0"/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7'!$DO$8:$DO$150</c:f>
              <c:numCache>
                <c:formatCode>0.000</c:formatCode>
                <c:ptCount val="143"/>
                <c:pt idx="7">
                  <c:v>0</c:v>
                </c:pt>
                <c:pt idx="8">
                  <c:v>0.36268803037551534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8.1574799764776849</c:v>
                </c:pt>
                <c:pt idx="13">
                  <c:v>6.5162384771741166</c:v>
                </c:pt>
                <c:pt idx="14">
                  <c:v>3.2014429515642462</c:v>
                </c:pt>
                <c:pt idx="15">
                  <c:v>6.8534984339631544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0.92537886043572382</c:v>
                </c:pt>
                <c:pt idx="25">
                  <c:v>2.3808955268888465</c:v>
                </c:pt>
                <c:pt idx="26">
                  <c:v>0.42599317592068253</c:v>
                </c:pt>
                <c:pt idx="27">
                  <c:v>3.6482586144728635</c:v>
                </c:pt>
                <c:pt idx="28">
                  <c:v>1.6206524602762684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4.2916076039018725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1.5792090587183072</c:v>
                </c:pt>
                <c:pt idx="39">
                  <c:v>0</c:v>
                </c:pt>
                <c:pt idx="40">
                  <c:v>0</c:v>
                </c:pt>
                <c:pt idx="41">
                  <c:v>1.57772416296873</c:v>
                </c:pt>
                <c:pt idx="42">
                  <c:v>6.9254989939017308</c:v>
                </c:pt>
                <c:pt idx="43">
                  <c:v>0</c:v>
                </c:pt>
                <c:pt idx="44">
                  <c:v>1.3067902662916442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9.3969355713796645</c:v>
                </c:pt>
                <c:pt idx="51">
                  <c:v>6.9863233805904779</c:v>
                </c:pt>
                <c:pt idx="52">
                  <c:v>16.097245078811994</c:v>
                </c:pt>
                <c:pt idx="53">
                  <c:v>9.7227949656754156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13.483354588803905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8.3037574933210969</c:v>
                </c:pt>
                <c:pt idx="62">
                  <c:v>11.522947874667796</c:v>
                </c:pt>
                <c:pt idx="63">
                  <c:v>13.810387361771003</c:v>
                </c:pt>
                <c:pt idx="64">
                  <c:v>14.437285123303171</c:v>
                </c:pt>
                <c:pt idx="65">
                  <c:v>0</c:v>
                </c:pt>
                <c:pt idx="66">
                  <c:v>9.1026833309909883</c:v>
                </c:pt>
                <c:pt idx="67">
                  <c:v>8.2995788578815954</c:v>
                </c:pt>
                <c:pt idx="68">
                  <c:v>0</c:v>
                </c:pt>
                <c:pt idx="69">
                  <c:v>11.686280536415058</c:v>
                </c:pt>
                <c:pt idx="70">
                  <c:v>13.760184674586281</c:v>
                </c:pt>
                <c:pt idx="71">
                  <c:v>5.4103295296762788</c:v>
                </c:pt>
                <c:pt idx="72">
                  <c:v>13.308505930479413</c:v>
                </c:pt>
                <c:pt idx="73">
                  <c:v>17.057817450112427</c:v>
                </c:pt>
                <c:pt idx="74">
                  <c:v>24.252721700779265</c:v>
                </c:pt>
                <c:pt idx="75">
                  <c:v>3.7690467560666052</c:v>
                </c:pt>
                <c:pt idx="76">
                  <c:v>30.791227516205161</c:v>
                </c:pt>
                <c:pt idx="77">
                  <c:v>27.745385459518719</c:v>
                </c:pt>
                <c:pt idx="78">
                  <c:v>0</c:v>
                </c:pt>
                <c:pt idx="79">
                  <c:v>12.629171028978629</c:v>
                </c:pt>
                <c:pt idx="80">
                  <c:v>16.312630873273044</c:v>
                </c:pt>
                <c:pt idx="81">
                  <c:v>14.733484005983478</c:v>
                </c:pt>
                <c:pt idx="82">
                  <c:v>13.191008056452766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12.383474272270622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 formatCode="General">
                  <c:v>3.154210715539238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A8-654C-8E6C-29BEC5F8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024960784"/>
        <c:axId val="-2029122656"/>
      </c:barChart>
      <c:scatterChart>
        <c:scatterStyle val="lineMarker"/>
        <c:varyColors val="0"/>
        <c:ser>
          <c:idx val="3"/>
          <c:order val="2"/>
          <c:spPr>
            <a:ln w="47625">
              <a:noFill/>
            </a:ln>
          </c:spPr>
          <c:marker>
            <c:symbol val="none"/>
          </c:marker>
          <c:xVal>
            <c:numRef>
              <c:f>'Figs 6 &amp; 7'!$BV$8:$BV$18</c:f>
              <c:numCache>
                <c:formatCode>m/d/yy</c:formatCode>
                <c:ptCount val="11"/>
                <c:pt idx="0">
                  <c:v>41705</c:v>
                </c:pt>
                <c:pt idx="1">
                  <c:v>41705</c:v>
                </c:pt>
                <c:pt idx="2">
                  <c:v>41705</c:v>
                </c:pt>
                <c:pt idx="3">
                  <c:v>41705</c:v>
                </c:pt>
                <c:pt idx="4">
                  <c:v>41705</c:v>
                </c:pt>
                <c:pt idx="5">
                  <c:v>41705</c:v>
                </c:pt>
                <c:pt idx="6">
                  <c:v>41705</c:v>
                </c:pt>
                <c:pt idx="7">
                  <c:v>41705</c:v>
                </c:pt>
                <c:pt idx="8">
                  <c:v>41705</c:v>
                </c:pt>
                <c:pt idx="9">
                  <c:v>41705</c:v>
                </c:pt>
                <c:pt idx="10">
                  <c:v>41705</c:v>
                </c:pt>
              </c:numCache>
            </c:numRef>
          </c:xVal>
          <c:yVal>
            <c:numRef>
              <c:f>'Figs 6 &amp; 7'!$BU$8:$BU$18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8-654C-8E6C-29BEC5F8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988832"/>
        <c:axId val="-2024953040"/>
      </c:scatterChart>
      <c:valAx>
        <c:axId val="-2029122656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CA" sz="1600"/>
                  <a:t>Evapotranspiration (mm/d)</a:t>
                </a:r>
              </a:p>
            </c:rich>
          </c:tx>
          <c:layout>
            <c:manualLayout>
              <c:xMode val="edge"/>
              <c:yMode val="edge"/>
              <c:x val="5.9518859236574002E-3"/>
              <c:y val="0.102652694247262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4960784"/>
        <c:crosses val="autoZero"/>
        <c:crossBetween val="between"/>
      </c:valAx>
      <c:dateAx>
        <c:axId val="-2024960784"/>
        <c:scaling>
          <c:orientation val="minMax"/>
          <c:max val="41690"/>
        </c:scaling>
        <c:delete val="1"/>
        <c:axPos val="b"/>
        <c:numFmt formatCode="mm/dd" sourceLinked="0"/>
        <c:majorTickMark val="in"/>
        <c:minorTickMark val="none"/>
        <c:tickLblPos val="nextTo"/>
        <c:crossAx val="-2029122656"/>
        <c:crosses val="autoZero"/>
        <c:auto val="1"/>
        <c:lblOffset val="100"/>
        <c:baseTimeUnit val="days"/>
        <c:majorUnit val="28"/>
        <c:majorTimeUnit val="days"/>
        <c:minorUnit val="14"/>
        <c:minorTimeUnit val="days"/>
      </c:dateAx>
      <c:valAx>
        <c:axId val="-2024953040"/>
        <c:scaling>
          <c:orientation val="minMax"/>
          <c:max val="6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CA" sz="1600"/>
                  <a:t>Tank Surface Area (Ha)</a:t>
                </a:r>
              </a:p>
            </c:rich>
          </c:tx>
          <c:layout>
            <c:manualLayout>
              <c:xMode val="edge"/>
              <c:yMode val="edge"/>
              <c:x val="0.89472368401847002"/>
              <c:y val="0.115477346803349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44988832"/>
        <c:crosses val="max"/>
        <c:crossBetween val="between"/>
      </c:valAx>
      <c:dateAx>
        <c:axId val="-2044988832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024953040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73476632551001"/>
          <c:y val="4.1183015388222402E-2"/>
          <c:w val="0.68075876687646797"/>
          <c:h val="0.76957428625928204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47625">
              <a:noFill/>
            </a:ln>
            <a:effectLst/>
          </c:spP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7'!$DH$7:$DH$103</c:f>
              <c:numCache>
                <c:formatCode>0.000</c:formatCode>
                <c:ptCount val="97"/>
                <c:pt idx="0" formatCode="General">
                  <c:v>0</c:v>
                </c:pt>
                <c:pt idx="1">
                  <c:v>9.1406617200152738</c:v>
                </c:pt>
                <c:pt idx="2">
                  <c:v>9.1406617200152738</c:v>
                </c:pt>
                <c:pt idx="3">
                  <c:v>9.1406617200152738</c:v>
                </c:pt>
                <c:pt idx="4">
                  <c:v>10.474548976641474</c:v>
                </c:pt>
                <c:pt idx="5">
                  <c:v>11.56305948925881</c:v>
                </c:pt>
                <c:pt idx="6">
                  <c:v>12.270115242268812</c:v>
                </c:pt>
                <c:pt idx="7">
                  <c:v>13.830376114268779</c:v>
                </c:pt>
                <c:pt idx="8">
                  <c:v>14.441410030668528</c:v>
                </c:pt>
                <c:pt idx="9">
                  <c:v>14.231334371914095</c:v>
                </c:pt>
                <c:pt idx="10">
                  <c:v>13.915217238096252</c:v>
                </c:pt>
                <c:pt idx="11">
                  <c:v>13.599416407751772</c:v>
                </c:pt>
                <c:pt idx="12">
                  <c:v>13.269966154766699</c:v>
                </c:pt>
                <c:pt idx="13">
                  <c:v>12.9387744675794</c:v>
                </c:pt>
                <c:pt idx="14">
                  <c:v>12.699406286404667</c:v>
                </c:pt>
                <c:pt idx="15">
                  <c:v>12.384472811572905</c:v>
                </c:pt>
                <c:pt idx="16">
                  <c:v>12.107026414495675</c:v>
                </c:pt>
                <c:pt idx="17">
                  <c:v>11.94504367006264</c:v>
                </c:pt>
                <c:pt idx="18">
                  <c:v>11.682210577398035</c:v>
                </c:pt>
                <c:pt idx="19">
                  <c:v>11.388130045951577</c:v>
                </c:pt>
                <c:pt idx="20">
                  <c:v>11.099703707205753</c:v>
                </c:pt>
                <c:pt idx="21">
                  <c:v>10.91483616547097</c:v>
                </c:pt>
                <c:pt idx="22">
                  <c:v>10.72346991310844</c:v>
                </c:pt>
                <c:pt idx="23">
                  <c:v>10.706992066270562</c:v>
                </c:pt>
                <c:pt idx="24">
                  <c:v>10.573748717009765</c:v>
                </c:pt>
                <c:pt idx="25">
                  <c:v>10.385760446823554</c:v>
                </c:pt>
                <c:pt idx="26">
                  <c:v>10.176225914628679</c:v>
                </c:pt>
                <c:pt idx="27">
                  <c:v>9.9559080431165672</c:v>
                </c:pt>
                <c:pt idx="28">
                  <c:v>9.7472133513332704</c:v>
                </c:pt>
                <c:pt idx="29">
                  <c:v>9.530203658419893</c:v>
                </c:pt>
                <c:pt idx="30">
                  <c:v>9.310819615439927</c:v>
                </c:pt>
                <c:pt idx="31">
                  <c:v>9.1313677200865495</c:v>
                </c:pt>
                <c:pt idx="32">
                  <c:v>8.9704501397048801</c:v>
                </c:pt>
                <c:pt idx="33">
                  <c:v>8.7803656083444519</c:v>
                </c:pt>
                <c:pt idx="34">
                  <c:v>8.5684153624727042</c:v>
                </c:pt>
                <c:pt idx="35">
                  <c:v>8.3633453268840583</c:v>
                </c:pt>
                <c:pt idx="36">
                  <c:v>12.680987806528073</c:v>
                </c:pt>
                <c:pt idx="37">
                  <c:v>12.639056860542118</c:v>
                </c:pt>
                <c:pt idx="38">
                  <c:v>12.414364996844403</c:v>
                </c:pt>
                <c:pt idx="39">
                  <c:v>12.176813112263801</c:v>
                </c:pt>
                <c:pt idx="40">
                  <c:v>11.93741237622784</c:v>
                </c:pt>
                <c:pt idx="41">
                  <c:v>11.716529023967182</c:v>
                </c:pt>
                <c:pt idx="42">
                  <c:v>11.476824433292842</c:v>
                </c:pt>
                <c:pt idx="43">
                  <c:v>11.243520992574638</c:v>
                </c:pt>
                <c:pt idx="44">
                  <c:v>11.020613739595813</c:v>
                </c:pt>
                <c:pt idx="45">
                  <c:v>10.817735491152931</c:v>
                </c:pt>
                <c:pt idx="46">
                  <c:v>10.560097437538763</c:v>
                </c:pt>
                <c:pt idx="47">
                  <c:v>10.317282332188201</c:v>
                </c:pt>
                <c:pt idx="48">
                  <c:v>10.13050927837134</c:v>
                </c:pt>
                <c:pt idx="49">
                  <c:v>9.9816966118984425</c:v>
                </c:pt>
                <c:pt idx="50">
                  <c:v>9.7842835378023718</c:v>
                </c:pt>
                <c:pt idx="51">
                  <c:v>9.7097059367664897</c:v>
                </c:pt>
                <c:pt idx="52">
                  <c:v>9.5617864694241046</c:v>
                </c:pt>
                <c:pt idx="53">
                  <c:v>9.3981943618657375</c:v>
                </c:pt>
                <c:pt idx="54">
                  <c:v>9.2050013670390971</c:v>
                </c:pt>
                <c:pt idx="55">
                  <c:v>8.9985441626155271</c:v>
                </c:pt>
                <c:pt idx="56">
                  <c:v>8.8464998621104733</c:v>
                </c:pt>
                <c:pt idx="57">
                  <c:v>8.7099640942482903</c:v>
                </c:pt>
                <c:pt idx="58">
                  <c:v>8.5145324322079841</c:v>
                </c:pt>
                <c:pt idx="59">
                  <c:v>8.3394982264264605</c:v>
                </c:pt>
                <c:pt idx="60">
                  <c:v>8.1283460745780065</c:v>
                </c:pt>
                <c:pt idx="61">
                  <c:v>8.0910914141853318</c:v>
                </c:pt>
                <c:pt idx="62">
                  <c:v>8.1551499003104055</c:v>
                </c:pt>
                <c:pt idx="63">
                  <c:v>8.063353182889955</c:v>
                </c:pt>
                <c:pt idx="64">
                  <c:v>7.9118137595055433</c:v>
                </c:pt>
                <c:pt idx="65">
                  <c:v>7.7774116912050104</c:v>
                </c:pt>
                <c:pt idx="66">
                  <c:v>7.5994053821532317</c:v>
                </c:pt>
                <c:pt idx="67">
                  <c:v>7.4177754242322944</c:v>
                </c:pt>
                <c:pt idx="68">
                  <c:v>7.2255803248609594</c:v>
                </c:pt>
                <c:pt idx="69">
                  <c:v>7.0234187279230227</c:v>
                </c:pt>
                <c:pt idx="70">
                  <c:v>6.8188819510811056</c:v>
                </c:pt>
                <c:pt idx="71">
                  <c:v>6.6685099432119461</c:v>
                </c:pt>
                <c:pt idx="72">
                  <c:v>6.5248163033948643</c:v>
                </c:pt>
                <c:pt idx="73">
                  <c:v>6.3709293218585952</c:v>
                </c:pt>
                <c:pt idx="74">
                  <c:v>6.2266857149561696</c:v>
                </c:pt>
                <c:pt idx="75">
                  <c:v>6.0649917599183896</c:v>
                </c:pt>
                <c:pt idx="76">
                  <c:v>5.8965972842538461</c:v>
                </c:pt>
                <c:pt idx="77">
                  <c:v>5.7297821265892956</c:v>
                </c:pt>
                <c:pt idx="78">
                  <c:v>5.5756829335070917</c:v>
                </c:pt>
                <c:pt idx="79">
                  <c:v>5.3978316965056958</c:v>
                </c:pt>
                <c:pt idx="80">
                  <c:v>5.2022450150795247</c:v>
                </c:pt>
                <c:pt idx="81">
                  <c:v>5.0703923479969006</c:v>
                </c:pt>
                <c:pt idx="82">
                  <c:v>4.9516272679751863</c:v>
                </c:pt>
                <c:pt idx="83">
                  <c:v>4.840655409649794</c:v>
                </c:pt>
                <c:pt idx="84">
                  <c:v>4.7297993879199316</c:v>
                </c:pt>
                <c:pt idx="85">
                  <c:v>4.6115059824753599</c:v>
                </c:pt>
                <c:pt idx="86">
                  <c:v>4.4935055529652006</c:v>
                </c:pt>
                <c:pt idx="87">
                  <c:v>4.4033074659239322</c:v>
                </c:pt>
                <c:pt idx="88">
                  <c:v>4.3422669197206387</c:v>
                </c:pt>
                <c:pt idx="89">
                  <c:v>4.2458776899379771</c:v>
                </c:pt>
                <c:pt idx="90">
                  <c:v>4.1479263788799416</c:v>
                </c:pt>
                <c:pt idx="91">
                  <c:v>4.0429703001468296</c:v>
                </c:pt>
                <c:pt idx="92">
                  <c:v>3.9410439585451242</c:v>
                </c:pt>
                <c:pt idx="93">
                  <c:v>3.8442238869605032</c:v>
                </c:pt>
                <c:pt idx="94">
                  <c:v>3.7563587287391087</c:v>
                </c:pt>
                <c:pt idx="95">
                  <c:v>3.6571565301389857</c:v>
                </c:pt>
                <c:pt idx="96">
                  <c:v>3.5682437209028555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748-9893-40A2C415E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121840"/>
        <c:axId val="-2025127008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9525">
              <a:noFill/>
            </a:ln>
            <a:effectLst/>
          </c:spPr>
          <c:invertIfNegative val="0"/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7'!$DP$8:$DP$150</c:f>
              <c:numCache>
                <c:formatCode>0.000</c:formatCode>
                <c:ptCount val="143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1.6887504467992542</c:v>
                </c:pt>
                <c:pt idx="11">
                  <c:v>0</c:v>
                </c:pt>
                <c:pt idx="12">
                  <c:v>4.2030799764784099</c:v>
                </c:pt>
                <c:pt idx="13">
                  <c:v>3.6034384771757466</c:v>
                </c:pt>
                <c:pt idx="14">
                  <c:v>0</c:v>
                </c:pt>
                <c:pt idx="15">
                  <c:v>11.346298433963051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5.0402986589625653</c:v>
                </c:pt>
                <c:pt idx="24">
                  <c:v>5.6613788604352955</c:v>
                </c:pt>
                <c:pt idx="25">
                  <c:v>6.188895526890108</c:v>
                </c:pt>
                <c:pt idx="26">
                  <c:v>7.5539931759207191</c:v>
                </c:pt>
                <c:pt idx="27">
                  <c:v>7.8442586144738957</c:v>
                </c:pt>
                <c:pt idx="28">
                  <c:v>4.6524602732578302E-3</c:v>
                </c:pt>
                <c:pt idx="29">
                  <c:v>0</c:v>
                </c:pt>
                <c:pt idx="30">
                  <c:v>2.780979865256934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12.153314319317943</c:v>
                </c:pt>
                <c:pt idx="36">
                  <c:v>0</c:v>
                </c:pt>
                <c:pt idx="37">
                  <c:v>4.2123406031483945</c:v>
                </c:pt>
                <c:pt idx="38">
                  <c:v>3.8272090587171892</c:v>
                </c:pt>
                <c:pt idx="39">
                  <c:v>7.132870580264461</c:v>
                </c:pt>
                <c:pt idx="40">
                  <c:v>2.8092003349409556</c:v>
                </c:pt>
                <c:pt idx="41">
                  <c:v>5.2137241629681075</c:v>
                </c:pt>
                <c:pt idx="42">
                  <c:v>9.3294989939024795</c:v>
                </c:pt>
                <c:pt idx="43">
                  <c:v>13.895291497385088</c:v>
                </c:pt>
                <c:pt idx="44">
                  <c:v>11.11479026629215</c:v>
                </c:pt>
                <c:pt idx="45">
                  <c:v>7.1554007823775168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16.596935571378616</c:v>
                </c:pt>
                <c:pt idx="51">
                  <c:v>16.610323380591087</c:v>
                </c:pt>
                <c:pt idx="52">
                  <c:v>15.493245078811579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12.195354588802685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14.554957493320128</c:v>
                </c:pt>
                <c:pt idx="62">
                  <c:v>3.9285478746677871</c:v>
                </c:pt>
                <c:pt idx="63">
                  <c:v>12.663187361772099</c:v>
                </c:pt>
                <c:pt idx="64">
                  <c:v>13.525285123301622</c:v>
                </c:pt>
                <c:pt idx="65">
                  <c:v>14.468652460272553</c:v>
                </c:pt>
                <c:pt idx="66">
                  <c:v>15.090683330991119</c:v>
                </c:pt>
                <c:pt idx="67">
                  <c:v>7.0955788578822832</c:v>
                </c:pt>
                <c:pt idx="68">
                  <c:v>9.2154252790094624</c:v>
                </c:pt>
                <c:pt idx="69">
                  <c:v>9.0622805364149173</c:v>
                </c:pt>
                <c:pt idx="70">
                  <c:v>12.540184674585673</c:v>
                </c:pt>
                <c:pt idx="71">
                  <c:v>9.9903295296771475</c:v>
                </c:pt>
                <c:pt idx="72">
                  <c:v>17.664505930479095</c:v>
                </c:pt>
                <c:pt idx="73">
                  <c:v>17.653817450112772</c:v>
                </c:pt>
                <c:pt idx="74">
                  <c:v>11.728721700777518</c:v>
                </c:pt>
                <c:pt idx="75">
                  <c:v>19.70104675606888</c:v>
                </c:pt>
                <c:pt idx="76">
                  <c:v>15.262427516204667</c:v>
                </c:pt>
                <c:pt idx="77">
                  <c:v>18.109385459518514</c:v>
                </c:pt>
                <c:pt idx="78">
                  <c:v>0</c:v>
                </c:pt>
                <c:pt idx="79">
                  <c:v>15.281971028978772</c:v>
                </c:pt>
                <c:pt idx="80">
                  <c:v>13.323830873272335</c:v>
                </c:pt>
                <c:pt idx="81">
                  <c:v>11.420684005983734</c:v>
                </c:pt>
                <c:pt idx="82">
                  <c:v>11.205408056452439</c:v>
                </c:pt>
                <c:pt idx="83">
                  <c:v>13.061583332266572</c:v>
                </c:pt>
                <c:pt idx="84">
                  <c:v>0</c:v>
                </c:pt>
                <c:pt idx="85">
                  <c:v>0</c:v>
                </c:pt>
                <c:pt idx="86">
                  <c:v>7.4837460849106519</c:v>
                </c:pt>
                <c:pt idx="87">
                  <c:v>9.3234742722727209</c:v>
                </c:pt>
                <c:pt idx="88">
                  <c:v>13.839948657046063</c:v>
                </c:pt>
                <c:pt idx="89">
                  <c:v>13.614249440703031</c:v>
                </c:pt>
                <c:pt idx="90">
                  <c:v>15.953481096353215</c:v>
                </c:pt>
                <c:pt idx="91">
                  <c:v>7.7981514541754375</c:v>
                </c:pt>
                <c:pt idx="92">
                  <c:v>11.759186911778848</c:v>
                </c:pt>
                <c:pt idx="93">
                  <c:v>12.611849440699752</c:v>
                </c:pt>
                <c:pt idx="94">
                  <c:v>9.4565681219066207</c:v>
                </c:pt>
                <c:pt idx="95">
                  <c:v>13.381338475899401</c:v>
                </c:pt>
                <c:pt idx="96">
                  <c:v>15.417573153674288</c:v>
                </c:pt>
                <c:pt idx="97">
                  <c:v>14.785910067371479</c:v>
                </c:pt>
                <c:pt idx="98">
                  <c:v>16.495987921710203</c:v>
                </c:pt>
                <c:pt idx="99">
                  <c:v>16.136101006097725</c:v>
                </c:pt>
                <c:pt idx="100">
                  <c:v>0</c:v>
                </c:pt>
                <c:pt idx="101">
                  <c:v>18.655224946623996</c:v>
                </c:pt>
                <c:pt idx="102">
                  <c:v>25.209225391509463</c:v>
                </c:pt>
                <c:pt idx="103">
                  <c:v>22.977540268209083</c:v>
                </c:pt>
                <c:pt idx="104">
                  <c:v>26.000933221684733</c:v>
                </c:pt>
                <c:pt idx="105">
                  <c:v>23.474618679930327</c:v>
                </c:pt>
                <c:pt idx="106">
                  <c:v>23.815822034438195</c:v>
                </c:pt>
                <c:pt idx="107">
                  <c:v>22.005268277617805</c:v>
                </c:pt>
                <c:pt idx="108">
                  <c:v>22.627311948658786</c:v>
                </c:pt>
                <c:pt idx="109">
                  <c:v>20.53112279457439</c:v>
                </c:pt>
                <c:pt idx="110">
                  <c:v>19.516049689221365</c:v>
                </c:pt>
                <c:pt idx="111">
                  <c:v>21.898907406258836</c:v>
                </c:pt>
                <c:pt idx="112">
                  <c:v>26.730051567954249</c:v>
                </c:pt>
                <c:pt idx="113">
                  <c:v>27.088173936054545</c:v>
                </c:pt>
                <c:pt idx="114">
                  <c:v>34.315410851027757</c:v>
                </c:pt>
                <c:pt idx="115">
                  <c:v>31.555981542515646</c:v>
                </c:pt>
                <c:pt idx="116">
                  <c:v>30.276353021487413</c:v>
                </c:pt>
                <c:pt idx="117">
                  <c:v>31.392048433325726</c:v>
                </c:pt>
                <c:pt idx="118">
                  <c:v>30.741943512776437</c:v>
                </c:pt>
                <c:pt idx="119">
                  <c:v>30.365507272795533</c:v>
                </c:pt>
                <c:pt idx="120">
                  <c:v>21.336724516321581</c:v>
                </c:pt>
                <c:pt idx="121">
                  <c:v>21.760065634916785</c:v>
                </c:pt>
                <c:pt idx="122">
                  <c:v>12.432146309908308</c:v>
                </c:pt>
                <c:pt idx="123">
                  <c:v>17.282935796374645</c:v>
                </c:pt>
                <c:pt idx="124">
                  <c:v>18.630550669241156</c:v>
                </c:pt>
                <c:pt idx="125">
                  <c:v>16.547108162563234</c:v>
                </c:pt>
                <c:pt idx="126">
                  <c:v>14.108460903008968</c:v>
                </c:pt>
                <c:pt idx="127">
                  <c:v>23.427004162969347</c:v>
                </c:pt>
                <c:pt idx="128">
                  <c:v>20.375106440817209</c:v>
                </c:pt>
                <c:pt idx="129">
                  <c:v>18.799248993264282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79-4748-9893-40A2C415E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025130208"/>
        <c:axId val="-2025135584"/>
      </c:barChart>
      <c:scatterChart>
        <c:scatterStyle val="lineMarker"/>
        <c:varyColors val="0"/>
        <c:ser>
          <c:idx val="3"/>
          <c:order val="2"/>
          <c:spPr>
            <a:ln w="47625">
              <a:noFill/>
            </a:ln>
          </c:spPr>
          <c:marker>
            <c:symbol val="none"/>
          </c:marker>
          <c:xVal>
            <c:numRef>
              <c:f>'Figs 6 &amp; 7'!$BV$8:$BV$18</c:f>
              <c:numCache>
                <c:formatCode>m/d/yy</c:formatCode>
                <c:ptCount val="11"/>
                <c:pt idx="0">
                  <c:v>41705</c:v>
                </c:pt>
                <c:pt idx="1">
                  <c:v>41705</c:v>
                </c:pt>
                <c:pt idx="2">
                  <c:v>41705</c:v>
                </c:pt>
                <c:pt idx="3">
                  <c:v>41705</c:v>
                </c:pt>
                <c:pt idx="4">
                  <c:v>41705</c:v>
                </c:pt>
                <c:pt idx="5">
                  <c:v>41705</c:v>
                </c:pt>
                <c:pt idx="6">
                  <c:v>41705</c:v>
                </c:pt>
                <c:pt idx="7">
                  <c:v>41705</c:v>
                </c:pt>
                <c:pt idx="8">
                  <c:v>41705</c:v>
                </c:pt>
                <c:pt idx="9">
                  <c:v>41705</c:v>
                </c:pt>
                <c:pt idx="10">
                  <c:v>41705</c:v>
                </c:pt>
              </c:numCache>
            </c:numRef>
          </c:xVal>
          <c:yVal>
            <c:numRef>
              <c:f>'Figs 6 &amp; 7'!$BU$8:$BU$18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79-4748-9893-40A2C415E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121840"/>
        <c:axId val="-2025127008"/>
      </c:scatterChart>
      <c:valAx>
        <c:axId val="-2025135584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CA" sz="1600"/>
                  <a:t>Evapotranspiration (cm/d)</a:t>
                </a:r>
              </a:p>
            </c:rich>
          </c:tx>
          <c:layout>
            <c:manualLayout>
              <c:xMode val="edge"/>
              <c:yMode val="edge"/>
              <c:x val="5.9518859236574002E-3"/>
              <c:y val="0.102652694247262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5130208"/>
        <c:crosses val="autoZero"/>
        <c:crossBetween val="between"/>
      </c:valAx>
      <c:dateAx>
        <c:axId val="-2025130208"/>
        <c:scaling>
          <c:orientation val="minMax"/>
          <c:max val="41690"/>
        </c:scaling>
        <c:delete val="0"/>
        <c:axPos val="b"/>
        <c:numFmt formatCode="mm/dd" sourceLinked="0"/>
        <c:majorTickMark val="in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 rot="0"/>
          <a:lstStyle/>
          <a:p>
            <a:pPr>
              <a:defRPr sz="1400" b="1"/>
            </a:pPr>
            <a:endParaRPr lang="en-US"/>
          </a:p>
        </c:txPr>
        <c:crossAx val="-2025135584"/>
        <c:crosses val="autoZero"/>
        <c:auto val="1"/>
        <c:lblOffset val="100"/>
        <c:baseTimeUnit val="days"/>
        <c:majorUnit val="28"/>
        <c:majorTimeUnit val="days"/>
        <c:minorUnit val="14"/>
        <c:minorTimeUnit val="days"/>
      </c:dateAx>
      <c:valAx>
        <c:axId val="-2025127008"/>
        <c:scaling>
          <c:orientation val="minMax"/>
          <c:max val="21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CA" sz="1600"/>
                  <a:t>Tank Surface Area (Ha)</a:t>
                </a:r>
              </a:p>
            </c:rich>
          </c:tx>
          <c:layout>
            <c:manualLayout>
              <c:xMode val="edge"/>
              <c:yMode val="edge"/>
              <c:x val="0.89472368401847002"/>
              <c:y val="0.115477346803349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5121840"/>
        <c:crosses val="max"/>
        <c:crossBetween val="between"/>
      </c:valAx>
      <c:dateAx>
        <c:axId val="-202512184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025127008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73476632551001"/>
          <c:y val="4.1183015388222402E-2"/>
          <c:w val="0.68075876687646797"/>
          <c:h val="0.76957428625928204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47625">
              <a:noFill/>
            </a:ln>
            <a:effectLst/>
          </c:spPr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7'!$DI$7:$DI$103</c:f>
              <c:numCache>
                <c:formatCode>0.000</c:formatCode>
                <c:ptCount val="97"/>
                <c:pt idx="0" formatCode="General">
                  <c:v>0</c:v>
                </c:pt>
                <c:pt idx="1">
                  <c:v>12.568729497438397</c:v>
                </c:pt>
                <c:pt idx="2">
                  <c:v>12.568729497438397</c:v>
                </c:pt>
                <c:pt idx="3">
                  <c:v>12.568729497438397</c:v>
                </c:pt>
                <c:pt idx="4">
                  <c:v>16.67827740515148</c:v>
                </c:pt>
                <c:pt idx="5">
                  <c:v>17.734384750325638</c:v>
                </c:pt>
                <c:pt idx="6">
                  <c:v>19.020776020799023</c:v>
                </c:pt>
                <c:pt idx="7">
                  <c:v>21.441558927759768</c:v>
                </c:pt>
                <c:pt idx="8">
                  <c:v>17.756342791401636</c:v>
                </c:pt>
                <c:pt idx="9">
                  <c:v>17.921168957613887</c:v>
                </c:pt>
                <c:pt idx="10">
                  <c:v>17.306083137466274</c:v>
                </c:pt>
                <c:pt idx="11">
                  <c:v>16.762735937784512</c:v>
                </c:pt>
                <c:pt idx="12">
                  <c:v>16.443514206189434</c:v>
                </c:pt>
                <c:pt idx="13">
                  <c:v>16.274043365066206</c:v>
                </c:pt>
                <c:pt idx="14">
                  <c:v>15.91371921793551</c:v>
                </c:pt>
                <c:pt idx="15">
                  <c:v>15.52263760077158</c:v>
                </c:pt>
                <c:pt idx="16">
                  <c:v>15.110906686651358</c:v>
                </c:pt>
                <c:pt idx="17">
                  <c:v>14.827582904752926</c:v>
                </c:pt>
                <c:pt idx="18">
                  <c:v>14.53621309254331</c:v>
                </c:pt>
                <c:pt idx="19">
                  <c:v>14.259382054918509</c:v>
                </c:pt>
                <c:pt idx="20">
                  <c:v>13.950234414611661</c:v>
                </c:pt>
                <c:pt idx="21">
                  <c:v>13.684179517772311</c:v>
                </c:pt>
                <c:pt idx="22">
                  <c:v>13.408270040917277</c:v>
                </c:pt>
                <c:pt idx="23">
                  <c:v>13.594347196668462</c:v>
                </c:pt>
                <c:pt idx="24">
                  <c:v>13.460368374474015</c:v>
                </c:pt>
                <c:pt idx="25">
                  <c:v>13.14746802810955</c:v>
                </c:pt>
                <c:pt idx="26">
                  <c:v>12.830678043330082</c:v>
                </c:pt>
                <c:pt idx="27">
                  <c:v>12.487782621366398</c:v>
                </c:pt>
                <c:pt idx="28">
                  <c:v>12.164620334936068</c:v>
                </c:pt>
                <c:pt idx="29">
                  <c:v>11.792984648162259</c:v>
                </c:pt>
                <c:pt idx="30">
                  <c:v>11.279438263515738</c:v>
                </c:pt>
                <c:pt idx="31">
                  <c:v>10.991715605031246</c:v>
                </c:pt>
                <c:pt idx="32">
                  <c:v>10.75055218023217</c:v>
                </c:pt>
                <c:pt idx="33">
                  <c:v>10.446783923845516</c:v>
                </c:pt>
                <c:pt idx="34">
                  <c:v>10.008325688498388</c:v>
                </c:pt>
                <c:pt idx="35">
                  <c:v>9.5573728815575425</c:v>
                </c:pt>
                <c:pt idx="36">
                  <c:v>16.946882005007982</c:v>
                </c:pt>
                <c:pt idx="37">
                  <c:v>16.642562141235512</c:v>
                </c:pt>
                <c:pt idx="38">
                  <c:v>16.252393321749089</c:v>
                </c:pt>
                <c:pt idx="39">
                  <c:v>15.839251702303153</c:v>
                </c:pt>
                <c:pt idx="40">
                  <c:v>15.424300466454378</c:v>
                </c:pt>
                <c:pt idx="41">
                  <c:v>15.004752212363913</c:v>
                </c:pt>
                <c:pt idx="42">
                  <c:v>14.600990470580847</c:v>
                </c:pt>
                <c:pt idx="43">
                  <c:v>14.220623967918151</c:v>
                </c:pt>
                <c:pt idx="44">
                  <c:v>13.84814470354525</c:v>
                </c:pt>
                <c:pt idx="45">
                  <c:v>13.472560855821305</c:v>
                </c:pt>
                <c:pt idx="46">
                  <c:v>13.071175426875227</c:v>
                </c:pt>
                <c:pt idx="47">
                  <c:v>12.692262641047995</c:v>
                </c:pt>
                <c:pt idx="48">
                  <c:v>12.319091850528888</c:v>
                </c:pt>
                <c:pt idx="49">
                  <c:v>11.965139511254248</c:v>
                </c:pt>
                <c:pt idx="50">
                  <c:v>11.613572083749787</c:v>
                </c:pt>
                <c:pt idx="51">
                  <c:v>11.478000981471109</c:v>
                </c:pt>
                <c:pt idx="52">
                  <c:v>11.193182808740652</c:v>
                </c:pt>
                <c:pt idx="53">
                  <c:v>10.865401909486174</c:v>
                </c:pt>
                <c:pt idx="54">
                  <c:v>10.485831509030568</c:v>
                </c:pt>
                <c:pt idx="55">
                  <c:v>10.027492862307211</c:v>
                </c:pt>
                <c:pt idx="56">
                  <c:v>9.6091824586844243</c:v>
                </c:pt>
                <c:pt idx="57">
                  <c:v>9.1988170806339333</c:v>
                </c:pt>
                <c:pt idx="58">
                  <c:v>8.8075874695683574</c:v>
                </c:pt>
                <c:pt idx="59">
                  <c:v>8.4119968197370465</c:v>
                </c:pt>
                <c:pt idx="60">
                  <c:v>8.0170515907154023</c:v>
                </c:pt>
                <c:pt idx="61">
                  <c:v>7.9835514125695335</c:v>
                </c:pt>
                <c:pt idx="62">
                  <c:v>8.2300700530499764</c:v>
                </c:pt>
                <c:pt idx="63">
                  <c:v>7.999544354238437</c:v>
                </c:pt>
                <c:pt idx="64">
                  <c:v>7.7450032731014185</c:v>
                </c:pt>
                <c:pt idx="65">
                  <c:v>7.4440164430167233</c:v>
                </c:pt>
                <c:pt idx="66">
                  <c:v>7.0800467308594932</c:v>
                </c:pt>
                <c:pt idx="67">
                  <c:v>6.7390023637171907</c:v>
                </c:pt>
                <c:pt idx="68">
                  <c:v>6.2489245039029528</c:v>
                </c:pt>
                <c:pt idx="69">
                  <c:v>5.5392823162519846</c:v>
                </c:pt>
                <c:pt idx="70">
                  <c:v>4.8910012969009626</c:v>
                </c:pt>
                <c:pt idx="71">
                  <c:v>4.4077915518915409</c:v>
                </c:pt>
                <c:pt idx="72">
                  <c:v>4.0526296158566426</c:v>
                </c:pt>
                <c:pt idx="73">
                  <c:v>3.7638306771710304</c:v>
                </c:pt>
                <c:pt idx="74">
                  <c:v>3.5792110681105695</c:v>
                </c:pt>
                <c:pt idx="75">
                  <c:v>3.4636377273115651</c:v>
                </c:pt>
                <c:pt idx="76">
                  <c:v>3.3568370266413354</c:v>
                </c:pt>
                <c:pt idx="77">
                  <c:v>3.253856489352466</c:v>
                </c:pt>
                <c:pt idx="78">
                  <c:v>3.0712754300120237</c:v>
                </c:pt>
                <c:pt idx="79">
                  <c:v>2.8688364523050347</c:v>
                </c:pt>
                <c:pt idx="80">
                  <c:v>2.6820278391719996</c:v>
                </c:pt>
                <c:pt idx="81">
                  <c:v>2.5225702820888301</c:v>
                </c:pt>
                <c:pt idx="82">
                  <c:v>2.3979924710149061</c:v>
                </c:pt>
                <c:pt idx="83">
                  <c:v>2.2888476483113789</c:v>
                </c:pt>
                <c:pt idx="84">
                  <c:v>2.2078050491996462</c:v>
                </c:pt>
                <c:pt idx="85">
                  <c:v>2.1249126713246604</c:v>
                </c:pt>
                <c:pt idx="86">
                  <c:v>2.0442996922775061</c:v>
                </c:pt>
                <c:pt idx="87">
                  <c:v>1.9761578374170774</c:v>
                </c:pt>
                <c:pt idx="88">
                  <c:v>1.9629334554875872</c:v>
                </c:pt>
                <c:pt idx="89">
                  <c:v>1.8995783249573752</c:v>
                </c:pt>
                <c:pt idx="90">
                  <c:v>1.8347085971215795</c:v>
                </c:pt>
                <c:pt idx="91">
                  <c:v>1.77643120438623</c:v>
                </c:pt>
                <c:pt idx="92">
                  <c:v>1.715929073302626</c:v>
                </c:pt>
                <c:pt idx="93">
                  <c:v>1.6499822544435911</c:v>
                </c:pt>
                <c:pt idx="94">
                  <c:v>1.5883346149700894</c:v>
                </c:pt>
                <c:pt idx="95">
                  <c:v>1.5275388515853003</c:v>
                </c:pt>
                <c:pt idx="96">
                  <c:v>1.4672808817642398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9-8943-9FB2-626570C9A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069632"/>
        <c:axId val="-2025074800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9525">
              <a:noFill/>
            </a:ln>
            <a:effectLst/>
          </c:spPr>
          <c:invertIfNegative val="0"/>
          <c:cat>
            <c:numRef>
              <c:f>'Figs 6 &amp; 7'!$BE$8:$BE$150</c:f>
              <c:numCache>
                <c:formatCode>m/d/yy</c:formatCode>
                <c:ptCount val="143"/>
                <c:pt idx="0">
                  <c:v>41563</c:v>
                </c:pt>
                <c:pt idx="1">
                  <c:v>41564</c:v>
                </c:pt>
                <c:pt idx="2">
                  <c:v>41565</c:v>
                </c:pt>
                <c:pt idx="3">
                  <c:v>41566</c:v>
                </c:pt>
                <c:pt idx="4">
                  <c:v>41567</c:v>
                </c:pt>
                <c:pt idx="5">
                  <c:v>41568</c:v>
                </c:pt>
                <c:pt idx="6">
                  <c:v>41569</c:v>
                </c:pt>
                <c:pt idx="7">
                  <c:v>41570</c:v>
                </c:pt>
                <c:pt idx="8">
                  <c:v>41571</c:v>
                </c:pt>
                <c:pt idx="9">
                  <c:v>41572</c:v>
                </c:pt>
                <c:pt idx="10">
                  <c:v>41573</c:v>
                </c:pt>
                <c:pt idx="11">
                  <c:v>41574</c:v>
                </c:pt>
                <c:pt idx="12">
                  <c:v>41575</c:v>
                </c:pt>
                <c:pt idx="13">
                  <c:v>41576</c:v>
                </c:pt>
                <c:pt idx="14">
                  <c:v>41577</c:v>
                </c:pt>
                <c:pt idx="15">
                  <c:v>41578</c:v>
                </c:pt>
                <c:pt idx="16">
                  <c:v>41579</c:v>
                </c:pt>
                <c:pt idx="17">
                  <c:v>41580</c:v>
                </c:pt>
                <c:pt idx="18">
                  <c:v>41581</c:v>
                </c:pt>
                <c:pt idx="19">
                  <c:v>41582</c:v>
                </c:pt>
                <c:pt idx="20">
                  <c:v>41583</c:v>
                </c:pt>
                <c:pt idx="21">
                  <c:v>41584</c:v>
                </c:pt>
                <c:pt idx="22">
                  <c:v>41585</c:v>
                </c:pt>
                <c:pt idx="23">
                  <c:v>41586</c:v>
                </c:pt>
                <c:pt idx="24">
                  <c:v>41587</c:v>
                </c:pt>
                <c:pt idx="25">
                  <c:v>41588</c:v>
                </c:pt>
                <c:pt idx="26">
                  <c:v>41589</c:v>
                </c:pt>
                <c:pt idx="27">
                  <c:v>41590</c:v>
                </c:pt>
                <c:pt idx="28">
                  <c:v>41591</c:v>
                </c:pt>
                <c:pt idx="29">
                  <c:v>41592</c:v>
                </c:pt>
                <c:pt idx="30">
                  <c:v>41593</c:v>
                </c:pt>
                <c:pt idx="31">
                  <c:v>41594</c:v>
                </c:pt>
                <c:pt idx="32">
                  <c:v>41595</c:v>
                </c:pt>
                <c:pt idx="33">
                  <c:v>41596</c:v>
                </c:pt>
                <c:pt idx="34">
                  <c:v>41597</c:v>
                </c:pt>
                <c:pt idx="35">
                  <c:v>41598</c:v>
                </c:pt>
                <c:pt idx="36">
                  <c:v>41599</c:v>
                </c:pt>
                <c:pt idx="37">
                  <c:v>41600</c:v>
                </c:pt>
                <c:pt idx="38">
                  <c:v>41601</c:v>
                </c:pt>
                <c:pt idx="39">
                  <c:v>41602</c:v>
                </c:pt>
                <c:pt idx="40">
                  <c:v>41603</c:v>
                </c:pt>
                <c:pt idx="41">
                  <c:v>41604</c:v>
                </c:pt>
                <c:pt idx="42">
                  <c:v>41605</c:v>
                </c:pt>
                <c:pt idx="43">
                  <c:v>41606</c:v>
                </c:pt>
                <c:pt idx="44">
                  <c:v>41607</c:v>
                </c:pt>
                <c:pt idx="45">
                  <c:v>41608</c:v>
                </c:pt>
                <c:pt idx="46">
                  <c:v>41609</c:v>
                </c:pt>
                <c:pt idx="47">
                  <c:v>41610</c:v>
                </c:pt>
                <c:pt idx="48">
                  <c:v>41611</c:v>
                </c:pt>
                <c:pt idx="49">
                  <c:v>41612</c:v>
                </c:pt>
                <c:pt idx="50">
                  <c:v>41613</c:v>
                </c:pt>
                <c:pt idx="51">
                  <c:v>41614</c:v>
                </c:pt>
                <c:pt idx="52">
                  <c:v>41615</c:v>
                </c:pt>
                <c:pt idx="53">
                  <c:v>41616</c:v>
                </c:pt>
                <c:pt idx="54">
                  <c:v>41617</c:v>
                </c:pt>
                <c:pt idx="55">
                  <c:v>41618</c:v>
                </c:pt>
                <c:pt idx="56">
                  <c:v>41619</c:v>
                </c:pt>
                <c:pt idx="57">
                  <c:v>41620</c:v>
                </c:pt>
                <c:pt idx="58">
                  <c:v>41621</c:v>
                </c:pt>
                <c:pt idx="59">
                  <c:v>41622</c:v>
                </c:pt>
                <c:pt idx="60">
                  <c:v>41623</c:v>
                </c:pt>
                <c:pt idx="61">
                  <c:v>41624</c:v>
                </c:pt>
                <c:pt idx="62">
                  <c:v>41625</c:v>
                </c:pt>
                <c:pt idx="63">
                  <c:v>41626</c:v>
                </c:pt>
                <c:pt idx="64">
                  <c:v>41627</c:v>
                </c:pt>
                <c:pt idx="65">
                  <c:v>41628</c:v>
                </c:pt>
                <c:pt idx="66">
                  <c:v>41629</c:v>
                </c:pt>
                <c:pt idx="67">
                  <c:v>41630</c:v>
                </c:pt>
                <c:pt idx="68">
                  <c:v>41631</c:v>
                </c:pt>
                <c:pt idx="69">
                  <c:v>41632</c:v>
                </c:pt>
                <c:pt idx="70">
                  <c:v>41633</c:v>
                </c:pt>
                <c:pt idx="71">
                  <c:v>41634</c:v>
                </c:pt>
                <c:pt idx="72">
                  <c:v>41635</c:v>
                </c:pt>
                <c:pt idx="73">
                  <c:v>41636</c:v>
                </c:pt>
                <c:pt idx="74">
                  <c:v>41637</c:v>
                </c:pt>
                <c:pt idx="75">
                  <c:v>41638</c:v>
                </c:pt>
                <c:pt idx="76">
                  <c:v>41639</c:v>
                </c:pt>
                <c:pt idx="77">
                  <c:v>41640</c:v>
                </c:pt>
                <c:pt idx="78">
                  <c:v>41641</c:v>
                </c:pt>
                <c:pt idx="79">
                  <c:v>41642</c:v>
                </c:pt>
                <c:pt idx="80">
                  <c:v>41643</c:v>
                </c:pt>
                <c:pt idx="81">
                  <c:v>41644</c:v>
                </c:pt>
                <c:pt idx="82">
                  <c:v>41645</c:v>
                </c:pt>
                <c:pt idx="83">
                  <c:v>41646</c:v>
                </c:pt>
                <c:pt idx="84">
                  <c:v>41647</c:v>
                </c:pt>
                <c:pt idx="85">
                  <c:v>41648</c:v>
                </c:pt>
                <c:pt idx="86">
                  <c:v>41649</c:v>
                </c:pt>
                <c:pt idx="87">
                  <c:v>41650</c:v>
                </c:pt>
                <c:pt idx="88">
                  <c:v>41651</c:v>
                </c:pt>
                <c:pt idx="89">
                  <c:v>41652</c:v>
                </c:pt>
                <c:pt idx="90">
                  <c:v>41653</c:v>
                </c:pt>
                <c:pt idx="91">
                  <c:v>41654</c:v>
                </c:pt>
                <c:pt idx="92">
                  <c:v>41655</c:v>
                </c:pt>
                <c:pt idx="93">
                  <c:v>41656</c:v>
                </c:pt>
                <c:pt idx="94">
                  <c:v>41657</c:v>
                </c:pt>
                <c:pt idx="95">
                  <c:v>41658</c:v>
                </c:pt>
                <c:pt idx="96">
                  <c:v>41659</c:v>
                </c:pt>
                <c:pt idx="97">
                  <c:v>41660</c:v>
                </c:pt>
                <c:pt idx="98">
                  <c:v>41661</c:v>
                </c:pt>
                <c:pt idx="99">
                  <c:v>41662</c:v>
                </c:pt>
                <c:pt idx="100">
                  <c:v>41663</c:v>
                </c:pt>
                <c:pt idx="101">
                  <c:v>41664</c:v>
                </c:pt>
                <c:pt idx="102">
                  <c:v>41665</c:v>
                </c:pt>
                <c:pt idx="103">
                  <c:v>41666</c:v>
                </c:pt>
                <c:pt idx="104">
                  <c:v>41667</c:v>
                </c:pt>
                <c:pt idx="105">
                  <c:v>41668</c:v>
                </c:pt>
                <c:pt idx="106">
                  <c:v>41669</c:v>
                </c:pt>
                <c:pt idx="107">
                  <c:v>41670</c:v>
                </c:pt>
                <c:pt idx="108">
                  <c:v>41671</c:v>
                </c:pt>
                <c:pt idx="109">
                  <c:v>41672</c:v>
                </c:pt>
                <c:pt idx="110">
                  <c:v>41673</c:v>
                </c:pt>
                <c:pt idx="111">
                  <c:v>41674</c:v>
                </c:pt>
                <c:pt idx="112">
                  <c:v>41675</c:v>
                </c:pt>
                <c:pt idx="113">
                  <c:v>41676</c:v>
                </c:pt>
                <c:pt idx="114">
                  <c:v>41677</c:v>
                </c:pt>
                <c:pt idx="115">
                  <c:v>41678</c:v>
                </c:pt>
                <c:pt idx="116">
                  <c:v>41679</c:v>
                </c:pt>
                <c:pt idx="117">
                  <c:v>41680</c:v>
                </c:pt>
                <c:pt idx="118">
                  <c:v>41681</c:v>
                </c:pt>
                <c:pt idx="119">
                  <c:v>41682</c:v>
                </c:pt>
                <c:pt idx="120">
                  <c:v>41683</c:v>
                </c:pt>
                <c:pt idx="121">
                  <c:v>41684</c:v>
                </c:pt>
                <c:pt idx="122">
                  <c:v>41685</c:v>
                </c:pt>
                <c:pt idx="123">
                  <c:v>41686</c:v>
                </c:pt>
                <c:pt idx="124">
                  <c:v>41687</c:v>
                </c:pt>
                <c:pt idx="125">
                  <c:v>41688</c:v>
                </c:pt>
                <c:pt idx="126">
                  <c:v>41689</c:v>
                </c:pt>
                <c:pt idx="127">
                  <c:v>41690</c:v>
                </c:pt>
                <c:pt idx="128">
                  <c:v>41691</c:v>
                </c:pt>
                <c:pt idx="129">
                  <c:v>41692</c:v>
                </c:pt>
                <c:pt idx="130">
                  <c:v>41693</c:v>
                </c:pt>
                <c:pt idx="131">
                  <c:v>41694</c:v>
                </c:pt>
                <c:pt idx="132">
                  <c:v>41695</c:v>
                </c:pt>
                <c:pt idx="133">
                  <c:v>41696</c:v>
                </c:pt>
                <c:pt idx="134">
                  <c:v>41697</c:v>
                </c:pt>
                <c:pt idx="135">
                  <c:v>41698</c:v>
                </c:pt>
                <c:pt idx="136">
                  <c:v>41699</c:v>
                </c:pt>
                <c:pt idx="137">
                  <c:v>41700</c:v>
                </c:pt>
                <c:pt idx="138">
                  <c:v>41701</c:v>
                </c:pt>
                <c:pt idx="139">
                  <c:v>41702</c:v>
                </c:pt>
                <c:pt idx="140">
                  <c:v>41703</c:v>
                </c:pt>
                <c:pt idx="141">
                  <c:v>41704</c:v>
                </c:pt>
                <c:pt idx="142">
                  <c:v>41705</c:v>
                </c:pt>
              </c:numCache>
            </c:numRef>
          </c:cat>
          <c:val>
            <c:numRef>
              <c:f>'Figs 6 &amp; 7'!$DQ$8:$DQ$150</c:f>
              <c:numCache>
                <c:formatCode>0.000</c:formatCode>
                <c:ptCount val="143"/>
                <c:pt idx="7">
                  <c:v>0</c:v>
                </c:pt>
                <c:pt idx="8">
                  <c:v>15.042688030376436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2.7514384771756539</c:v>
                </c:pt>
                <c:pt idx="14">
                  <c:v>0</c:v>
                </c:pt>
                <c:pt idx="15">
                  <c:v>7.59829843396441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12.369898658961242</c:v>
                </c:pt>
                <c:pt idx="24">
                  <c:v>5.2013788604359839</c:v>
                </c:pt>
                <c:pt idx="25">
                  <c:v>0</c:v>
                </c:pt>
                <c:pt idx="26">
                  <c:v>0</c:v>
                </c:pt>
                <c:pt idx="27">
                  <c:v>10.37225861447331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6.5813143193162098</c:v>
                </c:pt>
                <c:pt idx="36">
                  <c:v>4.0445553737367224</c:v>
                </c:pt>
                <c:pt idx="37">
                  <c:v>1.728340603148526</c:v>
                </c:pt>
                <c:pt idx="38">
                  <c:v>4.6552090587178085</c:v>
                </c:pt>
                <c:pt idx="39">
                  <c:v>4.0048705802657603</c:v>
                </c:pt>
                <c:pt idx="40">
                  <c:v>5.509200334939397</c:v>
                </c:pt>
                <c:pt idx="41">
                  <c:v>5.7777241629686156</c:v>
                </c:pt>
                <c:pt idx="42">
                  <c:v>4.1454989939010067</c:v>
                </c:pt>
                <c:pt idx="43">
                  <c:v>7.4352914973878192</c:v>
                </c:pt>
                <c:pt idx="44">
                  <c:v>5.7107902662902976</c:v>
                </c:pt>
                <c:pt idx="45">
                  <c:v>3.2554007823772313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1.0969355713787632</c:v>
                </c:pt>
                <c:pt idx="51">
                  <c:v>11.594323380590479</c:v>
                </c:pt>
                <c:pt idx="52">
                  <c:v>7.6772450788113789</c:v>
                </c:pt>
                <c:pt idx="53">
                  <c:v>2.7027949656750971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7.3589574933196662</c:v>
                </c:pt>
                <c:pt idx="62">
                  <c:v>8.2125478746686031</c:v>
                </c:pt>
                <c:pt idx="63">
                  <c:v>17.883187361770002</c:v>
                </c:pt>
                <c:pt idx="64">
                  <c:v>7.0852851233031089</c:v>
                </c:pt>
                <c:pt idx="65">
                  <c:v>22.720652460272973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3.978280536415868</c:v>
                </c:pt>
                <c:pt idx="70">
                  <c:v>10.648184674585512</c:v>
                </c:pt>
                <c:pt idx="71">
                  <c:v>0</c:v>
                </c:pt>
                <c:pt idx="72">
                  <c:v>2.9565059304785568</c:v>
                </c:pt>
                <c:pt idx="73">
                  <c:v>9.5226174501123531</c:v>
                </c:pt>
                <c:pt idx="74">
                  <c:v>8.7271217007780315</c:v>
                </c:pt>
                <c:pt idx="75">
                  <c:v>23.713846756068769</c:v>
                </c:pt>
                <c:pt idx="76">
                  <c:v>3.7304275162048706</c:v>
                </c:pt>
                <c:pt idx="77">
                  <c:v>9.2053854595191922</c:v>
                </c:pt>
                <c:pt idx="78">
                  <c:v>0</c:v>
                </c:pt>
                <c:pt idx="79">
                  <c:v>9.7579710289792665</c:v>
                </c:pt>
                <c:pt idx="80">
                  <c:v>5.8918308732713793</c:v>
                </c:pt>
                <c:pt idx="81">
                  <c:v>4.5846840059827842</c:v>
                </c:pt>
                <c:pt idx="82">
                  <c:v>7.533408056452739</c:v>
                </c:pt>
                <c:pt idx="83">
                  <c:v>12.271983332267576</c:v>
                </c:pt>
                <c:pt idx="84">
                  <c:v>0</c:v>
                </c:pt>
                <c:pt idx="85">
                  <c:v>0</c:v>
                </c:pt>
                <c:pt idx="86">
                  <c:v>2.5341460849097008</c:v>
                </c:pt>
                <c:pt idx="87">
                  <c:v>7.3394742722733124</c:v>
                </c:pt>
                <c:pt idx="88">
                  <c:v>9.4511486570443868</c:v>
                </c:pt>
                <c:pt idx="89">
                  <c:v>10.941449440702966</c:v>
                </c:pt>
                <c:pt idx="90">
                  <c:v>10.951881096353251</c:v>
                </c:pt>
                <c:pt idx="91">
                  <c:v>11.755751454175529</c:v>
                </c:pt>
                <c:pt idx="92">
                  <c:v>12.848786911779529</c:v>
                </c:pt>
                <c:pt idx="93">
                  <c:v>12.15104944069877</c:v>
                </c:pt>
                <c:pt idx="94">
                  <c:v>7.8573681219076752</c:v>
                </c:pt>
                <c:pt idx="95">
                  <c:v>10.786138475899754</c:v>
                </c:pt>
                <c:pt idx="96">
                  <c:v>13.708773153674553</c:v>
                </c:pt>
                <c:pt idx="97">
                  <c:v>14.297110067370578</c:v>
                </c:pt>
                <c:pt idx="98">
                  <c:v>16.873587921710001</c:v>
                </c:pt>
                <c:pt idx="99">
                  <c:v>18.272101006097348</c:v>
                </c:pt>
                <c:pt idx="100">
                  <c:v>0</c:v>
                </c:pt>
                <c:pt idx="101">
                  <c:v>17.965624946624459</c:v>
                </c:pt>
                <c:pt idx="102">
                  <c:v>12.031625391510129</c:v>
                </c:pt>
                <c:pt idx="103">
                  <c:v>23.84698026820751</c:v>
                </c:pt>
                <c:pt idx="104">
                  <c:v>24.025237221687178</c:v>
                </c:pt>
                <c:pt idx="105">
                  <c:v>22.093498679927443</c:v>
                </c:pt>
                <c:pt idx="106">
                  <c:v>22.839822034439617</c:v>
                </c:pt>
                <c:pt idx="107">
                  <c:v>25.674068277617366</c:v>
                </c:pt>
                <c:pt idx="108">
                  <c:v>23.666991948659057</c:v>
                </c:pt>
                <c:pt idx="109">
                  <c:v>22.447602794573775</c:v>
                </c:pt>
                <c:pt idx="110">
                  <c:v>24.660369689221945</c:v>
                </c:pt>
                <c:pt idx="111">
                  <c:v>25.104507406260439</c:v>
                </c:pt>
                <c:pt idx="112">
                  <c:v>23.417571567951242</c:v>
                </c:pt>
                <c:pt idx="113">
                  <c:v>25.667373936056435</c:v>
                </c:pt>
                <c:pt idx="114">
                  <c:v>31.523410851028224</c:v>
                </c:pt>
                <c:pt idx="115">
                  <c:v>29.202381542514914</c:v>
                </c:pt>
                <c:pt idx="116">
                  <c:v>28.959553021486037</c:v>
                </c:pt>
                <c:pt idx="117">
                  <c:v>28.892848433326304</c:v>
                </c:pt>
                <c:pt idx="118">
                  <c:v>33.235543512776346</c:v>
                </c:pt>
                <c:pt idx="119">
                  <c:v>34.904707272796308</c:v>
                </c:pt>
                <c:pt idx="120">
                  <c:v>25.896724516320674</c:v>
                </c:pt>
                <c:pt idx="121">
                  <c:v>25.041345634917327</c:v>
                </c:pt>
                <c:pt idx="122">
                  <c:v>8.8417463099085332</c:v>
                </c:pt>
                <c:pt idx="123">
                  <c:v>27.338935796375893</c:v>
                </c:pt>
                <c:pt idx="124">
                  <c:v>26.838550669241648</c:v>
                </c:pt>
                <c:pt idx="125">
                  <c:v>18.288708162561718</c:v>
                </c:pt>
                <c:pt idx="126">
                  <c:v>15.962668903008906</c:v>
                </c:pt>
                <c:pt idx="127">
                  <c:v>36.305724162968616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B9-8943-9FB2-626570C9A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025078000"/>
        <c:axId val="-2025083376"/>
      </c:barChart>
      <c:scatterChart>
        <c:scatterStyle val="lineMarker"/>
        <c:varyColors val="0"/>
        <c:ser>
          <c:idx val="3"/>
          <c:order val="2"/>
          <c:spPr>
            <a:ln w="47625">
              <a:noFill/>
            </a:ln>
          </c:spPr>
          <c:marker>
            <c:symbol val="none"/>
          </c:marker>
          <c:xVal>
            <c:numRef>
              <c:f>'Figs 6 &amp; 7'!$BV$8:$BV$18</c:f>
              <c:numCache>
                <c:formatCode>m/d/yy</c:formatCode>
                <c:ptCount val="11"/>
                <c:pt idx="0">
                  <c:v>41705</c:v>
                </c:pt>
                <c:pt idx="1">
                  <c:v>41705</c:v>
                </c:pt>
                <c:pt idx="2">
                  <c:v>41705</c:v>
                </c:pt>
                <c:pt idx="3">
                  <c:v>41705</c:v>
                </c:pt>
                <c:pt idx="4">
                  <c:v>41705</c:v>
                </c:pt>
                <c:pt idx="5">
                  <c:v>41705</c:v>
                </c:pt>
                <c:pt idx="6">
                  <c:v>41705</c:v>
                </c:pt>
                <c:pt idx="7">
                  <c:v>41705</c:v>
                </c:pt>
                <c:pt idx="8">
                  <c:v>41705</c:v>
                </c:pt>
                <c:pt idx="9">
                  <c:v>41705</c:v>
                </c:pt>
                <c:pt idx="10">
                  <c:v>41705</c:v>
                </c:pt>
              </c:numCache>
            </c:numRef>
          </c:xVal>
          <c:yVal>
            <c:numRef>
              <c:f>'Figs 6 &amp; 7'!$BU$8:$BU$18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B9-8943-9FB2-626570C9A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069632"/>
        <c:axId val="-2025074800"/>
      </c:scatterChart>
      <c:valAx>
        <c:axId val="-2025083376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CA" sz="1600"/>
                  <a:t>Evapotranspiration (mm/d)</a:t>
                </a:r>
              </a:p>
            </c:rich>
          </c:tx>
          <c:layout>
            <c:manualLayout>
              <c:xMode val="edge"/>
              <c:yMode val="edge"/>
              <c:x val="5.9518859236574002E-3"/>
              <c:y val="0.102652694247262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5078000"/>
        <c:crosses val="autoZero"/>
        <c:crossBetween val="between"/>
      </c:valAx>
      <c:dateAx>
        <c:axId val="-2025078000"/>
        <c:scaling>
          <c:orientation val="minMax"/>
          <c:max val="41690"/>
        </c:scaling>
        <c:delete val="0"/>
        <c:axPos val="b"/>
        <c:numFmt formatCode="mm/dd" sourceLinked="0"/>
        <c:majorTickMark val="in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 rot="0"/>
          <a:lstStyle/>
          <a:p>
            <a:pPr>
              <a:defRPr sz="1400" b="1"/>
            </a:pPr>
            <a:endParaRPr lang="en-US"/>
          </a:p>
        </c:txPr>
        <c:crossAx val="-2025083376"/>
        <c:crosses val="autoZero"/>
        <c:auto val="1"/>
        <c:lblOffset val="100"/>
        <c:baseTimeUnit val="days"/>
        <c:majorUnit val="28"/>
        <c:majorTimeUnit val="days"/>
        <c:minorUnit val="14"/>
        <c:minorTimeUnit val="days"/>
      </c:dateAx>
      <c:valAx>
        <c:axId val="-2025074800"/>
        <c:scaling>
          <c:orientation val="minMax"/>
          <c:max val="22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CA" sz="1600"/>
                  <a:t>Tank Surface Area (Ha)</a:t>
                </a:r>
              </a:p>
            </c:rich>
          </c:tx>
          <c:layout>
            <c:manualLayout>
              <c:xMode val="edge"/>
              <c:yMode val="edge"/>
              <c:x val="0.89472368401847002"/>
              <c:y val="0.11547734680334901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5069632"/>
        <c:crosses val="max"/>
        <c:crossBetween val="between"/>
      </c:valAx>
      <c:dateAx>
        <c:axId val="-2025069632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025074800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031196581196598E-2"/>
          <c:y val="4.1182992883824002E-2"/>
          <c:w val="0.87293247863247903"/>
          <c:h val="0.77854029960998705"/>
        </c:manualLayout>
      </c:layout>
      <c:areaChart>
        <c:grouping val="stacke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effectLst/>
          </c:spPr>
          <c:cat>
            <c:strRef>
              <c:f>'Figs 6 &amp; 7'!$CN$28:$CN$124</c:f>
              <c:strCache>
                <c:ptCount val="97"/>
                <c:pt idx="0">
                  <c:v>10-16</c:v>
                </c:pt>
                <c:pt idx="1">
                  <c:v>10-17</c:v>
                </c:pt>
                <c:pt idx="2">
                  <c:v>10-18</c:v>
                </c:pt>
                <c:pt idx="3">
                  <c:v>10-19</c:v>
                </c:pt>
                <c:pt idx="4">
                  <c:v>10-20</c:v>
                </c:pt>
                <c:pt idx="5">
                  <c:v>10-21</c:v>
                </c:pt>
                <c:pt idx="6">
                  <c:v>10-22</c:v>
                </c:pt>
                <c:pt idx="7">
                  <c:v>10-23</c:v>
                </c:pt>
                <c:pt idx="8">
                  <c:v>10-24</c:v>
                </c:pt>
                <c:pt idx="9">
                  <c:v>10-25</c:v>
                </c:pt>
                <c:pt idx="10">
                  <c:v>10-26</c:v>
                </c:pt>
                <c:pt idx="11">
                  <c:v>10-27</c:v>
                </c:pt>
                <c:pt idx="12">
                  <c:v>10-28</c:v>
                </c:pt>
                <c:pt idx="13">
                  <c:v>10-29</c:v>
                </c:pt>
                <c:pt idx="14">
                  <c:v>10-30</c:v>
                </c:pt>
                <c:pt idx="15">
                  <c:v>10-31</c:v>
                </c:pt>
                <c:pt idx="16">
                  <c:v>11-1</c:v>
                </c:pt>
                <c:pt idx="17">
                  <c:v>11-2</c:v>
                </c:pt>
                <c:pt idx="18">
                  <c:v>11-3</c:v>
                </c:pt>
                <c:pt idx="19">
                  <c:v>11-4</c:v>
                </c:pt>
                <c:pt idx="20">
                  <c:v>11-5</c:v>
                </c:pt>
                <c:pt idx="21">
                  <c:v>11-6</c:v>
                </c:pt>
                <c:pt idx="22">
                  <c:v>11-7</c:v>
                </c:pt>
                <c:pt idx="23">
                  <c:v>11-8</c:v>
                </c:pt>
                <c:pt idx="24">
                  <c:v>11-9</c:v>
                </c:pt>
                <c:pt idx="25">
                  <c:v>11-10</c:v>
                </c:pt>
                <c:pt idx="26">
                  <c:v>11-11</c:v>
                </c:pt>
                <c:pt idx="27">
                  <c:v>11-12</c:v>
                </c:pt>
                <c:pt idx="28">
                  <c:v>11-13</c:v>
                </c:pt>
                <c:pt idx="29">
                  <c:v>11-14</c:v>
                </c:pt>
                <c:pt idx="30">
                  <c:v>11-15</c:v>
                </c:pt>
                <c:pt idx="31">
                  <c:v>11-16</c:v>
                </c:pt>
                <c:pt idx="32">
                  <c:v>11-17</c:v>
                </c:pt>
                <c:pt idx="33">
                  <c:v>11-18</c:v>
                </c:pt>
                <c:pt idx="34">
                  <c:v>11-19</c:v>
                </c:pt>
                <c:pt idx="35">
                  <c:v>11-20</c:v>
                </c:pt>
                <c:pt idx="36">
                  <c:v>11-21</c:v>
                </c:pt>
                <c:pt idx="37">
                  <c:v>11-22</c:v>
                </c:pt>
                <c:pt idx="38">
                  <c:v>11-23</c:v>
                </c:pt>
                <c:pt idx="39">
                  <c:v>11-24</c:v>
                </c:pt>
                <c:pt idx="40">
                  <c:v>11-25</c:v>
                </c:pt>
                <c:pt idx="41">
                  <c:v>11-26</c:v>
                </c:pt>
                <c:pt idx="42">
                  <c:v>11-27</c:v>
                </c:pt>
                <c:pt idx="43">
                  <c:v>11-28</c:v>
                </c:pt>
                <c:pt idx="44">
                  <c:v>11-29</c:v>
                </c:pt>
                <c:pt idx="45">
                  <c:v>11-30</c:v>
                </c:pt>
                <c:pt idx="46">
                  <c:v>12-1</c:v>
                </c:pt>
                <c:pt idx="47">
                  <c:v>12-2</c:v>
                </c:pt>
                <c:pt idx="48">
                  <c:v>12-3</c:v>
                </c:pt>
                <c:pt idx="49">
                  <c:v>12-4</c:v>
                </c:pt>
                <c:pt idx="50">
                  <c:v>12-5</c:v>
                </c:pt>
                <c:pt idx="51">
                  <c:v>12-6</c:v>
                </c:pt>
                <c:pt idx="52">
                  <c:v>12-7</c:v>
                </c:pt>
                <c:pt idx="53">
                  <c:v>12-8</c:v>
                </c:pt>
                <c:pt idx="54">
                  <c:v>12-9</c:v>
                </c:pt>
                <c:pt idx="55">
                  <c:v>12-10</c:v>
                </c:pt>
                <c:pt idx="56">
                  <c:v>12-11</c:v>
                </c:pt>
                <c:pt idx="57">
                  <c:v>12-12</c:v>
                </c:pt>
                <c:pt idx="58">
                  <c:v>12-13</c:v>
                </c:pt>
                <c:pt idx="59">
                  <c:v>12-14</c:v>
                </c:pt>
                <c:pt idx="60">
                  <c:v>12-15</c:v>
                </c:pt>
                <c:pt idx="61">
                  <c:v>12-16</c:v>
                </c:pt>
                <c:pt idx="62">
                  <c:v>12-17</c:v>
                </c:pt>
                <c:pt idx="63">
                  <c:v>12-18</c:v>
                </c:pt>
                <c:pt idx="64">
                  <c:v>12-19</c:v>
                </c:pt>
                <c:pt idx="65">
                  <c:v>12-20</c:v>
                </c:pt>
                <c:pt idx="66">
                  <c:v>12-21</c:v>
                </c:pt>
                <c:pt idx="67">
                  <c:v>12-22</c:v>
                </c:pt>
                <c:pt idx="68">
                  <c:v>12-23</c:v>
                </c:pt>
                <c:pt idx="69">
                  <c:v>12-24</c:v>
                </c:pt>
                <c:pt idx="70">
                  <c:v>12-25</c:v>
                </c:pt>
                <c:pt idx="71">
                  <c:v>12-26</c:v>
                </c:pt>
                <c:pt idx="72">
                  <c:v>12-27</c:v>
                </c:pt>
                <c:pt idx="73">
                  <c:v>12-28</c:v>
                </c:pt>
                <c:pt idx="74">
                  <c:v>12-29</c:v>
                </c:pt>
                <c:pt idx="75">
                  <c:v>12-30</c:v>
                </c:pt>
                <c:pt idx="76">
                  <c:v>12-31</c:v>
                </c:pt>
                <c:pt idx="77">
                  <c:v>1-1</c:v>
                </c:pt>
                <c:pt idx="78">
                  <c:v>1-2</c:v>
                </c:pt>
                <c:pt idx="79">
                  <c:v>1-3</c:v>
                </c:pt>
                <c:pt idx="80">
                  <c:v>1-4</c:v>
                </c:pt>
                <c:pt idx="81">
                  <c:v>1-5</c:v>
                </c:pt>
                <c:pt idx="82">
                  <c:v>1-6</c:v>
                </c:pt>
                <c:pt idx="83">
                  <c:v>1-7</c:v>
                </c:pt>
                <c:pt idx="84">
                  <c:v>1-8</c:v>
                </c:pt>
                <c:pt idx="85">
                  <c:v>1-9</c:v>
                </c:pt>
                <c:pt idx="86">
                  <c:v>1-10</c:v>
                </c:pt>
                <c:pt idx="87">
                  <c:v>1-11</c:v>
                </c:pt>
                <c:pt idx="88">
                  <c:v>1-12</c:v>
                </c:pt>
                <c:pt idx="89">
                  <c:v>1-13</c:v>
                </c:pt>
                <c:pt idx="90">
                  <c:v>1-14</c:v>
                </c:pt>
                <c:pt idx="91">
                  <c:v>1-15</c:v>
                </c:pt>
                <c:pt idx="92">
                  <c:v>1-16</c:v>
                </c:pt>
                <c:pt idx="93">
                  <c:v>1-17</c:v>
                </c:pt>
                <c:pt idx="94">
                  <c:v>1-18</c:v>
                </c:pt>
                <c:pt idx="95">
                  <c:v>1-19</c:v>
                </c:pt>
                <c:pt idx="96">
                  <c:v>1-20</c:v>
                </c:pt>
              </c:strCache>
            </c:strRef>
          </c:cat>
          <c:val>
            <c:numRef>
              <c:f>'Figs 6 &amp; 7'!$EH$8:$EH$103</c:f>
              <c:numCache>
                <c:formatCode>0.000</c:formatCode>
                <c:ptCount val="96"/>
                <c:pt idx="0" formatCode="General">
                  <c:v>3.001481022440164</c:v>
                </c:pt>
                <c:pt idx="1">
                  <c:v>3.0295143565567302</c:v>
                </c:pt>
                <c:pt idx="2" formatCode="General">
                  <c:v>3.1842159959313361</c:v>
                </c:pt>
                <c:pt idx="3" formatCode="General">
                  <c:v>3.1727063881024375</c:v>
                </c:pt>
                <c:pt idx="4" formatCode="General">
                  <c:v>3.1319503382091853</c:v>
                </c:pt>
                <c:pt idx="5" formatCode="General">
                  <c:v>3.0868947052086626</c:v>
                </c:pt>
                <c:pt idx="6" formatCode="General">
                  <c:v>3.0421924557679625</c:v>
                </c:pt>
                <c:pt idx="7">
                  <c:v>2.9996337677375871</c:v>
                </c:pt>
                <c:pt idx="8">
                  <c:v>2.9609229280280371</c:v>
                </c:pt>
                <c:pt idx="9">
                  <c:v>2.9154341775812385</c:v>
                </c:pt>
                <c:pt idx="10">
                  <c:v>2.8776409376518033</c:v>
                </c:pt>
                <c:pt idx="11">
                  <c:v>2.8401098576753268</c:v>
                </c:pt>
                <c:pt idx="12">
                  <c:v>2.7989624191981517</c:v>
                </c:pt>
                <c:pt idx="13">
                  <c:v>2.7607329762465871</c:v>
                </c:pt>
                <c:pt idx="14">
                  <c:v>2.7228466778126248</c:v>
                </c:pt>
                <c:pt idx="15">
                  <c:v>2.6960524038752909</c:v>
                </c:pt>
                <c:pt idx="16" formatCode="General">
                  <c:v>2.6588710094669961</c:v>
                </c:pt>
                <c:pt idx="17" formatCode="General">
                  <c:v>2.6246802121516297</c:v>
                </c:pt>
                <c:pt idx="18" formatCode="General">
                  <c:v>2.5902771477230098</c:v>
                </c:pt>
                <c:pt idx="19" formatCode="General">
                  <c:v>2.6102194843017643</c:v>
                </c:pt>
                <c:pt idx="20" formatCode="General">
                  <c:v>2.6013288895585291</c:v>
                </c:pt>
                <c:pt idx="21" formatCode="General">
                  <c:v>2.56585301864077</c:v>
                </c:pt>
                <c:pt idx="22" formatCode="General">
                  <c:v>2.531948719981806</c:v>
                </c:pt>
                <c:pt idx="23">
                  <c:v>2.4993953411213714</c:v>
                </c:pt>
                <c:pt idx="24">
                  <c:v>2.4632184455944803</c:v>
                </c:pt>
                <c:pt idx="25">
                  <c:v>2.4248004524185611</c:v>
                </c:pt>
                <c:pt idx="26">
                  <c:v>2.3878161938040869</c:v>
                </c:pt>
                <c:pt idx="27">
                  <c:v>2.3528955413438131</c:v>
                </c:pt>
                <c:pt idx="28">
                  <c:v>2.3232748912332295</c:v>
                </c:pt>
                <c:pt idx="29" formatCode="General">
                  <c:v>2.2819939113679717</c:v>
                </c:pt>
                <c:pt idx="30">
                  <c:v>2.2373266236699831</c:v>
                </c:pt>
                <c:pt idx="31" formatCode="General">
                  <c:v>2.1916783584564272</c:v>
                </c:pt>
                <c:pt idx="32" formatCode="General">
                  <c:v>2.2556730516361818</c:v>
                </c:pt>
                <c:pt idx="33" formatCode="General">
                  <c:v>2.2130814440322788</c:v>
                </c:pt>
                <c:pt idx="34">
                  <c:v>2.1686401297129607</c:v>
                </c:pt>
                <c:pt idx="35">
                  <c:v>2.1246155743392241</c:v>
                </c:pt>
                <c:pt idx="36">
                  <c:v>2.0702272337360754</c:v>
                </c:pt>
                <c:pt idx="37">
                  <c:v>2.0150720246773575</c:v>
                </c:pt>
                <c:pt idx="38">
                  <c:v>1.9673231540970932</c:v>
                </c:pt>
                <c:pt idx="39">
                  <c:v>1.919013953762152</c:v>
                </c:pt>
                <c:pt idx="40">
                  <c:v>1.8739722295991847</c:v>
                </c:pt>
                <c:pt idx="41">
                  <c:v>1.8367587306052831</c:v>
                </c:pt>
                <c:pt idx="42">
                  <c:v>1.7994634391078965</c:v>
                </c:pt>
                <c:pt idx="43">
                  <c:v>1.7632726488416055</c:v>
                </c:pt>
                <c:pt idx="44">
                  <c:v>1.7149452480592271</c:v>
                </c:pt>
                <c:pt idx="45">
                  <c:v>1.6719742858665225</c:v>
                </c:pt>
                <c:pt idx="46" formatCode="General">
                  <c:v>1.638650769200066</c:v>
                </c:pt>
                <c:pt idx="47" formatCode="General">
                  <c:v>1.6298924910133441</c:v>
                </c:pt>
                <c:pt idx="48" formatCode="General">
                  <c:v>1.5979663033140761</c:v>
                </c:pt>
                <c:pt idx="49" formatCode="General">
                  <c:v>1.567169367742697</c:v>
                </c:pt>
                <c:pt idx="50">
                  <c:v>1.5350550443621054</c:v>
                </c:pt>
                <c:pt idx="51">
                  <c:v>1.5037257992832953</c:v>
                </c:pt>
                <c:pt idx="52">
                  <c:v>1.4761350043176198</c:v>
                </c:pt>
                <c:pt idx="53">
                  <c:v>1.4483703853027508</c:v>
                </c:pt>
                <c:pt idx="54" formatCode="General">
                  <c:v>1.4215358193055381</c:v>
                </c:pt>
                <c:pt idx="55" formatCode="General">
                  <c:v>1.394499628031872</c:v>
                </c:pt>
                <c:pt idx="56" formatCode="General">
                  <c:v>1.3708202734430697</c:v>
                </c:pt>
                <c:pt idx="57">
                  <c:v>1.3670572820543492</c:v>
                </c:pt>
                <c:pt idx="58">
                  <c:v>1.3745521919043875</c:v>
                </c:pt>
                <c:pt idx="59">
                  <c:v>1.3461162032028562</c:v>
                </c:pt>
                <c:pt idx="60" formatCode="General">
                  <c:v>1.3168452457095339</c:v>
                </c:pt>
                <c:pt idx="61">
                  <c:v>1.2877566978348676</c:v>
                </c:pt>
                <c:pt idx="62">
                  <c:v>1.2599575104730953</c:v>
                </c:pt>
                <c:pt idx="63">
                  <c:v>1.2310082253497936</c:v>
                </c:pt>
                <c:pt idx="64">
                  <c:v>1.2057875728895202</c:v>
                </c:pt>
                <c:pt idx="65">
                  <c:v>1.1813288895585292</c:v>
                </c:pt>
                <c:pt idx="66">
                  <c:v>1.1558933107006486</c:v>
                </c:pt>
                <c:pt idx="67">
                  <c:v>1.1294738854216377</c:v>
                </c:pt>
                <c:pt idx="68">
                  <c:v>1.1028156048852229</c:v>
                </c:pt>
                <c:pt idx="69">
                  <c:v>1.0784434202106383</c:v>
                </c:pt>
                <c:pt idx="70">
                  <c:v>1.0514010906809603</c:v>
                </c:pt>
                <c:pt idx="71">
                  <c:v>1.0209965847504816</c:v>
                </c:pt>
                <c:pt idx="72">
                  <c:v>0.99228676730036958</c:v>
                </c:pt>
                <c:pt idx="73">
                  <c:v>0.96585404559959065</c:v>
                </c:pt>
                <c:pt idx="74">
                  <c:v>0.94686099884352315</c:v>
                </c:pt>
                <c:pt idx="75">
                  <c:v>0.92725057132731747</c:v>
                </c:pt>
                <c:pt idx="76">
                  <c:v>0.90683318586779882</c:v>
                </c:pt>
                <c:pt idx="77">
                  <c:v>0.88597981170674578</c:v>
                </c:pt>
                <c:pt idx="78" formatCode="General">
                  <c:v>0.85625384067776678</c:v>
                </c:pt>
                <c:pt idx="79">
                  <c:v>0.82819800980449421</c:v>
                </c:pt>
                <c:pt idx="80">
                  <c:v>0.79448532579851039</c:v>
                </c:pt>
                <c:pt idx="81">
                  <c:v>0.76523991774205824</c:v>
                </c:pt>
                <c:pt idx="82">
                  <c:v>0.74332233440979012</c:v>
                </c:pt>
                <c:pt idx="83">
                  <c:v>0.72644667781262529</c:v>
                </c:pt>
                <c:pt idx="84">
                  <c:v>0.72156631271284555</c:v>
                </c:pt>
                <c:pt idx="85">
                  <c:v>0.70435056662793416</c:v>
                </c:pt>
                <c:pt idx="86">
                  <c:v>0.681747092355661</c:v>
                </c:pt>
                <c:pt idx="87">
                  <c:v>0.65773114369861618</c:v>
                </c:pt>
                <c:pt idx="88">
                  <c:v>0.61232889425791415</c:v>
                </c:pt>
                <c:pt idx="89">
                  <c:v>0.53664341316156028</c:v>
                </c:pt>
                <c:pt idx="90">
                  <c:v>0.45490926170738405</c:v>
                </c:pt>
                <c:pt idx="91">
                  <c:v>0.40644607479560563</c:v>
                </c:pt>
                <c:pt idx="92">
                  <c:v>0.30954382535490638</c:v>
                </c:pt>
                <c:pt idx="93">
                  <c:v>0.21282725723299883</c:v>
                </c:pt>
                <c:pt idx="94">
                  <c:v>0.21143871875709991</c:v>
                </c:pt>
                <c:pt idx="95">
                  <c:v>0.20533074560342485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2-B549-9D14-56B7E3D72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030992"/>
        <c:axId val="-2025027168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7'!$ED$8:$ED$150</c:f>
              <c:numCache>
                <c:formatCode>0.000</c:formatCode>
                <c:ptCount val="143"/>
                <c:pt idx="7">
                  <c:v>14.154516202041334</c:v>
                </c:pt>
                <c:pt idx="8">
                  <c:v>12.480904203521725</c:v>
                </c:pt>
                <c:pt idx="9">
                  <c:v>9.1015796546414549</c:v>
                </c:pt>
                <c:pt idx="10">
                  <c:v>16.341429045416046</c:v>
                </c:pt>
                <c:pt idx="11">
                  <c:v>9.13093895886675</c:v>
                </c:pt>
                <c:pt idx="12">
                  <c:v>9.3359198423635412</c:v>
                </c:pt>
                <c:pt idx="13">
                  <c:v>12.573000756535802</c:v>
                </c:pt>
                <c:pt idx="14">
                  <c:v>9.2911168399625979</c:v>
                </c:pt>
                <c:pt idx="15">
                  <c:v>9.1881907975527088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6.839133827870354</c:v>
                </c:pt>
                <c:pt idx="24">
                  <c:v>5.740736246635314</c:v>
                </c:pt>
                <c:pt idx="25">
                  <c:v>9.6156096728644371</c:v>
                </c:pt>
                <c:pt idx="26">
                  <c:v>12.128302897433327</c:v>
                </c:pt>
                <c:pt idx="27">
                  <c:v>10.866267822689588</c:v>
                </c:pt>
                <c:pt idx="28">
                  <c:v>11.469914943837573</c:v>
                </c:pt>
                <c:pt idx="29">
                  <c:v>0</c:v>
                </c:pt>
                <c:pt idx="30">
                  <c:v>12.969365667025636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15.723226922029543</c:v>
                </c:pt>
                <c:pt idx="35">
                  <c:v>17.271546831429983</c:v>
                </c:pt>
                <c:pt idx="36">
                  <c:v>19.258001675288746</c:v>
                </c:pt>
                <c:pt idx="37">
                  <c:v>28.313129909996565</c:v>
                </c:pt>
                <c:pt idx="38">
                  <c:v>27.853442590257771</c:v>
                </c:pt>
                <c:pt idx="39">
                  <c:v>19.248494432963238</c:v>
                </c:pt>
                <c:pt idx="40">
                  <c:v>20.564767384894242</c:v>
                </c:pt>
                <c:pt idx="41">
                  <c:v>24.721938495631434</c:v>
                </c:pt>
                <c:pt idx="42">
                  <c:v>11.410251786160979</c:v>
                </c:pt>
                <c:pt idx="43">
                  <c:v>14.178522630184322</c:v>
                </c:pt>
                <c:pt idx="44">
                  <c:v>8.0350280149195719</c:v>
                </c:pt>
                <c:pt idx="45">
                  <c:v>10.393431137677617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8.9999680636496961</c:v>
                </c:pt>
                <c:pt idx="51">
                  <c:v>10.554734185815757</c:v>
                </c:pt>
                <c:pt idx="52">
                  <c:v>6.7966510994523821</c:v>
                </c:pt>
                <c:pt idx="53">
                  <c:v>2.3280580405790197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7.5904884507735044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8.7132815394478982</c:v>
                </c:pt>
                <c:pt idx="62">
                  <c:v>8.9640674203299255</c:v>
                </c:pt>
                <c:pt idx="63">
                  <c:v>7.0789213415719754</c:v>
                </c:pt>
                <c:pt idx="64">
                  <c:v>8.3642274920172532</c:v>
                </c:pt>
                <c:pt idx="65">
                  <c:v>5.9594888188254185</c:v>
                </c:pt>
                <c:pt idx="66">
                  <c:v>5.6622401522079313</c:v>
                </c:pt>
                <c:pt idx="67">
                  <c:v>6.093811785914232</c:v>
                </c:pt>
                <c:pt idx="68">
                  <c:v>11.015175688425533</c:v>
                </c:pt>
                <c:pt idx="69">
                  <c:v>5.6947444958647386</c:v>
                </c:pt>
                <c:pt idx="70">
                  <c:v>3.9303599212226015</c:v>
                </c:pt>
                <c:pt idx="71">
                  <c:v>5.057443635654395</c:v>
                </c:pt>
                <c:pt idx="72">
                  <c:v>16.35571371867265</c:v>
                </c:pt>
                <c:pt idx="73">
                  <c:v>8.7777292866804757</c:v>
                </c:pt>
                <c:pt idx="74">
                  <c:v>7.6843228316337768</c:v>
                </c:pt>
                <c:pt idx="75">
                  <c:v>1.6242659840085238</c:v>
                </c:pt>
                <c:pt idx="76">
                  <c:v>2.7139643798940738</c:v>
                </c:pt>
                <c:pt idx="77">
                  <c:v>-2.883326986762702</c:v>
                </c:pt>
                <c:pt idx="78">
                  <c:v>0</c:v>
                </c:pt>
                <c:pt idx="79">
                  <c:v>-4.8853298888598173</c:v>
                </c:pt>
                <c:pt idx="80">
                  <c:v>-6.2650090333922215E-2</c:v>
                </c:pt>
                <c:pt idx="81">
                  <c:v>2.5864402271873166</c:v>
                </c:pt>
                <c:pt idx="82">
                  <c:v>7.9932721657620842</c:v>
                </c:pt>
                <c:pt idx="83">
                  <c:v>13.363199999999999</c:v>
                </c:pt>
                <c:pt idx="84">
                  <c:v>0</c:v>
                </c:pt>
                <c:pt idx="85">
                  <c:v>0</c:v>
                </c:pt>
                <c:pt idx="86">
                  <c:v>13.449600000000002</c:v>
                </c:pt>
                <c:pt idx="87">
                  <c:v>13.204800000000001</c:v>
                </c:pt>
                <c:pt idx="88">
                  <c:v>5.1407999999999987</c:v>
                </c:pt>
                <c:pt idx="89">
                  <c:v>3.0240000000000045</c:v>
                </c:pt>
                <c:pt idx="90">
                  <c:v>38.736000000000004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02-B549-9D14-56B7E3D72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5030992"/>
        <c:axId val="-2025027168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 w="9525"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7'!$EL$8:$EL$150</c:f>
              <c:numCache>
                <c:formatCode>0.0</c:formatCode>
                <c:ptCount val="143"/>
                <c:pt idx="0">
                  <c:v>0</c:v>
                </c:pt>
                <c:pt idx="1">
                  <c:v>127.800000000002</c:v>
                </c:pt>
                <c:pt idx="2">
                  <c:v>3.1842159959313361</c:v>
                </c:pt>
                <c:pt idx="3">
                  <c:v>11.4</c:v>
                </c:pt>
                <c:pt idx="4">
                  <c:v>24.049999999999976</c:v>
                </c:pt>
                <c:pt idx="5">
                  <c:v>25.749999999999925</c:v>
                </c:pt>
                <c:pt idx="6">
                  <c:v>2</c:v>
                </c:pt>
                <c:pt idx="7">
                  <c:v>10.466666666666667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2.0666666666666664</c:v>
                </c:pt>
                <c:pt idx="18">
                  <c:v>0.1</c:v>
                </c:pt>
                <c:pt idx="19">
                  <c:v>2.1</c:v>
                </c:pt>
                <c:pt idx="20">
                  <c:v>0.4</c:v>
                </c:pt>
                <c:pt idx="21">
                  <c:v>22.5</c:v>
                </c:pt>
                <c:pt idx="22">
                  <c:v>4.75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63.600000000000051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0.55000000000000004</c:v>
                </c:pt>
                <c:pt idx="48">
                  <c:v>2.4500000000000002</c:v>
                </c:pt>
                <c:pt idx="49">
                  <c:v>15.1</c:v>
                </c:pt>
                <c:pt idx="50">
                  <c:v>1.9500000000000002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1.6500000000000001</c:v>
                </c:pt>
                <c:pt idx="56">
                  <c:v>0.1</c:v>
                </c:pt>
                <c:pt idx="57">
                  <c:v>0.95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02-B549-9D14-56B7E3D72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5021376"/>
        <c:axId val="-2025024352"/>
      </c:barChart>
      <c:dateAx>
        <c:axId val="-2025030992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25027168"/>
        <c:crossesAt val="0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25027168"/>
        <c:scaling>
          <c:orientation val="minMax"/>
          <c:max val="45"/>
          <c:min val="-10"/>
        </c:scaling>
        <c:delete val="0"/>
        <c:axPos val="l"/>
        <c:numFmt formatCode="General" sourceLinked="0"/>
        <c:majorTickMark val="in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25030992"/>
        <c:crosses val="autoZero"/>
        <c:crossBetween val="between"/>
        <c:majorUnit val="10"/>
      </c:valAx>
      <c:valAx>
        <c:axId val="-2025024352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-2025021376"/>
        <c:crosses val="max"/>
        <c:crossBetween val="between"/>
        <c:majorUnit val="50"/>
      </c:valAx>
      <c:dateAx>
        <c:axId val="-2025021376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5024352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031196581196598E-2"/>
          <c:y val="4.1182992883824002E-2"/>
          <c:w val="0.87293247863247903"/>
          <c:h val="0.77854029960998705"/>
        </c:manualLayout>
      </c:layout>
      <c:areaChart>
        <c:grouping val="stacke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effectLst/>
          </c:spPr>
          <c:cat>
            <c:strRef>
              <c:f>'Figs 6 &amp; 7'!$CN$28:$CN$124</c:f>
              <c:strCache>
                <c:ptCount val="97"/>
                <c:pt idx="0">
                  <c:v>10-16</c:v>
                </c:pt>
                <c:pt idx="1">
                  <c:v>10-17</c:v>
                </c:pt>
                <c:pt idx="2">
                  <c:v>10-18</c:v>
                </c:pt>
                <c:pt idx="3">
                  <c:v>10-19</c:v>
                </c:pt>
                <c:pt idx="4">
                  <c:v>10-20</c:v>
                </c:pt>
                <c:pt idx="5">
                  <c:v>10-21</c:v>
                </c:pt>
                <c:pt idx="6">
                  <c:v>10-22</c:v>
                </c:pt>
                <c:pt idx="7">
                  <c:v>10-23</c:v>
                </c:pt>
                <c:pt idx="8">
                  <c:v>10-24</c:v>
                </c:pt>
                <c:pt idx="9">
                  <c:v>10-25</c:v>
                </c:pt>
                <c:pt idx="10">
                  <c:v>10-26</c:v>
                </c:pt>
                <c:pt idx="11">
                  <c:v>10-27</c:v>
                </c:pt>
                <c:pt idx="12">
                  <c:v>10-28</c:v>
                </c:pt>
                <c:pt idx="13">
                  <c:v>10-29</c:v>
                </c:pt>
                <c:pt idx="14">
                  <c:v>10-30</c:v>
                </c:pt>
                <c:pt idx="15">
                  <c:v>10-31</c:v>
                </c:pt>
                <c:pt idx="16">
                  <c:v>11-1</c:v>
                </c:pt>
                <c:pt idx="17">
                  <c:v>11-2</c:v>
                </c:pt>
                <c:pt idx="18">
                  <c:v>11-3</c:v>
                </c:pt>
                <c:pt idx="19">
                  <c:v>11-4</c:v>
                </c:pt>
                <c:pt idx="20">
                  <c:v>11-5</c:v>
                </c:pt>
                <c:pt idx="21">
                  <c:v>11-6</c:v>
                </c:pt>
                <c:pt idx="22">
                  <c:v>11-7</c:v>
                </c:pt>
                <c:pt idx="23">
                  <c:v>11-8</c:v>
                </c:pt>
                <c:pt idx="24">
                  <c:v>11-9</c:v>
                </c:pt>
                <c:pt idx="25">
                  <c:v>11-10</c:v>
                </c:pt>
                <c:pt idx="26">
                  <c:v>11-11</c:v>
                </c:pt>
                <c:pt idx="27">
                  <c:v>11-12</c:v>
                </c:pt>
                <c:pt idx="28">
                  <c:v>11-13</c:v>
                </c:pt>
                <c:pt idx="29">
                  <c:v>11-14</c:v>
                </c:pt>
                <c:pt idx="30">
                  <c:v>11-15</c:v>
                </c:pt>
                <c:pt idx="31">
                  <c:v>11-16</c:v>
                </c:pt>
                <c:pt idx="32">
                  <c:v>11-17</c:v>
                </c:pt>
                <c:pt idx="33">
                  <c:v>11-18</c:v>
                </c:pt>
                <c:pt idx="34">
                  <c:v>11-19</c:v>
                </c:pt>
                <c:pt idx="35">
                  <c:v>11-20</c:v>
                </c:pt>
                <c:pt idx="36">
                  <c:v>11-21</c:v>
                </c:pt>
                <c:pt idx="37">
                  <c:v>11-22</c:v>
                </c:pt>
                <c:pt idx="38">
                  <c:v>11-23</c:v>
                </c:pt>
                <c:pt idx="39">
                  <c:v>11-24</c:v>
                </c:pt>
                <c:pt idx="40">
                  <c:v>11-25</c:v>
                </c:pt>
                <c:pt idx="41">
                  <c:v>11-26</c:v>
                </c:pt>
                <c:pt idx="42">
                  <c:v>11-27</c:v>
                </c:pt>
                <c:pt idx="43">
                  <c:v>11-28</c:v>
                </c:pt>
                <c:pt idx="44">
                  <c:v>11-29</c:v>
                </c:pt>
                <c:pt idx="45">
                  <c:v>11-30</c:v>
                </c:pt>
                <c:pt idx="46">
                  <c:v>12-1</c:v>
                </c:pt>
                <c:pt idx="47">
                  <c:v>12-2</c:v>
                </c:pt>
                <c:pt idx="48">
                  <c:v>12-3</c:v>
                </c:pt>
                <c:pt idx="49">
                  <c:v>12-4</c:v>
                </c:pt>
                <c:pt idx="50">
                  <c:v>12-5</c:v>
                </c:pt>
                <c:pt idx="51">
                  <c:v>12-6</c:v>
                </c:pt>
                <c:pt idx="52">
                  <c:v>12-7</c:v>
                </c:pt>
                <c:pt idx="53">
                  <c:v>12-8</c:v>
                </c:pt>
                <c:pt idx="54">
                  <c:v>12-9</c:v>
                </c:pt>
                <c:pt idx="55">
                  <c:v>12-10</c:v>
                </c:pt>
                <c:pt idx="56">
                  <c:v>12-11</c:v>
                </c:pt>
                <c:pt idx="57">
                  <c:v>12-12</c:v>
                </c:pt>
                <c:pt idx="58">
                  <c:v>12-13</c:v>
                </c:pt>
                <c:pt idx="59">
                  <c:v>12-14</c:v>
                </c:pt>
                <c:pt idx="60">
                  <c:v>12-15</c:v>
                </c:pt>
                <c:pt idx="61">
                  <c:v>12-16</c:v>
                </c:pt>
                <c:pt idx="62">
                  <c:v>12-17</c:v>
                </c:pt>
                <c:pt idx="63">
                  <c:v>12-18</c:v>
                </c:pt>
                <c:pt idx="64">
                  <c:v>12-19</c:v>
                </c:pt>
                <c:pt idx="65">
                  <c:v>12-20</c:v>
                </c:pt>
                <c:pt idx="66">
                  <c:v>12-21</c:v>
                </c:pt>
                <c:pt idx="67">
                  <c:v>12-22</c:v>
                </c:pt>
                <c:pt idx="68">
                  <c:v>12-23</c:v>
                </c:pt>
                <c:pt idx="69">
                  <c:v>12-24</c:v>
                </c:pt>
                <c:pt idx="70">
                  <c:v>12-25</c:v>
                </c:pt>
                <c:pt idx="71">
                  <c:v>12-26</c:v>
                </c:pt>
                <c:pt idx="72">
                  <c:v>12-27</c:v>
                </c:pt>
                <c:pt idx="73">
                  <c:v>12-28</c:v>
                </c:pt>
                <c:pt idx="74">
                  <c:v>12-29</c:v>
                </c:pt>
                <c:pt idx="75">
                  <c:v>12-30</c:v>
                </c:pt>
                <c:pt idx="76">
                  <c:v>12-31</c:v>
                </c:pt>
                <c:pt idx="77">
                  <c:v>1-1</c:v>
                </c:pt>
                <c:pt idx="78">
                  <c:v>1-2</c:v>
                </c:pt>
                <c:pt idx="79">
                  <c:v>1-3</c:v>
                </c:pt>
                <c:pt idx="80">
                  <c:v>1-4</c:v>
                </c:pt>
                <c:pt idx="81">
                  <c:v>1-5</c:v>
                </c:pt>
                <c:pt idx="82">
                  <c:v>1-6</c:v>
                </c:pt>
                <c:pt idx="83">
                  <c:v>1-7</c:v>
                </c:pt>
                <c:pt idx="84">
                  <c:v>1-8</c:v>
                </c:pt>
                <c:pt idx="85">
                  <c:v>1-9</c:v>
                </c:pt>
                <c:pt idx="86">
                  <c:v>1-10</c:v>
                </c:pt>
                <c:pt idx="87">
                  <c:v>1-11</c:v>
                </c:pt>
                <c:pt idx="88">
                  <c:v>1-12</c:v>
                </c:pt>
                <c:pt idx="89">
                  <c:v>1-13</c:v>
                </c:pt>
                <c:pt idx="90">
                  <c:v>1-14</c:v>
                </c:pt>
                <c:pt idx="91">
                  <c:v>1-15</c:v>
                </c:pt>
                <c:pt idx="92">
                  <c:v>1-16</c:v>
                </c:pt>
                <c:pt idx="93">
                  <c:v>1-17</c:v>
                </c:pt>
                <c:pt idx="94">
                  <c:v>1-18</c:v>
                </c:pt>
                <c:pt idx="95">
                  <c:v>1-19</c:v>
                </c:pt>
                <c:pt idx="96">
                  <c:v>1-20</c:v>
                </c:pt>
              </c:strCache>
            </c:strRef>
          </c:cat>
          <c:val>
            <c:numRef>
              <c:f>'Figs 6 &amp; 7'!$EI$8:$EI$103</c:f>
              <c:numCache>
                <c:formatCode>0.000</c:formatCode>
                <c:ptCount val="96"/>
                <c:pt idx="0" formatCode="General">
                  <c:v>3.1793810224401646</c:v>
                </c:pt>
                <c:pt idx="1">
                  <c:v>3.2773143565567313</c:v>
                </c:pt>
                <c:pt idx="2" formatCode="General">
                  <c:v>3.3345159959313371</c:v>
                </c:pt>
                <c:pt idx="3" formatCode="General">
                  <c:v>3.4026063881024378</c:v>
                </c:pt>
                <c:pt idx="4" formatCode="General">
                  <c:v>3.4228503382091855</c:v>
                </c:pt>
                <c:pt idx="5" formatCode="General">
                  <c:v>3.4088947052086631</c:v>
                </c:pt>
                <c:pt idx="6" formatCode="General">
                  <c:v>3.3914924557679615</c:v>
                </c:pt>
                <c:pt idx="7">
                  <c:v>3.371833767737586</c:v>
                </c:pt>
                <c:pt idx="8">
                  <c:v>3.3511229280280386</c:v>
                </c:pt>
                <c:pt idx="9">
                  <c:v>3.3322341775812401</c:v>
                </c:pt>
                <c:pt idx="10">
                  <c:v>3.3132409376518037</c:v>
                </c:pt>
                <c:pt idx="11">
                  <c:v>3.292209857675326</c:v>
                </c:pt>
                <c:pt idx="12">
                  <c:v>3.2727624191981519</c:v>
                </c:pt>
                <c:pt idx="13">
                  <c:v>3.2534329762465877</c:v>
                </c:pt>
                <c:pt idx="14">
                  <c:v>3.2334466778126245</c:v>
                </c:pt>
                <c:pt idx="15">
                  <c:v>3.2137524038752918</c:v>
                </c:pt>
                <c:pt idx="16" formatCode="General">
                  <c:v>3.1945710094669977</c:v>
                </c:pt>
                <c:pt idx="17" formatCode="General">
                  <c:v>3.1776802121516301</c:v>
                </c:pt>
                <c:pt idx="18" formatCode="General">
                  <c:v>3.1596771477230092</c:v>
                </c:pt>
                <c:pt idx="19" formatCode="General">
                  <c:v>3.1680194843017642</c:v>
                </c:pt>
                <c:pt idx="20" formatCode="General">
                  <c:v>3.1691288895585306</c:v>
                </c:pt>
                <c:pt idx="21" formatCode="General">
                  <c:v>3.1474530186407694</c:v>
                </c:pt>
                <c:pt idx="22" formatCode="General">
                  <c:v>3.1306487199818065</c:v>
                </c:pt>
                <c:pt idx="23">
                  <c:v>3.1099953411213708</c:v>
                </c:pt>
                <c:pt idx="24">
                  <c:v>3.0919184455944819</c:v>
                </c:pt>
                <c:pt idx="25">
                  <c:v>3.0709004524185612</c:v>
                </c:pt>
                <c:pt idx="26">
                  <c:v>3.0501161938040884</c:v>
                </c:pt>
                <c:pt idx="27">
                  <c:v>3.0268955413438121</c:v>
                </c:pt>
                <c:pt idx="28">
                  <c:v>3.0064748912332302</c:v>
                </c:pt>
                <c:pt idx="29" formatCode="General">
                  <c:v>2.9805939113679738</c:v>
                </c:pt>
                <c:pt idx="30">
                  <c:v>2.9560266236699828</c:v>
                </c:pt>
                <c:pt idx="31" formatCode="General">
                  <c:v>2.928978358456428</c:v>
                </c:pt>
                <c:pt idx="32" formatCode="General">
                  <c:v>3.230673051636181</c:v>
                </c:pt>
                <c:pt idx="33" formatCode="General">
                  <c:v>3.2119814440322791</c:v>
                </c:pt>
                <c:pt idx="34">
                  <c:v>3.1923401297129619</c:v>
                </c:pt>
                <c:pt idx="35">
                  <c:v>3.1712155743392252</c:v>
                </c:pt>
                <c:pt idx="36">
                  <c:v>3.1489272337360763</c:v>
                </c:pt>
                <c:pt idx="37">
                  <c:v>3.125172024677358</c:v>
                </c:pt>
                <c:pt idx="38">
                  <c:v>3.1047231540970941</c:v>
                </c:pt>
                <c:pt idx="39">
                  <c:v>3.081513953762153</c:v>
                </c:pt>
                <c:pt idx="40">
                  <c:v>3.0538722295991843</c:v>
                </c:pt>
                <c:pt idx="41">
                  <c:v>3.0250587306052825</c:v>
                </c:pt>
                <c:pt idx="42">
                  <c:v>2.9966634391078966</c:v>
                </c:pt>
                <c:pt idx="43">
                  <c:v>2.9721726488416049</c:v>
                </c:pt>
                <c:pt idx="44">
                  <c:v>2.9501452480592274</c:v>
                </c:pt>
                <c:pt idx="45">
                  <c:v>2.9242742858665238</c:v>
                </c:pt>
                <c:pt idx="46" formatCode="General">
                  <c:v>2.9012507692000664</c:v>
                </c:pt>
                <c:pt idx="47" formatCode="General">
                  <c:v>2.8964924910133441</c:v>
                </c:pt>
                <c:pt idx="48" formatCode="General">
                  <c:v>2.8756663033140768</c:v>
                </c:pt>
                <c:pt idx="49" formatCode="General">
                  <c:v>2.8481693677426971</c:v>
                </c:pt>
                <c:pt idx="50">
                  <c:v>2.8178550443621067</c:v>
                </c:pt>
                <c:pt idx="51">
                  <c:v>2.7797257992832947</c:v>
                </c:pt>
                <c:pt idx="52">
                  <c:v>2.7452350043176192</c:v>
                </c:pt>
                <c:pt idx="53">
                  <c:v>2.7107703853027498</c:v>
                </c:pt>
                <c:pt idx="54" formatCode="General">
                  <c:v>2.6747358193055391</c:v>
                </c:pt>
                <c:pt idx="55" formatCode="General">
                  <c:v>2.6353996280318732</c:v>
                </c:pt>
                <c:pt idx="56" formatCode="General">
                  <c:v>2.5918202734430693</c:v>
                </c:pt>
                <c:pt idx="57">
                  <c:v>2.588757282054349</c:v>
                </c:pt>
                <c:pt idx="58">
                  <c:v>2.6219521919043878</c:v>
                </c:pt>
                <c:pt idx="59">
                  <c:v>2.5973162032028565</c:v>
                </c:pt>
                <c:pt idx="60" formatCode="General">
                  <c:v>2.5751452457095354</c:v>
                </c:pt>
                <c:pt idx="61">
                  <c:v>2.5535566978348676</c:v>
                </c:pt>
                <c:pt idx="62">
                  <c:v>2.5267575104730966</c:v>
                </c:pt>
                <c:pt idx="63">
                  <c:v>2.4946082253497934</c:v>
                </c:pt>
                <c:pt idx="64">
                  <c:v>2.456787572889521</c:v>
                </c:pt>
                <c:pt idx="65">
                  <c:v>2.42622888955853</c:v>
                </c:pt>
                <c:pt idx="66">
                  <c:v>2.3935933107006484</c:v>
                </c:pt>
                <c:pt idx="67">
                  <c:v>2.3505738854216389</c:v>
                </c:pt>
                <c:pt idx="68">
                  <c:v>2.3118156048852239</c:v>
                </c:pt>
                <c:pt idx="69">
                  <c:v>2.2767434202106376</c:v>
                </c:pt>
                <c:pt idx="70">
                  <c:v>2.2421010906809613</c:v>
                </c:pt>
                <c:pt idx="71">
                  <c:v>2.2058965847504819</c:v>
                </c:pt>
                <c:pt idx="72">
                  <c:v>2.1696867673003695</c:v>
                </c:pt>
                <c:pt idx="73">
                  <c:v>2.1281540455995902</c:v>
                </c:pt>
                <c:pt idx="74">
                  <c:v>2.0889609988435236</c:v>
                </c:pt>
                <c:pt idx="75">
                  <c:v>2.0485505713273184</c:v>
                </c:pt>
                <c:pt idx="76">
                  <c:v>2.0045331858677997</c:v>
                </c:pt>
                <c:pt idx="77">
                  <c:v>1.9808798117067459</c:v>
                </c:pt>
                <c:pt idx="78" formatCode="General">
                  <c:v>1.9578538406777672</c:v>
                </c:pt>
                <c:pt idx="79">
                  <c:v>1.9360980098044942</c:v>
                </c:pt>
                <c:pt idx="80">
                  <c:v>1.9113853257985107</c:v>
                </c:pt>
                <c:pt idx="81">
                  <c:v>1.887739917742058</c:v>
                </c:pt>
                <c:pt idx="82">
                  <c:v>1.8694223344097904</c:v>
                </c:pt>
                <c:pt idx="83">
                  <c:v>1.6491466778126254</c:v>
                </c:pt>
                <c:pt idx="84">
                  <c:v>1.8071663127128443</c:v>
                </c:pt>
                <c:pt idx="85">
                  <c:v>1.8004505666279333</c:v>
                </c:pt>
                <c:pt idx="86">
                  <c:v>1.7729470923556627</c:v>
                </c:pt>
                <c:pt idx="87">
                  <c:v>1.1646311436986172</c:v>
                </c:pt>
                <c:pt idx="88">
                  <c:v>1.1184288942579135</c:v>
                </c:pt>
                <c:pt idx="89">
                  <c:v>1.090943413161561</c:v>
                </c:pt>
                <c:pt idx="90">
                  <c:v>1.0930092617073848</c:v>
                </c:pt>
                <c:pt idx="91">
                  <c:v>1.0970460747956066</c:v>
                </c:pt>
                <c:pt idx="92">
                  <c:v>1.0962438253549072</c:v>
                </c:pt>
                <c:pt idx="93">
                  <c:v>1.0918272572329977</c:v>
                </c:pt>
                <c:pt idx="94">
                  <c:v>1.0925387187570992</c:v>
                </c:pt>
                <c:pt idx="95">
                  <c:v>1.0855307456034244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9-7345-B5FE-AC54C0E69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183152"/>
        <c:axId val="-2065188032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7'!$EE$8:$EE$150</c:f>
              <c:numCache>
                <c:formatCode>0.000</c:formatCode>
                <c:ptCount val="143"/>
                <c:pt idx="7">
                  <c:v>5.0625285464152299</c:v>
                </c:pt>
                <c:pt idx="8">
                  <c:v>11.592289323187195</c:v>
                </c:pt>
                <c:pt idx="9">
                  <c:v>10.750730717676156</c:v>
                </c:pt>
                <c:pt idx="10">
                  <c:v>7.0414640446968635</c:v>
                </c:pt>
                <c:pt idx="11">
                  <c:v>5.2567030106860368</c:v>
                </c:pt>
                <c:pt idx="12">
                  <c:v>5.4089600162749178</c:v>
                </c:pt>
                <c:pt idx="13">
                  <c:v>5.5405076621011196</c:v>
                </c:pt>
                <c:pt idx="14">
                  <c:v>8.8096372110154597</c:v>
                </c:pt>
                <c:pt idx="15">
                  <c:v>5.8902411285490697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9.128439077732148</c:v>
                </c:pt>
                <c:pt idx="24">
                  <c:v>13.0686069785108</c:v>
                </c:pt>
                <c:pt idx="25">
                  <c:v>9.1539453249542735</c:v>
                </c:pt>
                <c:pt idx="26">
                  <c:v>14.157707347119949</c:v>
                </c:pt>
                <c:pt idx="27">
                  <c:v>10.833188185458038</c:v>
                </c:pt>
                <c:pt idx="28">
                  <c:v>15.434019704100923</c:v>
                </c:pt>
                <c:pt idx="29">
                  <c:v>0</c:v>
                </c:pt>
                <c:pt idx="30">
                  <c:v>17.336650977119472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7.2519084492523493</c:v>
                </c:pt>
                <c:pt idx="35">
                  <c:v>8.9616841754780729</c:v>
                </c:pt>
                <c:pt idx="36">
                  <c:v>11.213600437946742</c:v>
                </c:pt>
                <c:pt idx="37">
                  <c:v>13.158187002211641</c:v>
                </c:pt>
                <c:pt idx="38">
                  <c:v>15.41771104164879</c:v>
                </c:pt>
                <c:pt idx="39">
                  <c:v>12.240004916699455</c:v>
                </c:pt>
                <c:pt idx="40">
                  <c:v>15.118078168765059</c:v>
                </c:pt>
                <c:pt idx="41">
                  <c:v>19.693946521314182</c:v>
                </c:pt>
                <c:pt idx="42">
                  <c:v>15.696777496614088</c:v>
                </c:pt>
                <c:pt idx="43">
                  <c:v>22.403702987116965</c:v>
                </c:pt>
                <c:pt idx="44">
                  <c:v>17.403141789377912</c:v>
                </c:pt>
                <c:pt idx="45">
                  <c:v>13.784950405007756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13.393556730952001</c:v>
                </c:pt>
                <c:pt idx="51">
                  <c:v>18.910806892071093</c:v>
                </c:pt>
                <c:pt idx="52">
                  <c:v>17.955597399709994</c:v>
                </c:pt>
                <c:pt idx="53">
                  <c:v>21.155167385857638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28.650014306715587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13.107660964389327</c:v>
                </c:pt>
                <c:pt idx="62">
                  <c:v>9.3071386435971455</c:v>
                </c:pt>
                <c:pt idx="63">
                  <c:v>12.231741351618474</c:v>
                </c:pt>
                <c:pt idx="64">
                  <c:v>16.957201727489405</c:v>
                </c:pt>
                <c:pt idx="65">
                  <c:v>25.29940140609062</c:v>
                </c:pt>
                <c:pt idx="66">
                  <c:v>20.710143984830861</c:v>
                </c:pt>
                <c:pt idx="67">
                  <c:v>23.595608248919046</c:v>
                </c:pt>
                <c:pt idx="68">
                  <c:v>32.293127129462341</c:v>
                </c:pt>
                <c:pt idx="69">
                  <c:v>26.349965501658623</c:v>
                </c:pt>
                <c:pt idx="70">
                  <c:v>20.602434062651653</c:v>
                </c:pt>
                <c:pt idx="71">
                  <c:v>28.535780423817457</c:v>
                </c:pt>
                <c:pt idx="72">
                  <c:v>22.215100794748579</c:v>
                </c:pt>
                <c:pt idx="73">
                  <c:v>18.489628663529075</c:v>
                </c:pt>
                <c:pt idx="74">
                  <c:v>16.639015834679181</c:v>
                </c:pt>
                <c:pt idx="75">
                  <c:v>34.811482193524228</c:v>
                </c:pt>
                <c:pt idx="76">
                  <c:v>9.0378747644363457</c:v>
                </c:pt>
                <c:pt idx="77">
                  <c:v>15.727804140015467</c:v>
                </c:pt>
                <c:pt idx="78">
                  <c:v>0</c:v>
                </c:pt>
                <c:pt idx="79">
                  <c:v>9.9278997740990231</c:v>
                </c:pt>
                <c:pt idx="80">
                  <c:v>5.0041994278655544</c:v>
                </c:pt>
                <c:pt idx="81">
                  <c:v>9.5706882410562457</c:v>
                </c:pt>
                <c:pt idx="82">
                  <c:v>10.083357123997592</c:v>
                </c:pt>
                <c:pt idx="83">
                  <c:v>4.9559293197706094</c:v>
                </c:pt>
                <c:pt idx="84">
                  <c:v>0</c:v>
                </c:pt>
                <c:pt idx="85">
                  <c:v>0</c:v>
                </c:pt>
                <c:pt idx="86">
                  <c:v>-6.0032232136566961</c:v>
                </c:pt>
                <c:pt idx="87">
                  <c:v>14.961209645573195</c:v>
                </c:pt>
                <c:pt idx="88">
                  <c:v>-5.2110750501723047</c:v>
                </c:pt>
                <c:pt idx="89">
                  <c:v>-6.0700000000001042</c:v>
                </c:pt>
                <c:pt idx="90">
                  <c:v>-5.0699999999999923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29-7345-B5FE-AC54C0E69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65183152"/>
        <c:axId val="-2065188032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 w="9525"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7'!$EL$8:$EL$150</c:f>
              <c:numCache>
                <c:formatCode>0.0</c:formatCode>
                <c:ptCount val="143"/>
                <c:pt idx="0">
                  <c:v>0</c:v>
                </c:pt>
                <c:pt idx="1">
                  <c:v>127.800000000002</c:v>
                </c:pt>
                <c:pt idx="2">
                  <c:v>3.1842159959313361</c:v>
                </c:pt>
                <c:pt idx="3">
                  <c:v>11.4</c:v>
                </c:pt>
                <c:pt idx="4">
                  <c:v>24.049999999999976</c:v>
                </c:pt>
                <c:pt idx="5">
                  <c:v>25.749999999999925</c:v>
                </c:pt>
                <c:pt idx="6">
                  <c:v>2</c:v>
                </c:pt>
                <c:pt idx="7">
                  <c:v>10.466666666666667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2.0666666666666664</c:v>
                </c:pt>
                <c:pt idx="18">
                  <c:v>0.1</c:v>
                </c:pt>
                <c:pt idx="19">
                  <c:v>2.1</c:v>
                </c:pt>
                <c:pt idx="20">
                  <c:v>0.4</c:v>
                </c:pt>
                <c:pt idx="21">
                  <c:v>22.5</c:v>
                </c:pt>
                <c:pt idx="22">
                  <c:v>4.75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63.600000000000051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0.55000000000000004</c:v>
                </c:pt>
                <c:pt idx="48">
                  <c:v>2.4500000000000002</c:v>
                </c:pt>
                <c:pt idx="49">
                  <c:v>15.1</c:v>
                </c:pt>
                <c:pt idx="50">
                  <c:v>1.9500000000000002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1.6500000000000001</c:v>
                </c:pt>
                <c:pt idx="56">
                  <c:v>0.1</c:v>
                </c:pt>
                <c:pt idx="57">
                  <c:v>0.95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29-7345-B5FE-AC54C0E69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65213072"/>
        <c:axId val="-2065206320"/>
      </c:barChart>
      <c:dateAx>
        <c:axId val="-2065183152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65188032"/>
        <c:crossesAt val="0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65188032"/>
        <c:scaling>
          <c:orientation val="minMax"/>
          <c:max val="45"/>
          <c:min val="-10"/>
        </c:scaling>
        <c:delete val="0"/>
        <c:axPos val="l"/>
        <c:numFmt formatCode="General" sourceLinked="0"/>
        <c:majorTickMark val="in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65183152"/>
        <c:crosses val="autoZero"/>
        <c:crossBetween val="between"/>
        <c:majorUnit val="10"/>
      </c:valAx>
      <c:valAx>
        <c:axId val="-2065206320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-2065213072"/>
        <c:crosses val="max"/>
        <c:crossBetween val="between"/>
        <c:majorUnit val="50"/>
      </c:valAx>
      <c:dateAx>
        <c:axId val="-2065213072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65206320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031196581196598E-2"/>
          <c:y val="4.1182992883824002E-2"/>
          <c:w val="0.87293247863247903"/>
          <c:h val="0.77854029960998705"/>
        </c:manualLayout>
      </c:layout>
      <c:areaChart>
        <c:grouping val="stacke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effectLst/>
          </c:spPr>
          <c:cat>
            <c:numRef>
              <c:f>'Figs 6 &amp; 7'!$DE$8:$DE$137</c:f>
              <c:numCache>
                <c:formatCode>m/d/yy</c:formatCode>
                <c:ptCount val="130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7'!$EK$8:$EK$137</c:f>
              <c:numCache>
                <c:formatCode>0.000</c:formatCode>
                <c:ptCount val="130"/>
                <c:pt idx="0" formatCode="General">
                  <c:v>3.1435810224401641</c:v>
                </c:pt>
                <c:pt idx="1">
                  <c:v>3.2043143565567305</c:v>
                </c:pt>
                <c:pt idx="2" formatCode="General">
                  <c:v>3.2750159959313367</c:v>
                </c:pt>
                <c:pt idx="3" formatCode="General">
                  <c:v>3.3996063881024372</c:v>
                </c:pt>
                <c:pt idx="4" formatCode="General">
                  <c:v>3.2055503382091852</c:v>
                </c:pt>
                <c:pt idx="5" formatCode="General">
                  <c:v>3.2147947052086621</c:v>
                </c:pt>
                <c:pt idx="6" formatCode="General">
                  <c:v>3.179992455767962</c:v>
                </c:pt>
                <c:pt idx="7">
                  <c:v>3.1485337677375855</c:v>
                </c:pt>
                <c:pt idx="8">
                  <c:v>3.1297229280280372</c:v>
                </c:pt>
                <c:pt idx="9">
                  <c:v>3.1196341775812395</c:v>
                </c:pt>
                <c:pt idx="10">
                  <c:v>3.0979409376518041</c:v>
                </c:pt>
                <c:pt idx="11">
                  <c:v>3.0740098576753261</c:v>
                </c:pt>
                <c:pt idx="12">
                  <c:v>3.0483624191981504</c:v>
                </c:pt>
                <c:pt idx="13">
                  <c:v>3.0304329762465883</c:v>
                </c:pt>
                <c:pt idx="14">
                  <c:v>3.0117466778126238</c:v>
                </c:pt>
                <c:pt idx="15">
                  <c:v>2.9937524038752907</c:v>
                </c:pt>
                <c:pt idx="16" formatCode="General">
                  <c:v>2.9733710094669976</c:v>
                </c:pt>
                <c:pt idx="17" formatCode="General">
                  <c:v>2.9555802121516304</c:v>
                </c:pt>
                <c:pt idx="18" formatCode="General">
                  <c:v>2.9368771477230093</c:v>
                </c:pt>
                <c:pt idx="19" formatCode="General">
                  <c:v>2.9495194843017631</c:v>
                </c:pt>
                <c:pt idx="20" formatCode="General">
                  <c:v>2.9404288895585302</c:v>
                </c:pt>
                <c:pt idx="21" formatCode="General">
                  <c:v>2.9189530186407686</c:v>
                </c:pt>
                <c:pt idx="22" formatCode="General">
                  <c:v>2.8968487199818074</c:v>
                </c:pt>
                <c:pt idx="23">
                  <c:v>2.8724953411213714</c:v>
                </c:pt>
                <c:pt idx="24">
                  <c:v>2.8491184455944807</c:v>
                </c:pt>
                <c:pt idx="25">
                  <c:v>2.8217004524185607</c:v>
                </c:pt>
                <c:pt idx="26">
                  <c:v>2.7828161938040874</c:v>
                </c:pt>
                <c:pt idx="27">
                  <c:v>2.7604955413438126</c:v>
                </c:pt>
                <c:pt idx="28">
                  <c:v>2.7414748912332292</c:v>
                </c:pt>
                <c:pt idx="29" formatCode="General">
                  <c:v>2.7170939113679728</c:v>
                </c:pt>
                <c:pt idx="30">
                  <c:v>2.681026623669982</c:v>
                </c:pt>
                <c:pt idx="31" formatCode="General">
                  <c:v>2.6427783584564284</c:v>
                </c:pt>
                <c:pt idx="32" formatCode="General">
                  <c:v>3.1592730516361818</c:v>
                </c:pt>
                <c:pt idx="33" formatCode="General">
                  <c:v>3.1414814440322778</c:v>
                </c:pt>
                <c:pt idx="34">
                  <c:v>3.1183401297129616</c:v>
                </c:pt>
                <c:pt idx="35">
                  <c:v>3.0934155743392249</c:v>
                </c:pt>
                <c:pt idx="36">
                  <c:v>3.0679272337360763</c:v>
                </c:pt>
                <c:pt idx="37">
                  <c:v>3.0416720246773585</c:v>
                </c:pt>
                <c:pt idx="38">
                  <c:v>3.0159231540970928</c:v>
                </c:pt>
                <c:pt idx="39">
                  <c:v>2.9912139537621534</c:v>
                </c:pt>
                <c:pt idx="40">
                  <c:v>2.9665722295991848</c:v>
                </c:pt>
                <c:pt idx="41">
                  <c:v>2.9412587306052838</c:v>
                </c:pt>
                <c:pt idx="42">
                  <c:v>2.9136634391078959</c:v>
                </c:pt>
                <c:pt idx="43">
                  <c:v>2.8870726488416056</c:v>
                </c:pt>
                <c:pt idx="44">
                  <c:v>2.8603452480592284</c:v>
                </c:pt>
                <c:pt idx="45">
                  <c:v>2.8344742858665231</c:v>
                </c:pt>
                <c:pt idx="46" formatCode="General">
                  <c:v>2.808250769200066</c:v>
                </c:pt>
                <c:pt idx="47" formatCode="General">
                  <c:v>2.797992491013344</c:v>
                </c:pt>
                <c:pt idx="48" formatCode="General">
                  <c:v>2.7761663033140755</c:v>
                </c:pt>
                <c:pt idx="49" formatCode="General">
                  <c:v>2.7505693677426968</c:v>
                </c:pt>
                <c:pt idx="50">
                  <c:v>2.7202550443621063</c:v>
                </c:pt>
                <c:pt idx="51">
                  <c:v>2.6826257992832949</c:v>
                </c:pt>
                <c:pt idx="52">
                  <c:v>2.6472350043176198</c:v>
                </c:pt>
                <c:pt idx="53">
                  <c:v>2.6114703853027499</c:v>
                </c:pt>
                <c:pt idx="54" formatCode="General">
                  <c:v>2.5763358193055388</c:v>
                </c:pt>
                <c:pt idx="55" formatCode="General">
                  <c:v>2.539699628031872</c:v>
                </c:pt>
                <c:pt idx="56" formatCode="General">
                  <c:v>2.5019202734430688</c:v>
                </c:pt>
                <c:pt idx="57">
                  <c:v>2.4986572820543489</c:v>
                </c:pt>
                <c:pt idx="58">
                  <c:v>2.5224521919043883</c:v>
                </c:pt>
                <c:pt idx="59">
                  <c:v>2.500216203202855</c:v>
                </c:pt>
                <c:pt idx="60" formatCode="General">
                  <c:v>2.4751452457095353</c:v>
                </c:pt>
                <c:pt idx="61">
                  <c:v>2.4447566978348667</c:v>
                </c:pt>
                <c:pt idx="62">
                  <c:v>2.4068575104730967</c:v>
                </c:pt>
                <c:pt idx="63">
                  <c:v>2.3701082253497936</c:v>
                </c:pt>
                <c:pt idx="64">
                  <c:v>2.3149875728895206</c:v>
                </c:pt>
                <c:pt idx="65">
                  <c:v>2.2296288895585294</c:v>
                </c:pt>
                <c:pt idx="66">
                  <c:v>2.1447933107006487</c:v>
                </c:pt>
                <c:pt idx="67">
                  <c:v>2.076373885421638</c:v>
                </c:pt>
                <c:pt idx="68">
                  <c:v>2.0227156048852222</c:v>
                </c:pt>
                <c:pt idx="69">
                  <c:v>1.9766434202106367</c:v>
                </c:pt>
                <c:pt idx="70">
                  <c:v>1.9459010906809602</c:v>
                </c:pt>
                <c:pt idx="71">
                  <c:v>1.9260965847504816</c:v>
                </c:pt>
                <c:pt idx="72">
                  <c:v>1.9073867673003693</c:v>
                </c:pt>
                <c:pt idx="73">
                  <c:v>1.8889540455995912</c:v>
                </c:pt>
                <c:pt idx="74">
                  <c:v>1.8552609988435225</c:v>
                </c:pt>
                <c:pt idx="75">
                  <c:v>1.8162505713273176</c:v>
                </c:pt>
                <c:pt idx="76">
                  <c:v>1.7785331858677984</c:v>
                </c:pt>
                <c:pt idx="77">
                  <c:v>1.744879811706745</c:v>
                </c:pt>
                <c:pt idx="78" formatCode="General">
                  <c:v>1.7175538406777657</c:v>
                </c:pt>
                <c:pt idx="79">
                  <c:v>1.6927980098044944</c:v>
                </c:pt>
                <c:pt idx="80">
                  <c:v>1.6738853257985116</c:v>
                </c:pt>
                <c:pt idx="81">
                  <c:v>1.6540399177420588</c:v>
                </c:pt>
                <c:pt idx="82">
                  <c:v>1.6342223344097913</c:v>
                </c:pt>
                <c:pt idx="83">
                  <c:v>1.6170466778126253</c:v>
                </c:pt>
                <c:pt idx="84">
                  <c:v>1.6136663127128439</c:v>
                </c:pt>
                <c:pt idx="85">
                  <c:v>1.5972505666279342</c:v>
                </c:pt>
                <c:pt idx="86">
                  <c:v>1.5800470923556609</c:v>
                </c:pt>
                <c:pt idx="87">
                  <c:v>1.5642311436986165</c:v>
                </c:pt>
                <c:pt idx="88">
                  <c:v>1.5474288942579135</c:v>
                </c:pt>
                <c:pt idx="89">
                  <c:v>1.5286434131615603</c:v>
                </c:pt>
                <c:pt idx="90">
                  <c:v>1.5106092617073847</c:v>
                </c:pt>
                <c:pt idx="91">
                  <c:v>1.4923460747956052</c:v>
                </c:pt>
                <c:pt idx="92">
                  <c:v>1.4737438253549064</c:v>
                </c:pt>
                <c:pt idx="93">
                  <c:v>1.4548272572329988</c:v>
                </c:pt>
                <c:pt idx="94">
                  <c:v>1.434738718757099</c:v>
                </c:pt>
                <c:pt idx="95">
                  <c:v>1.4139307456034245</c:v>
                </c:pt>
                <c:pt idx="96">
                  <c:v>1.3935712355360539</c:v>
                </c:pt>
                <c:pt idx="97">
                  <c:v>1.3718448476143439</c:v>
                </c:pt>
                <c:pt idx="98">
                  <c:v>1.3499583466082465</c:v>
                </c:pt>
                <c:pt idx="99">
                  <c:v>1.3276139702099985</c:v>
                </c:pt>
                <c:pt idx="100">
                  <c:v>1.305385945263374</c:v>
                </c:pt>
                <c:pt idx="101">
                  <c:v>1.2829575198718639</c:v>
                </c:pt>
                <c:pt idx="102">
                  <c:v>1.2593783796036564</c:v>
                </c:pt>
                <c:pt idx="103">
                  <c:v>1.2354814463819692</c:v>
                </c:pt>
                <c:pt idx="104">
                  <c:v>1.2124260277020418</c:v>
                </c:pt>
                <c:pt idx="105">
                  <c:v>1.1877430056676022</c:v>
                </c:pt>
                <c:pt idx="106">
                  <c:v>1.1624562973899848</c:v>
                </c:pt>
                <c:pt idx="107">
                  <c:v>1.1376661054413257</c:v>
                </c:pt>
                <c:pt idx="108">
                  <c:v>1.112165702646752</c:v>
                </c:pt>
                <c:pt idx="109">
                  <c:v>1.08927653295753</c:v>
                </c:pt>
                <c:pt idx="110">
                  <c:v>1.0646573055512696</c:v>
                </c:pt>
                <c:pt idx="111">
                  <c:v>1.0399552539833183</c:v>
                </c:pt>
                <c:pt idx="112">
                  <c:v>1.0165198800472619</c:v>
                </c:pt>
                <c:pt idx="113">
                  <c:v>0.99477406919623368</c:v>
                </c:pt>
                <c:pt idx="114">
                  <c:v>0.97102928765371876</c:v>
                </c:pt>
                <c:pt idx="115">
                  <c:v>0.94512253463223272</c:v>
                </c:pt>
                <c:pt idx="116">
                  <c:v>0.92076568619890642</c:v>
                </c:pt>
                <c:pt idx="117">
                  <c:v>0.89365014268613008</c:v>
                </c:pt>
                <c:pt idx="118">
                  <c:v>0.86809103541333377</c:v>
                </c:pt>
                <c:pt idx="119">
                  <c:v>0.84340679089701309</c:v>
                </c:pt>
                <c:pt idx="120">
                  <c:v>0.81532704526209576</c:v>
                </c:pt>
                <c:pt idx="121">
                  <c:v>0.78949329895218723</c:v>
                </c:pt>
                <c:pt idx="122">
                  <c:v>0.76517836315581134</c:v>
                </c:pt>
                <c:pt idx="123">
                  <c:v>0.74098941248656969</c:v>
                </c:pt>
                <c:pt idx="124">
                  <c:v>0.71552950432400797</c:v>
                </c:pt>
                <c:pt idx="125">
                  <c:v>0.69674443542099906</c:v>
                </c:pt>
                <c:pt idx="126">
                  <c:v>0.67210271125803045</c:v>
                </c:pt>
                <c:pt idx="127">
                  <c:v>0.52862664481721344</c:v>
                </c:pt>
                <c:pt idx="128">
                  <c:v>0.46094259582394903</c:v>
                </c:pt>
                <c:pt idx="129">
                  <c:v>0.38785056897762571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3-FF4E-8593-4A494345A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2160224"/>
        <c:axId val="-2022156912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7'!$EG$8:$EG$150</c:f>
              <c:numCache>
                <c:formatCode>0.000</c:formatCode>
                <c:ptCount val="143"/>
                <c:pt idx="7">
                  <c:v>5.4195406509585409</c:v>
                </c:pt>
                <c:pt idx="8">
                  <c:v>-8.1316758730067118</c:v>
                </c:pt>
                <c:pt idx="9">
                  <c:v>-18.394531847439836</c:v>
                </c:pt>
                <c:pt idx="10">
                  <c:v>-24.695976845197038</c:v>
                </c:pt>
                <c:pt idx="11">
                  <c:v>-10.65138128829911</c:v>
                </c:pt>
                <c:pt idx="12">
                  <c:v>-5.9892787746201748</c:v>
                </c:pt>
                <c:pt idx="13">
                  <c:v>-1.8437699289918186</c:v>
                </c:pt>
                <c:pt idx="14">
                  <c:v>-12.005924491810163</c:v>
                </c:pt>
                <c:pt idx="15">
                  <c:v>-13.680144254648866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-14.934827979861893</c:v>
                </c:pt>
                <c:pt idx="24">
                  <c:v>-5.4631381358665632</c:v>
                </c:pt>
                <c:pt idx="25">
                  <c:v>-8.0884284270011353</c:v>
                </c:pt>
                <c:pt idx="26">
                  <c:v>-5.6831329959123922</c:v>
                </c:pt>
                <c:pt idx="27">
                  <c:v>4.1839054688435162</c:v>
                </c:pt>
                <c:pt idx="28">
                  <c:v>-11.686428406674434</c:v>
                </c:pt>
                <c:pt idx="29">
                  <c:v>0</c:v>
                </c:pt>
                <c:pt idx="30">
                  <c:v>-8.3841064212432936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-13.86091696669579</c:v>
                </c:pt>
                <c:pt idx="35">
                  <c:v>-8.0755960410805105</c:v>
                </c:pt>
                <c:pt idx="36">
                  <c:v>-3.798904867642765</c:v>
                </c:pt>
                <c:pt idx="37">
                  <c:v>-0.95686504933702565</c:v>
                </c:pt>
                <c:pt idx="38">
                  <c:v>-3.1456925909300182</c:v>
                </c:pt>
                <c:pt idx="39">
                  <c:v>-3.020030762041106</c:v>
                </c:pt>
                <c:pt idx="40">
                  <c:v>-5.5699775531487106</c:v>
                </c:pt>
                <c:pt idx="41">
                  <c:v>-5.8996450647456555</c:v>
                </c:pt>
                <c:pt idx="42">
                  <c:v>-3.5767398137029938</c:v>
                </c:pt>
                <c:pt idx="43">
                  <c:v>-4.5512925890862688</c:v>
                </c:pt>
                <c:pt idx="44">
                  <c:v>-3.7774367011921406</c:v>
                </c:pt>
                <c:pt idx="45">
                  <c:v>-1.115077677420091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0.43422390507913633</c:v>
                </c:pt>
                <c:pt idx="51">
                  <c:v>-5.1649129679547023</c:v>
                </c:pt>
                <c:pt idx="52">
                  <c:v>6.3153638159846492</c:v>
                </c:pt>
                <c:pt idx="53">
                  <c:v>9.4155290821139204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11.547139143188097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-2.6824852694965351</c:v>
                </c:pt>
                <c:pt idx="62">
                  <c:v>2.357336890413686</c:v>
                </c:pt>
                <c:pt idx="63">
                  <c:v>0.96746017342390633</c:v>
                </c:pt>
                <c:pt idx="64">
                  <c:v>11.696818889693983</c:v>
                </c:pt>
                <c:pt idx="65">
                  <c:v>15.622743532361145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49.679999999999993</c:v>
                </c:pt>
                <c:pt idx="70">
                  <c:v>35.423999999999999</c:v>
                </c:pt>
                <c:pt idx="71">
                  <c:v>23.939984227144446</c:v>
                </c:pt>
                <c:pt idx="72">
                  <c:v>16.847999999999999</c:v>
                </c:pt>
                <c:pt idx="73">
                  <c:v>9.1872000000000007</c:v>
                </c:pt>
                <c:pt idx="74">
                  <c:v>9.7056000000000004</c:v>
                </c:pt>
                <c:pt idx="75">
                  <c:v>9.979199999999997</c:v>
                </c:pt>
                <c:pt idx="76">
                  <c:v>35.28</c:v>
                </c:pt>
                <c:pt idx="77">
                  <c:v>28.512</c:v>
                </c:pt>
                <c:pt idx="78">
                  <c:v>0</c:v>
                </c:pt>
                <c:pt idx="79">
                  <c:v>17.568000000000001</c:v>
                </c:pt>
                <c:pt idx="80">
                  <c:v>18.863999999999997</c:v>
                </c:pt>
                <c:pt idx="81">
                  <c:v>14.327999999999999</c:v>
                </c:pt>
                <c:pt idx="82">
                  <c:v>12.312000000000001</c:v>
                </c:pt>
                <c:pt idx="83">
                  <c:v>7.5455999999999985</c:v>
                </c:pt>
                <c:pt idx="84">
                  <c:v>0</c:v>
                </c:pt>
                <c:pt idx="85">
                  <c:v>0</c:v>
                </c:pt>
                <c:pt idx="86">
                  <c:v>13.881599999999999</c:v>
                </c:pt>
                <c:pt idx="87">
                  <c:v>9.863999999999999</c:v>
                </c:pt>
                <c:pt idx="88">
                  <c:v>6.3648000000000007</c:v>
                </c:pt>
                <c:pt idx="89">
                  <c:v>5.8607999999999993</c:v>
                </c:pt>
                <c:pt idx="90">
                  <c:v>7.8336000000000006</c:v>
                </c:pt>
                <c:pt idx="91">
                  <c:v>6.2783999999999995</c:v>
                </c:pt>
                <c:pt idx="92">
                  <c:v>5.4143999999999988</c:v>
                </c:pt>
                <c:pt idx="93">
                  <c:v>6.4511999999999992</c:v>
                </c:pt>
                <c:pt idx="94">
                  <c:v>11.059199999999997</c:v>
                </c:pt>
                <c:pt idx="95">
                  <c:v>9.3023999999999987</c:v>
                </c:pt>
                <c:pt idx="96">
                  <c:v>7.0991999999999988</c:v>
                </c:pt>
                <c:pt idx="97">
                  <c:v>6.0624000000000011</c:v>
                </c:pt>
                <c:pt idx="98">
                  <c:v>4.8527999999999993</c:v>
                </c:pt>
                <c:pt idx="99">
                  <c:v>3.6143999999999998</c:v>
                </c:pt>
                <c:pt idx="100">
                  <c:v>4.2255134218871415</c:v>
                </c:pt>
                <c:pt idx="101">
                  <c:v>4.2623999999999995</c:v>
                </c:pt>
                <c:pt idx="102">
                  <c:v>10.396800000000002</c:v>
                </c:pt>
                <c:pt idx="103">
                  <c:v>-0.26784000000000141</c:v>
                </c:pt>
                <c:pt idx="104">
                  <c:v>-0.12830399999999909</c:v>
                </c:pt>
                <c:pt idx="105">
                  <c:v>0.96191999999999833</c:v>
                </c:pt>
                <c:pt idx="106">
                  <c:v>1.8432000000000004</c:v>
                </c:pt>
                <c:pt idx="107">
                  <c:v>-0.38736000000000104</c:v>
                </c:pt>
                <c:pt idx="108">
                  <c:v>1.1231999999999998</c:v>
                </c:pt>
                <c:pt idx="109">
                  <c:v>3.0527999999999977</c:v>
                </c:pt>
                <c:pt idx="110">
                  <c:v>-1.7711999999999994</c:v>
                </c:pt>
                <c:pt idx="111">
                  <c:v>-0.48528000000000127</c:v>
                </c:pt>
                <c:pt idx="112">
                  <c:v>1.2844800000000012</c:v>
                </c:pt>
                <c:pt idx="113">
                  <c:v>-2.2319999999999984</c:v>
                </c:pt>
                <c:pt idx="114">
                  <c:v>-9.7775999999999996</c:v>
                </c:pt>
                <c:pt idx="115">
                  <c:v>-5.4576000000000002</c:v>
                </c:pt>
                <c:pt idx="116">
                  <c:v>-3.0527999999999977</c:v>
                </c:pt>
                <c:pt idx="117">
                  <c:v>-4.5359999999999978</c:v>
                </c:pt>
                <c:pt idx="118">
                  <c:v>-6.120000000000001</c:v>
                </c:pt>
                <c:pt idx="119">
                  <c:v>-9.3455999999999975</c:v>
                </c:pt>
                <c:pt idx="120">
                  <c:v>-1.2124800000000002</c:v>
                </c:pt>
                <c:pt idx="121">
                  <c:v>3.0384000000000011</c:v>
                </c:pt>
                <c:pt idx="122">
                  <c:v>16.992000000000001</c:v>
                </c:pt>
                <c:pt idx="123">
                  <c:v>-3.024</c:v>
                </c:pt>
                <c:pt idx="124">
                  <c:v>-2.6495999999999986</c:v>
                </c:pt>
                <c:pt idx="125">
                  <c:v>7.1711999999999998</c:v>
                </c:pt>
                <c:pt idx="126">
                  <c:v>2.8224000000000005</c:v>
                </c:pt>
                <c:pt idx="127">
                  <c:v>-11.664000000000003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-8.1523926848087029</c:v>
                </c:pt>
                <c:pt idx="132">
                  <c:v>-11.284992313921514</c:v>
                </c:pt>
                <c:pt idx="133">
                  <c:v>-5.7475286543238457</c:v>
                </c:pt>
                <c:pt idx="134">
                  <c:v>0.77648568323773759</c:v>
                </c:pt>
                <c:pt idx="135">
                  <c:v>2.0601248328500077</c:v>
                </c:pt>
                <c:pt idx="136">
                  <c:v>0.12393120948850367</c:v>
                </c:pt>
                <c:pt idx="137">
                  <c:v>0</c:v>
                </c:pt>
                <c:pt idx="138">
                  <c:v>-36.003676844405419</c:v>
                </c:pt>
                <c:pt idx="139">
                  <c:v>98.998975390870214</c:v>
                </c:pt>
                <c:pt idx="140">
                  <c:v>2.494474159773219</c:v>
                </c:pt>
                <c:pt idx="141">
                  <c:v>0.68098221495027644</c:v>
                </c:pt>
                <c:pt idx="142">
                  <c:v>-0.71840301957237784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53-FF4E-8593-4A494345A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2160224"/>
        <c:axId val="-2022156912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 w="9525"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7'!$EL$8:$EL$150</c:f>
              <c:numCache>
                <c:formatCode>0.0</c:formatCode>
                <c:ptCount val="143"/>
                <c:pt idx="0">
                  <c:v>0</c:v>
                </c:pt>
                <c:pt idx="1">
                  <c:v>127.800000000002</c:v>
                </c:pt>
                <c:pt idx="2">
                  <c:v>3.1842159959313361</c:v>
                </c:pt>
                <c:pt idx="3">
                  <c:v>11.4</c:v>
                </c:pt>
                <c:pt idx="4">
                  <c:v>24.049999999999976</c:v>
                </c:pt>
                <c:pt idx="5">
                  <c:v>25.749999999999925</c:v>
                </c:pt>
                <c:pt idx="6">
                  <c:v>2</c:v>
                </c:pt>
                <c:pt idx="7">
                  <c:v>10.466666666666667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2.0666666666666664</c:v>
                </c:pt>
                <c:pt idx="18">
                  <c:v>0.1</c:v>
                </c:pt>
                <c:pt idx="19">
                  <c:v>2.1</c:v>
                </c:pt>
                <c:pt idx="20">
                  <c:v>0.4</c:v>
                </c:pt>
                <c:pt idx="21">
                  <c:v>22.5</c:v>
                </c:pt>
                <c:pt idx="22">
                  <c:v>4.75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63.600000000000051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0.55000000000000004</c:v>
                </c:pt>
                <c:pt idx="48">
                  <c:v>2.4500000000000002</c:v>
                </c:pt>
                <c:pt idx="49">
                  <c:v>15.1</c:v>
                </c:pt>
                <c:pt idx="50">
                  <c:v>1.9500000000000002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1.6500000000000001</c:v>
                </c:pt>
                <c:pt idx="56">
                  <c:v>0.1</c:v>
                </c:pt>
                <c:pt idx="57">
                  <c:v>0.95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53-FF4E-8593-4A494345A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2192752"/>
        <c:axId val="-2022195424"/>
      </c:barChart>
      <c:dateAx>
        <c:axId val="-2022160224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22156912"/>
        <c:crossesAt val="0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22156912"/>
        <c:scaling>
          <c:orientation val="minMax"/>
          <c:max val="55"/>
          <c:min val="-30"/>
        </c:scaling>
        <c:delete val="0"/>
        <c:axPos val="l"/>
        <c:numFmt formatCode="General" sourceLinked="0"/>
        <c:majorTickMark val="in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22160224"/>
        <c:crosses val="autoZero"/>
        <c:crossBetween val="between"/>
        <c:majorUnit val="10"/>
      </c:valAx>
      <c:valAx>
        <c:axId val="-2022195424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-2022192752"/>
        <c:crosses val="max"/>
        <c:crossBetween val="between"/>
        <c:majorUnit val="50"/>
      </c:valAx>
      <c:dateAx>
        <c:axId val="-2022192752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2195424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031196581196598E-2"/>
          <c:y val="4.1182992883824002E-2"/>
          <c:w val="0.87293247863247903"/>
          <c:h val="0.77854029960998705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effectLst/>
          </c:spPr>
          <c:cat>
            <c:numRef>
              <c:f>'Figs 6 &amp; 7'!$DE$8:$DE$137</c:f>
              <c:numCache>
                <c:formatCode>m/d/yy</c:formatCode>
                <c:ptCount val="130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7'!$EJ$8:$EJ$149</c:f>
              <c:numCache>
                <c:formatCode>0.000</c:formatCode>
                <c:ptCount val="142"/>
                <c:pt idx="0" formatCode="General">
                  <c:v>3.402581022440164</c:v>
                </c:pt>
                <c:pt idx="1">
                  <c:v>3.5956143565567311</c:v>
                </c:pt>
                <c:pt idx="2" formatCode="General">
                  <c:v>3.7167159959313372</c:v>
                </c:pt>
                <c:pt idx="3" formatCode="General">
                  <c:v>3.9735063881024368</c:v>
                </c:pt>
                <c:pt idx="4" formatCode="General">
                  <c:v>4.0705503382091868</c:v>
                </c:pt>
                <c:pt idx="5" formatCode="General">
                  <c:v>4.0373947052086629</c:v>
                </c:pt>
                <c:pt idx="6" formatCode="General">
                  <c:v>3.9870924557679617</c:v>
                </c:pt>
                <c:pt idx="7">
                  <c:v>3.9363337677375876</c:v>
                </c:pt>
                <c:pt idx="8">
                  <c:v>3.8828229280280384</c:v>
                </c:pt>
                <c:pt idx="9">
                  <c:v>3.8284341775812392</c:v>
                </c:pt>
                <c:pt idx="10">
                  <c:v>3.7887409376518049</c:v>
                </c:pt>
                <c:pt idx="11">
                  <c:v>3.7360098576753265</c:v>
                </c:pt>
                <c:pt idx="12">
                  <c:v>3.6890624191981507</c:v>
                </c:pt>
                <c:pt idx="13">
                  <c:v>3.661432976246588</c:v>
                </c:pt>
                <c:pt idx="14">
                  <c:v>3.616246677812625</c:v>
                </c:pt>
                <c:pt idx="15">
                  <c:v>3.5651524038752909</c:v>
                </c:pt>
                <c:pt idx="16" formatCode="General">
                  <c:v>3.5144710094669973</c:v>
                </c:pt>
                <c:pt idx="17" formatCode="General">
                  <c:v>3.4816802121516313</c:v>
                </c:pt>
                <c:pt idx="18" formatCode="General">
                  <c:v>3.4474771477230091</c:v>
                </c:pt>
                <c:pt idx="19" formatCode="General">
                  <c:v>3.4445194843017637</c:v>
                </c:pt>
                <c:pt idx="20" formatCode="General">
                  <c:v>3.42052888955853</c:v>
                </c:pt>
                <c:pt idx="21" formatCode="General">
                  <c:v>3.3864530186407693</c:v>
                </c:pt>
                <c:pt idx="22" formatCode="General">
                  <c:v>3.3481487199818067</c:v>
                </c:pt>
                <c:pt idx="23">
                  <c:v>3.3074953411213714</c:v>
                </c:pt>
                <c:pt idx="24">
                  <c:v>3.2686184455944813</c:v>
                </c:pt>
                <c:pt idx="25">
                  <c:v>3.2278004524185606</c:v>
                </c:pt>
                <c:pt idx="26">
                  <c:v>3.1861161938040867</c:v>
                </c:pt>
                <c:pt idx="27">
                  <c:v>3.1516955413438135</c:v>
                </c:pt>
                <c:pt idx="28">
                  <c:v>3.1205748912332298</c:v>
                </c:pt>
                <c:pt idx="29" formatCode="General">
                  <c:v>3.0834939113679729</c:v>
                </c:pt>
                <c:pt idx="30">
                  <c:v>3.0417266236699829</c:v>
                </c:pt>
                <c:pt idx="31" formatCode="General">
                  <c:v>3.0008783584564283</c:v>
                </c:pt>
                <c:pt idx="32" formatCode="General">
                  <c:v>3.7856730516361816</c:v>
                </c:pt>
                <c:pt idx="33" formatCode="General">
                  <c:v>3.7786814440322791</c:v>
                </c:pt>
                <c:pt idx="34">
                  <c:v>3.7410401297129612</c:v>
                </c:pt>
                <c:pt idx="35">
                  <c:v>3.7009155743392244</c:v>
                </c:pt>
                <c:pt idx="36">
                  <c:v>3.660127233736076</c:v>
                </c:pt>
                <c:pt idx="37">
                  <c:v>3.6221720246773588</c:v>
                </c:pt>
                <c:pt idx="38">
                  <c:v>3.5806231540970943</c:v>
                </c:pt>
                <c:pt idx="39">
                  <c:v>3.5398139537621534</c:v>
                </c:pt>
                <c:pt idx="40">
                  <c:v>3.5004722295991852</c:v>
                </c:pt>
                <c:pt idx="41">
                  <c:v>3.4643587306052828</c:v>
                </c:pt>
                <c:pt idx="42">
                  <c:v>3.4180634391078977</c:v>
                </c:pt>
                <c:pt idx="43">
                  <c:v>3.3739726488416055</c:v>
                </c:pt>
                <c:pt idx="44">
                  <c:v>3.339745248059228</c:v>
                </c:pt>
                <c:pt idx="45">
                  <c:v>3.3122742858665228</c:v>
                </c:pt>
                <c:pt idx="46" formatCode="General">
                  <c:v>3.2755507692000672</c:v>
                </c:pt>
                <c:pt idx="47" formatCode="General">
                  <c:v>3.2615924910133449</c:v>
                </c:pt>
                <c:pt idx="48" formatCode="General">
                  <c:v>3.2337663033140762</c:v>
                </c:pt>
                <c:pt idx="49" formatCode="General">
                  <c:v>3.2027693677426976</c:v>
                </c:pt>
                <c:pt idx="50">
                  <c:v>3.1658550443621065</c:v>
                </c:pt>
                <c:pt idx="51">
                  <c:v>3.1260257992832949</c:v>
                </c:pt>
                <c:pt idx="52">
                  <c:v>3.0964350043176188</c:v>
                </c:pt>
                <c:pt idx="53">
                  <c:v>3.0696703853027509</c:v>
                </c:pt>
                <c:pt idx="54" formatCode="General">
                  <c:v>3.0310358193055391</c:v>
                </c:pt>
                <c:pt idx="55" formatCode="General">
                  <c:v>2.9960996280318719</c:v>
                </c:pt>
                <c:pt idx="56" formatCode="General">
                  <c:v>2.9535202734430692</c:v>
                </c:pt>
                <c:pt idx="57">
                  <c:v>2.9459572820543505</c:v>
                </c:pt>
                <c:pt idx="58">
                  <c:v>2.9589521919043884</c:v>
                </c:pt>
                <c:pt idx="59">
                  <c:v>2.9403162032028556</c:v>
                </c:pt>
                <c:pt idx="60" formatCode="General">
                  <c:v>2.9093452457095355</c:v>
                </c:pt>
                <c:pt idx="61">
                  <c:v>2.8816566978348677</c:v>
                </c:pt>
                <c:pt idx="62">
                  <c:v>2.8446575104730956</c:v>
                </c:pt>
                <c:pt idx="63">
                  <c:v>2.8065082253497939</c:v>
                </c:pt>
                <c:pt idx="64">
                  <c:v>2.7656875728895214</c:v>
                </c:pt>
                <c:pt idx="65">
                  <c:v>2.7222288895585303</c:v>
                </c:pt>
                <c:pt idx="66">
                  <c:v>2.677693310700648</c:v>
                </c:pt>
                <c:pt idx="67">
                  <c:v>2.6445738854216385</c:v>
                </c:pt>
                <c:pt idx="68">
                  <c:v>2.6126156048852236</c:v>
                </c:pt>
                <c:pt idx="69">
                  <c:v>2.5780434202106379</c:v>
                </c:pt>
                <c:pt idx="70">
                  <c:v>2.5453010906809608</c:v>
                </c:pt>
                <c:pt idx="71">
                  <c:v>2.5081965847504817</c:v>
                </c:pt>
                <c:pt idx="72">
                  <c:v>2.4690867673003689</c:v>
                </c:pt>
                <c:pt idx="73">
                  <c:v>2.4298540455995914</c:v>
                </c:pt>
                <c:pt idx="74">
                  <c:v>2.3931609988435225</c:v>
                </c:pt>
                <c:pt idx="75">
                  <c:v>2.3502505713273179</c:v>
                </c:pt>
                <c:pt idx="76">
                  <c:v>2.3023331858677993</c:v>
                </c:pt>
                <c:pt idx="77">
                  <c:v>2.2695798117067456</c:v>
                </c:pt>
                <c:pt idx="78" formatCode="General">
                  <c:v>2.2397538406777668</c:v>
                </c:pt>
                <c:pt idx="79">
                  <c:v>2.2115980098044945</c:v>
                </c:pt>
                <c:pt idx="80">
                  <c:v>2.1831853257985108</c:v>
                </c:pt>
                <c:pt idx="81">
                  <c:v>2.1525399177420583</c:v>
                </c:pt>
                <c:pt idx="82">
                  <c:v>2.1216223344097918</c:v>
                </c:pt>
                <c:pt idx="83">
                  <c:v>2.0977466778126255</c:v>
                </c:pt>
                <c:pt idx="84">
                  <c:v>2.0814663127128457</c:v>
                </c:pt>
                <c:pt idx="85">
                  <c:v>2.055550566627935</c:v>
                </c:pt>
                <c:pt idx="86">
                  <c:v>2.0289470923556623</c:v>
                </c:pt>
                <c:pt idx="87">
                  <c:v>2.0001311436986162</c:v>
                </c:pt>
                <c:pt idx="88">
                  <c:v>1.9718288942579132</c:v>
                </c:pt>
                <c:pt idx="89">
                  <c:v>1.94464341316156</c:v>
                </c:pt>
                <c:pt idx="90">
                  <c:v>1.9197092617073845</c:v>
                </c:pt>
                <c:pt idx="91">
                  <c:v>1.8912460747956057</c:v>
                </c:pt>
                <c:pt idx="92">
                  <c:v>1.8654438253549059</c:v>
                </c:pt>
                <c:pt idx="93">
                  <c:v>1.8430272572329993</c:v>
                </c:pt>
                <c:pt idx="94">
                  <c:v>1.8197387187570999</c:v>
                </c:pt>
                <c:pt idx="95">
                  <c:v>1.7965307456034256</c:v>
                </c:pt>
                <c:pt idx="96">
                  <c:v>1.7742712355360541</c:v>
                </c:pt>
                <c:pt idx="97">
                  <c:v>1.7503448476143439</c:v>
                </c:pt>
                <c:pt idx="98">
                  <c:v>1.7278583466082462</c:v>
                </c:pt>
                <c:pt idx="99">
                  <c:v>1.7063139702099981</c:v>
                </c:pt>
                <c:pt idx="100">
                  <c:v>1.6838859452633741</c:v>
                </c:pt>
                <c:pt idx="101">
                  <c:v>1.6634575198718646</c:v>
                </c:pt>
                <c:pt idx="102">
                  <c:v>1.6420783796036555</c:v>
                </c:pt>
                <c:pt idx="103">
                  <c:v>1.6201814463819708</c:v>
                </c:pt>
                <c:pt idx="104">
                  <c:v>1.5991260277020405</c:v>
                </c:pt>
                <c:pt idx="105">
                  <c:v>1.5776430056676023</c:v>
                </c:pt>
                <c:pt idx="106">
                  <c:v>1.5563562973899845</c:v>
                </c:pt>
                <c:pt idx="107">
                  <c:v>1.5351661054413257</c:v>
                </c:pt>
                <c:pt idx="108">
                  <c:v>1.5152657026467513</c:v>
                </c:pt>
                <c:pt idx="109">
                  <c:v>1.4951765329575299</c:v>
                </c:pt>
                <c:pt idx="110">
                  <c:v>1.4721573055512711</c:v>
                </c:pt>
                <c:pt idx="111">
                  <c:v>1.4525552539833169</c:v>
                </c:pt>
                <c:pt idx="112">
                  <c:v>1.4321198800472623</c:v>
                </c:pt>
                <c:pt idx="113">
                  <c:v>1.4101740691962346</c:v>
                </c:pt>
                <c:pt idx="114">
                  <c:v>1.3890292876537189</c:v>
                </c:pt>
                <c:pt idx="115">
                  <c:v>1.3675225346322315</c:v>
                </c:pt>
                <c:pt idx="116">
                  <c:v>1.3459656861989058</c:v>
                </c:pt>
                <c:pt idx="117">
                  <c:v>1.3257501426861293</c:v>
                </c:pt>
                <c:pt idx="118">
                  <c:v>1.3051910354133338</c:v>
                </c:pt>
                <c:pt idx="119">
                  <c:v>1.2847067908970122</c:v>
                </c:pt>
                <c:pt idx="120">
                  <c:v>1.2617270452620954</c:v>
                </c:pt>
                <c:pt idx="121">
                  <c:v>1.2418932989521871</c:v>
                </c:pt>
                <c:pt idx="122">
                  <c:v>1.2223783631558125</c:v>
                </c:pt>
                <c:pt idx="123">
                  <c:v>1.2017894124865713</c:v>
                </c:pt>
                <c:pt idx="124">
                  <c:v>1.1800295043240081</c:v>
                </c:pt>
                <c:pt idx="125">
                  <c:v>1.1658444354209991</c:v>
                </c:pt>
                <c:pt idx="126">
                  <c:v>1.1438027112580298</c:v>
                </c:pt>
                <c:pt idx="127">
                  <c:v>1.1231266448172126</c:v>
                </c:pt>
                <c:pt idx="128">
                  <c:v>1.1026425958239483</c:v>
                </c:pt>
                <c:pt idx="129">
                  <c:v>1.0823505689776245</c:v>
                </c:pt>
                <c:pt idx="130" formatCode="General">
                  <c:v>1.0625391168522911</c:v>
                </c:pt>
                <c:pt idx="131" formatCode="General">
                  <c:v>1.0506423909021234</c:v>
                </c:pt>
                <c:pt idx="132" formatCode="General">
                  <c:v>1.026062638218129</c:v>
                </c:pt>
                <c:pt idx="133" formatCode="General">
                  <c:v>1.0033861525348908</c:v>
                </c:pt>
                <c:pt idx="134" formatCode="General">
                  <c:v>0.98222602770204104</c:v>
                </c:pt>
                <c:pt idx="135" formatCode="General">
                  <c:v>0.95960209649255346</c:v>
                </c:pt>
                <c:pt idx="136" formatCode="General">
                  <c:v>1.0025532235625954</c:v>
                </c:pt>
                <c:pt idx="137" formatCode="General">
                  <c:v>0.9875569004070025</c:v>
                </c:pt>
                <c:pt idx="138" formatCode="General">
                  <c:v>0.96815792501613152</c:v>
                </c:pt>
                <c:pt idx="139" formatCode="General">
                  <c:v>0.98956345085635766</c:v>
                </c:pt>
                <c:pt idx="140" formatCode="General">
                  <c:v>0.8906824686414071</c:v>
                </c:pt>
                <c:pt idx="141" formatCode="General">
                  <c:v>0.62770087166098121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0-6145-8ED9-468FEF14C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159552"/>
        <c:axId val="-2025156304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7'!$EF$8:$EF$150</c:f>
              <c:numCache>
                <c:formatCode>0.000</c:formatCode>
                <c:ptCount val="143"/>
                <c:pt idx="7">
                  <c:v>32.727602890206306</c:v>
                </c:pt>
                <c:pt idx="8">
                  <c:v>33.176623044260182</c:v>
                </c:pt>
                <c:pt idx="9">
                  <c:v>35.923110136285523</c:v>
                </c:pt>
                <c:pt idx="10">
                  <c:v>43.428434144931025</c:v>
                </c:pt>
                <c:pt idx="11">
                  <c:v>27.474285785189856</c:v>
                </c:pt>
                <c:pt idx="12">
                  <c:v>39.255544551259106</c:v>
                </c:pt>
                <c:pt idx="13">
                  <c:v>34.074644537712253</c:v>
                </c:pt>
                <c:pt idx="14">
                  <c:v>10.890368485660638</c:v>
                </c:pt>
                <c:pt idx="15">
                  <c:v>24.57994398030959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24.099202472238549</c:v>
                </c:pt>
                <c:pt idx="24">
                  <c:v>25.849687140150813</c:v>
                </c:pt>
                <c:pt idx="25">
                  <c:v>23.572478895356632</c:v>
                </c:pt>
                <c:pt idx="26">
                  <c:v>24.177093906381547</c:v>
                </c:pt>
                <c:pt idx="27">
                  <c:v>24.786486742017047</c:v>
                </c:pt>
                <c:pt idx="28">
                  <c:v>19.24850952175975</c:v>
                </c:pt>
                <c:pt idx="29">
                  <c:v>0</c:v>
                </c:pt>
                <c:pt idx="30">
                  <c:v>25.352211692552665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-12.559589110109535</c:v>
                </c:pt>
                <c:pt idx="35">
                  <c:v>16.215926195515195</c:v>
                </c:pt>
                <c:pt idx="36">
                  <c:v>22.671957312482217</c:v>
                </c:pt>
                <c:pt idx="37">
                  <c:v>27.310272233608657</c:v>
                </c:pt>
                <c:pt idx="38">
                  <c:v>24.868161403737918</c:v>
                </c:pt>
                <c:pt idx="39">
                  <c:v>25.163349535879448</c:v>
                </c:pt>
                <c:pt idx="40">
                  <c:v>28.757220906537448</c:v>
                </c:pt>
                <c:pt idx="41">
                  <c:v>24.897078554911189</c:v>
                </c:pt>
                <c:pt idx="42">
                  <c:v>17.566663861910566</c:v>
                </c:pt>
                <c:pt idx="43">
                  <c:v>23.197106234509668</c:v>
                </c:pt>
                <c:pt idx="44">
                  <c:v>23.794553762568071</c:v>
                </c:pt>
                <c:pt idx="45">
                  <c:v>17.91424422455821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5.3413838918235657</c:v>
                </c:pt>
                <c:pt idx="51">
                  <c:v>11.272754696107125</c:v>
                </c:pt>
                <c:pt idx="52">
                  <c:v>15.340212544321057</c:v>
                </c:pt>
                <c:pt idx="53">
                  <c:v>5.80328799386439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21.596694523603741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7.7159145993558065</c:v>
                </c:pt>
                <c:pt idx="62">
                  <c:v>15.112910128221571</c:v>
                </c:pt>
                <c:pt idx="63">
                  <c:v>15.739227997893952</c:v>
                </c:pt>
                <c:pt idx="64">
                  <c:v>16.099028971229743</c:v>
                </c:pt>
                <c:pt idx="65">
                  <c:v>17.906845772023495</c:v>
                </c:pt>
                <c:pt idx="66">
                  <c:v>20.015187029673591</c:v>
                </c:pt>
                <c:pt idx="67">
                  <c:v>29.193934360205994</c:v>
                </c:pt>
                <c:pt idx="68">
                  <c:v>15.777037055302722</c:v>
                </c:pt>
                <c:pt idx="69">
                  <c:v>14.864436727347067</c:v>
                </c:pt>
                <c:pt idx="70">
                  <c:v>14.098371767342979</c:v>
                </c:pt>
                <c:pt idx="71">
                  <c:v>14.931207691465183</c:v>
                </c:pt>
                <c:pt idx="72">
                  <c:v>11.733069915397628</c:v>
                </c:pt>
                <c:pt idx="73">
                  <c:v>13.886855674006373</c:v>
                </c:pt>
                <c:pt idx="74">
                  <c:v>20.090834447837604</c:v>
                </c:pt>
                <c:pt idx="75">
                  <c:v>9.7471852729933239</c:v>
                </c:pt>
                <c:pt idx="76">
                  <c:v>20.57219192980299</c:v>
                </c:pt>
                <c:pt idx="77">
                  <c:v>22.945082383726032</c:v>
                </c:pt>
                <c:pt idx="78">
                  <c:v>0</c:v>
                </c:pt>
                <c:pt idx="79">
                  <c:v>8.1305602069430769</c:v>
                </c:pt>
                <c:pt idx="80">
                  <c:v>8.602693996792393</c:v>
                </c:pt>
                <c:pt idx="81">
                  <c:v>10.946237297955292</c:v>
                </c:pt>
                <c:pt idx="82">
                  <c:v>13.589583779788438</c:v>
                </c:pt>
                <c:pt idx="83">
                  <c:v>12.228366820038495</c:v>
                </c:pt>
                <c:pt idx="84">
                  <c:v>0</c:v>
                </c:pt>
                <c:pt idx="85">
                  <c:v>0</c:v>
                </c:pt>
                <c:pt idx="86">
                  <c:v>13.373785779760111</c:v>
                </c:pt>
                <c:pt idx="87">
                  <c:v>12.449419530532712</c:v>
                </c:pt>
                <c:pt idx="88">
                  <c:v>10.391201934159273</c:v>
                </c:pt>
                <c:pt idx="89">
                  <c:v>10.384080211698601</c:v>
                </c:pt>
                <c:pt idx="90">
                  <c:v>7.2196983464759823</c:v>
                </c:pt>
                <c:pt idx="91">
                  <c:v>13.419423188444295</c:v>
                </c:pt>
                <c:pt idx="92">
                  <c:v>13.272920470254473</c:v>
                </c:pt>
                <c:pt idx="93">
                  <c:v>10.102926714582253</c:v>
                </c:pt>
                <c:pt idx="94">
                  <c:v>10.201309896267592</c:v>
                </c:pt>
                <c:pt idx="95">
                  <c:v>7.4483004024267156</c:v>
                </c:pt>
                <c:pt idx="96">
                  <c:v>5.6576661193491162</c:v>
                </c:pt>
                <c:pt idx="97">
                  <c:v>5.681634476832464</c:v>
                </c:pt>
                <c:pt idx="98">
                  <c:v>5.9808424612383941</c:v>
                </c:pt>
                <c:pt idx="99">
                  <c:v>5.2868427880805724</c:v>
                </c:pt>
                <c:pt idx="100">
                  <c:v>3.4658347167495518</c:v>
                </c:pt>
                <c:pt idx="101">
                  <c:v>3.4718426852914019</c:v>
                </c:pt>
                <c:pt idx="102">
                  <c:v>-4.7807999999999984</c:v>
                </c:pt>
                <c:pt idx="103">
                  <c:v>-1.5983999999999998</c:v>
                </c:pt>
                <c:pt idx="104">
                  <c:v>-4.104000000000001</c:v>
                </c:pt>
                <c:pt idx="105">
                  <c:v>-2.4191999999999991</c:v>
                </c:pt>
                <c:pt idx="106">
                  <c:v>-2.3328000000000015</c:v>
                </c:pt>
                <c:pt idx="107">
                  <c:v>-0.7185599999999992</c:v>
                </c:pt>
                <c:pt idx="108">
                  <c:v>-1.4371199999999984</c:v>
                </c:pt>
                <c:pt idx="109">
                  <c:v>-0.63072000000000017</c:v>
                </c:pt>
                <c:pt idx="110">
                  <c:v>0.5731200000000003</c:v>
                </c:pt>
                <c:pt idx="111">
                  <c:v>1.1203200000000013</c:v>
                </c:pt>
                <c:pt idx="112">
                  <c:v>-7.128000000000001</c:v>
                </c:pt>
                <c:pt idx="113">
                  <c:v>-6.6528000000000009</c:v>
                </c:pt>
                <c:pt idx="114">
                  <c:v>0</c:v>
                </c:pt>
                <c:pt idx="115">
                  <c:v>0</c:v>
                </c:pt>
                <c:pt idx="116">
                  <c:v>-8.7696000000000005</c:v>
                </c:pt>
                <c:pt idx="117">
                  <c:v>-9.8352000000000004</c:v>
                </c:pt>
                <c:pt idx="118">
                  <c:v>0</c:v>
                </c:pt>
                <c:pt idx="119">
                  <c:v>-9.8064000000000018</c:v>
                </c:pt>
                <c:pt idx="120">
                  <c:v>-0.8524799999999999</c:v>
                </c:pt>
                <c:pt idx="121">
                  <c:v>1.2196799999999985</c:v>
                </c:pt>
                <c:pt idx="122">
                  <c:v>7.4015999999999993</c:v>
                </c:pt>
                <c:pt idx="123">
                  <c:v>2.2320000000000007</c:v>
                </c:pt>
                <c:pt idx="124">
                  <c:v>1.9584000000000001</c:v>
                </c:pt>
                <c:pt idx="125">
                  <c:v>5.2127999999999997</c:v>
                </c:pt>
                <c:pt idx="126">
                  <c:v>7.6608000000000231E-2</c:v>
                </c:pt>
                <c:pt idx="127">
                  <c:v>-1.3852799999999998</c:v>
                </c:pt>
                <c:pt idx="128">
                  <c:v>0.30095999999999901</c:v>
                </c:pt>
                <c:pt idx="129">
                  <c:v>1.6847999999999996</c:v>
                </c:pt>
                <c:pt idx="130">
                  <c:v>20.292026846323807</c:v>
                </c:pt>
                <c:pt idx="131">
                  <c:v>9.8580265541425049</c:v>
                </c:pt>
                <c:pt idx="132">
                  <c:v>7.6508881643504392</c:v>
                </c:pt>
                <c:pt idx="133">
                  <c:v>6.1346515411690099</c:v>
                </c:pt>
                <c:pt idx="134">
                  <c:v>22.676485683238212</c:v>
                </c:pt>
                <c:pt idx="135">
                  <c:v>21.160124832849792</c:v>
                </c:pt>
                <c:pt idx="136">
                  <c:v>22.62393120948758</c:v>
                </c:pt>
                <c:pt idx="137">
                  <c:v>0</c:v>
                </c:pt>
                <c:pt idx="138">
                  <c:v>14.996323155592851</c:v>
                </c:pt>
                <c:pt idx="139">
                  <c:v>19.398975390870987</c:v>
                </c:pt>
                <c:pt idx="140">
                  <c:v>-21.405525840226147</c:v>
                </c:pt>
                <c:pt idx="141">
                  <c:v>98.880982214950564</c:v>
                </c:pt>
                <c:pt idx="142">
                  <c:v>262.98159698042588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0-6145-8ED9-468FEF14C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5159552"/>
        <c:axId val="-2025156304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 w="9525"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7'!$EL$8:$EL$150</c:f>
              <c:numCache>
                <c:formatCode>0.0</c:formatCode>
                <c:ptCount val="143"/>
                <c:pt idx="0">
                  <c:v>0</c:v>
                </c:pt>
                <c:pt idx="1">
                  <c:v>127.800000000002</c:v>
                </c:pt>
                <c:pt idx="2">
                  <c:v>3.1842159959313361</c:v>
                </c:pt>
                <c:pt idx="3">
                  <c:v>11.4</c:v>
                </c:pt>
                <c:pt idx="4">
                  <c:v>24.049999999999976</c:v>
                </c:pt>
                <c:pt idx="5">
                  <c:v>25.749999999999925</c:v>
                </c:pt>
                <c:pt idx="6">
                  <c:v>2</c:v>
                </c:pt>
                <c:pt idx="7">
                  <c:v>10.466666666666667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2.0666666666666664</c:v>
                </c:pt>
                <c:pt idx="18">
                  <c:v>0.1</c:v>
                </c:pt>
                <c:pt idx="19">
                  <c:v>2.1</c:v>
                </c:pt>
                <c:pt idx="20">
                  <c:v>0.4</c:v>
                </c:pt>
                <c:pt idx="21">
                  <c:v>22.5</c:v>
                </c:pt>
                <c:pt idx="22">
                  <c:v>4.75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63.600000000000051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0.55000000000000004</c:v>
                </c:pt>
                <c:pt idx="48">
                  <c:v>2.4500000000000002</c:v>
                </c:pt>
                <c:pt idx="49">
                  <c:v>15.1</c:v>
                </c:pt>
                <c:pt idx="50">
                  <c:v>1.9500000000000002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1.6500000000000001</c:v>
                </c:pt>
                <c:pt idx="56">
                  <c:v>0.1</c:v>
                </c:pt>
                <c:pt idx="57">
                  <c:v>0.95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B0-6145-8ED9-468FEF14C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5183616"/>
        <c:axId val="-2025186592"/>
      </c:barChart>
      <c:dateAx>
        <c:axId val="-2025159552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25156304"/>
        <c:crossesAt val="0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25156304"/>
        <c:scaling>
          <c:orientation val="minMax"/>
          <c:max val="55"/>
          <c:min val="-30"/>
        </c:scaling>
        <c:delete val="0"/>
        <c:axPos val="l"/>
        <c:numFmt formatCode="General" sourceLinked="0"/>
        <c:majorTickMark val="in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25159552"/>
        <c:crosses val="autoZero"/>
        <c:crossBetween val="between"/>
        <c:majorUnit val="10"/>
      </c:valAx>
      <c:valAx>
        <c:axId val="-2025186592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-2025183616"/>
        <c:crosses val="max"/>
        <c:crossBetween val="between"/>
        <c:majorUnit val="50"/>
      </c:valAx>
      <c:dateAx>
        <c:axId val="-2025183616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5186592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031196581196598E-2"/>
          <c:y val="4.1182992883824002E-2"/>
          <c:w val="0.87293247863247903"/>
          <c:h val="0.77854029960998705"/>
        </c:manualLayout>
      </c:layout>
      <c:areaChart>
        <c:grouping val="stacke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effectLst/>
          </c:spPr>
          <c:cat>
            <c:strRef>
              <c:f>'Figs 6 &amp; 7'!$CN$28:$CN$124</c:f>
              <c:strCache>
                <c:ptCount val="97"/>
                <c:pt idx="0">
                  <c:v>10-16</c:v>
                </c:pt>
                <c:pt idx="1">
                  <c:v>10-17</c:v>
                </c:pt>
                <c:pt idx="2">
                  <c:v>10-18</c:v>
                </c:pt>
                <c:pt idx="3">
                  <c:v>10-19</c:v>
                </c:pt>
                <c:pt idx="4">
                  <c:v>10-20</c:v>
                </c:pt>
                <c:pt idx="5">
                  <c:v>10-21</c:v>
                </c:pt>
                <c:pt idx="6">
                  <c:v>10-22</c:v>
                </c:pt>
                <c:pt idx="7">
                  <c:v>10-23</c:v>
                </c:pt>
                <c:pt idx="8">
                  <c:v>10-24</c:v>
                </c:pt>
                <c:pt idx="9">
                  <c:v>10-25</c:v>
                </c:pt>
                <c:pt idx="10">
                  <c:v>10-26</c:v>
                </c:pt>
                <c:pt idx="11">
                  <c:v>10-27</c:v>
                </c:pt>
                <c:pt idx="12">
                  <c:v>10-28</c:v>
                </c:pt>
                <c:pt idx="13">
                  <c:v>10-29</c:v>
                </c:pt>
                <c:pt idx="14">
                  <c:v>10-30</c:v>
                </c:pt>
                <c:pt idx="15">
                  <c:v>10-31</c:v>
                </c:pt>
                <c:pt idx="16">
                  <c:v>11-1</c:v>
                </c:pt>
                <c:pt idx="17">
                  <c:v>11-2</c:v>
                </c:pt>
                <c:pt idx="18">
                  <c:v>11-3</c:v>
                </c:pt>
                <c:pt idx="19">
                  <c:v>11-4</c:v>
                </c:pt>
                <c:pt idx="20">
                  <c:v>11-5</c:v>
                </c:pt>
                <c:pt idx="21">
                  <c:v>11-6</c:v>
                </c:pt>
                <c:pt idx="22">
                  <c:v>11-7</c:v>
                </c:pt>
                <c:pt idx="23">
                  <c:v>11-8</c:v>
                </c:pt>
                <c:pt idx="24">
                  <c:v>11-9</c:v>
                </c:pt>
                <c:pt idx="25">
                  <c:v>11-10</c:v>
                </c:pt>
                <c:pt idx="26">
                  <c:v>11-11</c:v>
                </c:pt>
                <c:pt idx="27">
                  <c:v>11-12</c:v>
                </c:pt>
                <c:pt idx="28">
                  <c:v>11-13</c:v>
                </c:pt>
                <c:pt idx="29">
                  <c:v>11-14</c:v>
                </c:pt>
                <c:pt idx="30">
                  <c:v>11-15</c:v>
                </c:pt>
                <c:pt idx="31">
                  <c:v>11-16</c:v>
                </c:pt>
                <c:pt idx="32">
                  <c:v>11-17</c:v>
                </c:pt>
                <c:pt idx="33">
                  <c:v>11-18</c:v>
                </c:pt>
                <c:pt idx="34">
                  <c:v>11-19</c:v>
                </c:pt>
                <c:pt idx="35">
                  <c:v>11-20</c:v>
                </c:pt>
                <c:pt idx="36">
                  <c:v>11-21</c:v>
                </c:pt>
                <c:pt idx="37">
                  <c:v>11-22</c:v>
                </c:pt>
                <c:pt idx="38">
                  <c:v>11-23</c:v>
                </c:pt>
                <c:pt idx="39">
                  <c:v>11-24</c:v>
                </c:pt>
                <c:pt idx="40">
                  <c:v>11-25</c:v>
                </c:pt>
                <c:pt idx="41">
                  <c:v>11-26</c:v>
                </c:pt>
                <c:pt idx="42">
                  <c:v>11-27</c:v>
                </c:pt>
                <c:pt idx="43">
                  <c:v>11-28</c:v>
                </c:pt>
                <c:pt idx="44">
                  <c:v>11-29</c:v>
                </c:pt>
                <c:pt idx="45">
                  <c:v>11-30</c:v>
                </c:pt>
                <c:pt idx="46">
                  <c:v>12-1</c:v>
                </c:pt>
                <c:pt idx="47">
                  <c:v>12-2</c:v>
                </c:pt>
                <c:pt idx="48">
                  <c:v>12-3</c:v>
                </c:pt>
                <c:pt idx="49">
                  <c:v>12-4</c:v>
                </c:pt>
                <c:pt idx="50">
                  <c:v>12-5</c:v>
                </c:pt>
                <c:pt idx="51">
                  <c:v>12-6</c:v>
                </c:pt>
                <c:pt idx="52">
                  <c:v>12-7</c:v>
                </c:pt>
                <c:pt idx="53">
                  <c:v>12-8</c:v>
                </c:pt>
                <c:pt idx="54">
                  <c:v>12-9</c:v>
                </c:pt>
                <c:pt idx="55">
                  <c:v>12-10</c:v>
                </c:pt>
                <c:pt idx="56">
                  <c:v>12-11</c:v>
                </c:pt>
                <c:pt idx="57">
                  <c:v>12-12</c:v>
                </c:pt>
                <c:pt idx="58">
                  <c:v>12-13</c:v>
                </c:pt>
                <c:pt idx="59">
                  <c:v>12-14</c:v>
                </c:pt>
                <c:pt idx="60">
                  <c:v>12-15</c:v>
                </c:pt>
                <c:pt idx="61">
                  <c:v>12-16</c:v>
                </c:pt>
                <c:pt idx="62">
                  <c:v>12-17</c:v>
                </c:pt>
                <c:pt idx="63">
                  <c:v>12-18</c:v>
                </c:pt>
                <c:pt idx="64">
                  <c:v>12-19</c:v>
                </c:pt>
                <c:pt idx="65">
                  <c:v>12-20</c:v>
                </c:pt>
                <c:pt idx="66">
                  <c:v>12-21</c:v>
                </c:pt>
                <c:pt idx="67">
                  <c:v>12-22</c:v>
                </c:pt>
                <c:pt idx="68">
                  <c:v>12-23</c:v>
                </c:pt>
                <c:pt idx="69">
                  <c:v>12-24</c:v>
                </c:pt>
                <c:pt idx="70">
                  <c:v>12-25</c:v>
                </c:pt>
                <c:pt idx="71">
                  <c:v>12-26</c:v>
                </c:pt>
                <c:pt idx="72">
                  <c:v>12-27</c:v>
                </c:pt>
                <c:pt idx="73">
                  <c:v>12-28</c:v>
                </c:pt>
                <c:pt idx="74">
                  <c:v>12-29</c:v>
                </c:pt>
                <c:pt idx="75">
                  <c:v>12-30</c:v>
                </c:pt>
                <c:pt idx="76">
                  <c:v>12-31</c:v>
                </c:pt>
                <c:pt idx="77">
                  <c:v>1-1</c:v>
                </c:pt>
                <c:pt idx="78">
                  <c:v>1-2</c:v>
                </c:pt>
                <c:pt idx="79">
                  <c:v>1-3</c:v>
                </c:pt>
                <c:pt idx="80">
                  <c:v>1-4</c:v>
                </c:pt>
                <c:pt idx="81">
                  <c:v>1-5</c:v>
                </c:pt>
                <c:pt idx="82">
                  <c:v>1-6</c:v>
                </c:pt>
                <c:pt idx="83">
                  <c:v>1-7</c:v>
                </c:pt>
                <c:pt idx="84">
                  <c:v>1-8</c:v>
                </c:pt>
                <c:pt idx="85">
                  <c:v>1-9</c:v>
                </c:pt>
                <c:pt idx="86">
                  <c:v>1-10</c:v>
                </c:pt>
                <c:pt idx="87">
                  <c:v>1-11</c:v>
                </c:pt>
                <c:pt idx="88">
                  <c:v>1-12</c:v>
                </c:pt>
                <c:pt idx="89">
                  <c:v>1-13</c:v>
                </c:pt>
                <c:pt idx="90">
                  <c:v>1-14</c:v>
                </c:pt>
                <c:pt idx="91">
                  <c:v>1-15</c:v>
                </c:pt>
                <c:pt idx="92">
                  <c:v>1-16</c:v>
                </c:pt>
                <c:pt idx="93">
                  <c:v>1-17</c:v>
                </c:pt>
                <c:pt idx="94">
                  <c:v>1-18</c:v>
                </c:pt>
                <c:pt idx="95">
                  <c:v>1-19</c:v>
                </c:pt>
                <c:pt idx="96">
                  <c:v>1-20</c:v>
                </c:pt>
              </c:strCache>
            </c:strRef>
          </c:cat>
          <c:val>
            <c:numRef>
              <c:f>'Figs 6 &amp; 7'!$EH$8:$EH$103</c:f>
              <c:numCache>
                <c:formatCode>0.000</c:formatCode>
                <c:ptCount val="96"/>
                <c:pt idx="0" formatCode="General">
                  <c:v>3.001481022440164</c:v>
                </c:pt>
                <c:pt idx="1">
                  <c:v>3.0295143565567302</c:v>
                </c:pt>
                <c:pt idx="2" formatCode="General">
                  <c:v>3.1842159959313361</c:v>
                </c:pt>
                <c:pt idx="3" formatCode="General">
                  <c:v>3.1727063881024375</c:v>
                </c:pt>
                <c:pt idx="4" formatCode="General">
                  <c:v>3.1319503382091853</c:v>
                </c:pt>
                <c:pt idx="5" formatCode="General">
                  <c:v>3.0868947052086626</c:v>
                </c:pt>
                <c:pt idx="6" formatCode="General">
                  <c:v>3.0421924557679625</c:v>
                </c:pt>
                <c:pt idx="7">
                  <c:v>2.9996337677375871</c:v>
                </c:pt>
                <c:pt idx="8">
                  <c:v>2.9609229280280371</c:v>
                </c:pt>
                <c:pt idx="9">
                  <c:v>2.9154341775812385</c:v>
                </c:pt>
                <c:pt idx="10">
                  <c:v>2.8776409376518033</c:v>
                </c:pt>
                <c:pt idx="11">
                  <c:v>2.8401098576753268</c:v>
                </c:pt>
                <c:pt idx="12">
                  <c:v>2.7989624191981517</c:v>
                </c:pt>
                <c:pt idx="13">
                  <c:v>2.7607329762465871</c:v>
                </c:pt>
                <c:pt idx="14">
                  <c:v>2.7228466778126248</c:v>
                </c:pt>
                <c:pt idx="15">
                  <c:v>2.6960524038752909</c:v>
                </c:pt>
                <c:pt idx="16" formatCode="General">
                  <c:v>2.6588710094669961</c:v>
                </c:pt>
                <c:pt idx="17" formatCode="General">
                  <c:v>2.6246802121516297</c:v>
                </c:pt>
                <c:pt idx="18" formatCode="General">
                  <c:v>2.5902771477230098</c:v>
                </c:pt>
                <c:pt idx="19" formatCode="General">
                  <c:v>2.6102194843017643</c:v>
                </c:pt>
                <c:pt idx="20" formatCode="General">
                  <c:v>2.6013288895585291</c:v>
                </c:pt>
                <c:pt idx="21" formatCode="General">
                  <c:v>2.56585301864077</c:v>
                </c:pt>
                <c:pt idx="22" formatCode="General">
                  <c:v>2.531948719981806</c:v>
                </c:pt>
                <c:pt idx="23">
                  <c:v>2.4993953411213714</c:v>
                </c:pt>
                <c:pt idx="24">
                  <c:v>2.4632184455944803</c:v>
                </c:pt>
                <c:pt idx="25">
                  <c:v>2.4248004524185611</c:v>
                </c:pt>
                <c:pt idx="26">
                  <c:v>2.3878161938040869</c:v>
                </c:pt>
                <c:pt idx="27">
                  <c:v>2.3528955413438131</c:v>
                </c:pt>
                <c:pt idx="28">
                  <c:v>2.3232748912332295</c:v>
                </c:pt>
                <c:pt idx="29" formatCode="General">
                  <c:v>2.2819939113679717</c:v>
                </c:pt>
                <c:pt idx="30">
                  <c:v>2.2373266236699831</c:v>
                </c:pt>
                <c:pt idx="31" formatCode="General">
                  <c:v>2.1916783584564272</c:v>
                </c:pt>
                <c:pt idx="32" formatCode="General">
                  <c:v>2.2556730516361818</c:v>
                </c:pt>
                <c:pt idx="33" formatCode="General">
                  <c:v>2.2130814440322788</c:v>
                </c:pt>
                <c:pt idx="34">
                  <c:v>2.1686401297129607</c:v>
                </c:pt>
                <c:pt idx="35">
                  <c:v>2.1246155743392241</c:v>
                </c:pt>
                <c:pt idx="36">
                  <c:v>2.0702272337360754</c:v>
                </c:pt>
                <c:pt idx="37">
                  <c:v>2.0150720246773575</c:v>
                </c:pt>
                <c:pt idx="38">
                  <c:v>1.9673231540970932</c:v>
                </c:pt>
                <c:pt idx="39">
                  <c:v>1.919013953762152</c:v>
                </c:pt>
                <c:pt idx="40">
                  <c:v>1.8739722295991847</c:v>
                </c:pt>
                <c:pt idx="41">
                  <c:v>1.8367587306052831</c:v>
                </c:pt>
                <c:pt idx="42">
                  <c:v>1.7994634391078965</c:v>
                </c:pt>
                <c:pt idx="43">
                  <c:v>1.7632726488416055</c:v>
                </c:pt>
                <c:pt idx="44">
                  <c:v>1.7149452480592271</c:v>
                </c:pt>
                <c:pt idx="45">
                  <c:v>1.6719742858665225</c:v>
                </c:pt>
                <c:pt idx="46" formatCode="General">
                  <c:v>1.638650769200066</c:v>
                </c:pt>
                <c:pt idx="47" formatCode="General">
                  <c:v>1.6298924910133441</c:v>
                </c:pt>
                <c:pt idx="48" formatCode="General">
                  <c:v>1.5979663033140761</c:v>
                </c:pt>
                <c:pt idx="49" formatCode="General">
                  <c:v>1.567169367742697</c:v>
                </c:pt>
                <c:pt idx="50">
                  <c:v>1.5350550443621054</c:v>
                </c:pt>
                <c:pt idx="51">
                  <c:v>1.5037257992832953</c:v>
                </c:pt>
                <c:pt idx="52">
                  <c:v>1.4761350043176198</c:v>
                </c:pt>
                <c:pt idx="53">
                  <c:v>1.4483703853027508</c:v>
                </c:pt>
                <c:pt idx="54" formatCode="General">
                  <c:v>1.4215358193055381</c:v>
                </c:pt>
                <c:pt idx="55" formatCode="General">
                  <c:v>1.394499628031872</c:v>
                </c:pt>
                <c:pt idx="56" formatCode="General">
                  <c:v>1.3708202734430697</c:v>
                </c:pt>
                <c:pt idx="57">
                  <c:v>1.3670572820543492</c:v>
                </c:pt>
                <c:pt idx="58">
                  <c:v>1.3745521919043875</c:v>
                </c:pt>
                <c:pt idx="59">
                  <c:v>1.3461162032028562</c:v>
                </c:pt>
                <c:pt idx="60" formatCode="General">
                  <c:v>1.3168452457095339</c:v>
                </c:pt>
                <c:pt idx="61">
                  <c:v>1.2877566978348676</c:v>
                </c:pt>
                <c:pt idx="62">
                  <c:v>1.2599575104730953</c:v>
                </c:pt>
                <c:pt idx="63">
                  <c:v>1.2310082253497936</c:v>
                </c:pt>
                <c:pt idx="64">
                  <c:v>1.2057875728895202</c:v>
                </c:pt>
                <c:pt idx="65">
                  <c:v>1.1813288895585292</c:v>
                </c:pt>
                <c:pt idx="66">
                  <c:v>1.1558933107006486</c:v>
                </c:pt>
                <c:pt idx="67">
                  <c:v>1.1294738854216377</c:v>
                </c:pt>
                <c:pt idx="68">
                  <c:v>1.1028156048852229</c:v>
                </c:pt>
                <c:pt idx="69">
                  <c:v>1.0784434202106383</c:v>
                </c:pt>
                <c:pt idx="70">
                  <c:v>1.0514010906809603</c:v>
                </c:pt>
                <c:pt idx="71">
                  <c:v>1.0209965847504816</c:v>
                </c:pt>
                <c:pt idx="72">
                  <c:v>0.99228676730036958</c:v>
                </c:pt>
                <c:pt idx="73">
                  <c:v>0.96585404559959065</c:v>
                </c:pt>
                <c:pt idx="74">
                  <c:v>0.94686099884352315</c:v>
                </c:pt>
                <c:pt idx="75">
                  <c:v>0.92725057132731747</c:v>
                </c:pt>
                <c:pt idx="76">
                  <c:v>0.90683318586779882</c:v>
                </c:pt>
                <c:pt idx="77">
                  <c:v>0.88597981170674578</c:v>
                </c:pt>
                <c:pt idx="78" formatCode="General">
                  <c:v>0.85625384067776678</c:v>
                </c:pt>
                <c:pt idx="79">
                  <c:v>0.82819800980449421</c:v>
                </c:pt>
                <c:pt idx="80">
                  <c:v>0.79448532579851039</c:v>
                </c:pt>
                <c:pt idx="81">
                  <c:v>0.76523991774205824</c:v>
                </c:pt>
                <c:pt idx="82">
                  <c:v>0.74332233440979012</c:v>
                </c:pt>
                <c:pt idx="83">
                  <c:v>0.72644667781262529</c:v>
                </c:pt>
                <c:pt idx="84">
                  <c:v>0.72156631271284555</c:v>
                </c:pt>
                <c:pt idx="85">
                  <c:v>0.70435056662793416</c:v>
                </c:pt>
                <c:pt idx="86">
                  <c:v>0.681747092355661</c:v>
                </c:pt>
                <c:pt idx="87">
                  <c:v>0.65773114369861618</c:v>
                </c:pt>
                <c:pt idx="88">
                  <c:v>0.61232889425791415</c:v>
                </c:pt>
                <c:pt idx="89">
                  <c:v>0.53664341316156028</c:v>
                </c:pt>
                <c:pt idx="90">
                  <c:v>0.45490926170738405</c:v>
                </c:pt>
                <c:pt idx="91">
                  <c:v>0.40644607479560563</c:v>
                </c:pt>
                <c:pt idx="92">
                  <c:v>0.30954382535490638</c:v>
                </c:pt>
                <c:pt idx="93">
                  <c:v>0.21282725723299883</c:v>
                </c:pt>
                <c:pt idx="94">
                  <c:v>0.21143871875709991</c:v>
                </c:pt>
                <c:pt idx="95">
                  <c:v>0.20533074560342485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D-0747-AE31-CF9EE0330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002368"/>
        <c:axId val="-2024998672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7'!$DZ$8:$DZ$150</c:f>
              <c:numCache>
                <c:formatCode>0.000</c:formatCode>
                <c:ptCount val="143"/>
                <c:pt idx="7">
                  <c:v>1.4154516202041334</c:v>
                </c:pt>
                <c:pt idx="8">
                  <c:v>1.2480904203521725</c:v>
                </c:pt>
                <c:pt idx="9">
                  <c:v>0.9101579654641454</c:v>
                </c:pt>
                <c:pt idx="10">
                  <c:v>1.6341429045416045</c:v>
                </c:pt>
                <c:pt idx="11">
                  <c:v>0.913093895886675</c:v>
                </c:pt>
                <c:pt idx="12">
                  <c:v>0.93359198423635403</c:v>
                </c:pt>
                <c:pt idx="13">
                  <c:v>1.2573000756535802</c:v>
                </c:pt>
                <c:pt idx="14">
                  <c:v>0.92911168399625987</c:v>
                </c:pt>
                <c:pt idx="15">
                  <c:v>0.91881907975527088</c:v>
                </c:pt>
                <c:pt idx="23">
                  <c:v>0.6839133827870354</c:v>
                </c:pt>
                <c:pt idx="24">
                  <c:v>0.5740736246635314</c:v>
                </c:pt>
                <c:pt idx="25">
                  <c:v>0.9615609672864438</c:v>
                </c:pt>
                <c:pt idx="26">
                  <c:v>1.2128302897433327</c:v>
                </c:pt>
                <c:pt idx="27">
                  <c:v>1.0866267822689588</c:v>
                </c:pt>
                <c:pt idx="28">
                  <c:v>1.1469914943837574</c:v>
                </c:pt>
                <c:pt idx="30">
                  <c:v>1.2969365667025636</c:v>
                </c:pt>
                <c:pt idx="34">
                  <c:v>1.5723226922029543</c:v>
                </c:pt>
                <c:pt idx="35">
                  <c:v>1.7271546831429982</c:v>
                </c:pt>
                <c:pt idx="36">
                  <c:v>1.9258001675288745</c:v>
                </c:pt>
                <c:pt idx="37">
                  <c:v>2.8313129909996566</c:v>
                </c:pt>
                <c:pt idx="38">
                  <c:v>2.7853442590257771</c:v>
                </c:pt>
                <c:pt idx="39">
                  <c:v>1.9248494432963237</c:v>
                </c:pt>
                <c:pt idx="40">
                  <c:v>2.0564767384894242</c:v>
                </c:pt>
                <c:pt idx="41">
                  <c:v>2.4721938495631433</c:v>
                </c:pt>
                <c:pt idx="42">
                  <c:v>1.1410251786160979</c:v>
                </c:pt>
                <c:pt idx="43">
                  <c:v>1.4178522630184323</c:v>
                </c:pt>
                <c:pt idx="44">
                  <c:v>0.80350280149195719</c:v>
                </c:pt>
                <c:pt idx="45">
                  <c:v>1.0393431137677616</c:v>
                </c:pt>
                <c:pt idx="50">
                  <c:v>0.8999968063649697</c:v>
                </c:pt>
                <c:pt idx="51">
                  <c:v>1.0554734185815757</c:v>
                </c:pt>
                <c:pt idx="52">
                  <c:v>0.67966510994523821</c:v>
                </c:pt>
                <c:pt idx="53">
                  <c:v>0.23280580405790197</c:v>
                </c:pt>
                <c:pt idx="57">
                  <c:v>0.75904884507735049</c:v>
                </c:pt>
                <c:pt idx="61">
                  <c:v>0.87132815394478991</c:v>
                </c:pt>
                <c:pt idx="62">
                  <c:v>0.89640674203299264</c:v>
                </c:pt>
                <c:pt idx="63">
                  <c:v>0.70789213415719754</c:v>
                </c:pt>
                <c:pt idx="64">
                  <c:v>0.83642274920172532</c:v>
                </c:pt>
                <c:pt idx="65">
                  <c:v>0.5959488818825418</c:v>
                </c:pt>
                <c:pt idx="66">
                  <c:v>0.56622401522079313</c:v>
                </c:pt>
                <c:pt idx="67">
                  <c:v>0.60938117859142316</c:v>
                </c:pt>
                <c:pt idx="68">
                  <c:v>1.1015175688425534</c:v>
                </c:pt>
                <c:pt idx="69">
                  <c:v>0.56947444958647386</c:v>
                </c:pt>
                <c:pt idx="70">
                  <c:v>0.39303599212226015</c:v>
                </c:pt>
                <c:pt idx="71">
                  <c:v>0.5057443635654395</c:v>
                </c:pt>
                <c:pt idx="72">
                  <c:v>1.6355713718672651</c:v>
                </c:pt>
                <c:pt idx="73">
                  <c:v>0.87777292866804757</c:v>
                </c:pt>
                <c:pt idx="74">
                  <c:v>0.76843228316337764</c:v>
                </c:pt>
                <c:pt idx="75">
                  <c:v>0.16242659840085238</c:v>
                </c:pt>
                <c:pt idx="76">
                  <c:v>0.27139643798940738</c:v>
                </c:pt>
                <c:pt idx="77">
                  <c:v>-0.2883326986762702</c:v>
                </c:pt>
                <c:pt idx="79">
                  <c:v>-0.48853298888598173</c:v>
                </c:pt>
                <c:pt idx="80">
                  <c:v>-6.2650090333922215E-3</c:v>
                </c:pt>
                <c:pt idx="81">
                  <c:v>0.25864402271873166</c:v>
                </c:pt>
                <c:pt idx="82">
                  <c:v>0.79932721657620842</c:v>
                </c:pt>
                <c:pt idx="83">
                  <c:v>1.33632</c:v>
                </c:pt>
                <c:pt idx="86">
                  <c:v>1.3449600000000002</c:v>
                </c:pt>
                <c:pt idx="87">
                  <c:v>1.3204800000000001</c:v>
                </c:pt>
                <c:pt idx="88">
                  <c:v>0.51407999999999987</c:v>
                </c:pt>
                <c:pt idx="89">
                  <c:v>0.30240000000000045</c:v>
                </c:pt>
                <c:pt idx="90">
                  <c:v>3.8736000000000002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3D-0747-AE31-CF9EE0330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5002368"/>
        <c:axId val="-2024998672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 w="9525"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7'!$EL$8:$EL$150</c:f>
              <c:numCache>
                <c:formatCode>0.0</c:formatCode>
                <c:ptCount val="143"/>
                <c:pt idx="0">
                  <c:v>0</c:v>
                </c:pt>
                <c:pt idx="1">
                  <c:v>127.800000000002</c:v>
                </c:pt>
                <c:pt idx="2">
                  <c:v>3.1842159959313361</c:v>
                </c:pt>
                <c:pt idx="3">
                  <c:v>11.4</c:v>
                </c:pt>
                <c:pt idx="4">
                  <c:v>24.049999999999976</c:v>
                </c:pt>
                <c:pt idx="5">
                  <c:v>25.749999999999925</c:v>
                </c:pt>
                <c:pt idx="6">
                  <c:v>2</c:v>
                </c:pt>
                <c:pt idx="7">
                  <c:v>10.466666666666667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2.0666666666666664</c:v>
                </c:pt>
                <c:pt idx="18">
                  <c:v>0.1</c:v>
                </c:pt>
                <c:pt idx="19">
                  <c:v>2.1</c:v>
                </c:pt>
                <c:pt idx="20">
                  <c:v>0.4</c:v>
                </c:pt>
                <c:pt idx="21">
                  <c:v>22.5</c:v>
                </c:pt>
                <c:pt idx="22">
                  <c:v>4.75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63.600000000000051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0.55000000000000004</c:v>
                </c:pt>
                <c:pt idx="48">
                  <c:v>2.4500000000000002</c:v>
                </c:pt>
                <c:pt idx="49">
                  <c:v>15.1</c:v>
                </c:pt>
                <c:pt idx="50">
                  <c:v>1.9500000000000002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1.6500000000000001</c:v>
                </c:pt>
                <c:pt idx="56">
                  <c:v>0.1</c:v>
                </c:pt>
                <c:pt idx="57">
                  <c:v>0.95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3D-0747-AE31-CF9EE0330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4992880"/>
        <c:axId val="-2024995856"/>
      </c:barChart>
      <c:dateAx>
        <c:axId val="-2025002368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none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24998672"/>
        <c:crossesAt val="0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24998672"/>
        <c:scaling>
          <c:orientation val="minMax"/>
          <c:max val="5"/>
          <c:min val="-1"/>
        </c:scaling>
        <c:delete val="0"/>
        <c:axPos val="l"/>
        <c:numFmt formatCode="General" sourceLinked="0"/>
        <c:majorTickMark val="in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25002368"/>
        <c:crosses val="autoZero"/>
        <c:crossBetween val="between"/>
        <c:majorUnit val="1"/>
      </c:valAx>
      <c:valAx>
        <c:axId val="-2024995856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-2024992880"/>
        <c:crosses val="max"/>
        <c:crossBetween val="between"/>
        <c:majorUnit val="50"/>
      </c:valAx>
      <c:dateAx>
        <c:axId val="-2024992880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4995856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031196581196598E-2"/>
          <c:y val="4.1182992883824002E-2"/>
          <c:w val="0.87293247863247903"/>
          <c:h val="0.77854029960998705"/>
        </c:manualLayout>
      </c:layout>
      <c:areaChart>
        <c:grouping val="stacke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effectLst/>
          </c:spPr>
          <c:cat>
            <c:strRef>
              <c:f>'Figs 6 &amp; 7'!$CN$28:$CN$124</c:f>
              <c:strCache>
                <c:ptCount val="97"/>
                <c:pt idx="0">
                  <c:v>10-16</c:v>
                </c:pt>
                <c:pt idx="1">
                  <c:v>10-17</c:v>
                </c:pt>
                <c:pt idx="2">
                  <c:v>10-18</c:v>
                </c:pt>
                <c:pt idx="3">
                  <c:v>10-19</c:v>
                </c:pt>
                <c:pt idx="4">
                  <c:v>10-20</c:v>
                </c:pt>
                <c:pt idx="5">
                  <c:v>10-21</c:v>
                </c:pt>
                <c:pt idx="6">
                  <c:v>10-22</c:v>
                </c:pt>
                <c:pt idx="7">
                  <c:v>10-23</c:v>
                </c:pt>
                <c:pt idx="8">
                  <c:v>10-24</c:v>
                </c:pt>
                <c:pt idx="9">
                  <c:v>10-25</c:v>
                </c:pt>
                <c:pt idx="10">
                  <c:v>10-26</c:v>
                </c:pt>
                <c:pt idx="11">
                  <c:v>10-27</c:v>
                </c:pt>
                <c:pt idx="12">
                  <c:v>10-28</c:v>
                </c:pt>
                <c:pt idx="13">
                  <c:v>10-29</c:v>
                </c:pt>
                <c:pt idx="14">
                  <c:v>10-30</c:v>
                </c:pt>
                <c:pt idx="15">
                  <c:v>10-31</c:v>
                </c:pt>
                <c:pt idx="16">
                  <c:v>11-1</c:v>
                </c:pt>
                <c:pt idx="17">
                  <c:v>11-2</c:v>
                </c:pt>
                <c:pt idx="18">
                  <c:v>11-3</c:v>
                </c:pt>
                <c:pt idx="19">
                  <c:v>11-4</c:v>
                </c:pt>
                <c:pt idx="20">
                  <c:v>11-5</c:v>
                </c:pt>
                <c:pt idx="21">
                  <c:v>11-6</c:v>
                </c:pt>
                <c:pt idx="22">
                  <c:v>11-7</c:v>
                </c:pt>
                <c:pt idx="23">
                  <c:v>11-8</c:v>
                </c:pt>
                <c:pt idx="24">
                  <c:v>11-9</c:v>
                </c:pt>
                <c:pt idx="25">
                  <c:v>11-10</c:v>
                </c:pt>
                <c:pt idx="26">
                  <c:v>11-11</c:v>
                </c:pt>
                <c:pt idx="27">
                  <c:v>11-12</c:v>
                </c:pt>
                <c:pt idx="28">
                  <c:v>11-13</c:v>
                </c:pt>
                <c:pt idx="29">
                  <c:v>11-14</c:v>
                </c:pt>
                <c:pt idx="30">
                  <c:v>11-15</c:v>
                </c:pt>
                <c:pt idx="31">
                  <c:v>11-16</c:v>
                </c:pt>
                <c:pt idx="32">
                  <c:v>11-17</c:v>
                </c:pt>
                <c:pt idx="33">
                  <c:v>11-18</c:v>
                </c:pt>
                <c:pt idx="34">
                  <c:v>11-19</c:v>
                </c:pt>
                <c:pt idx="35">
                  <c:v>11-20</c:v>
                </c:pt>
                <c:pt idx="36">
                  <c:v>11-21</c:v>
                </c:pt>
                <c:pt idx="37">
                  <c:v>11-22</c:v>
                </c:pt>
                <c:pt idx="38">
                  <c:v>11-23</c:v>
                </c:pt>
                <c:pt idx="39">
                  <c:v>11-24</c:v>
                </c:pt>
                <c:pt idx="40">
                  <c:v>11-25</c:v>
                </c:pt>
                <c:pt idx="41">
                  <c:v>11-26</c:v>
                </c:pt>
                <c:pt idx="42">
                  <c:v>11-27</c:v>
                </c:pt>
                <c:pt idx="43">
                  <c:v>11-28</c:v>
                </c:pt>
                <c:pt idx="44">
                  <c:v>11-29</c:v>
                </c:pt>
                <c:pt idx="45">
                  <c:v>11-30</c:v>
                </c:pt>
                <c:pt idx="46">
                  <c:v>12-1</c:v>
                </c:pt>
                <c:pt idx="47">
                  <c:v>12-2</c:v>
                </c:pt>
                <c:pt idx="48">
                  <c:v>12-3</c:v>
                </c:pt>
                <c:pt idx="49">
                  <c:v>12-4</c:v>
                </c:pt>
                <c:pt idx="50">
                  <c:v>12-5</c:v>
                </c:pt>
                <c:pt idx="51">
                  <c:v>12-6</c:v>
                </c:pt>
                <c:pt idx="52">
                  <c:v>12-7</c:v>
                </c:pt>
                <c:pt idx="53">
                  <c:v>12-8</c:v>
                </c:pt>
                <c:pt idx="54">
                  <c:v>12-9</c:v>
                </c:pt>
                <c:pt idx="55">
                  <c:v>12-10</c:v>
                </c:pt>
                <c:pt idx="56">
                  <c:v>12-11</c:v>
                </c:pt>
                <c:pt idx="57">
                  <c:v>12-12</c:v>
                </c:pt>
                <c:pt idx="58">
                  <c:v>12-13</c:v>
                </c:pt>
                <c:pt idx="59">
                  <c:v>12-14</c:v>
                </c:pt>
                <c:pt idx="60">
                  <c:v>12-15</c:v>
                </c:pt>
                <c:pt idx="61">
                  <c:v>12-16</c:v>
                </c:pt>
                <c:pt idx="62">
                  <c:v>12-17</c:v>
                </c:pt>
                <c:pt idx="63">
                  <c:v>12-18</c:v>
                </c:pt>
                <c:pt idx="64">
                  <c:v>12-19</c:v>
                </c:pt>
                <c:pt idx="65">
                  <c:v>12-20</c:v>
                </c:pt>
                <c:pt idx="66">
                  <c:v>12-21</c:v>
                </c:pt>
                <c:pt idx="67">
                  <c:v>12-22</c:v>
                </c:pt>
                <c:pt idx="68">
                  <c:v>12-23</c:v>
                </c:pt>
                <c:pt idx="69">
                  <c:v>12-24</c:v>
                </c:pt>
                <c:pt idx="70">
                  <c:v>12-25</c:v>
                </c:pt>
                <c:pt idx="71">
                  <c:v>12-26</c:v>
                </c:pt>
                <c:pt idx="72">
                  <c:v>12-27</c:v>
                </c:pt>
                <c:pt idx="73">
                  <c:v>12-28</c:v>
                </c:pt>
                <c:pt idx="74">
                  <c:v>12-29</c:v>
                </c:pt>
                <c:pt idx="75">
                  <c:v>12-30</c:v>
                </c:pt>
                <c:pt idx="76">
                  <c:v>12-31</c:v>
                </c:pt>
                <c:pt idx="77">
                  <c:v>1-1</c:v>
                </c:pt>
                <c:pt idx="78">
                  <c:v>1-2</c:v>
                </c:pt>
                <c:pt idx="79">
                  <c:v>1-3</c:v>
                </c:pt>
                <c:pt idx="80">
                  <c:v>1-4</c:v>
                </c:pt>
                <c:pt idx="81">
                  <c:v>1-5</c:v>
                </c:pt>
                <c:pt idx="82">
                  <c:v>1-6</c:v>
                </c:pt>
                <c:pt idx="83">
                  <c:v>1-7</c:v>
                </c:pt>
                <c:pt idx="84">
                  <c:v>1-8</c:v>
                </c:pt>
                <c:pt idx="85">
                  <c:v>1-9</c:v>
                </c:pt>
                <c:pt idx="86">
                  <c:v>1-10</c:v>
                </c:pt>
                <c:pt idx="87">
                  <c:v>1-11</c:v>
                </c:pt>
                <c:pt idx="88">
                  <c:v>1-12</c:v>
                </c:pt>
                <c:pt idx="89">
                  <c:v>1-13</c:v>
                </c:pt>
                <c:pt idx="90">
                  <c:v>1-14</c:v>
                </c:pt>
                <c:pt idx="91">
                  <c:v>1-15</c:v>
                </c:pt>
                <c:pt idx="92">
                  <c:v>1-16</c:v>
                </c:pt>
                <c:pt idx="93">
                  <c:v>1-17</c:v>
                </c:pt>
                <c:pt idx="94">
                  <c:v>1-18</c:v>
                </c:pt>
                <c:pt idx="95">
                  <c:v>1-19</c:v>
                </c:pt>
                <c:pt idx="96">
                  <c:v>1-20</c:v>
                </c:pt>
              </c:strCache>
            </c:strRef>
          </c:cat>
          <c:val>
            <c:numRef>
              <c:f>'Figs 6 &amp; 7'!$EI$8:$EI$103</c:f>
              <c:numCache>
                <c:formatCode>0.000</c:formatCode>
                <c:ptCount val="96"/>
                <c:pt idx="0" formatCode="General">
                  <c:v>3.1793810224401646</c:v>
                </c:pt>
                <c:pt idx="1">
                  <c:v>3.2773143565567313</c:v>
                </c:pt>
                <c:pt idx="2" formatCode="General">
                  <c:v>3.3345159959313371</c:v>
                </c:pt>
                <c:pt idx="3" formatCode="General">
                  <c:v>3.4026063881024378</c:v>
                </c:pt>
                <c:pt idx="4" formatCode="General">
                  <c:v>3.4228503382091855</c:v>
                </c:pt>
                <c:pt idx="5" formatCode="General">
                  <c:v>3.4088947052086631</c:v>
                </c:pt>
                <c:pt idx="6" formatCode="General">
                  <c:v>3.3914924557679615</c:v>
                </c:pt>
                <c:pt idx="7">
                  <c:v>3.371833767737586</c:v>
                </c:pt>
                <c:pt idx="8">
                  <c:v>3.3511229280280386</c:v>
                </c:pt>
                <c:pt idx="9">
                  <c:v>3.3322341775812401</c:v>
                </c:pt>
                <c:pt idx="10">
                  <c:v>3.3132409376518037</c:v>
                </c:pt>
                <c:pt idx="11">
                  <c:v>3.292209857675326</c:v>
                </c:pt>
                <c:pt idx="12">
                  <c:v>3.2727624191981519</c:v>
                </c:pt>
                <c:pt idx="13">
                  <c:v>3.2534329762465877</c:v>
                </c:pt>
                <c:pt idx="14">
                  <c:v>3.2334466778126245</c:v>
                </c:pt>
                <c:pt idx="15">
                  <c:v>3.2137524038752918</c:v>
                </c:pt>
                <c:pt idx="16" formatCode="General">
                  <c:v>3.1945710094669977</c:v>
                </c:pt>
                <c:pt idx="17" formatCode="General">
                  <c:v>3.1776802121516301</c:v>
                </c:pt>
                <c:pt idx="18" formatCode="General">
                  <c:v>3.1596771477230092</c:v>
                </c:pt>
                <c:pt idx="19" formatCode="General">
                  <c:v>3.1680194843017642</c:v>
                </c:pt>
                <c:pt idx="20" formatCode="General">
                  <c:v>3.1691288895585306</c:v>
                </c:pt>
                <c:pt idx="21" formatCode="General">
                  <c:v>3.1474530186407694</c:v>
                </c:pt>
                <c:pt idx="22" formatCode="General">
                  <c:v>3.1306487199818065</c:v>
                </c:pt>
                <c:pt idx="23">
                  <c:v>3.1099953411213708</c:v>
                </c:pt>
                <c:pt idx="24">
                  <c:v>3.0919184455944819</c:v>
                </c:pt>
                <c:pt idx="25">
                  <c:v>3.0709004524185612</c:v>
                </c:pt>
                <c:pt idx="26">
                  <c:v>3.0501161938040884</c:v>
                </c:pt>
                <c:pt idx="27">
                  <c:v>3.0268955413438121</c:v>
                </c:pt>
                <c:pt idx="28">
                  <c:v>3.0064748912332302</c:v>
                </c:pt>
                <c:pt idx="29" formatCode="General">
                  <c:v>2.9805939113679738</c:v>
                </c:pt>
                <c:pt idx="30">
                  <c:v>2.9560266236699828</c:v>
                </c:pt>
                <c:pt idx="31" formatCode="General">
                  <c:v>2.928978358456428</c:v>
                </c:pt>
                <c:pt idx="32" formatCode="General">
                  <c:v>3.230673051636181</c:v>
                </c:pt>
                <c:pt idx="33" formatCode="General">
                  <c:v>3.2119814440322791</c:v>
                </c:pt>
                <c:pt idx="34">
                  <c:v>3.1923401297129619</c:v>
                </c:pt>
                <c:pt idx="35">
                  <c:v>3.1712155743392252</c:v>
                </c:pt>
                <c:pt idx="36">
                  <c:v>3.1489272337360763</c:v>
                </c:pt>
                <c:pt idx="37">
                  <c:v>3.125172024677358</c:v>
                </c:pt>
                <c:pt idx="38">
                  <c:v>3.1047231540970941</c:v>
                </c:pt>
                <c:pt idx="39">
                  <c:v>3.081513953762153</c:v>
                </c:pt>
                <c:pt idx="40">
                  <c:v>3.0538722295991843</c:v>
                </c:pt>
                <c:pt idx="41">
                  <c:v>3.0250587306052825</c:v>
                </c:pt>
                <c:pt idx="42">
                  <c:v>2.9966634391078966</c:v>
                </c:pt>
                <c:pt idx="43">
                  <c:v>2.9721726488416049</c:v>
                </c:pt>
                <c:pt idx="44">
                  <c:v>2.9501452480592274</c:v>
                </c:pt>
                <c:pt idx="45">
                  <c:v>2.9242742858665238</c:v>
                </c:pt>
                <c:pt idx="46" formatCode="General">
                  <c:v>2.9012507692000664</c:v>
                </c:pt>
                <c:pt idx="47" formatCode="General">
                  <c:v>2.8964924910133441</c:v>
                </c:pt>
                <c:pt idx="48" formatCode="General">
                  <c:v>2.8756663033140768</c:v>
                </c:pt>
                <c:pt idx="49" formatCode="General">
                  <c:v>2.8481693677426971</c:v>
                </c:pt>
                <c:pt idx="50">
                  <c:v>2.8178550443621067</c:v>
                </c:pt>
                <c:pt idx="51">
                  <c:v>2.7797257992832947</c:v>
                </c:pt>
                <c:pt idx="52">
                  <c:v>2.7452350043176192</c:v>
                </c:pt>
                <c:pt idx="53">
                  <c:v>2.7107703853027498</c:v>
                </c:pt>
                <c:pt idx="54" formatCode="General">
                  <c:v>2.6747358193055391</c:v>
                </c:pt>
                <c:pt idx="55" formatCode="General">
                  <c:v>2.6353996280318732</c:v>
                </c:pt>
                <c:pt idx="56" formatCode="General">
                  <c:v>2.5918202734430693</c:v>
                </c:pt>
                <c:pt idx="57">
                  <c:v>2.588757282054349</c:v>
                </c:pt>
                <c:pt idx="58">
                  <c:v>2.6219521919043878</c:v>
                </c:pt>
                <c:pt idx="59">
                  <c:v>2.5973162032028565</c:v>
                </c:pt>
                <c:pt idx="60" formatCode="General">
                  <c:v>2.5751452457095354</c:v>
                </c:pt>
                <c:pt idx="61">
                  <c:v>2.5535566978348676</c:v>
                </c:pt>
                <c:pt idx="62">
                  <c:v>2.5267575104730966</c:v>
                </c:pt>
                <c:pt idx="63">
                  <c:v>2.4946082253497934</c:v>
                </c:pt>
                <c:pt idx="64">
                  <c:v>2.456787572889521</c:v>
                </c:pt>
                <c:pt idx="65">
                  <c:v>2.42622888955853</c:v>
                </c:pt>
                <c:pt idx="66">
                  <c:v>2.3935933107006484</c:v>
                </c:pt>
                <c:pt idx="67">
                  <c:v>2.3505738854216389</c:v>
                </c:pt>
                <c:pt idx="68">
                  <c:v>2.3118156048852239</c:v>
                </c:pt>
                <c:pt idx="69">
                  <c:v>2.2767434202106376</c:v>
                </c:pt>
                <c:pt idx="70">
                  <c:v>2.2421010906809613</c:v>
                </c:pt>
                <c:pt idx="71">
                  <c:v>2.2058965847504819</c:v>
                </c:pt>
                <c:pt idx="72">
                  <c:v>2.1696867673003695</c:v>
                </c:pt>
                <c:pt idx="73">
                  <c:v>2.1281540455995902</c:v>
                </c:pt>
                <c:pt idx="74">
                  <c:v>2.0889609988435236</c:v>
                </c:pt>
                <c:pt idx="75">
                  <c:v>2.0485505713273184</c:v>
                </c:pt>
                <c:pt idx="76">
                  <c:v>2.0045331858677997</c:v>
                </c:pt>
                <c:pt idx="77">
                  <c:v>1.9808798117067459</c:v>
                </c:pt>
                <c:pt idx="78" formatCode="General">
                  <c:v>1.9578538406777672</c:v>
                </c:pt>
                <c:pt idx="79">
                  <c:v>1.9360980098044942</c:v>
                </c:pt>
                <c:pt idx="80">
                  <c:v>1.9113853257985107</c:v>
                </c:pt>
                <c:pt idx="81">
                  <c:v>1.887739917742058</c:v>
                </c:pt>
                <c:pt idx="82">
                  <c:v>1.8694223344097904</c:v>
                </c:pt>
                <c:pt idx="83">
                  <c:v>1.6491466778126254</c:v>
                </c:pt>
                <c:pt idx="84">
                  <c:v>1.8071663127128443</c:v>
                </c:pt>
                <c:pt idx="85">
                  <c:v>1.8004505666279333</c:v>
                </c:pt>
                <c:pt idx="86">
                  <c:v>1.7729470923556627</c:v>
                </c:pt>
                <c:pt idx="87">
                  <c:v>1.1646311436986172</c:v>
                </c:pt>
                <c:pt idx="88">
                  <c:v>1.1184288942579135</c:v>
                </c:pt>
                <c:pt idx="89">
                  <c:v>1.090943413161561</c:v>
                </c:pt>
                <c:pt idx="90">
                  <c:v>1.0930092617073848</c:v>
                </c:pt>
                <c:pt idx="91">
                  <c:v>1.0970460747956066</c:v>
                </c:pt>
                <c:pt idx="92">
                  <c:v>1.0962438253549072</c:v>
                </c:pt>
                <c:pt idx="93">
                  <c:v>1.0918272572329977</c:v>
                </c:pt>
                <c:pt idx="94">
                  <c:v>1.0925387187570992</c:v>
                </c:pt>
                <c:pt idx="95">
                  <c:v>1.0855307456034244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3-5647-B641-3D12CF910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2206640"/>
        <c:axId val="-2022202816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7'!$EA$8:$EA$150</c:f>
              <c:numCache>
                <c:formatCode>0.000</c:formatCode>
                <c:ptCount val="143"/>
                <c:pt idx="7">
                  <c:v>0.50625285464152303</c:v>
                </c:pt>
                <c:pt idx="8">
                  <c:v>1.1592289323187195</c:v>
                </c:pt>
                <c:pt idx="9">
                  <c:v>1.0750730717676156</c:v>
                </c:pt>
                <c:pt idx="10">
                  <c:v>0.70414640446968635</c:v>
                </c:pt>
                <c:pt idx="11">
                  <c:v>0.52567030106860368</c:v>
                </c:pt>
                <c:pt idx="12">
                  <c:v>0.54089600162749174</c:v>
                </c:pt>
                <c:pt idx="13">
                  <c:v>0.55405076621011196</c:v>
                </c:pt>
                <c:pt idx="14">
                  <c:v>0.88096372110154597</c:v>
                </c:pt>
                <c:pt idx="15">
                  <c:v>0.58902411285490697</c:v>
                </c:pt>
                <c:pt idx="23">
                  <c:v>0.91284390777321478</c:v>
                </c:pt>
                <c:pt idx="24">
                  <c:v>1.3068606978510799</c:v>
                </c:pt>
                <c:pt idx="25">
                  <c:v>0.91539453249542735</c:v>
                </c:pt>
                <c:pt idx="26">
                  <c:v>1.415770734711995</c:v>
                </c:pt>
                <c:pt idx="27">
                  <c:v>1.0833188185458038</c:v>
                </c:pt>
                <c:pt idx="28">
                  <c:v>1.5434019704100923</c:v>
                </c:pt>
                <c:pt idx="30">
                  <c:v>1.7336650977119472</c:v>
                </c:pt>
                <c:pt idx="34">
                  <c:v>0.72519084492523489</c:v>
                </c:pt>
                <c:pt idx="35">
                  <c:v>0.89616841754780729</c:v>
                </c:pt>
                <c:pt idx="36">
                  <c:v>1.1213600437946742</c:v>
                </c:pt>
                <c:pt idx="37">
                  <c:v>1.3158187002211641</c:v>
                </c:pt>
                <c:pt idx="38">
                  <c:v>1.5417711041648789</c:v>
                </c:pt>
                <c:pt idx="39">
                  <c:v>1.2240004916699454</c:v>
                </c:pt>
                <c:pt idx="40">
                  <c:v>1.5118078168765059</c:v>
                </c:pt>
                <c:pt idx="41">
                  <c:v>1.9693946521314181</c:v>
                </c:pt>
                <c:pt idx="42">
                  <c:v>1.5696777496614087</c:v>
                </c:pt>
                <c:pt idx="43">
                  <c:v>2.2403702987116967</c:v>
                </c:pt>
                <c:pt idx="44">
                  <c:v>1.7403141789377914</c:v>
                </c:pt>
                <c:pt idx="45">
                  <c:v>1.3784950405007756</c:v>
                </c:pt>
                <c:pt idx="50">
                  <c:v>1.3393556730952001</c:v>
                </c:pt>
                <c:pt idx="51">
                  <c:v>1.8910806892071095</c:v>
                </c:pt>
                <c:pt idx="52">
                  <c:v>1.7955597399709995</c:v>
                </c:pt>
                <c:pt idx="53">
                  <c:v>2.1155167385857636</c:v>
                </c:pt>
                <c:pt idx="57">
                  <c:v>2.8650014306715588</c:v>
                </c:pt>
                <c:pt idx="61">
                  <c:v>1.3107660964389327</c:v>
                </c:pt>
                <c:pt idx="62">
                  <c:v>0.93071386435971459</c:v>
                </c:pt>
                <c:pt idx="63">
                  <c:v>1.2231741351618475</c:v>
                </c:pt>
                <c:pt idx="64">
                  <c:v>1.6957201727489404</c:v>
                </c:pt>
                <c:pt idx="65">
                  <c:v>2.529940140609062</c:v>
                </c:pt>
                <c:pt idx="66">
                  <c:v>2.071014398483086</c:v>
                </c:pt>
                <c:pt idx="67">
                  <c:v>2.3595608248919047</c:v>
                </c:pt>
                <c:pt idx="68">
                  <c:v>3.2293127129462342</c:v>
                </c:pt>
                <c:pt idx="69">
                  <c:v>2.6349965501658623</c:v>
                </c:pt>
                <c:pt idx="70">
                  <c:v>2.0602434062651653</c:v>
                </c:pt>
                <c:pt idx="71">
                  <c:v>2.8535780423817458</c:v>
                </c:pt>
                <c:pt idx="72">
                  <c:v>2.2215100794748581</c:v>
                </c:pt>
                <c:pt idx="73">
                  <c:v>1.8489628663529076</c:v>
                </c:pt>
                <c:pt idx="74">
                  <c:v>1.6639015834679181</c:v>
                </c:pt>
                <c:pt idx="75">
                  <c:v>3.4811482193524226</c:v>
                </c:pt>
                <c:pt idx="76">
                  <c:v>0.90378747644363466</c:v>
                </c:pt>
                <c:pt idx="77">
                  <c:v>1.5727804140015467</c:v>
                </c:pt>
                <c:pt idx="79">
                  <c:v>0.99278997740990227</c:v>
                </c:pt>
                <c:pt idx="80">
                  <c:v>0.50041994278655544</c:v>
                </c:pt>
                <c:pt idx="81">
                  <c:v>0.95706882410562466</c:v>
                </c:pt>
                <c:pt idx="82">
                  <c:v>1.0083357123997592</c:v>
                </c:pt>
                <c:pt idx="83">
                  <c:v>0.49559293197706089</c:v>
                </c:pt>
                <c:pt idx="86">
                  <c:v>-0.60032232136566965</c:v>
                </c:pt>
                <c:pt idx="87">
                  <c:v>1.4961209645573195</c:v>
                </c:pt>
                <c:pt idx="88">
                  <c:v>-0.52110750501723047</c:v>
                </c:pt>
                <c:pt idx="89">
                  <c:v>-0.60700000000001042</c:v>
                </c:pt>
                <c:pt idx="90">
                  <c:v>-0.50699999999999923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D3-5647-B641-3D12CF910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2206640"/>
        <c:axId val="-2022202816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 w="9525"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7'!$EL$8:$EL$150</c:f>
              <c:numCache>
                <c:formatCode>0.0</c:formatCode>
                <c:ptCount val="143"/>
                <c:pt idx="0">
                  <c:v>0</c:v>
                </c:pt>
                <c:pt idx="1">
                  <c:v>127.800000000002</c:v>
                </c:pt>
                <c:pt idx="2">
                  <c:v>3.1842159959313361</c:v>
                </c:pt>
                <c:pt idx="3">
                  <c:v>11.4</c:v>
                </c:pt>
                <c:pt idx="4">
                  <c:v>24.049999999999976</c:v>
                </c:pt>
                <c:pt idx="5">
                  <c:v>25.749999999999925</c:v>
                </c:pt>
                <c:pt idx="6">
                  <c:v>2</c:v>
                </c:pt>
                <c:pt idx="7">
                  <c:v>10.466666666666667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2.0666666666666664</c:v>
                </c:pt>
                <c:pt idx="18">
                  <c:v>0.1</c:v>
                </c:pt>
                <c:pt idx="19">
                  <c:v>2.1</c:v>
                </c:pt>
                <c:pt idx="20">
                  <c:v>0.4</c:v>
                </c:pt>
                <c:pt idx="21">
                  <c:v>22.5</c:v>
                </c:pt>
                <c:pt idx="22">
                  <c:v>4.75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63.600000000000051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0.55000000000000004</c:v>
                </c:pt>
                <c:pt idx="48">
                  <c:v>2.4500000000000002</c:v>
                </c:pt>
                <c:pt idx="49">
                  <c:v>15.1</c:v>
                </c:pt>
                <c:pt idx="50">
                  <c:v>1.9500000000000002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1.6500000000000001</c:v>
                </c:pt>
                <c:pt idx="56">
                  <c:v>0.1</c:v>
                </c:pt>
                <c:pt idx="57">
                  <c:v>0.95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D3-5647-B641-3D12CF910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5440464"/>
        <c:axId val="-2029161984"/>
      </c:barChart>
      <c:dateAx>
        <c:axId val="-2022206640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none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22202816"/>
        <c:crossesAt val="0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22202816"/>
        <c:scaling>
          <c:orientation val="minMax"/>
          <c:max val="5"/>
          <c:min val="-1"/>
        </c:scaling>
        <c:delete val="0"/>
        <c:axPos val="r"/>
        <c:numFmt formatCode="General" sourceLinked="0"/>
        <c:majorTickMark val="in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22206640"/>
        <c:crosses val="max"/>
        <c:crossBetween val="between"/>
        <c:majorUnit val="1"/>
      </c:valAx>
      <c:valAx>
        <c:axId val="-2029161984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>
                <a:solidFill>
                  <a:srgbClr val="FF0000"/>
                </a:solidFill>
              </a:defRPr>
            </a:pPr>
            <a:endParaRPr lang="en-US"/>
          </a:p>
        </c:txPr>
        <c:crossAx val="-2025440464"/>
        <c:crosses val="max"/>
        <c:crossBetween val="between"/>
        <c:majorUnit val="50"/>
      </c:valAx>
      <c:dateAx>
        <c:axId val="-2025440464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9161984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031196581196598E-2"/>
          <c:y val="4.1182992883824002E-2"/>
          <c:w val="0.87293247863247903"/>
          <c:h val="0.77854029960998705"/>
        </c:manualLayout>
      </c:layout>
      <c:areaChart>
        <c:grouping val="stacke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effectLst/>
          </c:spPr>
          <c:cat>
            <c:numRef>
              <c:f>'Figs 6 &amp; 7'!$DE$8:$DE$137</c:f>
              <c:numCache>
                <c:formatCode>m/d/yy</c:formatCode>
                <c:ptCount val="130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7'!$EK$8:$EK$137</c:f>
              <c:numCache>
                <c:formatCode>0.000</c:formatCode>
                <c:ptCount val="130"/>
                <c:pt idx="0" formatCode="General">
                  <c:v>3.1435810224401641</c:v>
                </c:pt>
                <c:pt idx="1">
                  <c:v>3.2043143565567305</c:v>
                </c:pt>
                <c:pt idx="2" formatCode="General">
                  <c:v>3.2750159959313367</c:v>
                </c:pt>
                <c:pt idx="3" formatCode="General">
                  <c:v>3.3996063881024372</c:v>
                </c:pt>
                <c:pt idx="4" formatCode="General">
                  <c:v>3.2055503382091852</c:v>
                </c:pt>
                <c:pt idx="5" formatCode="General">
                  <c:v>3.2147947052086621</c:v>
                </c:pt>
                <c:pt idx="6" formatCode="General">
                  <c:v>3.179992455767962</c:v>
                </c:pt>
                <c:pt idx="7">
                  <c:v>3.1485337677375855</c:v>
                </c:pt>
                <c:pt idx="8">
                  <c:v>3.1297229280280372</c:v>
                </c:pt>
                <c:pt idx="9">
                  <c:v>3.1196341775812395</c:v>
                </c:pt>
                <c:pt idx="10">
                  <c:v>3.0979409376518041</c:v>
                </c:pt>
                <c:pt idx="11">
                  <c:v>3.0740098576753261</c:v>
                </c:pt>
                <c:pt idx="12">
                  <c:v>3.0483624191981504</c:v>
                </c:pt>
                <c:pt idx="13">
                  <c:v>3.0304329762465883</c:v>
                </c:pt>
                <c:pt idx="14">
                  <c:v>3.0117466778126238</c:v>
                </c:pt>
                <c:pt idx="15">
                  <c:v>2.9937524038752907</c:v>
                </c:pt>
                <c:pt idx="16" formatCode="General">
                  <c:v>2.9733710094669976</c:v>
                </c:pt>
                <c:pt idx="17" formatCode="General">
                  <c:v>2.9555802121516304</c:v>
                </c:pt>
                <c:pt idx="18" formatCode="General">
                  <c:v>2.9368771477230093</c:v>
                </c:pt>
                <c:pt idx="19" formatCode="General">
                  <c:v>2.9495194843017631</c:v>
                </c:pt>
                <c:pt idx="20" formatCode="General">
                  <c:v>2.9404288895585302</c:v>
                </c:pt>
                <c:pt idx="21" formatCode="General">
                  <c:v>2.9189530186407686</c:v>
                </c:pt>
                <c:pt idx="22" formatCode="General">
                  <c:v>2.8968487199818074</c:v>
                </c:pt>
                <c:pt idx="23">
                  <c:v>2.8724953411213714</c:v>
                </c:pt>
                <c:pt idx="24">
                  <c:v>2.8491184455944807</c:v>
                </c:pt>
                <c:pt idx="25">
                  <c:v>2.8217004524185607</c:v>
                </c:pt>
                <c:pt idx="26">
                  <c:v>2.7828161938040874</c:v>
                </c:pt>
                <c:pt idx="27">
                  <c:v>2.7604955413438126</c:v>
                </c:pt>
                <c:pt idx="28">
                  <c:v>2.7414748912332292</c:v>
                </c:pt>
                <c:pt idx="29" formatCode="General">
                  <c:v>2.7170939113679728</c:v>
                </c:pt>
                <c:pt idx="30">
                  <c:v>2.681026623669982</c:v>
                </c:pt>
                <c:pt idx="31" formatCode="General">
                  <c:v>2.6427783584564284</c:v>
                </c:pt>
                <c:pt idx="32" formatCode="General">
                  <c:v>3.1592730516361818</c:v>
                </c:pt>
                <c:pt idx="33" formatCode="General">
                  <c:v>3.1414814440322778</c:v>
                </c:pt>
                <c:pt idx="34">
                  <c:v>3.1183401297129616</c:v>
                </c:pt>
                <c:pt idx="35">
                  <c:v>3.0934155743392249</c:v>
                </c:pt>
                <c:pt idx="36">
                  <c:v>3.0679272337360763</c:v>
                </c:pt>
                <c:pt idx="37">
                  <c:v>3.0416720246773585</c:v>
                </c:pt>
                <c:pt idx="38">
                  <c:v>3.0159231540970928</c:v>
                </c:pt>
                <c:pt idx="39">
                  <c:v>2.9912139537621534</c:v>
                </c:pt>
                <c:pt idx="40">
                  <c:v>2.9665722295991848</c:v>
                </c:pt>
                <c:pt idx="41">
                  <c:v>2.9412587306052838</c:v>
                </c:pt>
                <c:pt idx="42">
                  <c:v>2.9136634391078959</c:v>
                </c:pt>
                <c:pt idx="43">
                  <c:v>2.8870726488416056</c:v>
                </c:pt>
                <c:pt idx="44">
                  <c:v>2.8603452480592284</c:v>
                </c:pt>
                <c:pt idx="45">
                  <c:v>2.8344742858665231</c:v>
                </c:pt>
                <c:pt idx="46" formatCode="General">
                  <c:v>2.808250769200066</c:v>
                </c:pt>
                <c:pt idx="47" formatCode="General">
                  <c:v>2.797992491013344</c:v>
                </c:pt>
                <c:pt idx="48" formatCode="General">
                  <c:v>2.7761663033140755</c:v>
                </c:pt>
                <c:pt idx="49" formatCode="General">
                  <c:v>2.7505693677426968</c:v>
                </c:pt>
                <c:pt idx="50">
                  <c:v>2.7202550443621063</c:v>
                </c:pt>
                <c:pt idx="51">
                  <c:v>2.6826257992832949</c:v>
                </c:pt>
                <c:pt idx="52">
                  <c:v>2.6472350043176198</c:v>
                </c:pt>
                <c:pt idx="53">
                  <c:v>2.6114703853027499</c:v>
                </c:pt>
                <c:pt idx="54" formatCode="General">
                  <c:v>2.5763358193055388</c:v>
                </c:pt>
                <c:pt idx="55" formatCode="General">
                  <c:v>2.539699628031872</c:v>
                </c:pt>
                <c:pt idx="56" formatCode="General">
                  <c:v>2.5019202734430688</c:v>
                </c:pt>
                <c:pt idx="57">
                  <c:v>2.4986572820543489</c:v>
                </c:pt>
                <c:pt idx="58">
                  <c:v>2.5224521919043883</c:v>
                </c:pt>
                <c:pt idx="59">
                  <c:v>2.500216203202855</c:v>
                </c:pt>
                <c:pt idx="60" formatCode="General">
                  <c:v>2.4751452457095353</c:v>
                </c:pt>
                <c:pt idx="61">
                  <c:v>2.4447566978348667</c:v>
                </c:pt>
                <c:pt idx="62">
                  <c:v>2.4068575104730967</c:v>
                </c:pt>
                <c:pt idx="63">
                  <c:v>2.3701082253497936</c:v>
                </c:pt>
                <c:pt idx="64">
                  <c:v>2.3149875728895206</c:v>
                </c:pt>
                <c:pt idx="65">
                  <c:v>2.2296288895585294</c:v>
                </c:pt>
                <c:pt idx="66">
                  <c:v>2.1447933107006487</c:v>
                </c:pt>
                <c:pt idx="67">
                  <c:v>2.076373885421638</c:v>
                </c:pt>
                <c:pt idx="68">
                  <c:v>2.0227156048852222</c:v>
                </c:pt>
                <c:pt idx="69">
                  <c:v>1.9766434202106367</c:v>
                </c:pt>
                <c:pt idx="70">
                  <c:v>1.9459010906809602</c:v>
                </c:pt>
                <c:pt idx="71">
                  <c:v>1.9260965847504816</c:v>
                </c:pt>
                <c:pt idx="72">
                  <c:v>1.9073867673003693</c:v>
                </c:pt>
                <c:pt idx="73">
                  <c:v>1.8889540455995912</c:v>
                </c:pt>
                <c:pt idx="74">
                  <c:v>1.8552609988435225</c:v>
                </c:pt>
                <c:pt idx="75">
                  <c:v>1.8162505713273176</c:v>
                </c:pt>
                <c:pt idx="76">
                  <c:v>1.7785331858677984</c:v>
                </c:pt>
                <c:pt idx="77">
                  <c:v>1.744879811706745</c:v>
                </c:pt>
                <c:pt idx="78" formatCode="General">
                  <c:v>1.7175538406777657</c:v>
                </c:pt>
                <c:pt idx="79">
                  <c:v>1.6927980098044944</c:v>
                </c:pt>
                <c:pt idx="80">
                  <c:v>1.6738853257985116</c:v>
                </c:pt>
                <c:pt idx="81">
                  <c:v>1.6540399177420588</c:v>
                </c:pt>
                <c:pt idx="82">
                  <c:v>1.6342223344097913</c:v>
                </c:pt>
                <c:pt idx="83">
                  <c:v>1.6170466778126253</c:v>
                </c:pt>
                <c:pt idx="84">
                  <c:v>1.6136663127128439</c:v>
                </c:pt>
                <c:pt idx="85">
                  <c:v>1.5972505666279342</c:v>
                </c:pt>
                <c:pt idx="86">
                  <c:v>1.5800470923556609</c:v>
                </c:pt>
                <c:pt idx="87">
                  <c:v>1.5642311436986165</c:v>
                </c:pt>
                <c:pt idx="88">
                  <c:v>1.5474288942579135</c:v>
                </c:pt>
                <c:pt idx="89">
                  <c:v>1.5286434131615603</c:v>
                </c:pt>
                <c:pt idx="90">
                  <c:v>1.5106092617073847</c:v>
                </c:pt>
                <c:pt idx="91">
                  <c:v>1.4923460747956052</c:v>
                </c:pt>
                <c:pt idx="92">
                  <c:v>1.4737438253549064</c:v>
                </c:pt>
                <c:pt idx="93">
                  <c:v>1.4548272572329988</c:v>
                </c:pt>
                <c:pt idx="94">
                  <c:v>1.434738718757099</c:v>
                </c:pt>
                <c:pt idx="95">
                  <c:v>1.4139307456034245</c:v>
                </c:pt>
                <c:pt idx="96">
                  <c:v>1.3935712355360539</c:v>
                </c:pt>
                <c:pt idx="97">
                  <c:v>1.3718448476143439</c:v>
                </c:pt>
                <c:pt idx="98">
                  <c:v>1.3499583466082465</c:v>
                </c:pt>
                <c:pt idx="99">
                  <c:v>1.3276139702099985</c:v>
                </c:pt>
                <c:pt idx="100">
                  <c:v>1.305385945263374</c:v>
                </c:pt>
                <c:pt idx="101">
                  <c:v>1.2829575198718639</c:v>
                </c:pt>
                <c:pt idx="102">
                  <c:v>1.2593783796036564</c:v>
                </c:pt>
                <c:pt idx="103">
                  <c:v>1.2354814463819692</c:v>
                </c:pt>
                <c:pt idx="104">
                  <c:v>1.2124260277020418</c:v>
                </c:pt>
                <c:pt idx="105">
                  <c:v>1.1877430056676022</c:v>
                </c:pt>
                <c:pt idx="106">
                  <c:v>1.1624562973899848</c:v>
                </c:pt>
                <c:pt idx="107">
                  <c:v>1.1376661054413257</c:v>
                </c:pt>
                <c:pt idx="108">
                  <c:v>1.112165702646752</c:v>
                </c:pt>
                <c:pt idx="109">
                  <c:v>1.08927653295753</c:v>
                </c:pt>
                <c:pt idx="110">
                  <c:v>1.0646573055512696</c:v>
                </c:pt>
                <c:pt idx="111">
                  <c:v>1.0399552539833183</c:v>
                </c:pt>
                <c:pt idx="112">
                  <c:v>1.0165198800472619</c:v>
                </c:pt>
                <c:pt idx="113">
                  <c:v>0.99477406919623368</c:v>
                </c:pt>
                <c:pt idx="114">
                  <c:v>0.97102928765371876</c:v>
                </c:pt>
                <c:pt idx="115">
                  <c:v>0.94512253463223272</c:v>
                </c:pt>
                <c:pt idx="116">
                  <c:v>0.92076568619890642</c:v>
                </c:pt>
                <c:pt idx="117">
                  <c:v>0.89365014268613008</c:v>
                </c:pt>
                <c:pt idx="118">
                  <c:v>0.86809103541333377</c:v>
                </c:pt>
                <c:pt idx="119">
                  <c:v>0.84340679089701309</c:v>
                </c:pt>
                <c:pt idx="120">
                  <c:v>0.81532704526209576</c:v>
                </c:pt>
                <c:pt idx="121">
                  <c:v>0.78949329895218723</c:v>
                </c:pt>
                <c:pt idx="122">
                  <c:v>0.76517836315581134</c:v>
                </c:pt>
                <c:pt idx="123">
                  <c:v>0.74098941248656969</c:v>
                </c:pt>
                <c:pt idx="124">
                  <c:v>0.71552950432400797</c:v>
                </c:pt>
                <c:pt idx="125">
                  <c:v>0.69674443542099906</c:v>
                </c:pt>
                <c:pt idx="126">
                  <c:v>0.67210271125803045</c:v>
                </c:pt>
                <c:pt idx="127">
                  <c:v>0.52862664481721344</c:v>
                </c:pt>
                <c:pt idx="128">
                  <c:v>0.46094259582394903</c:v>
                </c:pt>
                <c:pt idx="129">
                  <c:v>0.38785056897762571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1-3E4C-BA6F-5B1FD8EA4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243936"/>
        <c:axId val="-2029240624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7'!$EC$8:$EC$150</c:f>
              <c:numCache>
                <c:formatCode>0.000</c:formatCode>
                <c:ptCount val="143"/>
                <c:pt idx="7">
                  <c:v>0.54195406509585409</c:v>
                </c:pt>
                <c:pt idx="8">
                  <c:v>-0.81316758730067118</c:v>
                </c:pt>
                <c:pt idx="9">
                  <c:v>-1.8394531847439834</c:v>
                </c:pt>
                <c:pt idx="10">
                  <c:v>-2.4695976845197039</c:v>
                </c:pt>
                <c:pt idx="11">
                  <c:v>-1.0651381288299109</c:v>
                </c:pt>
                <c:pt idx="12">
                  <c:v>-0.59892787746201748</c:v>
                </c:pt>
                <c:pt idx="13">
                  <c:v>-0.18437699289918186</c:v>
                </c:pt>
                <c:pt idx="14">
                  <c:v>-1.2005924491810163</c:v>
                </c:pt>
                <c:pt idx="15">
                  <c:v>-1.3680144254648865</c:v>
                </c:pt>
                <c:pt idx="23">
                  <c:v>-1.4934827979861893</c:v>
                </c:pt>
                <c:pt idx="24">
                  <c:v>-0.54631381358665632</c:v>
                </c:pt>
                <c:pt idx="25">
                  <c:v>-0.80884284270011353</c:v>
                </c:pt>
                <c:pt idx="26">
                  <c:v>-0.56831329959123922</c:v>
                </c:pt>
                <c:pt idx="27">
                  <c:v>0.41839054688435162</c:v>
                </c:pt>
                <c:pt idx="28">
                  <c:v>-1.1686428406674434</c:v>
                </c:pt>
                <c:pt idx="30">
                  <c:v>-0.83841064212432936</c:v>
                </c:pt>
                <c:pt idx="34">
                  <c:v>-1.3860916966695789</c:v>
                </c:pt>
                <c:pt idx="35">
                  <c:v>-0.80755960410805105</c:v>
                </c:pt>
                <c:pt idx="36">
                  <c:v>-0.3798904867642765</c:v>
                </c:pt>
                <c:pt idx="37">
                  <c:v>-9.5686504933702565E-2</c:v>
                </c:pt>
                <c:pt idx="38">
                  <c:v>-0.31456925909300182</c:v>
                </c:pt>
                <c:pt idx="39">
                  <c:v>-0.3020030762041106</c:v>
                </c:pt>
                <c:pt idx="40">
                  <c:v>-0.55699775531487106</c:v>
                </c:pt>
                <c:pt idx="41">
                  <c:v>-0.58996450647456555</c:v>
                </c:pt>
                <c:pt idx="42">
                  <c:v>-0.35767398137029938</c:v>
                </c:pt>
                <c:pt idx="43">
                  <c:v>-0.45512925890862688</c:v>
                </c:pt>
                <c:pt idx="44">
                  <c:v>-0.37774367011921406</c:v>
                </c:pt>
                <c:pt idx="45">
                  <c:v>-0.1115077677420091</c:v>
                </c:pt>
                <c:pt idx="50">
                  <c:v>4.3422390507913633E-2</c:v>
                </c:pt>
                <c:pt idx="51">
                  <c:v>-0.51649129679547023</c:v>
                </c:pt>
                <c:pt idx="52">
                  <c:v>0.63153638159846492</c:v>
                </c:pt>
                <c:pt idx="53">
                  <c:v>0.94155290821139204</c:v>
                </c:pt>
                <c:pt idx="57">
                  <c:v>1.1547139143188097</c:v>
                </c:pt>
                <c:pt idx="61">
                  <c:v>-0.26824852694965351</c:v>
                </c:pt>
                <c:pt idx="62">
                  <c:v>0.2357336890413686</c:v>
                </c:pt>
                <c:pt idx="63">
                  <c:v>9.6746017342390633E-2</c:v>
                </c:pt>
                <c:pt idx="64">
                  <c:v>1.1696818889693983</c:v>
                </c:pt>
                <c:pt idx="65">
                  <c:v>1.5622743532361145</c:v>
                </c:pt>
                <c:pt idx="69">
                  <c:v>4.9679999999999991</c:v>
                </c:pt>
                <c:pt idx="70">
                  <c:v>3.5424000000000002</c:v>
                </c:pt>
                <c:pt idx="71">
                  <c:v>2.3939984227144446</c:v>
                </c:pt>
                <c:pt idx="72">
                  <c:v>1.6847999999999999</c:v>
                </c:pt>
                <c:pt idx="73">
                  <c:v>0.91871999999999998</c:v>
                </c:pt>
                <c:pt idx="74">
                  <c:v>0.97055999999999998</c:v>
                </c:pt>
                <c:pt idx="75">
                  <c:v>0.9979199999999997</c:v>
                </c:pt>
                <c:pt idx="76">
                  <c:v>3.528</c:v>
                </c:pt>
                <c:pt idx="77">
                  <c:v>2.8512</c:v>
                </c:pt>
                <c:pt idx="79">
                  <c:v>1.7568000000000001</c:v>
                </c:pt>
                <c:pt idx="80">
                  <c:v>1.8863999999999999</c:v>
                </c:pt>
                <c:pt idx="81">
                  <c:v>1.4327999999999999</c:v>
                </c:pt>
                <c:pt idx="82">
                  <c:v>1.2312000000000001</c:v>
                </c:pt>
                <c:pt idx="83">
                  <c:v>0.7545599999999999</c:v>
                </c:pt>
                <c:pt idx="86">
                  <c:v>1.3881599999999998</c:v>
                </c:pt>
                <c:pt idx="87">
                  <c:v>0.98639999999999994</c:v>
                </c:pt>
                <c:pt idx="88">
                  <c:v>0.63648000000000005</c:v>
                </c:pt>
                <c:pt idx="89">
                  <c:v>0.58607999999999993</c:v>
                </c:pt>
                <c:pt idx="90">
                  <c:v>0.78336000000000006</c:v>
                </c:pt>
                <c:pt idx="91">
                  <c:v>0.62783999999999995</c:v>
                </c:pt>
                <c:pt idx="92">
                  <c:v>0.54143999999999992</c:v>
                </c:pt>
                <c:pt idx="93">
                  <c:v>0.64511999999999992</c:v>
                </c:pt>
                <c:pt idx="94">
                  <c:v>1.1059199999999998</c:v>
                </c:pt>
                <c:pt idx="95">
                  <c:v>0.93023999999999996</c:v>
                </c:pt>
                <c:pt idx="96">
                  <c:v>0.70991999999999988</c:v>
                </c:pt>
                <c:pt idx="97">
                  <c:v>0.60624000000000011</c:v>
                </c:pt>
                <c:pt idx="98">
                  <c:v>0.48527999999999993</c:v>
                </c:pt>
                <c:pt idx="99">
                  <c:v>0.36143999999999998</c:v>
                </c:pt>
                <c:pt idx="100">
                  <c:v>0.42255134218871415</c:v>
                </c:pt>
                <c:pt idx="101">
                  <c:v>0.42623999999999995</c:v>
                </c:pt>
                <c:pt idx="102">
                  <c:v>1.0396800000000002</c:v>
                </c:pt>
                <c:pt idx="103">
                  <c:v>-2.6784000000000141E-2</c:v>
                </c:pt>
                <c:pt idx="104">
                  <c:v>-1.2830399999999909E-2</c:v>
                </c:pt>
                <c:pt idx="105">
                  <c:v>9.6191999999999833E-2</c:v>
                </c:pt>
                <c:pt idx="106">
                  <c:v>0.18432000000000004</c:v>
                </c:pt>
                <c:pt idx="107">
                  <c:v>-3.8736000000000104E-2</c:v>
                </c:pt>
                <c:pt idx="108">
                  <c:v>0.11231999999999998</c:v>
                </c:pt>
                <c:pt idx="109">
                  <c:v>0.30527999999999977</c:v>
                </c:pt>
                <c:pt idx="110">
                  <c:v>-0.17711999999999994</c:v>
                </c:pt>
                <c:pt idx="111">
                  <c:v>-4.8528000000000127E-2</c:v>
                </c:pt>
                <c:pt idx="112">
                  <c:v>0.12844800000000012</c:v>
                </c:pt>
                <c:pt idx="113">
                  <c:v>-0.22319999999999984</c:v>
                </c:pt>
                <c:pt idx="114">
                  <c:v>-0.97775999999999996</c:v>
                </c:pt>
                <c:pt idx="115">
                  <c:v>-0.54576000000000002</c:v>
                </c:pt>
                <c:pt idx="116">
                  <c:v>-0.30527999999999977</c:v>
                </c:pt>
                <c:pt idx="117">
                  <c:v>-0.45359999999999978</c:v>
                </c:pt>
                <c:pt idx="118">
                  <c:v>-0.6120000000000001</c:v>
                </c:pt>
                <c:pt idx="119">
                  <c:v>-0.93455999999999984</c:v>
                </c:pt>
                <c:pt idx="120">
                  <c:v>-0.12124800000000002</c:v>
                </c:pt>
                <c:pt idx="121">
                  <c:v>0.30384000000000011</c:v>
                </c:pt>
                <c:pt idx="122">
                  <c:v>1.6992</c:v>
                </c:pt>
                <c:pt idx="123">
                  <c:v>-0.3024</c:v>
                </c:pt>
                <c:pt idx="124">
                  <c:v>-0.26495999999999986</c:v>
                </c:pt>
                <c:pt idx="125">
                  <c:v>0.71711999999999998</c:v>
                </c:pt>
                <c:pt idx="126">
                  <c:v>0.28224000000000005</c:v>
                </c:pt>
                <c:pt idx="127">
                  <c:v>-1.1664000000000003</c:v>
                </c:pt>
                <c:pt idx="131">
                  <c:v>-0.81523926848087025</c:v>
                </c:pt>
                <c:pt idx="132">
                  <c:v>-1.1284992313921514</c:v>
                </c:pt>
                <c:pt idx="133">
                  <c:v>-0.57475286543238457</c:v>
                </c:pt>
                <c:pt idx="134">
                  <c:v>7.7648568323773759E-2</c:v>
                </c:pt>
                <c:pt idx="135">
                  <c:v>0.20601248328500077</c:v>
                </c:pt>
                <c:pt idx="136">
                  <c:v>1.2393120948850367E-2</c:v>
                </c:pt>
                <c:pt idx="138">
                  <c:v>-3.6003676844405419</c:v>
                </c:pt>
                <c:pt idx="139">
                  <c:v>9.8998975390870214</c:v>
                </c:pt>
                <c:pt idx="140">
                  <c:v>0.2494474159773219</c:v>
                </c:pt>
                <c:pt idx="141">
                  <c:v>6.8098221495027644E-2</c:v>
                </c:pt>
                <c:pt idx="142">
                  <c:v>-7.1840301957237784E-2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1-3E4C-BA6F-5B1FD8EA4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9243936"/>
        <c:axId val="-2029240624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 w="9525"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7'!$EL$8:$EL$150</c:f>
              <c:numCache>
                <c:formatCode>0.0</c:formatCode>
                <c:ptCount val="143"/>
                <c:pt idx="0">
                  <c:v>0</c:v>
                </c:pt>
                <c:pt idx="1">
                  <c:v>127.800000000002</c:v>
                </c:pt>
                <c:pt idx="2">
                  <c:v>3.1842159959313361</c:v>
                </c:pt>
                <c:pt idx="3">
                  <c:v>11.4</c:v>
                </c:pt>
                <c:pt idx="4">
                  <c:v>24.049999999999976</c:v>
                </c:pt>
                <c:pt idx="5">
                  <c:v>25.749999999999925</c:v>
                </c:pt>
                <c:pt idx="6">
                  <c:v>2</c:v>
                </c:pt>
                <c:pt idx="7">
                  <c:v>10.466666666666667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2.0666666666666664</c:v>
                </c:pt>
                <c:pt idx="18">
                  <c:v>0.1</c:v>
                </c:pt>
                <c:pt idx="19">
                  <c:v>2.1</c:v>
                </c:pt>
                <c:pt idx="20">
                  <c:v>0.4</c:v>
                </c:pt>
                <c:pt idx="21">
                  <c:v>22.5</c:v>
                </c:pt>
                <c:pt idx="22">
                  <c:v>4.75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63.600000000000051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0.55000000000000004</c:v>
                </c:pt>
                <c:pt idx="48">
                  <c:v>2.4500000000000002</c:v>
                </c:pt>
                <c:pt idx="49">
                  <c:v>15.1</c:v>
                </c:pt>
                <c:pt idx="50">
                  <c:v>1.9500000000000002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1.6500000000000001</c:v>
                </c:pt>
                <c:pt idx="56">
                  <c:v>0.1</c:v>
                </c:pt>
                <c:pt idx="57">
                  <c:v>0.95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51-3E4C-BA6F-5B1FD8EA4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9159824"/>
        <c:axId val="-2029237520"/>
      </c:barChart>
      <c:dateAx>
        <c:axId val="-2029243936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29240624"/>
        <c:crosses val="autoZero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29240624"/>
        <c:scaling>
          <c:orientation val="minMax"/>
          <c:max val="5.25"/>
          <c:min val="-2.5"/>
        </c:scaling>
        <c:delete val="0"/>
        <c:axPos val="l"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9243936"/>
        <c:crosses val="autoZero"/>
        <c:crossBetween val="between"/>
        <c:majorUnit val="1.25"/>
      </c:valAx>
      <c:valAx>
        <c:axId val="-2029237520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-2029159824"/>
        <c:crosses val="max"/>
        <c:crossBetween val="between"/>
        <c:majorUnit val="50"/>
      </c:valAx>
      <c:dateAx>
        <c:axId val="-2029159824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9237520"/>
        <c:crosses val="autoZero"/>
        <c:auto val="1"/>
        <c:lblOffset val="100"/>
        <c:baseTimeUnit val="days"/>
      </c:dateAx>
      <c:spPr>
        <a:ln w="1270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031196581196598E-2"/>
          <c:y val="4.1182992883824002E-2"/>
          <c:w val="0.87293247863247903"/>
          <c:h val="0.77854029960998705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effectLst/>
          </c:spPr>
          <c:cat>
            <c:numRef>
              <c:f>'Figs 6 &amp; 7'!$DE$8:$DE$137</c:f>
              <c:numCache>
                <c:formatCode>m/d/yy</c:formatCode>
                <c:ptCount val="130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7'!$EJ$8:$EJ$149</c:f>
              <c:numCache>
                <c:formatCode>0.000</c:formatCode>
                <c:ptCount val="142"/>
                <c:pt idx="0" formatCode="General">
                  <c:v>3.402581022440164</c:v>
                </c:pt>
                <c:pt idx="1">
                  <c:v>3.5956143565567311</c:v>
                </c:pt>
                <c:pt idx="2" formatCode="General">
                  <c:v>3.7167159959313372</c:v>
                </c:pt>
                <c:pt idx="3" formatCode="General">
                  <c:v>3.9735063881024368</c:v>
                </c:pt>
                <c:pt idx="4" formatCode="General">
                  <c:v>4.0705503382091868</c:v>
                </c:pt>
                <c:pt idx="5" formatCode="General">
                  <c:v>4.0373947052086629</c:v>
                </c:pt>
                <c:pt idx="6" formatCode="General">
                  <c:v>3.9870924557679617</c:v>
                </c:pt>
                <c:pt idx="7">
                  <c:v>3.9363337677375876</c:v>
                </c:pt>
                <c:pt idx="8">
                  <c:v>3.8828229280280384</c:v>
                </c:pt>
                <c:pt idx="9">
                  <c:v>3.8284341775812392</c:v>
                </c:pt>
                <c:pt idx="10">
                  <c:v>3.7887409376518049</c:v>
                </c:pt>
                <c:pt idx="11">
                  <c:v>3.7360098576753265</c:v>
                </c:pt>
                <c:pt idx="12">
                  <c:v>3.6890624191981507</c:v>
                </c:pt>
                <c:pt idx="13">
                  <c:v>3.661432976246588</c:v>
                </c:pt>
                <c:pt idx="14">
                  <c:v>3.616246677812625</c:v>
                </c:pt>
                <c:pt idx="15">
                  <c:v>3.5651524038752909</c:v>
                </c:pt>
                <c:pt idx="16" formatCode="General">
                  <c:v>3.5144710094669973</c:v>
                </c:pt>
                <c:pt idx="17" formatCode="General">
                  <c:v>3.4816802121516313</c:v>
                </c:pt>
                <c:pt idx="18" formatCode="General">
                  <c:v>3.4474771477230091</c:v>
                </c:pt>
                <c:pt idx="19" formatCode="General">
                  <c:v>3.4445194843017637</c:v>
                </c:pt>
                <c:pt idx="20" formatCode="General">
                  <c:v>3.42052888955853</c:v>
                </c:pt>
                <c:pt idx="21" formatCode="General">
                  <c:v>3.3864530186407693</c:v>
                </c:pt>
                <c:pt idx="22" formatCode="General">
                  <c:v>3.3481487199818067</c:v>
                </c:pt>
                <c:pt idx="23">
                  <c:v>3.3074953411213714</c:v>
                </c:pt>
                <c:pt idx="24">
                  <c:v>3.2686184455944813</c:v>
                </c:pt>
                <c:pt idx="25">
                  <c:v>3.2278004524185606</c:v>
                </c:pt>
                <c:pt idx="26">
                  <c:v>3.1861161938040867</c:v>
                </c:pt>
                <c:pt idx="27">
                  <c:v>3.1516955413438135</c:v>
                </c:pt>
                <c:pt idx="28">
                  <c:v>3.1205748912332298</c:v>
                </c:pt>
                <c:pt idx="29" formatCode="General">
                  <c:v>3.0834939113679729</c:v>
                </c:pt>
                <c:pt idx="30">
                  <c:v>3.0417266236699829</c:v>
                </c:pt>
                <c:pt idx="31" formatCode="General">
                  <c:v>3.0008783584564283</c:v>
                </c:pt>
                <c:pt idx="32" formatCode="General">
                  <c:v>3.7856730516361816</c:v>
                </c:pt>
                <c:pt idx="33" formatCode="General">
                  <c:v>3.7786814440322791</c:v>
                </c:pt>
                <c:pt idx="34">
                  <c:v>3.7410401297129612</c:v>
                </c:pt>
                <c:pt idx="35">
                  <c:v>3.7009155743392244</c:v>
                </c:pt>
                <c:pt idx="36">
                  <c:v>3.660127233736076</c:v>
                </c:pt>
                <c:pt idx="37">
                  <c:v>3.6221720246773588</c:v>
                </c:pt>
                <c:pt idx="38">
                  <c:v>3.5806231540970943</c:v>
                </c:pt>
                <c:pt idx="39">
                  <c:v>3.5398139537621534</c:v>
                </c:pt>
                <c:pt idx="40">
                  <c:v>3.5004722295991852</c:v>
                </c:pt>
                <c:pt idx="41">
                  <c:v>3.4643587306052828</c:v>
                </c:pt>
                <c:pt idx="42">
                  <c:v>3.4180634391078977</c:v>
                </c:pt>
                <c:pt idx="43">
                  <c:v>3.3739726488416055</c:v>
                </c:pt>
                <c:pt idx="44">
                  <c:v>3.339745248059228</c:v>
                </c:pt>
                <c:pt idx="45">
                  <c:v>3.3122742858665228</c:v>
                </c:pt>
                <c:pt idx="46" formatCode="General">
                  <c:v>3.2755507692000672</c:v>
                </c:pt>
                <c:pt idx="47" formatCode="General">
                  <c:v>3.2615924910133449</c:v>
                </c:pt>
                <c:pt idx="48" formatCode="General">
                  <c:v>3.2337663033140762</c:v>
                </c:pt>
                <c:pt idx="49" formatCode="General">
                  <c:v>3.2027693677426976</c:v>
                </c:pt>
                <c:pt idx="50">
                  <c:v>3.1658550443621065</c:v>
                </c:pt>
                <c:pt idx="51">
                  <c:v>3.1260257992832949</c:v>
                </c:pt>
                <c:pt idx="52">
                  <c:v>3.0964350043176188</c:v>
                </c:pt>
                <c:pt idx="53">
                  <c:v>3.0696703853027509</c:v>
                </c:pt>
                <c:pt idx="54" formatCode="General">
                  <c:v>3.0310358193055391</c:v>
                </c:pt>
                <c:pt idx="55" formatCode="General">
                  <c:v>2.9960996280318719</c:v>
                </c:pt>
                <c:pt idx="56" formatCode="General">
                  <c:v>2.9535202734430692</c:v>
                </c:pt>
                <c:pt idx="57">
                  <c:v>2.9459572820543505</c:v>
                </c:pt>
                <c:pt idx="58">
                  <c:v>2.9589521919043884</c:v>
                </c:pt>
                <c:pt idx="59">
                  <c:v>2.9403162032028556</c:v>
                </c:pt>
                <c:pt idx="60" formatCode="General">
                  <c:v>2.9093452457095355</c:v>
                </c:pt>
                <c:pt idx="61">
                  <c:v>2.8816566978348677</c:v>
                </c:pt>
                <c:pt idx="62">
                  <c:v>2.8446575104730956</c:v>
                </c:pt>
                <c:pt idx="63">
                  <c:v>2.8065082253497939</c:v>
                </c:pt>
                <c:pt idx="64">
                  <c:v>2.7656875728895214</c:v>
                </c:pt>
                <c:pt idx="65">
                  <c:v>2.7222288895585303</c:v>
                </c:pt>
                <c:pt idx="66">
                  <c:v>2.677693310700648</c:v>
                </c:pt>
                <c:pt idx="67">
                  <c:v>2.6445738854216385</c:v>
                </c:pt>
                <c:pt idx="68">
                  <c:v>2.6126156048852236</c:v>
                </c:pt>
                <c:pt idx="69">
                  <c:v>2.5780434202106379</c:v>
                </c:pt>
                <c:pt idx="70">
                  <c:v>2.5453010906809608</c:v>
                </c:pt>
                <c:pt idx="71">
                  <c:v>2.5081965847504817</c:v>
                </c:pt>
                <c:pt idx="72">
                  <c:v>2.4690867673003689</c:v>
                </c:pt>
                <c:pt idx="73">
                  <c:v>2.4298540455995914</c:v>
                </c:pt>
                <c:pt idx="74">
                  <c:v>2.3931609988435225</c:v>
                </c:pt>
                <c:pt idx="75">
                  <c:v>2.3502505713273179</c:v>
                </c:pt>
                <c:pt idx="76">
                  <c:v>2.3023331858677993</c:v>
                </c:pt>
                <c:pt idx="77">
                  <c:v>2.2695798117067456</c:v>
                </c:pt>
                <c:pt idx="78" formatCode="General">
                  <c:v>2.2397538406777668</c:v>
                </c:pt>
                <c:pt idx="79">
                  <c:v>2.2115980098044945</c:v>
                </c:pt>
                <c:pt idx="80">
                  <c:v>2.1831853257985108</c:v>
                </c:pt>
                <c:pt idx="81">
                  <c:v>2.1525399177420583</c:v>
                </c:pt>
                <c:pt idx="82">
                  <c:v>2.1216223344097918</c:v>
                </c:pt>
                <c:pt idx="83">
                  <c:v>2.0977466778126255</c:v>
                </c:pt>
                <c:pt idx="84">
                  <c:v>2.0814663127128457</c:v>
                </c:pt>
                <c:pt idx="85">
                  <c:v>2.055550566627935</c:v>
                </c:pt>
                <c:pt idx="86">
                  <c:v>2.0289470923556623</c:v>
                </c:pt>
                <c:pt idx="87">
                  <c:v>2.0001311436986162</c:v>
                </c:pt>
                <c:pt idx="88">
                  <c:v>1.9718288942579132</c:v>
                </c:pt>
                <c:pt idx="89">
                  <c:v>1.94464341316156</c:v>
                </c:pt>
                <c:pt idx="90">
                  <c:v>1.9197092617073845</c:v>
                </c:pt>
                <c:pt idx="91">
                  <c:v>1.8912460747956057</c:v>
                </c:pt>
                <c:pt idx="92">
                  <c:v>1.8654438253549059</c:v>
                </c:pt>
                <c:pt idx="93">
                  <c:v>1.8430272572329993</c:v>
                </c:pt>
                <c:pt idx="94">
                  <c:v>1.8197387187570999</c:v>
                </c:pt>
                <c:pt idx="95">
                  <c:v>1.7965307456034256</c:v>
                </c:pt>
                <c:pt idx="96">
                  <c:v>1.7742712355360541</c:v>
                </c:pt>
                <c:pt idx="97">
                  <c:v>1.7503448476143439</c:v>
                </c:pt>
                <c:pt idx="98">
                  <c:v>1.7278583466082462</c:v>
                </c:pt>
                <c:pt idx="99">
                  <c:v>1.7063139702099981</c:v>
                </c:pt>
                <c:pt idx="100">
                  <c:v>1.6838859452633741</c:v>
                </c:pt>
                <c:pt idx="101">
                  <c:v>1.6634575198718646</c:v>
                </c:pt>
                <c:pt idx="102">
                  <c:v>1.6420783796036555</c:v>
                </c:pt>
                <c:pt idx="103">
                  <c:v>1.6201814463819708</c:v>
                </c:pt>
                <c:pt idx="104">
                  <c:v>1.5991260277020405</c:v>
                </c:pt>
                <c:pt idx="105">
                  <c:v>1.5776430056676023</c:v>
                </c:pt>
                <c:pt idx="106">
                  <c:v>1.5563562973899845</c:v>
                </c:pt>
                <c:pt idx="107">
                  <c:v>1.5351661054413257</c:v>
                </c:pt>
                <c:pt idx="108">
                  <c:v>1.5152657026467513</c:v>
                </c:pt>
                <c:pt idx="109">
                  <c:v>1.4951765329575299</c:v>
                </c:pt>
                <c:pt idx="110">
                  <c:v>1.4721573055512711</c:v>
                </c:pt>
                <c:pt idx="111">
                  <c:v>1.4525552539833169</c:v>
                </c:pt>
                <c:pt idx="112">
                  <c:v>1.4321198800472623</c:v>
                </c:pt>
                <c:pt idx="113">
                  <c:v>1.4101740691962346</c:v>
                </c:pt>
                <c:pt idx="114">
                  <c:v>1.3890292876537189</c:v>
                </c:pt>
                <c:pt idx="115">
                  <c:v>1.3675225346322315</c:v>
                </c:pt>
                <c:pt idx="116">
                  <c:v>1.3459656861989058</c:v>
                </c:pt>
                <c:pt idx="117">
                  <c:v>1.3257501426861293</c:v>
                </c:pt>
                <c:pt idx="118">
                  <c:v>1.3051910354133338</c:v>
                </c:pt>
                <c:pt idx="119">
                  <c:v>1.2847067908970122</c:v>
                </c:pt>
                <c:pt idx="120">
                  <c:v>1.2617270452620954</c:v>
                </c:pt>
                <c:pt idx="121">
                  <c:v>1.2418932989521871</c:v>
                </c:pt>
                <c:pt idx="122">
                  <c:v>1.2223783631558125</c:v>
                </c:pt>
                <c:pt idx="123">
                  <c:v>1.2017894124865713</c:v>
                </c:pt>
                <c:pt idx="124">
                  <c:v>1.1800295043240081</c:v>
                </c:pt>
                <c:pt idx="125">
                  <c:v>1.1658444354209991</c:v>
                </c:pt>
                <c:pt idx="126">
                  <c:v>1.1438027112580298</c:v>
                </c:pt>
                <c:pt idx="127">
                  <c:v>1.1231266448172126</c:v>
                </c:pt>
                <c:pt idx="128">
                  <c:v>1.1026425958239483</c:v>
                </c:pt>
                <c:pt idx="129">
                  <c:v>1.0823505689776245</c:v>
                </c:pt>
                <c:pt idx="130" formatCode="General">
                  <c:v>1.0625391168522911</c:v>
                </c:pt>
                <c:pt idx="131" formatCode="General">
                  <c:v>1.0506423909021234</c:v>
                </c:pt>
                <c:pt idx="132" formatCode="General">
                  <c:v>1.026062638218129</c:v>
                </c:pt>
                <c:pt idx="133" formatCode="General">
                  <c:v>1.0033861525348908</c:v>
                </c:pt>
                <c:pt idx="134" formatCode="General">
                  <c:v>0.98222602770204104</c:v>
                </c:pt>
                <c:pt idx="135" formatCode="General">
                  <c:v>0.95960209649255346</c:v>
                </c:pt>
                <c:pt idx="136" formatCode="General">
                  <c:v>1.0025532235625954</c:v>
                </c:pt>
                <c:pt idx="137" formatCode="General">
                  <c:v>0.9875569004070025</c:v>
                </c:pt>
                <c:pt idx="138" formatCode="General">
                  <c:v>0.96815792501613152</c:v>
                </c:pt>
                <c:pt idx="139" formatCode="General">
                  <c:v>0.98956345085635766</c:v>
                </c:pt>
                <c:pt idx="140" formatCode="General">
                  <c:v>0.8906824686414071</c:v>
                </c:pt>
                <c:pt idx="141" formatCode="General">
                  <c:v>0.62770087166098121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0-D349-B4D7-652162828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380032"/>
        <c:axId val="-2010376464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7'!$EB$8:$EB$150</c:f>
              <c:numCache>
                <c:formatCode>0.000</c:formatCode>
                <c:ptCount val="143"/>
                <c:pt idx="7">
                  <c:v>3.2727602890206309</c:v>
                </c:pt>
                <c:pt idx="8">
                  <c:v>3.3176623044260181</c:v>
                </c:pt>
                <c:pt idx="9">
                  <c:v>3.5923110136285521</c:v>
                </c:pt>
                <c:pt idx="10">
                  <c:v>4.3428434144931023</c:v>
                </c:pt>
                <c:pt idx="11">
                  <c:v>2.7474285785189858</c:v>
                </c:pt>
                <c:pt idx="12">
                  <c:v>3.9255544551259103</c:v>
                </c:pt>
                <c:pt idx="13">
                  <c:v>3.4074644537712255</c:v>
                </c:pt>
                <c:pt idx="14">
                  <c:v>1.0890368485660638</c:v>
                </c:pt>
                <c:pt idx="15">
                  <c:v>2.4579943980309591</c:v>
                </c:pt>
                <c:pt idx="23">
                  <c:v>2.4099202472238548</c:v>
                </c:pt>
                <c:pt idx="24">
                  <c:v>2.5849687140150812</c:v>
                </c:pt>
                <c:pt idx="25">
                  <c:v>2.357247889535663</c:v>
                </c:pt>
                <c:pt idx="26">
                  <c:v>2.4177093906381546</c:v>
                </c:pt>
                <c:pt idx="27">
                  <c:v>2.4786486742017049</c:v>
                </c:pt>
                <c:pt idx="28">
                  <c:v>1.9248509521759751</c:v>
                </c:pt>
                <c:pt idx="30">
                  <c:v>2.5352211692552666</c:v>
                </c:pt>
                <c:pt idx="34">
                  <c:v>-1.2559589110109535</c:v>
                </c:pt>
                <c:pt idx="35">
                  <c:v>1.6215926195515196</c:v>
                </c:pt>
                <c:pt idx="36">
                  <c:v>2.2671957312482216</c:v>
                </c:pt>
                <c:pt idx="37">
                  <c:v>2.7310272233608659</c:v>
                </c:pt>
                <c:pt idx="38">
                  <c:v>2.4868161403737918</c:v>
                </c:pt>
                <c:pt idx="39">
                  <c:v>2.5163349535879447</c:v>
                </c:pt>
                <c:pt idx="40">
                  <c:v>2.8757220906537446</c:v>
                </c:pt>
                <c:pt idx="41">
                  <c:v>2.4897078554911189</c:v>
                </c:pt>
                <c:pt idx="42">
                  <c:v>1.7566663861910565</c:v>
                </c:pt>
                <c:pt idx="43">
                  <c:v>2.319710623450967</c:v>
                </c:pt>
                <c:pt idx="44">
                  <c:v>2.3794553762568071</c:v>
                </c:pt>
                <c:pt idx="45">
                  <c:v>1.7914244224558209</c:v>
                </c:pt>
                <c:pt idx="50">
                  <c:v>0.53413838918235657</c:v>
                </c:pt>
                <c:pt idx="51">
                  <c:v>1.1272754696107126</c:v>
                </c:pt>
                <c:pt idx="52">
                  <c:v>1.5340212544321057</c:v>
                </c:pt>
                <c:pt idx="53">
                  <c:v>0.580328799386439</c:v>
                </c:pt>
                <c:pt idx="57">
                  <c:v>2.1596694523603741</c:v>
                </c:pt>
                <c:pt idx="61">
                  <c:v>0.77159145993558065</c:v>
                </c:pt>
                <c:pt idx="62">
                  <c:v>1.5112910128221571</c:v>
                </c:pt>
                <c:pt idx="63">
                  <c:v>1.5739227997893952</c:v>
                </c:pt>
                <c:pt idx="64">
                  <c:v>1.6099028971229741</c:v>
                </c:pt>
                <c:pt idx="65">
                  <c:v>1.7906845772023496</c:v>
                </c:pt>
                <c:pt idx="66">
                  <c:v>2.0015187029673589</c:v>
                </c:pt>
                <c:pt idx="67">
                  <c:v>2.9193934360205995</c:v>
                </c:pt>
                <c:pt idx="68">
                  <c:v>1.5777037055302723</c:v>
                </c:pt>
                <c:pt idx="69">
                  <c:v>1.4864436727347068</c:v>
                </c:pt>
                <c:pt idx="70">
                  <c:v>1.4098371767342979</c:v>
                </c:pt>
                <c:pt idx="71">
                  <c:v>1.4931207691465183</c:v>
                </c:pt>
                <c:pt idx="72">
                  <c:v>1.1733069915397629</c:v>
                </c:pt>
                <c:pt idx="73">
                  <c:v>1.3886855674006373</c:v>
                </c:pt>
                <c:pt idx="74">
                  <c:v>2.0090834447837604</c:v>
                </c:pt>
                <c:pt idx="75">
                  <c:v>0.97471852729933239</c:v>
                </c:pt>
                <c:pt idx="76">
                  <c:v>2.0572191929802992</c:v>
                </c:pt>
                <c:pt idx="77">
                  <c:v>2.294508238372603</c:v>
                </c:pt>
                <c:pt idx="79">
                  <c:v>0.8130560206943076</c:v>
                </c:pt>
                <c:pt idx="80">
                  <c:v>0.86026939967923921</c:v>
                </c:pt>
                <c:pt idx="81">
                  <c:v>1.0946237297955292</c:v>
                </c:pt>
                <c:pt idx="82">
                  <c:v>1.3589583779788437</c:v>
                </c:pt>
                <c:pt idx="83">
                  <c:v>1.2228366820038494</c:v>
                </c:pt>
                <c:pt idx="86">
                  <c:v>1.337378577976011</c:v>
                </c:pt>
                <c:pt idx="87">
                  <c:v>1.2449419530532713</c:v>
                </c:pt>
                <c:pt idx="88">
                  <c:v>1.0391201934159273</c:v>
                </c:pt>
                <c:pt idx="89">
                  <c:v>1.0384080211698601</c:v>
                </c:pt>
                <c:pt idx="90">
                  <c:v>0.72196983464759823</c:v>
                </c:pt>
                <c:pt idx="91">
                  <c:v>1.3419423188444295</c:v>
                </c:pt>
                <c:pt idx="92">
                  <c:v>1.3272920470254472</c:v>
                </c:pt>
                <c:pt idx="93">
                  <c:v>1.0102926714582252</c:v>
                </c:pt>
                <c:pt idx="94">
                  <c:v>1.0201309896267592</c:v>
                </c:pt>
                <c:pt idx="95">
                  <c:v>0.74483004024267152</c:v>
                </c:pt>
                <c:pt idx="96">
                  <c:v>0.56576661193491162</c:v>
                </c:pt>
                <c:pt idx="97">
                  <c:v>0.56816344768324645</c:v>
                </c:pt>
                <c:pt idx="98">
                  <c:v>0.59808424612383937</c:v>
                </c:pt>
                <c:pt idx="99">
                  <c:v>0.52868427880805724</c:v>
                </c:pt>
                <c:pt idx="100">
                  <c:v>0.34658347167495518</c:v>
                </c:pt>
                <c:pt idx="101">
                  <c:v>0.34718426852914019</c:v>
                </c:pt>
                <c:pt idx="102">
                  <c:v>-0.47807999999999984</c:v>
                </c:pt>
                <c:pt idx="103">
                  <c:v>-0.15983999999999998</c:v>
                </c:pt>
                <c:pt idx="104">
                  <c:v>-0.4104000000000001</c:v>
                </c:pt>
                <c:pt idx="105">
                  <c:v>-0.24191999999999991</c:v>
                </c:pt>
                <c:pt idx="106">
                  <c:v>-0.23328000000000015</c:v>
                </c:pt>
                <c:pt idx="107">
                  <c:v>-7.185599999999992E-2</c:v>
                </c:pt>
                <c:pt idx="108">
                  <c:v>-0.14371199999999984</c:v>
                </c:pt>
                <c:pt idx="109">
                  <c:v>-6.3072000000000017E-2</c:v>
                </c:pt>
                <c:pt idx="110">
                  <c:v>5.731200000000003E-2</c:v>
                </c:pt>
                <c:pt idx="111">
                  <c:v>0.11203200000000013</c:v>
                </c:pt>
                <c:pt idx="112">
                  <c:v>-0.7128000000000001</c:v>
                </c:pt>
                <c:pt idx="113">
                  <c:v>-0.66528000000000009</c:v>
                </c:pt>
                <c:pt idx="116">
                  <c:v>-0.87695999999999996</c:v>
                </c:pt>
                <c:pt idx="117">
                  <c:v>-0.98351999999999995</c:v>
                </c:pt>
                <c:pt idx="119">
                  <c:v>-0.98064000000000018</c:v>
                </c:pt>
                <c:pt idx="120">
                  <c:v>-8.524799999999999E-2</c:v>
                </c:pt>
                <c:pt idx="121">
                  <c:v>0.12196799999999985</c:v>
                </c:pt>
                <c:pt idx="122">
                  <c:v>0.74015999999999993</c:v>
                </c:pt>
                <c:pt idx="123">
                  <c:v>0.22320000000000007</c:v>
                </c:pt>
                <c:pt idx="124">
                  <c:v>0.19584000000000001</c:v>
                </c:pt>
                <c:pt idx="125">
                  <c:v>0.52127999999999997</c:v>
                </c:pt>
                <c:pt idx="126">
                  <c:v>7.6608000000000231E-3</c:v>
                </c:pt>
                <c:pt idx="127">
                  <c:v>-0.13852799999999998</c:v>
                </c:pt>
                <c:pt idx="128">
                  <c:v>3.0095999999999901E-2</c:v>
                </c:pt>
                <c:pt idx="129">
                  <c:v>0.16847999999999996</c:v>
                </c:pt>
                <c:pt idx="130">
                  <c:v>2.0292026846323807</c:v>
                </c:pt>
                <c:pt idx="131">
                  <c:v>0.98580265541425049</c:v>
                </c:pt>
                <c:pt idx="132">
                  <c:v>0.76508881643504389</c:v>
                </c:pt>
                <c:pt idx="133">
                  <c:v>0.61346515411690095</c:v>
                </c:pt>
                <c:pt idx="134">
                  <c:v>2.2676485683238212</c:v>
                </c:pt>
                <c:pt idx="135">
                  <c:v>2.1160124832849792</c:v>
                </c:pt>
                <c:pt idx="136">
                  <c:v>2.262393120948758</c:v>
                </c:pt>
                <c:pt idx="138">
                  <c:v>1.499632315559285</c:v>
                </c:pt>
                <c:pt idx="139">
                  <c:v>1.9398975390870987</c:v>
                </c:pt>
                <c:pt idx="140">
                  <c:v>-2.1405525840226147</c:v>
                </c:pt>
                <c:pt idx="141">
                  <c:v>9.8880982214950564</c:v>
                </c:pt>
                <c:pt idx="142">
                  <c:v>26.298159698042589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0-D349-B4D7-652162828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10380032"/>
        <c:axId val="-2010376464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 w="9525"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7'!$EL$8:$EL$150</c:f>
              <c:numCache>
                <c:formatCode>0.0</c:formatCode>
                <c:ptCount val="143"/>
                <c:pt idx="0">
                  <c:v>0</c:v>
                </c:pt>
                <c:pt idx="1">
                  <c:v>127.800000000002</c:v>
                </c:pt>
                <c:pt idx="2">
                  <c:v>3.1842159959313361</c:v>
                </c:pt>
                <c:pt idx="3">
                  <c:v>11.4</c:v>
                </c:pt>
                <c:pt idx="4">
                  <c:v>24.049999999999976</c:v>
                </c:pt>
                <c:pt idx="5">
                  <c:v>25.749999999999925</c:v>
                </c:pt>
                <c:pt idx="6">
                  <c:v>2</c:v>
                </c:pt>
                <c:pt idx="7">
                  <c:v>10.466666666666667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2.0666666666666664</c:v>
                </c:pt>
                <c:pt idx="18">
                  <c:v>0.1</c:v>
                </c:pt>
                <c:pt idx="19">
                  <c:v>2.1</c:v>
                </c:pt>
                <c:pt idx="20">
                  <c:v>0.4</c:v>
                </c:pt>
                <c:pt idx="21">
                  <c:v>22.5</c:v>
                </c:pt>
                <c:pt idx="22">
                  <c:v>4.75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63.600000000000051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0.55000000000000004</c:v>
                </c:pt>
                <c:pt idx="48">
                  <c:v>2.4500000000000002</c:v>
                </c:pt>
                <c:pt idx="49">
                  <c:v>15.1</c:v>
                </c:pt>
                <c:pt idx="50">
                  <c:v>1.9500000000000002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1.6500000000000001</c:v>
                </c:pt>
                <c:pt idx="56">
                  <c:v>0.1</c:v>
                </c:pt>
                <c:pt idx="57">
                  <c:v>0.95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0-D349-B4D7-652162828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10370672"/>
        <c:axId val="-2010373600"/>
      </c:barChart>
      <c:dateAx>
        <c:axId val="-2010380032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10376464"/>
        <c:crossesAt val="0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10376464"/>
        <c:scaling>
          <c:orientation val="minMax"/>
          <c:max val="5.25"/>
          <c:min val="-2.5"/>
        </c:scaling>
        <c:delete val="0"/>
        <c:axPos val="l"/>
        <c:numFmt formatCode="General" sourceLinked="0"/>
        <c:majorTickMark val="in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-2010380032"/>
        <c:crosses val="autoZero"/>
        <c:crossBetween val="between"/>
        <c:majorUnit val="1.25"/>
      </c:valAx>
      <c:valAx>
        <c:axId val="-2010373600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-2010370672"/>
        <c:crosses val="max"/>
        <c:crossBetween val="between"/>
        <c:majorUnit val="50"/>
      </c:valAx>
      <c:dateAx>
        <c:axId val="-2010370672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10373600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031196581196598E-2"/>
          <c:y val="4.1182992883824002E-2"/>
          <c:w val="0.87293247863247903"/>
          <c:h val="0.77854029960998705"/>
        </c:manualLayout>
      </c:layout>
      <c:areaChart>
        <c:grouping val="stacke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25400">
              <a:noFill/>
            </a:ln>
          </c:spPr>
          <c:cat>
            <c:numRef>
              <c:f>'Figs 6 &amp; 7'!$EN$6:$EN$124</c:f>
              <c:numCache>
                <c:formatCode>m/d/yy</c:formatCode>
                <c:ptCount val="119"/>
                <c:pt idx="0">
                  <c:v>41560</c:v>
                </c:pt>
                <c:pt idx="1">
                  <c:v>41561</c:v>
                </c:pt>
                <c:pt idx="2">
                  <c:v>41562</c:v>
                </c:pt>
                <c:pt idx="3">
                  <c:v>41563</c:v>
                </c:pt>
                <c:pt idx="4">
                  <c:v>41564</c:v>
                </c:pt>
                <c:pt idx="5">
                  <c:v>41565</c:v>
                </c:pt>
                <c:pt idx="6">
                  <c:v>41566</c:v>
                </c:pt>
                <c:pt idx="7">
                  <c:v>41567</c:v>
                </c:pt>
                <c:pt idx="8">
                  <c:v>41568</c:v>
                </c:pt>
                <c:pt idx="9">
                  <c:v>41569</c:v>
                </c:pt>
                <c:pt idx="10">
                  <c:v>41570</c:v>
                </c:pt>
                <c:pt idx="11">
                  <c:v>41571</c:v>
                </c:pt>
                <c:pt idx="12">
                  <c:v>41572</c:v>
                </c:pt>
                <c:pt idx="13">
                  <c:v>41573</c:v>
                </c:pt>
                <c:pt idx="14">
                  <c:v>41574</c:v>
                </c:pt>
                <c:pt idx="15">
                  <c:v>41575</c:v>
                </c:pt>
                <c:pt idx="16">
                  <c:v>41576</c:v>
                </c:pt>
                <c:pt idx="17">
                  <c:v>41577</c:v>
                </c:pt>
                <c:pt idx="18">
                  <c:v>41578</c:v>
                </c:pt>
                <c:pt idx="19">
                  <c:v>41579</c:v>
                </c:pt>
                <c:pt idx="20">
                  <c:v>41580</c:v>
                </c:pt>
                <c:pt idx="21">
                  <c:v>41581</c:v>
                </c:pt>
                <c:pt idx="22">
                  <c:v>41582</c:v>
                </c:pt>
                <c:pt idx="23">
                  <c:v>41583</c:v>
                </c:pt>
                <c:pt idx="24">
                  <c:v>41584</c:v>
                </c:pt>
                <c:pt idx="25">
                  <c:v>41585</c:v>
                </c:pt>
                <c:pt idx="26">
                  <c:v>41586</c:v>
                </c:pt>
                <c:pt idx="27">
                  <c:v>41587</c:v>
                </c:pt>
                <c:pt idx="28">
                  <c:v>41588</c:v>
                </c:pt>
                <c:pt idx="29">
                  <c:v>41589</c:v>
                </c:pt>
                <c:pt idx="30">
                  <c:v>41590</c:v>
                </c:pt>
                <c:pt idx="31">
                  <c:v>41591</c:v>
                </c:pt>
                <c:pt idx="32">
                  <c:v>41592</c:v>
                </c:pt>
                <c:pt idx="33">
                  <c:v>41593</c:v>
                </c:pt>
                <c:pt idx="34">
                  <c:v>41594</c:v>
                </c:pt>
                <c:pt idx="35">
                  <c:v>41595</c:v>
                </c:pt>
                <c:pt idx="36">
                  <c:v>41596</c:v>
                </c:pt>
                <c:pt idx="37">
                  <c:v>41597</c:v>
                </c:pt>
                <c:pt idx="38">
                  <c:v>41598</c:v>
                </c:pt>
                <c:pt idx="39">
                  <c:v>41599</c:v>
                </c:pt>
                <c:pt idx="40">
                  <c:v>41600</c:v>
                </c:pt>
                <c:pt idx="41">
                  <c:v>41601</c:v>
                </c:pt>
                <c:pt idx="42">
                  <c:v>41602</c:v>
                </c:pt>
                <c:pt idx="43">
                  <c:v>41603</c:v>
                </c:pt>
                <c:pt idx="44">
                  <c:v>41604</c:v>
                </c:pt>
                <c:pt idx="45">
                  <c:v>41605</c:v>
                </c:pt>
                <c:pt idx="46">
                  <c:v>41606</c:v>
                </c:pt>
                <c:pt idx="47">
                  <c:v>41607</c:v>
                </c:pt>
                <c:pt idx="48">
                  <c:v>41608</c:v>
                </c:pt>
                <c:pt idx="49">
                  <c:v>41609</c:v>
                </c:pt>
                <c:pt idx="50">
                  <c:v>41610</c:v>
                </c:pt>
                <c:pt idx="51">
                  <c:v>41611</c:v>
                </c:pt>
                <c:pt idx="52">
                  <c:v>41612</c:v>
                </c:pt>
                <c:pt idx="53">
                  <c:v>41613</c:v>
                </c:pt>
                <c:pt idx="54">
                  <c:v>41614</c:v>
                </c:pt>
                <c:pt idx="55">
                  <c:v>41615</c:v>
                </c:pt>
                <c:pt idx="56">
                  <c:v>41616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41622</c:v>
                </c:pt>
                <c:pt idx="63">
                  <c:v>41623</c:v>
                </c:pt>
                <c:pt idx="64">
                  <c:v>41624</c:v>
                </c:pt>
                <c:pt idx="65">
                  <c:v>41625</c:v>
                </c:pt>
                <c:pt idx="66">
                  <c:v>41626</c:v>
                </c:pt>
                <c:pt idx="67">
                  <c:v>41627</c:v>
                </c:pt>
                <c:pt idx="68">
                  <c:v>41628</c:v>
                </c:pt>
                <c:pt idx="69">
                  <c:v>41629</c:v>
                </c:pt>
                <c:pt idx="70">
                  <c:v>41630</c:v>
                </c:pt>
                <c:pt idx="71">
                  <c:v>41631</c:v>
                </c:pt>
                <c:pt idx="72">
                  <c:v>41632</c:v>
                </c:pt>
                <c:pt idx="73">
                  <c:v>41633</c:v>
                </c:pt>
                <c:pt idx="74">
                  <c:v>41634</c:v>
                </c:pt>
                <c:pt idx="75">
                  <c:v>41635</c:v>
                </c:pt>
                <c:pt idx="76">
                  <c:v>41636</c:v>
                </c:pt>
                <c:pt idx="77">
                  <c:v>41637</c:v>
                </c:pt>
                <c:pt idx="78">
                  <c:v>41638</c:v>
                </c:pt>
                <c:pt idx="79">
                  <c:v>41639</c:v>
                </c:pt>
                <c:pt idx="80">
                  <c:v>41640</c:v>
                </c:pt>
                <c:pt idx="81">
                  <c:v>41641</c:v>
                </c:pt>
                <c:pt idx="82">
                  <c:v>41642</c:v>
                </c:pt>
                <c:pt idx="83">
                  <c:v>41643</c:v>
                </c:pt>
                <c:pt idx="84">
                  <c:v>41644</c:v>
                </c:pt>
                <c:pt idx="85">
                  <c:v>41645</c:v>
                </c:pt>
                <c:pt idx="86">
                  <c:v>41646</c:v>
                </c:pt>
                <c:pt idx="87">
                  <c:v>41647</c:v>
                </c:pt>
                <c:pt idx="88">
                  <c:v>41648</c:v>
                </c:pt>
                <c:pt idx="89">
                  <c:v>41649</c:v>
                </c:pt>
                <c:pt idx="90">
                  <c:v>41650</c:v>
                </c:pt>
                <c:pt idx="91">
                  <c:v>41651</c:v>
                </c:pt>
                <c:pt idx="92">
                  <c:v>41652</c:v>
                </c:pt>
                <c:pt idx="93">
                  <c:v>41653</c:v>
                </c:pt>
                <c:pt idx="94">
                  <c:v>41654</c:v>
                </c:pt>
                <c:pt idx="95">
                  <c:v>41655</c:v>
                </c:pt>
                <c:pt idx="96">
                  <c:v>41656</c:v>
                </c:pt>
                <c:pt idx="97">
                  <c:v>41657</c:v>
                </c:pt>
                <c:pt idx="98">
                  <c:v>41658</c:v>
                </c:pt>
                <c:pt idx="99">
                  <c:v>41659</c:v>
                </c:pt>
                <c:pt idx="100">
                  <c:v>41660</c:v>
                </c:pt>
                <c:pt idx="101">
                  <c:v>41661</c:v>
                </c:pt>
                <c:pt idx="102">
                  <c:v>41662</c:v>
                </c:pt>
                <c:pt idx="103">
                  <c:v>41663</c:v>
                </c:pt>
                <c:pt idx="104">
                  <c:v>41664</c:v>
                </c:pt>
                <c:pt idx="105">
                  <c:v>41665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41671</c:v>
                </c:pt>
                <c:pt idx="112">
                  <c:v>41672</c:v>
                </c:pt>
                <c:pt idx="113">
                  <c:v>41673</c:v>
                </c:pt>
                <c:pt idx="114">
                  <c:v>41674</c:v>
                </c:pt>
                <c:pt idx="115">
                  <c:v>41675</c:v>
                </c:pt>
                <c:pt idx="116">
                  <c:v>41676</c:v>
                </c:pt>
                <c:pt idx="117">
                  <c:v>41677</c:v>
                </c:pt>
                <c:pt idx="118">
                  <c:v>41678</c:v>
                </c:pt>
              </c:numCache>
            </c:numRef>
          </c:cat>
          <c:val>
            <c:numRef>
              <c:f>'Figs 6 &amp; 7'!$EO$6:$EO$103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3.001481022440164</c:v>
                </c:pt>
                <c:pt idx="3" formatCode="0.000">
                  <c:v>3.0295143565567302</c:v>
                </c:pt>
                <c:pt idx="4">
                  <c:v>3.1842159959313361</c:v>
                </c:pt>
                <c:pt idx="5">
                  <c:v>3.1727063881024375</c:v>
                </c:pt>
                <c:pt idx="6">
                  <c:v>3.1319503382091853</c:v>
                </c:pt>
                <c:pt idx="7">
                  <c:v>3.0868947052086626</c:v>
                </c:pt>
                <c:pt idx="8">
                  <c:v>3.0421924557679625</c:v>
                </c:pt>
                <c:pt idx="9" formatCode="0.000">
                  <c:v>2.9996337677375871</c:v>
                </c:pt>
                <c:pt idx="10" formatCode="0.000">
                  <c:v>2.9609229280280371</c:v>
                </c:pt>
                <c:pt idx="11" formatCode="0.000">
                  <c:v>2.9154341775812385</c:v>
                </c:pt>
                <c:pt idx="12" formatCode="0.000">
                  <c:v>2.8776409376518033</c:v>
                </c:pt>
                <c:pt idx="13" formatCode="0.000">
                  <c:v>2.8401098576753268</c:v>
                </c:pt>
                <c:pt idx="14" formatCode="0.000">
                  <c:v>2.7989624191981517</c:v>
                </c:pt>
                <c:pt idx="15" formatCode="0.000">
                  <c:v>2.7607329762465871</c:v>
                </c:pt>
                <c:pt idx="16" formatCode="0.000">
                  <c:v>2.7228466778126248</c:v>
                </c:pt>
                <c:pt idx="17" formatCode="0.000">
                  <c:v>2.6960524038752909</c:v>
                </c:pt>
                <c:pt idx="18">
                  <c:v>2.6588710094669961</c:v>
                </c:pt>
                <c:pt idx="19">
                  <c:v>2.6246802121516297</c:v>
                </c:pt>
                <c:pt idx="20">
                  <c:v>2.5902771477230098</c:v>
                </c:pt>
                <c:pt idx="21">
                  <c:v>2.6102194843017643</c:v>
                </c:pt>
                <c:pt idx="22">
                  <c:v>2.6013288895585291</c:v>
                </c:pt>
                <c:pt idx="23">
                  <c:v>2.56585301864077</c:v>
                </c:pt>
                <c:pt idx="24">
                  <c:v>2.531948719981806</c:v>
                </c:pt>
                <c:pt idx="25" formatCode="0.000">
                  <c:v>2.4993953411213714</c:v>
                </c:pt>
                <c:pt idx="26" formatCode="0.000">
                  <c:v>2.4632184455944803</c:v>
                </c:pt>
                <c:pt idx="27" formatCode="0.000">
                  <c:v>2.4248004524185611</c:v>
                </c:pt>
                <c:pt idx="28" formatCode="0.000">
                  <c:v>2.3878161938040869</c:v>
                </c:pt>
                <c:pt idx="29" formatCode="0.000">
                  <c:v>2.3528955413438131</c:v>
                </c:pt>
                <c:pt idx="30" formatCode="0.000">
                  <c:v>2.3232748912332295</c:v>
                </c:pt>
                <c:pt idx="31">
                  <c:v>2.2819939113679717</c:v>
                </c:pt>
                <c:pt idx="32" formatCode="0.000">
                  <c:v>2.2373266236699831</c:v>
                </c:pt>
                <c:pt idx="33">
                  <c:v>2.1916783584564272</c:v>
                </c:pt>
                <c:pt idx="34">
                  <c:v>2.2556730516361818</c:v>
                </c:pt>
                <c:pt idx="35">
                  <c:v>2.2130814440322788</c:v>
                </c:pt>
                <c:pt idx="36" formatCode="0.000">
                  <c:v>2.1686401297129607</c:v>
                </c:pt>
                <c:pt idx="37" formatCode="0.000">
                  <c:v>2.1246155743392241</c:v>
                </c:pt>
                <c:pt idx="38" formatCode="0.000">
                  <c:v>2.0702272337360754</c:v>
                </c:pt>
                <c:pt idx="39" formatCode="0.000">
                  <c:v>2.0150720246773575</c:v>
                </c:pt>
                <c:pt idx="40" formatCode="0.000">
                  <c:v>1.9673231540970932</c:v>
                </c:pt>
                <c:pt idx="41" formatCode="0.000">
                  <c:v>1.919013953762152</c:v>
                </c:pt>
                <c:pt idx="42" formatCode="0.000">
                  <c:v>1.8739722295991847</c:v>
                </c:pt>
                <c:pt idx="43" formatCode="0.000">
                  <c:v>1.8367587306052831</c:v>
                </c:pt>
                <c:pt idx="44" formatCode="0.000">
                  <c:v>1.7994634391078965</c:v>
                </c:pt>
                <c:pt idx="45" formatCode="0.000">
                  <c:v>1.7632726488416055</c:v>
                </c:pt>
                <c:pt idx="46" formatCode="0.000">
                  <c:v>1.7149452480592271</c:v>
                </c:pt>
                <c:pt idx="47" formatCode="0.000">
                  <c:v>1.6719742858665225</c:v>
                </c:pt>
                <c:pt idx="48">
                  <c:v>1.638650769200066</c:v>
                </c:pt>
                <c:pt idx="49">
                  <c:v>1.6298924910133441</c:v>
                </c:pt>
                <c:pt idx="50">
                  <c:v>1.5979663033140761</c:v>
                </c:pt>
                <c:pt idx="51">
                  <c:v>1.567169367742697</c:v>
                </c:pt>
                <c:pt idx="52" formatCode="0.000">
                  <c:v>1.5350550443621054</c:v>
                </c:pt>
                <c:pt idx="53" formatCode="0.000">
                  <c:v>1.5037257992832953</c:v>
                </c:pt>
                <c:pt idx="54" formatCode="0.000">
                  <c:v>1.4761350043176198</c:v>
                </c:pt>
                <c:pt idx="55" formatCode="0.000">
                  <c:v>1.4483703853027508</c:v>
                </c:pt>
                <c:pt idx="56">
                  <c:v>1.4215358193055381</c:v>
                </c:pt>
                <c:pt idx="57">
                  <c:v>1.394499628031872</c:v>
                </c:pt>
                <c:pt idx="58">
                  <c:v>1.3708202734430697</c:v>
                </c:pt>
                <c:pt idx="59" formatCode="0.000">
                  <c:v>1.3670572820543492</c:v>
                </c:pt>
                <c:pt idx="60" formatCode="0.000">
                  <c:v>1.3745521919043875</c:v>
                </c:pt>
                <c:pt idx="61" formatCode="0.000">
                  <c:v>1.3461162032028562</c:v>
                </c:pt>
                <c:pt idx="62">
                  <c:v>1.3168452457095339</c:v>
                </c:pt>
                <c:pt idx="63" formatCode="0.000">
                  <c:v>1.2877566978348676</c:v>
                </c:pt>
                <c:pt idx="64" formatCode="0.000">
                  <c:v>1.2599575104730953</c:v>
                </c:pt>
                <c:pt idx="65" formatCode="0.000">
                  <c:v>1.2310082253497936</c:v>
                </c:pt>
                <c:pt idx="66" formatCode="0.000">
                  <c:v>1.2057875728895202</c:v>
                </c:pt>
                <c:pt idx="67" formatCode="0.000">
                  <c:v>1.1813288895585292</c:v>
                </c:pt>
                <c:pt idx="68" formatCode="0.000">
                  <c:v>1.1558933107006486</c:v>
                </c:pt>
                <c:pt idx="69" formatCode="0.000">
                  <c:v>1.1294738854216377</c:v>
                </c:pt>
                <c:pt idx="70" formatCode="0.000">
                  <c:v>1.1028156048852229</c:v>
                </c:pt>
                <c:pt idx="71" formatCode="0.000">
                  <c:v>1.0784434202106383</c:v>
                </c:pt>
                <c:pt idx="72" formatCode="0.000">
                  <c:v>1.0514010906809603</c:v>
                </c:pt>
                <c:pt idx="73" formatCode="0.000">
                  <c:v>1.0209965847504816</c:v>
                </c:pt>
                <c:pt idx="74" formatCode="0.000">
                  <c:v>0.99228676730036958</c:v>
                </c:pt>
                <c:pt idx="75" formatCode="0.000">
                  <c:v>0.96585404559959065</c:v>
                </c:pt>
                <c:pt idx="76" formatCode="0.000">
                  <c:v>0.94686099884352315</c:v>
                </c:pt>
                <c:pt idx="77" formatCode="0.000">
                  <c:v>0.92725057132731747</c:v>
                </c:pt>
                <c:pt idx="78" formatCode="0.000">
                  <c:v>0.90683318586779882</c:v>
                </c:pt>
                <c:pt idx="79" formatCode="0.000">
                  <c:v>0.88597981170674578</c:v>
                </c:pt>
                <c:pt idx="80">
                  <c:v>0.85625384067776678</c:v>
                </c:pt>
                <c:pt idx="81" formatCode="0.000">
                  <c:v>0.82819800980449421</c:v>
                </c:pt>
                <c:pt idx="82" formatCode="0.000">
                  <c:v>0.79448532579851039</c:v>
                </c:pt>
                <c:pt idx="83" formatCode="0.000">
                  <c:v>0.76523991774205824</c:v>
                </c:pt>
                <c:pt idx="84" formatCode="0.000">
                  <c:v>0.74332233440979012</c:v>
                </c:pt>
                <c:pt idx="85" formatCode="0.000">
                  <c:v>0.72644667781262529</c:v>
                </c:pt>
                <c:pt idx="86" formatCode="0.000">
                  <c:v>0.72156631271284555</c:v>
                </c:pt>
                <c:pt idx="87" formatCode="0.000">
                  <c:v>0.70435056662793416</c:v>
                </c:pt>
                <c:pt idx="88" formatCode="0.000">
                  <c:v>0.681747092355661</c:v>
                </c:pt>
                <c:pt idx="89" formatCode="0.000">
                  <c:v>0.65773114369861618</c:v>
                </c:pt>
                <c:pt idx="90" formatCode="0.000">
                  <c:v>0.61232889425791415</c:v>
                </c:pt>
                <c:pt idx="91" formatCode="0.000">
                  <c:v>0.53664341316156028</c:v>
                </c:pt>
                <c:pt idx="92" formatCode="0.000">
                  <c:v>0.45490926170738405</c:v>
                </c:pt>
                <c:pt idx="93" formatCode="0.000">
                  <c:v>0.40644607479560563</c:v>
                </c:pt>
                <c:pt idx="94" formatCode="0.000">
                  <c:v>0.30954382535490638</c:v>
                </c:pt>
                <c:pt idx="95" formatCode="0.000">
                  <c:v>0.21282725723299883</c:v>
                </c:pt>
                <c:pt idx="96" formatCode="0.000">
                  <c:v>0.21143871875709991</c:v>
                </c:pt>
                <c:pt idx="97" formatCode="0.000">
                  <c:v>0.20533074560342485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6-684A-8D0F-5F50F45C9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319680"/>
        <c:axId val="-2010315792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7'!$DZ$8:$DZ$150</c:f>
              <c:numCache>
                <c:formatCode>0.000</c:formatCode>
                <c:ptCount val="143"/>
                <c:pt idx="7">
                  <c:v>1.4154516202041334</c:v>
                </c:pt>
                <c:pt idx="8">
                  <c:v>1.2480904203521725</c:v>
                </c:pt>
                <c:pt idx="9">
                  <c:v>0.9101579654641454</c:v>
                </c:pt>
                <c:pt idx="10">
                  <c:v>1.6341429045416045</c:v>
                </c:pt>
                <c:pt idx="11">
                  <c:v>0.913093895886675</c:v>
                </c:pt>
                <c:pt idx="12">
                  <c:v>0.93359198423635403</c:v>
                </c:pt>
                <c:pt idx="13">
                  <c:v>1.2573000756535802</c:v>
                </c:pt>
                <c:pt idx="14">
                  <c:v>0.92911168399625987</c:v>
                </c:pt>
                <c:pt idx="15">
                  <c:v>0.91881907975527088</c:v>
                </c:pt>
                <c:pt idx="23">
                  <c:v>0.6839133827870354</c:v>
                </c:pt>
                <c:pt idx="24">
                  <c:v>0.5740736246635314</c:v>
                </c:pt>
                <c:pt idx="25">
                  <c:v>0.9615609672864438</c:v>
                </c:pt>
                <c:pt idx="26">
                  <c:v>1.2128302897433327</c:v>
                </c:pt>
                <c:pt idx="27">
                  <c:v>1.0866267822689588</c:v>
                </c:pt>
                <c:pt idx="28">
                  <c:v>1.1469914943837574</c:v>
                </c:pt>
                <c:pt idx="30">
                  <c:v>1.2969365667025636</c:v>
                </c:pt>
                <c:pt idx="34">
                  <c:v>1.5723226922029543</c:v>
                </c:pt>
                <c:pt idx="35">
                  <c:v>1.7271546831429982</c:v>
                </c:pt>
                <c:pt idx="36">
                  <c:v>1.9258001675288745</c:v>
                </c:pt>
                <c:pt idx="37">
                  <c:v>2.8313129909996566</c:v>
                </c:pt>
                <c:pt idx="38">
                  <c:v>2.7853442590257771</c:v>
                </c:pt>
                <c:pt idx="39">
                  <c:v>1.9248494432963237</c:v>
                </c:pt>
                <c:pt idx="40">
                  <c:v>2.0564767384894242</c:v>
                </c:pt>
                <c:pt idx="41">
                  <c:v>2.4721938495631433</c:v>
                </c:pt>
                <c:pt idx="42">
                  <c:v>1.1410251786160979</c:v>
                </c:pt>
                <c:pt idx="43">
                  <c:v>1.4178522630184323</c:v>
                </c:pt>
                <c:pt idx="44">
                  <c:v>0.80350280149195719</c:v>
                </c:pt>
                <c:pt idx="45">
                  <c:v>1.0393431137677616</c:v>
                </c:pt>
                <c:pt idx="50">
                  <c:v>0.8999968063649697</c:v>
                </c:pt>
                <c:pt idx="51">
                  <c:v>1.0554734185815757</c:v>
                </c:pt>
                <c:pt idx="52">
                  <c:v>0.67966510994523821</c:v>
                </c:pt>
                <c:pt idx="53">
                  <c:v>0.23280580405790197</c:v>
                </c:pt>
                <c:pt idx="57">
                  <c:v>0.75904884507735049</c:v>
                </c:pt>
                <c:pt idx="61">
                  <c:v>0.87132815394478991</c:v>
                </c:pt>
                <c:pt idx="62">
                  <c:v>0.89640674203299264</c:v>
                </c:pt>
                <c:pt idx="63">
                  <c:v>0.70789213415719754</c:v>
                </c:pt>
                <c:pt idx="64">
                  <c:v>0.83642274920172532</c:v>
                </c:pt>
                <c:pt idx="65">
                  <c:v>0.5959488818825418</c:v>
                </c:pt>
                <c:pt idx="66">
                  <c:v>0.56622401522079313</c:v>
                </c:pt>
                <c:pt idx="67">
                  <c:v>0.60938117859142316</c:v>
                </c:pt>
                <c:pt idx="68">
                  <c:v>1.1015175688425534</c:v>
                </c:pt>
                <c:pt idx="69">
                  <c:v>0.56947444958647386</c:v>
                </c:pt>
                <c:pt idx="70">
                  <c:v>0.39303599212226015</c:v>
                </c:pt>
                <c:pt idx="71">
                  <c:v>0.5057443635654395</c:v>
                </c:pt>
                <c:pt idx="72">
                  <c:v>1.6355713718672651</c:v>
                </c:pt>
                <c:pt idx="73">
                  <c:v>0.87777292866804757</c:v>
                </c:pt>
                <c:pt idx="74">
                  <c:v>0.76843228316337764</c:v>
                </c:pt>
                <c:pt idx="75">
                  <c:v>0.16242659840085238</c:v>
                </c:pt>
                <c:pt idx="76">
                  <c:v>0.27139643798940738</c:v>
                </c:pt>
                <c:pt idx="77">
                  <c:v>-0.2883326986762702</c:v>
                </c:pt>
                <c:pt idx="79">
                  <c:v>-0.48853298888598173</c:v>
                </c:pt>
                <c:pt idx="80">
                  <c:v>-6.2650090333922215E-3</c:v>
                </c:pt>
                <c:pt idx="81">
                  <c:v>0.25864402271873166</c:v>
                </c:pt>
                <c:pt idx="82">
                  <c:v>0.79932721657620842</c:v>
                </c:pt>
                <c:pt idx="83">
                  <c:v>1.33632</c:v>
                </c:pt>
                <c:pt idx="86">
                  <c:v>1.3449600000000002</c:v>
                </c:pt>
                <c:pt idx="87">
                  <c:v>1.3204800000000001</c:v>
                </c:pt>
                <c:pt idx="88">
                  <c:v>0.51407999999999987</c:v>
                </c:pt>
                <c:pt idx="89">
                  <c:v>0.30240000000000045</c:v>
                </c:pt>
                <c:pt idx="90">
                  <c:v>3.8736000000000002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96-684A-8D0F-5F50F45C9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10319680"/>
        <c:axId val="-2010315792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3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96-684A-8D0F-5F50F45C93F4}"/>
              </c:ext>
            </c:extLst>
          </c:dPt>
          <c:cat>
            <c:numRef>
              <c:f>'Figs 6 &amp; 7'!$EN$6:$EN$150</c:f>
              <c:numCache>
                <c:formatCode>m/d/yy</c:formatCode>
                <c:ptCount val="145"/>
                <c:pt idx="0">
                  <c:v>41560</c:v>
                </c:pt>
                <c:pt idx="1">
                  <c:v>41561</c:v>
                </c:pt>
                <c:pt idx="2">
                  <c:v>41562</c:v>
                </c:pt>
                <c:pt idx="3">
                  <c:v>41563</c:v>
                </c:pt>
                <c:pt idx="4">
                  <c:v>41564</c:v>
                </c:pt>
                <c:pt idx="5">
                  <c:v>41565</c:v>
                </c:pt>
                <c:pt idx="6">
                  <c:v>41566</c:v>
                </c:pt>
                <c:pt idx="7">
                  <c:v>41567</c:v>
                </c:pt>
                <c:pt idx="8">
                  <c:v>41568</c:v>
                </c:pt>
                <c:pt idx="9">
                  <c:v>41569</c:v>
                </c:pt>
                <c:pt idx="10">
                  <c:v>41570</c:v>
                </c:pt>
                <c:pt idx="11">
                  <c:v>41571</c:v>
                </c:pt>
                <c:pt idx="12">
                  <c:v>41572</c:v>
                </c:pt>
                <c:pt idx="13">
                  <c:v>41573</c:v>
                </c:pt>
                <c:pt idx="14">
                  <c:v>41574</c:v>
                </c:pt>
                <c:pt idx="15">
                  <c:v>41575</c:v>
                </c:pt>
                <c:pt idx="16">
                  <c:v>41576</c:v>
                </c:pt>
                <c:pt idx="17">
                  <c:v>41577</c:v>
                </c:pt>
                <c:pt idx="18">
                  <c:v>41578</c:v>
                </c:pt>
                <c:pt idx="19">
                  <c:v>41579</c:v>
                </c:pt>
                <c:pt idx="20">
                  <c:v>41580</c:v>
                </c:pt>
                <c:pt idx="21">
                  <c:v>41581</c:v>
                </c:pt>
                <c:pt idx="22">
                  <c:v>41582</c:v>
                </c:pt>
                <c:pt idx="23">
                  <c:v>41583</c:v>
                </c:pt>
                <c:pt idx="24">
                  <c:v>41584</c:v>
                </c:pt>
                <c:pt idx="25">
                  <c:v>41585</c:v>
                </c:pt>
                <c:pt idx="26">
                  <c:v>41586</c:v>
                </c:pt>
                <c:pt idx="27">
                  <c:v>41587</c:v>
                </c:pt>
                <c:pt idx="28">
                  <c:v>41588</c:v>
                </c:pt>
                <c:pt idx="29">
                  <c:v>41589</c:v>
                </c:pt>
                <c:pt idx="30">
                  <c:v>41590</c:v>
                </c:pt>
                <c:pt idx="31">
                  <c:v>41591</c:v>
                </c:pt>
                <c:pt idx="32">
                  <c:v>41592</c:v>
                </c:pt>
                <c:pt idx="33">
                  <c:v>41593</c:v>
                </c:pt>
                <c:pt idx="34">
                  <c:v>41594</c:v>
                </c:pt>
                <c:pt idx="35">
                  <c:v>41595</c:v>
                </c:pt>
                <c:pt idx="36">
                  <c:v>41596</c:v>
                </c:pt>
                <c:pt idx="37">
                  <c:v>41597</c:v>
                </c:pt>
                <c:pt idx="38">
                  <c:v>41598</c:v>
                </c:pt>
                <c:pt idx="39">
                  <c:v>41599</c:v>
                </c:pt>
                <c:pt idx="40">
                  <c:v>41600</c:v>
                </c:pt>
                <c:pt idx="41">
                  <c:v>41601</c:v>
                </c:pt>
                <c:pt idx="42">
                  <c:v>41602</c:v>
                </c:pt>
                <c:pt idx="43">
                  <c:v>41603</c:v>
                </c:pt>
                <c:pt idx="44">
                  <c:v>41604</c:v>
                </c:pt>
                <c:pt idx="45">
                  <c:v>41605</c:v>
                </c:pt>
                <c:pt idx="46">
                  <c:v>41606</c:v>
                </c:pt>
                <c:pt idx="47">
                  <c:v>41607</c:v>
                </c:pt>
                <c:pt idx="48">
                  <c:v>41608</c:v>
                </c:pt>
                <c:pt idx="49">
                  <c:v>41609</c:v>
                </c:pt>
                <c:pt idx="50">
                  <c:v>41610</c:v>
                </c:pt>
                <c:pt idx="51">
                  <c:v>41611</c:v>
                </c:pt>
                <c:pt idx="52">
                  <c:v>41612</c:v>
                </c:pt>
                <c:pt idx="53">
                  <c:v>41613</c:v>
                </c:pt>
                <c:pt idx="54">
                  <c:v>41614</c:v>
                </c:pt>
                <c:pt idx="55">
                  <c:v>41615</c:v>
                </c:pt>
                <c:pt idx="56">
                  <c:v>41616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41622</c:v>
                </c:pt>
                <c:pt idx="63">
                  <c:v>41623</c:v>
                </c:pt>
                <c:pt idx="64">
                  <c:v>41624</c:v>
                </c:pt>
                <c:pt idx="65">
                  <c:v>41625</c:v>
                </c:pt>
                <c:pt idx="66">
                  <c:v>41626</c:v>
                </c:pt>
                <c:pt idx="67">
                  <c:v>41627</c:v>
                </c:pt>
                <c:pt idx="68">
                  <c:v>41628</c:v>
                </c:pt>
                <c:pt idx="69">
                  <c:v>41629</c:v>
                </c:pt>
                <c:pt idx="70">
                  <c:v>41630</c:v>
                </c:pt>
                <c:pt idx="71">
                  <c:v>41631</c:v>
                </c:pt>
                <c:pt idx="72">
                  <c:v>41632</c:v>
                </c:pt>
                <c:pt idx="73">
                  <c:v>41633</c:v>
                </c:pt>
                <c:pt idx="74">
                  <c:v>41634</c:v>
                </c:pt>
                <c:pt idx="75">
                  <c:v>41635</c:v>
                </c:pt>
                <c:pt idx="76">
                  <c:v>41636</c:v>
                </c:pt>
                <c:pt idx="77">
                  <c:v>41637</c:v>
                </c:pt>
                <c:pt idx="78">
                  <c:v>41638</c:v>
                </c:pt>
                <c:pt idx="79">
                  <c:v>41639</c:v>
                </c:pt>
                <c:pt idx="80">
                  <c:v>41640</c:v>
                </c:pt>
                <c:pt idx="81">
                  <c:v>41641</c:v>
                </c:pt>
                <c:pt idx="82">
                  <c:v>41642</c:v>
                </c:pt>
                <c:pt idx="83">
                  <c:v>41643</c:v>
                </c:pt>
                <c:pt idx="84">
                  <c:v>41644</c:v>
                </c:pt>
                <c:pt idx="85">
                  <c:v>41645</c:v>
                </c:pt>
                <c:pt idx="86">
                  <c:v>41646</c:v>
                </c:pt>
                <c:pt idx="87">
                  <c:v>41647</c:v>
                </c:pt>
                <c:pt idx="88">
                  <c:v>41648</c:v>
                </c:pt>
                <c:pt idx="89">
                  <c:v>41649</c:v>
                </c:pt>
                <c:pt idx="90">
                  <c:v>41650</c:v>
                </c:pt>
                <c:pt idx="91">
                  <c:v>41651</c:v>
                </c:pt>
                <c:pt idx="92">
                  <c:v>41652</c:v>
                </c:pt>
                <c:pt idx="93">
                  <c:v>41653</c:v>
                </c:pt>
                <c:pt idx="94">
                  <c:v>41654</c:v>
                </c:pt>
                <c:pt idx="95">
                  <c:v>41655</c:v>
                </c:pt>
                <c:pt idx="96">
                  <c:v>41656</c:v>
                </c:pt>
                <c:pt idx="97">
                  <c:v>41657</c:v>
                </c:pt>
                <c:pt idx="98">
                  <c:v>41658</c:v>
                </c:pt>
                <c:pt idx="99">
                  <c:v>41659</c:v>
                </c:pt>
                <c:pt idx="100">
                  <c:v>41660</c:v>
                </c:pt>
                <c:pt idx="101">
                  <c:v>41661</c:v>
                </c:pt>
                <c:pt idx="102">
                  <c:v>41662</c:v>
                </c:pt>
                <c:pt idx="103">
                  <c:v>41663</c:v>
                </c:pt>
                <c:pt idx="104">
                  <c:v>41664</c:v>
                </c:pt>
                <c:pt idx="105">
                  <c:v>41665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41671</c:v>
                </c:pt>
                <c:pt idx="112">
                  <c:v>41672</c:v>
                </c:pt>
                <c:pt idx="113">
                  <c:v>41673</c:v>
                </c:pt>
                <c:pt idx="114">
                  <c:v>41674</c:v>
                </c:pt>
                <c:pt idx="115">
                  <c:v>41675</c:v>
                </c:pt>
                <c:pt idx="116">
                  <c:v>41676</c:v>
                </c:pt>
                <c:pt idx="117">
                  <c:v>41677</c:v>
                </c:pt>
                <c:pt idx="118">
                  <c:v>41678</c:v>
                </c:pt>
                <c:pt idx="119">
                  <c:v>41679</c:v>
                </c:pt>
                <c:pt idx="120">
                  <c:v>41680</c:v>
                </c:pt>
                <c:pt idx="121">
                  <c:v>41681</c:v>
                </c:pt>
                <c:pt idx="122">
                  <c:v>41682</c:v>
                </c:pt>
                <c:pt idx="123">
                  <c:v>41683</c:v>
                </c:pt>
                <c:pt idx="124">
                  <c:v>41684</c:v>
                </c:pt>
                <c:pt idx="125">
                  <c:v>41685</c:v>
                </c:pt>
                <c:pt idx="126">
                  <c:v>41686</c:v>
                </c:pt>
                <c:pt idx="127">
                  <c:v>41687</c:v>
                </c:pt>
                <c:pt idx="128">
                  <c:v>41688</c:v>
                </c:pt>
                <c:pt idx="129">
                  <c:v>41689</c:v>
                </c:pt>
                <c:pt idx="130">
                  <c:v>41690</c:v>
                </c:pt>
                <c:pt idx="131">
                  <c:v>41691</c:v>
                </c:pt>
              </c:numCache>
            </c:numRef>
          </c:cat>
          <c:val>
            <c:numRef>
              <c:f>'Figs 6 &amp; 7'!$EM$6:$EM$150</c:f>
              <c:numCache>
                <c:formatCode>###0.00;###0.00</c:formatCode>
                <c:ptCount val="145"/>
                <c:pt idx="0">
                  <c:v>127.800000000002</c:v>
                </c:pt>
                <c:pt idx="1">
                  <c:v>3.3345159959313371</c:v>
                </c:pt>
                <c:pt idx="2">
                  <c:v>11.4</c:v>
                </c:pt>
                <c:pt idx="3">
                  <c:v>24.049999999999976</c:v>
                </c:pt>
                <c:pt idx="4">
                  <c:v>25.749999999999925</c:v>
                </c:pt>
                <c:pt idx="5">
                  <c:v>2</c:v>
                </c:pt>
                <c:pt idx="6">
                  <c:v>10.466666666666667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2.0666666666666664</c:v>
                </c:pt>
                <c:pt idx="17">
                  <c:v>0.1</c:v>
                </c:pt>
                <c:pt idx="18">
                  <c:v>2.1</c:v>
                </c:pt>
                <c:pt idx="19">
                  <c:v>0.4</c:v>
                </c:pt>
                <c:pt idx="20">
                  <c:v>22.5</c:v>
                </c:pt>
                <c:pt idx="21">
                  <c:v>4.75</c:v>
                </c:pt>
                <c:pt idx="22">
                  <c:v>0.3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 formatCode="General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0.05</c:v>
                </c:pt>
                <c:pt idx="33">
                  <c:v>63.600000000000051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0.55000000000000004</c:v>
                </c:pt>
                <c:pt idx="47">
                  <c:v>2.4500000000000002</c:v>
                </c:pt>
                <c:pt idx="48">
                  <c:v>15.1</c:v>
                </c:pt>
                <c:pt idx="49">
                  <c:v>1.9500000000000002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1.6500000000000001</c:v>
                </c:pt>
                <c:pt idx="55">
                  <c:v>0.1</c:v>
                </c:pt>
                <c:pt idx="56">
                  <c:v>0.95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96-684A-8D0F-5F50F45C9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10309744"/>
        <c:axId val="-2010312672"/>
      </c:barChart>
      <c:dateAx>
        <c:axId val="-2010319680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none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10315792"/>
        <c:crossesAt val="0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10315792"/>
        <c:scaling>
          <c:orientation val="minMax"/>
          <c:max val="5"/>
          <c:min val="-1"/>
        </c:scaling>
        <c:delete val="0"/>
        <c:axPos val="l"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10319680"/>
        <c:crosses val="autoZero"/>
        <c:crossBetween val="between"/>
        <c:majorUnit val="1"/>
      </c:valAx>
      <c:valAx>
        <c:axId val="-2010312672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none"/>
        <c:minorTickMark val="none"/>
        <c:tickLblPos val="none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-2010309744"/>
        <c:crosses val="max"/>
        <c:crossBetween val="between"/>
        <c:majorUnit val="50"/>
      </c:valAx>
      <c:dateAx>
        <c:axId val="-2010309744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10312672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247771836007101E-2"/>
          <c:y val="4.1182992883824002E-2"/>
          <c:w val="0.78647416733336095"/>
          <c:h val="0.77854035437394797"/>
        </c:manualLayout>
      </c:layout>
      <c:areaChart>
        <c:grouping val="stacke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25400">
              <a:noFill/>
            </a:ln>
          </c:spPr>
          <c:cat>
            <c:numRef>
              <c:f>'Figs 6 &amp; 7'!$EN$6:$EN$103</c:f>
              <c:numCache>
                <c:formatCode>m/d/yy</c:formatCode>
                <c:ptCount val="98"/>
                <c:pt idx="0">
                  <c:v>41560</c:v>
                </c:pt>
                <c:pt idx="1">
                  <c:v>41561</c:v>
                </c:pt>
                <c:pt idx="2">
                  <c:v>41562</c:v>
                </c:pt>
                <c:pt idx="3">
                  <c:v>41563</c:v>
                </c:pt>
                <c:pt idx="4">
                  <c:v>41564</c:v>
                </c:pt>
                <c:pt idx="5">
                  <c:v>41565</c:v>
                </c:pt>
                <c:pt idx="6">
                  <c:v>41566</c:v>
                </c:pt>
                <c:pt idx="7">
                  <c:v>41567</c:v>
                </c:pt>
                <c:pt idx="8">
                  <c:v>41568</c:v>
                </c:pt>
                <c:pt idx="9">
                  <c:v>41569</c:v>
                </c:pt>
                <c:pt idx="10">
                  <c:v>41570</c:v>
                </c:pt>
                <c:pt idx="11">
                  <c:v>41571</c:v>
                </c:pt>
                <c:pt idx="12">
                  <c:v>41572</c:v>
                </c:pt>
                <c:pt idx="13">
                  <c:v>41573</c:v>
                </c:pt>
                <c:pt idx="14">
                  <c:v>41574</c:v>
                </c:pt>
                <c:pt idx="15">
                  <c:v>41575</c:v>
                </c:pt>
                <c:pt idx="16">
                  <c:v>41576</c:v>
                </c:pt>
                <c:pt idx="17">
                  <c:v>41577</c:v>
                </c:pt>
                <c:pt idx="18">
                  <c:v>41578</c:v>
                </c:pt>
                <c:pt idx="19">
                  <c:v>41579</c:v>
                </c:pt>
                <c:pt idx="20">
                  <c:v>41580</c:v>
                </c:pt>
                <c:pt idx="21">
                  <c:v>41581</c:v>
                </c:pt>
                <c:pt idx="22">
                  <c:v>41582</c:v>
                </c:pt>
                <c:pt idx="23">
                  <c:v>41583</c:v>
                </c:pt>
                <c:pt idx="24">
                  <c:v>41584</c:v>
                </c:pt>
                <c:pt idx="25">
                  <c:v>41585</c:v>
                </c:pt>
                <c:pt idx="26">
                  <c:v>41586</c:v>
                </c:pt>
                <c:pt idx="27">
                  <c:v>41587</c:v>
                </c:pt>
                <c:pt idx="28">
                  <c:v>41588</c:v>
                </c:pt>
                <c:pt idx="29">
                  <c:v>41589</c:v>
                </c:pt>
                <c:pt idx="30">
                  <c:v>41590</c:v>
                </c:pt>
                <c:pt idx="31">
                  <c:v>41591</c:v>
                </c:pt>
                <c:pt idx="32">
                  <c:v>41592</c:v>
                </c:pt>
                <c:pt idx="33">
                  <c:v>41593</c:v>
                </c:pt>
                <c:pt idx="34">
                  <c:v>41594</c:v>
                </c:pt>
                <c:pt idx="35">
                  <c:v>41595</c:v>
                </c:pt>
                <c:pt idx="36">
                  <c:v>41596</c:v>
                </c:pt>
                <c:pt idx="37">
                  <c:v>41597</c:v>
                </c:pt>
                <c:pt idx="38">
                  <c:v>41598</c:v>
                </c:pt>
                <c:pt idx="39">
                  <c:v>41599</c:v>
                </c:pt>
                <c:pt idx="40">
                  <c:v>41600</c:v>
                </c:pt>
                <c:pt idx="41">
                  <c:v>41601</c:v>
                </c:pt>
                <c:pt idx="42">
                  <c:v>41602</c:v>
                </c:pt>
                <c:pt idx="43">
                  <c:v>41603</c:v>
                </c:pt>
                <c:pt idx="44">
                  <c:v>41604</c:v>
                </c:pt>
                <c:pt idx="45">
                  <c:v>41605</c:v>
                </c:pt>
                <c:pt idx="46">
                  <c:v>41606</c:v>
                </c:pt>
                <c:pt idx="47">
                  <c:v>41607</c:v>
                </c:pt>
                <c:pt idx="48">
                  <c:v>41608</c:v>
                </c:pt>
                <c:pt idx="49">
                  <c:v>41609</c:v>
                </c:pt>
                <c:pt idx="50">
                  <c:v>41610</c:v>
                </c:pt>
                <c:pt idx="51">
                  <c:v>41611</c:v>
                </c:pt>
                <c:pt idx="52">
                  <c:v>41612</c:v>
                </c:pt>
                <c:pt idx="53">
                  <c:v>41613</c:v>
                </c:pt>
                <c:pt idx="54">
                  <c:v>41614</c:v>
                </c:pt>
                <c:pt idx="55">
                  <c:v>41615</c:v>
                </c:pt>
                <c:pt idx="56">
                  <c:v>41616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41622</c:v>
                </c:pt>
                <c:pt idx="63">
                  <c:v>41623</c:v>
                </c:pt>
                <c:pt idx="64">
                  <c:v>41624</c:v>
                </c:pt>
                <c:pt idx="65">
                  <c:v>41625</c:v>
                </c:pt>
                <c:pt idx="66">
                  <c:v>41626</c:v>
                </c:pt>
                <c:pt idx="67">
                  <c:v>41627</c:v>
                </c:pt>
                <c:pt idx="68">
                  <c:v>41628</c:v>
                </c:pt>
                <c:pt idx="69">
                  <c:v>41629</c:v>
                </c:pt>
                <c:pt idx="70">
                  <c:v>41630</c:v>
                </c:pt>
                <c:pt idx="71">
                  <c:v>41631</c:v>
                </c:pt>
                <c:pt idx="72">
                  <c:v>41632</c:v>
                </c:pt>
                <c:pt idx="73">
                  <c:v>41633</c:v>
                </c:pt>
                <c:pt idx="74">
                  <c:v>41634</c:v>
                </c:pt>
                <c:pt idx="75">
                  <c:v>41635</c:v>
                </c:pt>
                <c:pt idx="76">
                  <c:v>41636</c:v>
                </c:pt>
                <c:pt idx="77">
                  <c:v>41637</c:v>
                </c:pt>
                <c:pt idx="78">
                  <c:v>41638</c:v>
                </c:pt>
                <c:pt idx="79">
                  <c:v>41639</c:v>
                </c:pt>
                <c:pt idx="80">
                  <c:v>41640</c:v>
                </c:pt>
                <c:pt idx="81">
                  <c:v>41641</c:v>
                </c:pt>
                <c:pt idx="82">
                  <c:v>41642</c:v>
                </c:pt>
                <c:pt idx="83">
                  <c:v>41643</c:v>
                </c:pt>
                <c:pt idx="84">
                  <c:v>41644</c:v>
                </c:pt>
                <c:pt idx="85">
                  <c:v>41645</c:v>
                </c:pt>
                <c:pt idx="86">
                  <c:v>41646</c:v>
                </c:pt>
                <c:pt idx="87">
                  <c:v>41647</c:v>
                </c:pt>
                <c:pt idx="88">
                  <c:v>41648</c:v>
                </c:pt>
                <c:pt idx="89">
                  <c:v>41649</c:v>
                </c:pt>
                <c:pt idx="90">
                  <c:v>41650</c:v>
                </c:pt>
                <c:pt idx="91">
                  <c:v>41651</c:v>
                </c:pt>
                <c:pt idx="92">
                  <c:v>41652</c:v>
                </c:pt>
                <c:pt idx="93">
                  <c:v>41653</c:v>
                </c:pt>
                <c:pt idx="94">
                  <c:v>41654</c:v>
                </c:pt>
                <c:pt idx="95">
                  <c:v>41655</c:v>
                </c:pt>
                <c:pt idx="96">
                  <c:v>41656</c:v>
                </c:pt>
                <c:pt idx="97">
                  <c:v>41657</c:v>
                </c:pt>
              </c:numCache>
            </c:numRef>
          </c:cat>
          <c:val>
            <c:numRef>
              <c:f>'Figs 6 &amp; 7'!$EP$6:$EP$103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3.1793810224401646</c:v>
                </c:pt>
                <c:pt idx="3" formatCode="0.000">
                  <c:v>3.2773143565567313</c:v>
                </c:pt>
                <c:pt idx="4">
                  <c:v>3.3345159959313371</c:v>
                </c:pt>
                <c:pt idx="5">
                  <c:v>3.4026063881024378</c:v>
                </c:pt>
                <c:pt idx="6">
                  <c:v>3.4228503382091855</c:v>
                </c:pt>
                <c:pt idx="7">
                  <c:v>3.4088947052086631</c:v>
                </c:pt>
                <c:pt idx="8">
                  <c:v>3.3914924557679615</c:v>
                </c:pt>
                <c:pt idx="9" formatCode="0.000">
                  <c:v>3.371833767737586</c:v>
                </c:pt>
                <c:pt idx="10" formatCode="0.000">
                  <c:v>3.3511229280280386</c:v>
                </c:pt>
                <c:pt idx="11" formatCode="0.000">
                  <c:v>3.3322341775812401</c:v>
                </c:pt>
                <c:pt idx="12" formatCode="0.000">
                  <c:v>3.3132409376518037</c:v>
                </c:pt>
                <c:pt idx="13" formatCode="0.000">
                  <c:v>3.292209857675326</c:v>
                </c:pt>
                <c:pt idx="14" formatCode="0.000">
                  <c:v>3.2727624191981519</c:v>
                </c:pt>
                <c:pt idx="15" formatCode="0.000">
                  <c:v>3.2534329762465877</c:v>
                </c:pt>
                <c:pt idx="16" formatCode="0.000">
                  <c:v>3.2334466778126245</c:v>
                </c:pt>
                <c:pt idx="17" formatCode="0.000">
                  <c:v>3.2137524038752918</c:v>
                </c:pt>
                <c:pt idx="18">
                  <c:v>3.1945710094669977</c:v>
                </c:pt>
                <c:pt idx="19">
                  <c:v>3.1776802121516301</c:v>
                </c:pt>
                <c:pt idx="20">
                  <c:v>3.1596771477230092</c:v>
                </c:pt>
                <c:pt idx="21">
                  <c:v>3.1680194843017642</c:v>
                </c:pt>
                <c:pt idx="22">
                  <c:v>3.1691288895585306</c:v>
                </c:pt>
                <c:pt idx="23">
                  <c:v>3.1474530186407694</c:v>
                </c:pt>
                <c:pt idx="24">
                  <c:v>3.1306487199818065</c:v>
                </c:pt>
                <c:pt idx="25" formatCode="0.000">
                  <c:v>3.1099953411213708</c:v>
                </c:pt>
                <c:pt idx="26" formatCode="0.000">
                  <c:v>3.0919184455944819</c:v>
                </c:pt>
                <c:pt idx="27" formatCode="0.000">
                  <c:v>3.0709004524185612</c:v>
                </c:pt>
                <c:pt idx="28" formatCode="0.000">
                  <c:v>3.0501161938040884</c:v>
                </c:pt>
                <c:pt idx="29" formatCode="0.000">
                  <c:v>3.0268955413438121</c:v>
                </c:pt>
                <c:pt idx="30" formatCode="0.000">
                  <c:v>3.0064748912332302</c:v>
                </c:pt>
                <c:pt idx="31">
                  <c:v>2.9805939113679738</c:v>
                </c:pt>
                <c:pt idx="32" formatCode="0.000">
                  <c:v>2.9560266236699828</c:v>
                </c:pt>
                <c:pt idx="33">
                  <c:v>2.928978358456428</c:v>
                </c:pt>
                <c:pt idx="34">
                  <c:v>3.230673051636181</c:v>
                </c:pt>
                <c:pt idx="35">
                  <c:v>3.2119814440322791</c:v>
                </c:pt>
                <c:pt idx="36" formatCode="0.000">
                  <c:v>3.1923401297129619</c:v>
                </c:pt>
                <c:pt idx="37" formatCode="0.000">
                  <c:v>3.1712155743392252</c:v>
                </c:pt>
                <c:pt idx="38" formatCode="0.000">
                  <c:v>3.1489272337360763</c:v>
                </c:pt>
                <c:pt idx="39" formatCode="0.000">
                  <c:v>3.125172024677358</c:v>
                </c:pt>
                <c:pt idx="40" formatCode="0.000">
                  <c:v>3.1047231540970941</c:v>
                </c:pt>
                <c:pt idx="41" formatCode="0.000">
                  <c:v>3.081513953762153</c:v>
                </c:pt>
                <c:pt idx="42" formatCode="0.000">
                  <c:v>3.0538722295991843</c:v>
                </c:pt>
                <c:pt idx="43" formatCode="0.000">
                  <c:v>3.0250587306052825</c:v>
                </c:pt>
                <c:pt idx="44" formatCode="0.000">
                  <c:v>2.9966634391078966</c:v>
                </c:pt>
                <c:pt idx="45" formatCode="0.000">
                  <c:v>2.9721726488416049</c:v>
                </c:pt>
                <c:pt idx="46" formatCode="0.000">
                  <c:v>2.9501452480592274</c:v>
                </c:pt>
                <c:pt idx="47" formatCode="0.000">
                  <c:v>2.9242742858665238</c:v>
                </c:pt>
                <c:pt idx="48">
                  <c:v>2.9012507692000664</c:v>
                </c:pt>
                <c:pt idx="49">
                  <c:v>2.8964924910133441</c:v>
                </c:pt>
                <c:pt idx="50">
                  <c:v>2.8756663033140768</c:v>
                </c:pt>
                <c:pt idx="51">
                  <c:v>2.8481693677426971</c:v>
                </c:pt>
                <c:pt idx="52" formatCode="0.000">
                  <c:v>2.8178550443621067</c:v>
                </c:pt>
                <c:pt idx="53" formatCode="0.000">
                  <c:v>2.7797257992832947</c:v>
                </c:pt>
                <c:pt idx="54" formatCode="0.000">
                  <c:v>2.7452350043176192</c:v>
                </c:pt>
                <c:pt idx="55" formatCode="0.000">
                  <c:v>2.7107703853027498</c:v>
                </c:pt>
                <c:pt idx="56">
                  <c:v>2.6747358193055391</c:v>
                </c:pt>
                <c:pt idx="57">
                  <c:v>2.6353996280318732</c:v>
                </c:pt>
                <c:pt idx="58">
                  <c:v>2.5918202734430693</c:v>
                </c:pt>
                <c:pt idx="59" formatCode="0.000">
                  <c:v>2.588757282054349</c:v>
                </c:pt>
                <c:pt idx="60" formatCode="0.000">
                  <c:v>2.6219521919043878</c:v>
                </c:pt>
                <c:pt idx="61" formatCode="0.000">
                  <c:v>2.5973162032028565</c:v>
                </c:pt>
                <c:pt idx="62">
                  <c:v>2.5751452457095354</c:v>
                </c:pt>
                <c:pt idx="63" formatCode="0.000">
                  <c:v>2.5535566978348676</c:v>
                </c:pt>
                <c:pt idx="64" formatCode="0.000">
                  <c:v>2.5267575104730966</c:v>
                </c:pt>
                <c:pt idx="65" formatCode="0.000">
                  <c:v>2.4946082253497934</c:v>
                </c:pt>
                <c:pt idx="66" formatCode="0.000">
                  <c:v>2.456787572889521</c:v>
                </c:pt>
                <c:pt idx="67" formatCode="0.000">
                  <c:v>2.42622888955853</c:v>
                </c:pt>
                <c:pt idx="68" formatCode="0.000">
                  <c:v>2.3935933107006484</c:v>
                </c:pt>
                <c:pt idx="69" formatCode="0.000">
                  <c:v>2.3505738854216389</c:v>
                </c:pt>
                <c:pt idx="70" formatCode="0.000">
                  <c:v>2.3118156048852239</c:v>
                </c:pt>
                <c:pt idx="71" formatCode="0.000">
                  <c:v>2.2767434202106376</c:v>
                </c:pt>
                <c:pt idx="72" formatCode="0.000">
                  <c:v>2.2421010906809613</c:v>
                </c:pt>
                <c:pt idx="73" formatCode="0.000">
                  <c:v>2.2058965847504819</c:v>
                </c:pt>
                <c:pt idx="74" formatCode="0.000">
                  <c:v>2.1696867673003695</c:v>
                </c:pt>
                <c:pt idx="75" formatCode="0.000">
                  <c:v>2.1281540455995902</c:v>
                </c:pt>
                <c:pt idx="76" formatCode="0.000">
                  <c:v>2.0889609988435236</c:v>
                </c:pt>
                <c:pt idx="77" formatCode="0.000">
                  <c:v>2.0485505713273184</c:v>
                </c:pt>
                <c:pt idx="78" formatCode="0.000">
                  <c:v>2.0045331858677997</c:v>
                </c:pt>
                <c:pt idx="79" formatCode="0.000">
                  <c:v>1.9808798117067459</c:v>
                </c:pt>
                <c:pt idx="80">
                  <c:v>1.9578538406777672</c:v>
                </c:pt>
                <c:pt idx="81" formatCode="0.000">
                  <c:v>1.9360980098044942</c:v>
                </c:pt>
                <c:pt idx="82" formatCode="0.000">
                  <c:v>1.9113853257985107</c:v>
                </c:pt>
                <c:pt idx="83" formatCode="0.000">
                  <c:v>1.887739917742058</c:v>
                </c:pt>
                <c:pt idx="84" formatCode="0.000">
                  <c:v>1.8694223344097904</c:v>
                </c:pt>
                <c:pt idx="85" formatCode="0.000">
                  <c:v>1.6491466778126254</c:v>
                </c:pt>
                <c:pt idx="86" formatCode="0.000">
                  <c:v>1.8071663127128443</c:v>
                </c:pt>
                <c:pt idx="87" formatCode="0.000">
                  <c:v>1.8004505666279333</c:v>
                </c:pt>
                <c:pt idx="88" formatCode="0.000">
                  <c:v>1.7729470923556627</c:v>
                </c:pt>
                <c:pt idx="89" formatCode="0.000">
                  <c:v>1.1646311436986172</c:v>
                </c:pt>
                <c:pt idx="90" formatCode="0.000">
                  <c:v>1.1184288942579135</c:v>
                </c:pt>
                <c:pt idx="91" formatCode="0.000">
                  <c:v>1.090943413161561</c:v>
                </c:pt>
                <c:pt idx="92" formatCode="0.000">
                  <c:v>1.0930092617073848</c:v>
                </c:pt>
                <c:pt idx="93" formatCode="0.000">
                  <c:v>1.0970460747956066</c:v>
                </c:pt>
                <c:pt idx="94" formatCode="0.000">
                  <c:v>1.0962438253549072</c:v>
                </c:pt>
                <c:pt idx="95" formatCode="0.000">
                  <c:v>1.0918272572329977</c:v>
                </c:pt>
                <c:pt idx="96" formatCode="0.000">
                  <c:v>1.0925387187570992</c:v>
                </c:pt>
                <c:pt idx="97" formatCode="0.000">
                  <c:v>1.0855307456034244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C-C641-AA00-907CFA08B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898672"/>
        <c:axId val="-2024912976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7'!$EA$8:$EA$150</c:f>
              <c:numCache>
                <c:formatCode>0.000</c:formatCode>
                <c:ptCount val="143"/>
                <c:pt idx="7">
                  <c:v>0.50625285464152303</c:v>
                </c:pt>
                <c:pt idx="8">
                  <c:v>1.1592289323187195</c:v>
                </c:pt>
                <c:pt idx="9">
                  <c:v>1.0750730717676156</c:v>
                </c:pt>
                <c:pt idx="10">
                  <c:v>0.70414640446968635</c:v>
                </c:pt>
                <c:pt idx="11">
                  <c:v>0.52567030106860368</c:v>
                </c:pt>
                <c:pt idx="12">
                  <c:v>0.54089600162749174</c:v>
                </c:pt>
                <c:pt idx="13">
                  <c:v>0.55405076621011196</c:v>
                </c:pt>
                <c:pt idx="14">
                  <c:v>0.88096372110154597</c:v>
                </c:pt>
                <c:pt idx="15">
                  <c:v>0.58902411285490697</c:v>
                </c:pt>
                <c:pt idx="23">
                  <c:v>0.91284390777321478</c:v>
                </c:pt>
                <c:pt idx="24">
                  <c:v>1.3068606978510799</c:v>
                </c:pt>
                <c:pt idx="25">
                  <c:v>0.91539453249542735</c:v>
                </c:pt>
                <c:pt idx="26">
                  <c:v>1.415770734711995</c:v>
                </c:pt>
                <c:pt idx="27">
                  <c:v>1.0833188185458038</c:v>
                </c:pt>
                <c:pt idx="28">
                  <c:v>1.5434019704100923</c:v>
                </c:pt>
                <c:pt idx="30">
                  <c:v>1.7336650977119472</c:v>
                </c:pt>
                <c:pt idx="34">
                  <c:v>0.72519084492523489</c:v>
                </c:pt>
                <c:pt idx="35">
                  <c:v>0.89616841754780729</c:v>
                </c:pt>
                <c:pt idx="36">
                  <c:v>1.1213600437946742</c:v>
                </c:pt>
                <c:pt idx="37">
                  <c:v>1.3158187002211641</c:v>
                </c:pt>
                <c:pt idx="38">
                  <c:v>1.5417711041648789</c:v>
                </c:pt>
                <c:pt idx="39">
                  <c:v>1.2240004916699454</c:v>
                </c:pt>
                <c:pt idx="40">
                  <c:v>1.5118078168765059</c:v>
                </c:pt>
                <c:pt idx="41">
                  <c:v>1.9693946521314181</c:v>
                </c:pt>
                <c:pt idx="42">
                  <c:v>1.5696777496614087</c:v>
                </c:pt>
                <c:pt idx="43">
                  <c:v>2.2403702987116967</c:v>
                </c:pt>
                <c:pt idx="44">
                  <c:v>1.7403141789377914</c:v>
                </c:pt>
                <c:pt idx="45">
                  <c:v>1.3784950405007756</c:v>
                </c:pt>
                <c:pt idx="50">
                  <c:v>1.3393556730952001</c:v>
                </c:pt>
                <c:pt idx="51">
                  <c:v>1.8910806892071095</c:v>
                </c:pt>
                <c:pt idx="52">
                  <c:v>1.7955597399709995</c:v>
                </c:pt>
                <c:pt idx="53">
                  <c:v>2.1155167385857636</c:v>
                </c:pt>
                <c:pt idx="57">
                  <c:v>2.8650014306715588</c:v>
                </c:pt>
                <c:pt idx="61">
                  <c:v>1.3107660964389327</c:v>
                </c:pt>
                <c:pt idx="62">
                  <c:v>0.93071386435971459</c:v>
                </c:pt>
                <c:pt idx="63">
                  <c:v>1.2231741351618475</c:v>
                </c:pt>
                <c:pt idx="64">
                  <c:v>1.6957201727489404</c:v>
                </c:pt>
                <c:pt idx="65">
                  <c:v>2.529940140609062</c:v>
                </c:pt>
                <c:pt idx="66">
                  <c:v>2.071014398483086</c:v>
                </c:pt>
                <c:pt idx="67">
                  <c:v>2.3595608248919047</c:v>
                </c:pt>
                <c:pt idx="68">
                  <c:v>3.2293127129462342</c:v>
                </c:pt>
                <c:pt idx="69">
                  <c:v>2.6349965501658623</c:v>
                </c:pt>
                <c:pt idx="70">
                  <c:v>2.0602434062651653</c:v>
                </c:pt>
                <c:pt idx="71">
                  <c:v>2.8535780423817458</c:v>
                </c:pt>
                <c:pt idx="72">
                  <c:v>2.2215100794748581</c:v>
                </c:pt>
                <c:pt idx="73">
                  <c:v>1.8489628663529076</c:v>
                </c:pt>
                <c:pt idx="74">
                  <c:v>1.6639015834679181</c:v>
                </c:pt>
                <c:pt idx="75">
                  <c:v>3.4811482193524226</c:v>
                </c:pt>
                <c:pt idx="76">
                  <c:v>0.90378747644363466</c:v>
                </c:pt>
                <c:pt idx="77">
                  <c:v>1.5727804140015467</c:v>
                </c:pt>
                <c:pt idx="79">
                  <c:v>0.99278997740990227</c:v>
                </c:pt>
                <c:pt idx="80">
                  <c:v>0.50041994278655544</c:v>
                </c:pt>
                <c:pt idx="81">
                  <c:v>0.95706882410562466</c:v>
                </c:pt>
                <c:pt idx="82">
                  <c:v>1.0083357123997592</c:v>
                </c:pt>
                <c:pt idx="83">
                  <c:v>0.49559293197706089</c:v>
                </c:pt>
                <c:pt idx="86">
                  <c:v>-0.60032232136566965</c:v>
                </c:pt>
                <c:pt idx="87">
                  <c:v>1.4961209645573195</c:v>
                </c:pt>
                <c:pt idx="88">
                  <c:v>-0.52110750501723047</c:v>
                </c:pt>
                <c:pt idx="89">
                  <c:v>-0.60700000000001042</c:v>
                </c:pt>
                <c:pt idx="90">
                  <c:v>-0.50699999999999923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BC-C641-AA00-907CFA08B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4898672"/>
        <c:axId val="-2024912976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'Figs 6 &amp; 7'!$EN$6:$EN$150</c:f>
              <c:numCache>
                <c:formatCode>m/d/yy</c:formatCode>
                <c:ptCount val="145"/>
                <c:pt idx="0">
                  <c:v>41560</c:v>
                </c:pt>
                <c:pt idx="1">
                  <c:v>41561</c:v>
                </c:pt>
                <c:pt idx="2">
                  <c:v>41562</c:v>
                </c:pt>
                <c:pt idx="3">
                  <c:v>41563</c:v>
                </c:pt>
                <c:pt idx="4">
                  <c:v>41564</c:v>
                </c:pt>
                <c:pt idx="5">
                  <c:v>41565</c:v>
                </c:pt>
                <c:pt idx="6">
                  <c:v>41566</c:v>
                </c:pt>
                <c:pt idx="7">
                  <c:v>41567</c:v>
                </c:pt>
                <c:pt idx="8">
                  <c:v>41568</c:v>
                </c:pt>
                <c:pt idx="9">
                  <c:v>41569</c:v>
                </c:pt>
                <c:pt idx="10">
                  <c:v>41570</c:v>
                </c:pt>
                <c:pt idx="11">
                  <c:v>41571</c:v>
                </c:pt>
                <c:pt idx="12">
                  <c:v>41572</c:v>
                </c:pt>
                <c:pt idx="13">
                  <c:v>41573</c:v>
                </c:pt>
                <c:pt idx="14">
                  <c:v>41574</c:v>
                </c:pt>
                <c:pt idx="15">
                  <c:v>41575</c:v>
                </c:pt>
                <c:pt idx="16">
                  <c:v>41576</c:v>
                </c:pt>
                <c:pt idx="17">
                  <c:v>41577</c:v>
                </c:pt>
                <c:pt idx="18">
                  <c:v>41578</c:v>
                </c:pt>
                <c:pt idx="19">
                  <c:v>41579</c:v>
                </c:pt>
                <c:pt idx="20">
                  <c:v>41580</c:v>
                </c:pt>
                <c:pt idx="21">
                  <c:v>41581</c:v>
                </c:pt>
                <c:pt idx="22">
                  <c:v>41582</c:v>
                </c:pt>
                <c:pt idx="23">
                  <c:v>41583</c:v>
                </c:pt>
                <c:pt idx="24">
                  <c:v>41584</c:v>
                </c:pt>
                <c:pt idx="25">
                  <c:v>41585</c:v>
                </c:pt>
                <c:pt idx="26">
                  <c:v>41586</c:v>
                </c:pt>
                <c:pt idx="27">
                  <c:v>41587</c:v>
                </c:pt>
                <c:pt idx="28">
                  <c:v>41588</c:v>
                </c:pt>
                <c:pt idx="29">
                  <c:v>41589</c:v>
                </c:pt>
                <c:pt idx="30">
                  <c:v>41590</c:v>
                </c:pt>
                <c:pt idx="31">
                  <c:v>41591</c:v>
                </c:pt>
                <c:pt idx="32">
                  <c:v>41592</c:v>
                </c:pt>
                <c:pt idx="33">
                  <c:v>41593</c:v>
                </c:pt>
                <c:pt idx="34">
                  <c:v>41594</c:v>
                </c:pt>
                <c:pt idx="35">
                  <c:v>41595</c:v>
                </c:pt>
                <c:pt idx="36">
                  <c:v>41596</c:v>
                </c:pt>
                <c:pt idx="37">
                  <c:v>41597</c:v>
                </c:pt>
                <c:pt idx="38">
                  <c:v>41598</c:v>
                </c:pt>
                <c:pt idx="39">
                  <c:v>41599</c:v>
                </c:pt>
                <c:pt idx="40">
                  <c:v>41600</c:v>
                </c:pt>
                <c:pt idx="41">
                  <c:v>41601</c:v>
                </c:pt>
                <c:pt idx="42">
                  <c:v>41602</c:v>
                </c:pt>
                <c:pt idx="43">
                  <c:v>41603</c:v>
                </c:pt>
                <c:pt idx="44">
                  <c:v>41604</c:v>
                </c:pt>
                <c:pt idx="45">
                  <c:v>41605</c:v>
                </c:pt>
                <c:pt idx="46">
                  <c:v>41606</c:v>
                </c:pt>
                <c:pt idx="47">
                  <c:v>41607</c:v>
                </c:pt>
                <c:pt idx="48">
                  <c:v>41608</c:v>
                </c:pt>
                <c:pt idx="49">
                  <c:v>41609</c:v>
                </c:pt>
                <c:pt idx="50">
                  <c:v>41610</c:v>
                </c:pt>
                <c:pt idx="51">
                  <c:v>41611</c:v>
                </c:pt>
                <c:pt idx="52">
                  <c:v>41612</c:v>
                </c:pt>
                <c:pt idx="53">
                  <c:v>41613</c:v>
                </c:pt>
                <c:pt idx="54">
                  <c:v>41614</c:v>
                </c:pt>
                <c:pt idx="55">
                  <c:v>41615</c:v>
                </c:pt>
                <c:pt idx="56">
                  <c:v>41616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41622</c:v>
                </c:pt>
                <c:pt idx="63">
                  <c:v>41623</c:v>
                </c:pt>
                <c:pt idx="64">
                  <c:v>41624</c:v>
                </c:pt>
                <c:pt idx="65">
                  <c:v>41625</c:v>
                </c:pt>
                <c:pt idx="66">
                  <c:v>41626</c:v>
                </c:pt>
                <c:pt idx="67">
                  <c:v>41627</c:v>
                </c:pt>
                <c:pt idx="68">
                  <c:v>41628</c:v>
                </c:pt>
                <c:pt idx="69">
                  <c:v>41629</c:v>
                </c:pt>
                <c:pt idx="70">
                  <c:v>41630</c:v>
                </c:pt>
                <c:pt idx="71">
                  <c:v>41631</c:v>
                </c:pt>
                <c:pt idx="72">
                  <c:v>41632</c:v>
                </c:pt>
                <c:pt idx="73">
                  <c:v>41633</c:v>
                </c:pt>
                <c:pt idx="74">
                  <c:v>41634</c:v>
                </c:pt>
                <c:pt idx="75">
                  <c:v>41635</c:v>
                </c:pt>
                <c:pt idx="76">
                  <c:v>41636</c:v>
                </c:pt>
                <c:pt idx="77">
                  <c:v>41637</c:v>
                </c:pt>
                <c:pt idx="78">
                  <c:v>41638</c:v>
                </c:pt>
                <c:pt idx="79">
                  <c:v>41639</c:v>
                </c:pt>
                <c:pt idx="80">
                  <c:v>41640</c:v>
                </c:pt>
                <c:pt idx="81">
                  <c:v>41641</c:v>
                </c:pt>
                <c:pt idx="82">
                  <c:v>41642</c:v>
                </c:pt>
                <c:pt idx="83">
                  <c:v>41643</c:v>
                </c:pt>
                <c:pt idx="84">
                  <c:v>41644</c:v>
                </c:pt>
                <c:pt idx="85">
                  <c:v>41645</c:v>
                </c:pt>
                <c:pt idx="86">
                  <c:v>41646</c:v>
                </c:pt>
                <c:pt idx="87">
                  <c:v>41647</c:v>
                </c:pt>
                <c:pt idx="88">
                  <c:v>41648</c:v>
                </c:pt>
                <c:pt idx="89">
                  <c:v>41649</c:v>
                </c:pt>
                <c:pt idx="90">
                  <c:v>41650</c:v>
                </c:pt>
                <c:pt idx="91">
                  <c:v>41651</c:v>
                </c:pt>
                <c:pt idx="92">
                  <c:v>41652</c:v>
                </c:pt>
                <c:pt idx="93">
                  <c:v>41653</c:v>
                </c:pt>
                <c:pt idx="94">
                  <c:v>41654</c:v>
                </c:pt>
                <c:pt idx="95">
                  <c:v>41655</c:v>
                </c:pt>
                <c:pt idx="96">
                  <c:v>41656</c:v>
                </c:pt>
                <c:pt idx="97">
                  <c:v>41657</c:v>
                </c:pt>
                <c:pt idx="98">
                  <c:v>41658</c:v>
                </c:pt>
                <c:pt idx="99">
                  <c:v>41659</c:v>
                </c:pt>
                <c:pt idx="100">
                  <c:v>41660</c:v>
                </c:pt>
                <c:pt idx="101">
                  <c:v>41661</c:v>
                </c:pt>
                <c:pt idx="102">
                  <c:v>41662</c:v>
                </c:pt>
                <c:pt idx="103">
                  <c:v>41663</c:v>
                </c:pt>
                <c:pt idx="104">
                  <c:v>41664</c:v>
                </c:pt>
                <c:pt idx="105">
                  <c:v>41665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41671</c:v>
                </c:pt>
                <c:pt idx="112">
                  <c:v>41672</c:v>
                </c:pt>
                <c:pt idx="113">
                  <c:v>41673</c:v>
                </c:pt>
                <c:pt idx="114">
                  <c:v>41674</c:v>
                </c:pt>
                <c:pt idx="115">
                  <c:v>41675</c:v>
                </c:pt>
                <c:pt idx="116">
                  <c:v>41676</c:v>
                </c:pt>
                <c:pt idx="117">
                  <c:v>41677</c:v>
                </c:pt>
                <c:pt idx="118">
                  <c:v>41678</c:v>
                </c:pt>
                <c:pt idx="119">
                  <c:v>41679</c:v>
                </c:pt>
                <c:pt idx="120">
                  <c:v>41680</c:v>
                </c:pt>
                <c:pt idx="121">
                  <c:v>41681</c:v>
                </c:pt>
                <c:pt idx="122">
                  <c:v>41682</c:v>
                </c:pt>
                <c:pt idx="123">
                  <c:v>41683</c:v>
                </c:pt>
                <c:pt idx="124">
                  <c:v>41684</c:v>
                </c:pt>
                <c:pt idx="125">
                  <c:v>41685</c:v>
                </c:pt>
                <c:pt idx="126">
                  <c:v>41686</c:v>
                </c:pt>
                <c:pt idx="127">
                  <c:v>41687</c:v>
                </c:pt>
                <c:pt idx="128">
                  <c:v>41688</c:v>
                </c:pt>
                <c:pt idx="129">
                  <c:v>41689</c:v>
                </c:pt>
                <c:pt idx="130">
                  <c:v>41690</c:v>
                </c:pt>
                <c:pt idx="131">
                  <c:v>41691</c:v>
                </c:pt>
              </c:numCache>
            </c:numRef>
          </c:cat>
          <c:val>
            <c:numRef>
              <c:f>'Figs 6 &amp; 7'!$EM$6:$EM$150</c:f>
              <c:numCache>
                <c:formatCode>###0.00;###0.00</c:formatCode>
                <c:ptCount val="145"/>
                <c:pt idx="0">
                  <c:v>127.800000000002</c:v>
                </c:pt>
                <c:pt idx="1">
                  <c:v>3.3345159959313371</c:v>
                </c:pt>
                <c:pt idx="2">
                  <c:v>11.4</c:v>
                </c:pt>
                <c:pt idx="3">
                  <c:v>24.049999999999976</c:v>
                </c:pt>
                <c:pt idx="4">
                  <c:v>25.749999999999925</c:v>
                </c:pt>
                <c:pt idx="5">
                  <c:v>2</c:v>
                </c:pt>
                <c:pt idx="6">
                  <c:v>10.466666666666667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2.0666666666666664</c:v>
                </c:pt>
                <c:pt idx="17">
                  <c:v>0.1</c:v>
                </c:pt>
                <c:pt idx="18">
                  <c:v>2.1</c:v>
                </c:pt>
                <c:pt idx="19">
                  <c:v>0.4</c:v>
                </c:pt>
                <c:pt idx="20">
                  <c:v>22.5</c:v>
                </c:pt>
                <c:pt idx="21">
                  <c:v>4.75</c:v>
                </c:pt>
                <c:pt idx="22">
                  <c:v>0.3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 formatCode="General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0.05</c:v>
                </c:pt>
                <c:pt idx="33">
                  <c:v>63.600000000000051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0.55000000000000004</c:v>
                </c:pt>
                <c:pt idx="47">
                  <c:v>2.4500000000000002</c:v>
                </c:pt>
                <c:pt idx="48">
                  <c:v>15.1</c:v>
                </c:pt>
                <c:pt idx="49">
                  <c:v>1.9500000000000002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1.6500000000000001</c:v>
                </c:pt>
                <c:pt idx="55">
                  <c:v>0.1</c:v>
                </c:pt>
                <c:pt idx="56">
                  <c:v>0.95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BC-C641-AA00-907CFA08B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4939584"/>
        <c:axId val="-2024942480"/>
      </c:barChart>
      <c:dateAx>
        <c:axId val="-2024898672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none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24912976"/>
        <c:crossesAt val="0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24912976"/>
        <c:scaling>
          <c:orientation val="minMax"/>
          <c:max val="5"/>
          <c:min val="-1"/>
        </c:scaling>
        <c:delete val="0"/>
        <c:axPos val="r"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4898672"/>
        <c:crosses val="max"/>
        <c:crossBetween val="between"/>
        <c:majorUnit val="1"/>
      </c:valAx>
      <c:valAx>
        <c:axId val="-2024942480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out"/>
        <c:minorTickMark val="none"/>
        <c:tickLblPos val="high"/>
        <c:spPr>
          <a:ln w="19050">
            <a:solidFill>
              <a:srgbClr val="FF0000"/>
            </a:solidFill>
          </a:ln>
        </c:spPr>
        <c:txPr>
          <a:bodyPr/>
          <a:lstStyle/>
          <a:p>
            <a:pPr>
              <a:defRPr sz="1200" b="1">
                <a:solidFill>
                  <a:srgbClr val="FF0000"/>
                </a:solidFill>
              </a:defRPr>
            </a:pPr>
            <a:endParaRPr lang="en-US"/>
          </a:p>
        </c:txPr>
        <c:crossAx val="-2024939584"/>
        <c:crosses val="max"/>
        <c:crossBetween val="between"/>
        <c:majorUnit val="50"/>
      </c:valAx>
      <c:dateAx>
        <c:axId val="-2024939584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4942480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678705546795707E-2"/>
          <c:y val="3.3540231005644197E-2"/>
          <c:w val="0.74344925473956103"/>
          <c:h val="0.78236176280668301"/>
        </c:manualLayout>
      </c:layout>
      <c:areaChart>
        <c:grouping val="stacke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25400">
              <a:noFill/>
            </a:ln>
          </c:spPr>
          <c:cat>
            <c:numRef>
              <c:f>'Figs 6 &amp; 7'!$EN$6:$EN$167</c:f>
              <c:numCache>
                <c:formatCode>m/d/yy</c:formatCode>
                <c:ptCount val="162"/>
                <c:pt idx="0">
                  <c:v>41560</c:v>
                </c:pt>
                <c:pt idx="1">
                  <c:v>41561</c:v>
                </c:pt>
                <c:pt idx="2">
                  <c:v>41562</c:v>
                </c:pt>
                <c:pt idx="3">
                  <c:v>41563</c:v>
                </c:pt>
                <c:pt idx="4">
                  <c:v>41564</c:v>
                </c:pt>
                <c:pt idx="5">
                  <c:v>41565</c:v>
                </c:pt>
                <c:pt idx="6">
                  <c:v>41566</c:v>
                </c:pt>
                <c:pt idx="7">
                  <c:v>41567</c:v>
                </c:pt>
                <c:pt idx="8">
                  <c:v>41568</c:v>
                </c:pt>
                <c:pt idx="9">
                  <c:v>41569</c:v>
                </c:pt>
                <c:pt idx="10">
                  <c:v>41570</c:v>
                </c:pt>
                <c:pt idx="11">
                  <c:v>41571</c:v>
                </c:pt>
                <c:pt idx="12">
                  <c:v>41572</c:v>
                </c:pt>
                <c:pt idx="13">
                  <c:v>41573</c:v>
                </c:pt>
                <c:pt idx="14">
                  <c:v>41574</c:v>
                </c:pt>
                <c:pt idx="15">
                  <c:v>41575</c:v>
                </c:pt>
                <c:pt idx="16">
                  <c:v>41576</c:v>
                </c:pt>
                <c:pt idx="17">
                  <c:v>41577</c:v>
                </c:pt>
                <c:pt idx="18">
                  <c:v>41578</c:v>
                </c:pt>
                <c:pt idx="19">
                  <c:v>41579</c:v>
                </c:pt>
                <c:pt idx="20">
                  <c:v>41580</c:v>
                </c:pt>
                <c:pt idx="21">
                  <c:v>41581</c:v>
                </c:pt>
                <c:pt idx="22">
                  <c:v>41582</c:v>
                </c:pt>
                <c:pt idx="23">
                  <c:v>41583</c:v>
                </c:pt>
                <c:pt idx="24">
                  <c:v>41584</c:v>
                </c:pt>
                <c:pt idx="25">
                  <c:v>41585</c:v>
                </c:pt>
                <c:pt idx="26">
                  <c:v>41586</c:v>
                </c:pt>
                <c:pt idx="27">
                  <c:v>41587</c:v>
                </c:pt>
                <c:pt idx="28">
                  <c:v>41588</c:v>
                </c:pt>
                <c:pt idx="29">
                  <c:v>41589</c:v>
                </c:pt>
                <c:pt idx="30">
                  <c:v>41590</c:v>
                </c:pt>
                <c:pt idx="31">
                  <c:v>41591</c:v>
                </c:pt>
                <c:pt idx="32">
                  <c:v>41592</c:v>
                </c:pt>
                <c:pt idx="33">
                  <c:v>41593</c:v>
                </c:pt>
                <c:pt idx="34">
                  <c:v>41594</c:v>
                </c:pt>
                <c:pt idx="35">
                  <c:v>41595</c:v>
                </c:pt>
                <c:pt idx="36">
                  <c:v>41596</c:v>
                </c:pt>
                <c:pt idx="37">
                  <c:v>41597</c:v>
                </c:pt>
                <c:pt idx="38">
                  <c:v>41598</c:v>
                </c:pt>
                <c:pt idx="39">
                  <c:v>41599</c:v>
                </c:pt>
                <c:pt idx="40">
                  <c:v>41600</c:v>
                </c:pt>
                <c:pt idx="41">
                  <c:v>41601</c:v>
                </c:pt>
                <c:pt idx="42">
                  <c:v>41602</c:v>
                </c:pt>
                <c:pt idx="43">
                  <c:v>41603</c:v>
                </c:pt>
                <c:pt idx="44">
                  <c:v>41604</c:v>
                </c:pt>
                <c:pt idx="45">
                  <c:v>41605</c:v>
                </c:pt>
                <c:pt idx="46">
                  <c:v>41606</c:v>
                </c:pt>
                <c:pt idx="47">
                  <c:v>41607</c:v>
                </c:pt>
                <c:pt idx="48">
                  <c:v>41608</c:v>
                </c:pt>
                <c:pt idx="49">
                  <c:v>41609</c:v>
                </c:pt>
                <c:pt idx="50">
                  <c:v>41610</c:v>
                </c:pt>
                <c:pt idx="51">
                  <c:v>41611</c:v>
                </c:pt>
                <c:pt idx="52">
                  <c:v>41612</c:v>
                </c:pt>
                <c:pt idx="53">
                  <c:v>41613</c:v>
                </c:pt>
                <c:pt idx="54">
                  <c:v>41614</c:v>
                </c:pt>
                <c:pt idx="55">
                  <c:v>41615</c:v>
                </c:pt>
                <c:pt idx="56">
                  <c:v>41616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41622</c:v>
                </c:pt>
                <c:pt idx="63">
                  <c:v>41623</c:v>
                </c:pt>
                <c:pt idx="64">
                  <c:v>41624</c:v>
                </c:pt>
                <c:pt idx="65">
                  <c:v>41625</c:v>
                </c:pt>
                <c:pt idx="66">
                  <c:v>41626</c:v>
                </c:pt>
                <c:pt idx="67">
                  <c:v>41627</c:v>
                </c:pt>
                <c:pt idx="68">
                  <c:v>41628</c:v>
                </c:pt>
                <c:pt idx="69">
                  <c:v>41629</c:v>
                </c:pt>
                <c:pt idx="70">
                  <c:v>41630</c:v>
                </c:pt>
                <c:pt idx="71">
                  <c:v>41631</c:v>
                </c:pt>
                <c:pt idx="72">
                  <c:v>41632</c:v>
                </c:pt>
                <c:pt idx="73">
                  <c:v>41633</c:v>
                </c:pt>
                <c:pt idx="74">
                  <c:v>41634</c:v>
                </c:pt>
                <c:pt idx="75">
                  <c:v>41635</c:v>
                </c:pt>
                <c:pt idx="76">
                  <c:v>41636</c:v>
                </c:pt>
                <c:pt idx="77">
                  <c:v>41637</c:v>
                </c:pt>
                <c:pt idx="78">
                  <c:v>41638</c:v>
                </c:pt>
                <c:pt idx="79">
                  <c:v>41639</c:v>
                </c:pt>
                <c:pt idx="80">
                  <c:v>41640</c:v>
                </c:pt>
                <c:pt idx="81">
                  <c:v>41641</c:v>
                </c:pt>
                <c:pt idx="82">
                  <c:v>41642</c:v>
                </c:pt>
                <c:pt idx="83">
                  <c:v>41643</c:v>
                </c:pt>
                <c:pt idx="84">
                  <c:v>41644</c:v>
                </c:pt>
                <c:pt idx="85">
                  <c:v>41645</c:v>
                </c:pt>
                <c:pt idx="86">
                  <c:v>41646</c:v>
                </c:pt>
                <c:pt idx="87">
                  <c:v>41647</c:v>
                </c:pt>
                <c:pt idx="88">
                  <c:v>41648</c:v>
                </c:pt>
                <c:pt idx="89">
                  <c:v>41649</c:v>
                </c:pt>
                <c:pt idx="90">
                  <c:v>41650</c:v>
                </c:pt>
                <c:pt idx="91">
                  <c:v>41651</c:v>
                </c:pt>
                <c:pt idx="92">
                  <c:v>41652</c:v>
                </c:pt>
                <c:pt idx="93">
                  <c:v>41653</c:v>
                </c:pt>
                <c:pt idx="94">
                  <c:v>41654</c:v>
                </c:pt>
                <c:pt idx="95">
                  <c:v>41655</c:v>
                </c:pt>
                <c:pt idx="96">
                  <c:v>41656</c:v>
                </c:pt>
                <c:pt idx="97">
                  <c:v>41657</c:v>
                </c:pt>
                <c:pt idx="98">
                  <c:v>41658</c:v>
                </c:pt>
                <c:pt idx="99">
                  <c:v>41659</c:v>
                </c:pt>
                <c:pt idx="100">
                  <c:v>41660</c:v>
                </c:pt>
                <c:pt idx="101">
                  <c:v>41661</c:v>
                </c:pt>
                <c:pt idx="102">
                  <c:v>41662</c:v>
                </c:pt>
                <c:pt idx="103">
                  <c:v>41663</c:v>
                </c:pt>
                <c:pt idx="104">
                  <c:v>41664</c:v>
                </c:pt>
                <c:pt idx="105">
                  <c:v>41665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41671</c:v>
                </c:pt>
                <c:pt idx="112">
                  <c:v>41672</c:v>
                </c:pt>
                <c:pt idx="113">
                  <c:v>41673</c:v>
                </c:pt>
                <c:pt idx="114">
                  <c:v>41674</c:v>
                </c:pt>
                <c:pt idx="115">
                  <c:v>41675</c:v>
                </c:pt>
                <c:pt idx="116">
                  <c:v>41676</c:v>
                </c:pt>
                <c:pt idx="117">
                  <c:v>41677</c:v>
                </c:pt>
                <c:pt idx="118">
                  <c:v>41678</c:v>
                </c:pt>
                <c:pt idx="119">
                  <c:v>41679</c:v>
                </c:pt>
                <c:pt idx="120">
                  <c:v>41680</c:v>
                </c:pt>
                <c:pt idx="121">
                  <c:v>41681</c:v>
                </c:pt>
                <c:pt idx="122">
                  <c:v>41682</c:v>
                </c:pt>
                <c:pt idx="123">
                  <c:v>41683</c:v>
                </c:pt>
                <c:pt idx="124">
                  <c:v>41684</c:v>
                </c:pt>
                <c:pt idx="125">
                  <c:v>41685</c:v>
                </c:pt>
                <c:pt idx="126">
                  <c:v>41686</c:v>
                </c:pt>
                <c:pt idx="127">
                  <c:v>41687</c:v>
                </c:pt>
                <c:pt idx="128">
                  <c:v>41688</c:v>
                </c:pt>
                <c:pt idx="129">
                  <c:v>41689</c:v>
                </c:pt>
                <c:pt idx="130">
                  <c:v>41690</c:v>
                </c:pt>
                <c:pt idx="131">
                  <c:v>41691</c:v>
                </c:pt>
              </c:numCache>
            </c:numRef>
          </c:cat>
          <c:val>
            <c:numRef>
              <c:f>'Figs 6 &amp; 7'!$ER$6:$ER$167</c:f>
              <c:numCache>
                <c:formatCode>General</c:formatCode>
                <c:ptCount val="162"/>
                <c:pt idx="0">
                  <c:v>0</c:v>
                </c:pt>
                <c:pt idx="1">
                  <c:v>0</c:v>
                </c:pt>
                <c:pt idx="2">
                  <c:v>3.1435810224401641</c:v>
                </c:pt>
                <c:pt idx="3" formatCode="0.000">
                  <c:v>3.2043143565567305</c:v>
                </c:pt>
                <c:pt idx="4">
                  <c:v>3.2750159959313367</c:v>
                </c:pt>
                <c:pt idx="5">
                  <c:v>3.3996063881024372</c:v>
                </c:pt>
                <c:pt idx="6">
                  <c:v>3.2055503382091852</c:v>
                </c:pt>
                <c:pt idx="7">
                  <c:v>3.2147947052086621</c:v>
                </c:pt>
                <c:pt idx="8">
                  <c:v>3.179992455767962</c:v>
                </c:pt>
                <c:pt idx="9" formatCode="0.000">
                  <c:v>3.1485337677375855</c:v>
                </c:pt>
                <c:pt idx="10" formatCode="0.000">
                  <c:v>3.1297229280280372</c:v>
                </c:pt>
                <c:pt idx="11" formatCode="0.000">
                  <c:v>3.1196341775812395</c:v>
                </c:pt>
                <c:pt idx="12" formatCode="0.000">
                  <c:v>3.0979409376518041</c:v>
                </c:pt>
                <c:pt idx="13" formatCode="0.000">
                  <c:v>3.0740098576753261</c:v>
                </c:pt>
                <c:pt idx="14" formatCode="0.000">
                  <c:v>3.0483624191981504</c:v>
                </c:pt>
                <c:pt idx="15" formatCode="0.000">
                  <c:v>3.0304329762465883</c:v>
                </c:pt>
                <c:pt idx="16" formatCode="0.000">
                  <c:v>3.0117466778126238</c:v>
                </c:pt>
                <c:pt idx="17" formatCode="0.000">
                  <c:v>2.9937524038752907</c:v>
                </c:pt>
                <c:pt idx="18">
                  <c:v>2.9733710094669976</c:v>
                </c:pt>
                <c:pt idx="19">
                  <c:v>2.9555802121516304</c:v>
                </c:pt>
                <c:pt idx="20">
                  <c:v>2.9368771477230093</c:v>
                </c:pt>
                <c:pt idx="21">
                  <c:v>2.9495194843017631</c:v>
                </c:pt>
                <c:pt idx="22">
                  <c:v>2.9404288895585302</c:v>
                </c:pt>
                <c:pt idx="23">
                  <c:v>2.9189530186407686</c:v>
                </c:pt>
                <c:pt idx="24">
                  <c:v>2.8968487199818074</c:v>
                </c:pt>
                <c:pt idx="25" formatCode="0.000">
                  <c:v>2.8724953411213714</c:v>
                </c:pt>
                <c:pt idx="26" formatCode="0.000">
                  <c:v>2.8491184455944807</c:v>
                </c:pt>
                <c:pt idx="27" formatCode="0.000">
                  <c:v>2.8217004524185607</c:v>
                </c:pt>
                <c:pt idx="28" formatCode="0.000">
                  <c:v>2.7828161938040874</c:v>
                </c:pt>
                <c:pt idx="29" formatCode="0.000">
                  <c:v>2.7604955413438126</c:v>
                </c:pt>
                <c:pt idx="30" formatCode="0.000">
                  <c:v>2.7414748912332292</c:v>
                </c:pt>
                <c:pt idx="31">
                  <c:v>2.7170939113679728</c:v>
                </c:pt>
                <c:pt idx="32" formatCode="0.000">
                  <c:v>2.681026623669982</c:v>
                </c:pt>
                <c:pt idx="33">
                  <c:v>2.6427783584564284</c:v>
                </c:pt>
                <c:pt idx="34">
                  <c:v>3.1592730516361818</c:v>
                </c:pt>
                <c:pt idx="35">
                  <c:v>3.1414814440322778</c:v>
                </c:pt>
                <c:pt idx="36" formatCode="0.000">
                  <c:v>3.1183401297129616</c:v>
                </c:pt>
                <c:pt idx="37" formatCode="0.000">
                  <c:v>3.0934155743392249</c:v>
                </c:pt>
                <c:pt idx="38" formatCode="0.000">
                  <c:v>3.0679272337360763</c:v>
                </c:pt>
                <c:pt idx="39" formatCode="0.000">
                  <c:v>3.0416720246773585</c:v>
                </c:pt>
                <c:pt idx="40" formatCode="0.000">
                  <c:v>3.0159231540970928</c:v>
                </c:pt>
                <c:pt idx="41" formatCode="0.000">
                  <c:v>2.9912139537621534</c:v>
                </c:pt>
                <c:pt idx="42" formatCode="0.000">
                  <c:v>2.9665722295991848</c:v>
                </c:pt>
                <c:pt idx="43" formatCode="0.000">
                  <c:v>2.9412587306052838</c:v>
                </c:pt>
                <c:pt idx="44" formatCode="0.000">
                  <c:v>2.9136634391078959</c:v>
                </c:pt>
                <c:pt idx="45" formatCode="0.000">
                  <c:v>2.8870726488416056</c:v>
                </c:pt>
                <c:pt idx="46" formatCode="0.000">
                  <c:v>2.8603452480592284</c:v>
                </c:pt>
                <c:pt idx="47" formatCode="0.000">
                  <c:v>2.8344742858665231</c:v>
                </c:pt>
                <c:pt idx="48">
                  <c:v>2.808250769200066</c:v>
                </c:pt>
                <c:pt idx="49">
                  <c:v>2.797992491013344</c:v>
                </c:pt>
                <c:pt idx="50">
                  <c:v>2.7761663033140755</c:v>
                </c:pt>
                <c:pt idx="51">
                  <c:v>2.7505693677426968</c:v>
                </c:pt>
                <c:pt idx="52" formatCode="0.000">
                  <c:v>2.7202550443621063</c:v>
                </c:pt>
                <c:pt idx="53" formatCode="0.000">
                  <c:v>2.6826257992832949</c:v>
                </c:pt>
                <c:pt idx="54" formatCode="0.000">
                  <c:v>2.6472350043176198</c:v>
                </c:pt>
                <c:pt idx="55" formatCode="0.000">
                  <c:v>2.6114703853027499</c:v>
                </c:pt>
                <c:pt idx="56">
                  <c:v>2.5763358193055388</c:v>
                </c:pt>
                <c:pt idx="57">
                  <c:v>2.539699628031872</c:v>
                </c:pt>
                <c:pt idx="58">
                  <c:v>2.5019202734430688</c:v>
                </c:pt>
                <c:pt idx="59" formatCode="0.000">
                  <c:v>2.4986572820543489</c:v>
                </c:pt>
                <c:pt idx="60" formatCode="0.000">
                  <c:v>2.5224521919043883</c:v>
                </c:pt>
                <c:pt idx="61" formatCode="0.000">
                  <c:v>2.500216203202855</c:v>
                </c:pt>
                <c:pt idx="62">
                  <c:v>2.4751452457095353</c:v>
                </c:pt>
                <c:pt idx="63" formatCode="0.000">
                  <c:v>2.4447566978348667</c:v>
                </c:pt>
                <c:pt idx="64" formatCode="0.000">
                  <c:v>2.4068575104730967</c:v>
                </c:pt>
                <c:pt idx="65" formatCode="0.000">
                  <c:v>2.3701082253497936</c:v>
                </c:pt>
                <c:pt idx="66" formatCode="0.000">
                  <c:v>2.3149875728895206</c:v>
                </c:pt>
                <c:pt idx="67" formatCode="0.000">
                  <c:v>2.2296288895585294</c:v>
                </c:pt>
                <c:pt idx="68" formatCode="0.000">
                  <c:v>2.1447933107006487</c:v>
                </c:pt>
                <c:pt idx="69" formatCode="0.000">
                  <c:v>2.076373885421638</c:v>
                </c:pt>
                <c:pt idx="70" formatCode="0.000">
                  <c:v>2.0227156048852222</c:v>
                </c:pt>
                <c:pt idx="71" formatCode="0.000">
                  <c:v>1.9766434202106367</c:v>
                </c:pt>
                <c:pt idx="72" formatCode="0.000">
                  <c:v>1.9459010906809602</c:v>
                </c:pt>
                <c:pt idx="73" formatCode="0.000">
                  <c:v>1.9260965847504816</c:v>
                </c:pt>
                <c:pt idx="74" formatCode="0.000">
                  <c:v>1.9073867673003693</c:v>
                </c:pt>
                <c:pt idx="75" formatCode="0.000">
                  <c:v>1.8889540455995912</c:v>
                </c:pt>
                <c:pt idx="76" formatCode="0.000">
                  <c:v>1.8552609988435225</c:v>
                </c:pt>
                <c:pt idx="77" formatCode="0.000">
                  <c:v>1.8162505713273176</c:v>
                </c:pt>
                <c:pt idx="78" formatCode="0.000">
                  <c:v>1.7785331858677984</c:v>
                </c:pt>
                <c:pt idx="79" formatCode="0.000">
                  <c:v>1.744879811706745</c:v>
                </c:pt>
                <c:pt idx="80">
                  <c:v>1.7175538406777657</c:v>
                </c:pt>
                <c:pt idx="81" formatCode="0.000">
                  <c:v>1.6927980098044944</c:v>
                </c:pt>
                <c:pt idx="82" formatCode="0.000">
                  <c:v>1.6738853257985116</c:v>
                </c:pt>
                <c:pt idx="83" formatCode="0.000">
                  <c:v>1.6540399177420588</c:v>
                </c:pt>
                <c:pt idx="84" formatCode="0.000">
                  <c:v>1.6342223344097913</c:v>
                </c:pt>
                <c:pt idx="85" formatCode="0.000">
                  <c:v>1.6170466778126253</c:v>
                </c:pt>
                <c:pt idx="86" formatCode="0.000">
                  <c:v>1.6136663127128439</c:v>
                </c:pt>
                <c:pt idx="87" formatCode="0.000">
                  <c:v>1.5972505666279342</c:v>
                </c:pt>
                <c:pt idx="88" formatCode="0.000">
                  <c:v>1.5800470923556609</c:v>
                </c:pt>
                <c:pt idx="89" formatCode="0.000">
                  <c:v>1.5642311436986165</c:v>
                </c:pt>
                <c:pt idx="90" formatCode="0.000">
                  <c:v>1.5474288942579135</c:v>
                </c:pt>
                <c:pt idx="91" formatCode="0.000">
                  <c:v>1.5286434131615603</c:v>
                </c:pt>
                <c:pt idx="92" formatCode="0.000">
                  <c:v>1.5106092617073847</c:v>
                </c:pt>
                <c:pt idx="93" formatCode="0.000">
                  <c:v>1.4923460747956052</c:v>
                </c:pt>
                <c:pt idx="94" formatCode="0.000">
                  <c:v>1.4737438253549064</c:v>
                </c:pt>
                <c:pt idx="95" formatCode="0.000">
                  <c:v>1.4548272572329988</c:v>
                </c:pt>
                <c:pt idx="96" formatCode="0.000">
                  <c:v>1.434738718757099</c:v>
                </c:pt>
                <c:pt idx="97" formatCode="0.000">
                  <c:v>1.4139307456034245</c:v>
                </c:pt>
                <c:pt idx="98" formatCode="0.000">
                  <c:v>1.3935712355360539</c:v>
                </c:pt>
                <c:pt idx="99" formatCode="0.000">
                  <c:v>1.3718448476143439</c:v>
                </c:pt>
                <c:pt idx="100" formatCode="0.000">
                  <c:v>1.3499583466082465</c:v>
                </c:pt>
                <c:pt idx="101" formatCode="0.000">
                  <c:v>1.3276139702099985</c:v>
                </c:pt>
                <c:pt idx="102" formatCode="0.000">
                  <c:v>1.305385945263374</c:v>
                </c:pt>
                <c:pt idx="103" formatCode="0.000">
                  <c:v>1.2829575198718639</c:v>
                </c:pt>
                <c:pt idx="104" formatCode="0.000">
                  <c:v>1.2593783796036564</c:v>
                </c:pt>
                <c:pt idx="105" formatCode="0.000">
                  <c:v>1.2354814463819692</c:v>
                </c:pt>
                <c:pt idx="106" formatCode="0.000">
                  <c:v>1.2124260277020418</c:v>
                </c:pt>
                <c:pt idx="107" formatCode="0.000">
                  <c:v>1.1877430056676022</c:v>
                </c:pt>
                <c:pt idx="108" formatCode="0.000">
                  <c:v>1.1624562973899848</c:v>
                </c:pt>
                <c:pt idx="109" formatCode="0.000">
                  <c:v>1.1376661054413257</c:v>
                </c:pt>
                <c:pt idx="110" formatCode="0.000">
                  <c:v>1.112165702646752</c:v>
                </c:pt>
                <c:pt idx="111" formatCode="0.000">
                  <c:v>1.08927653295753</c:v>
                </c:pt>
                <c:pt idx="112" formatCode="0.000">
                  <c:v>1.0646573055512696</c:v>
                </c:pt>
                <c:pt idx="113" formatCode="0.000">
                  <c:v>1.0399552539833183</c:v>
                </c:pt>
                <c:pt idx="114" formatCode="0.000">
                  <c:v>1.0165198800472619</c:v>
                </c:pt>
                <c:pt idx="115" formatCode="0.000">
                  <c:v>0.99477406919623368</c:v>
                </c:pt>
                <c:pt idx="116" formatCode="0.000">
                  <c:v>0.97102928765371876</c:v>
                </c:pt>
                <c:pt idx="117" formatCode="0.000">
                  <c:v>0.94512253463223272</c:v>
                </c:pt>
                <c:pt idx="118" formatCode="0.000">
                  <c:v>0.92076568619890642</c:v>
                </c:pt>
                <c:pt idx="119" formatCode="0.000">
                  <c:v>0.89365014268613008</c:v>
                </c:pt>
                <c:pt idx="120" formatCode="0.000">
                  <c:v>0.86809103541333377</c:v>
                </c:pt>
                <c:pt idx="121" formatCode="0.000">
                  <c:v>0.84340679089701309</c:v>
                </c:pt>
                <c:pt idx="122" formatCode="0.000">
                  <c:v>0.81532704526209576</c:v>
                </c:pt>
                <c:pt idx="123" formatCode="0.000">
                  <c:v>0.78949329895218723</c:v>
                </c:pt>
                <c:pt idx="124" formatCode="0.000">
                  <c:v>0.76517836315581134</c:v>
                </c:pt>
                <c:pt idx="125" formatCode="0.000">
                  <c:v>0.74098941248656969</c:v>
                </c:pt>
                <c:pt idx="126" formatCode="0.000">
                  <c:v>0.71552950432400797</c:v>
                </c:pt>
                <c:pt idx="127" formatCode="0.000">
                  <c:v>0.69674443542099906</c:v>
                </c:pt>
                <c:pt idx="128" formatCode="0.000">
                  <c:v>0.67210271125803045</c:v>
                </c:pt>
                <c:pt idx="129" formatCode="0.000">
                  <c:v>0.52862664481721344</c:v>
                </c:pt>
                <c:pt idx="130" formatCode="0.000">
                  <c:v>0.46094259582394903</c:v>
                </c:pt>
                <c:pt idx="131" formatCode="0.000">
                  <c:v>0.38785056897762571</c:v>
                </c:pt>
                <c:pt idx="132">
                  <c:v>0.38873911685229023</c:v>
                </c:pt>
                <c:pt idx="133">
                  <c:v>0.39594239090212424</c:v>
                </c:pt>
                <c:pt idx="134">
                  <c:v>0.3862626382181289</c:v>
                </c:pt>
                <c:pt idx="135">
                  <c:v>0.38548615253489116</c:v>
                </c:pt>
                <c:pt idx="136">
                  <c:v>0.38342602770204115</c:v>
                </c:pt>
                <c:pt idx="137">
                  <c:v>0.38330209649255265</c:v>
                </c:pt>
                <c:pt idx="138">
                  <c:v>0.4570532235625957</c:v>
                </c:pt>
                <c:pt idx="139">
                  <c:v>0.49305690040700112</c:v>
                </c:pt>
                <c:pt idx="140">
                  <c:v>0.39405792501613091</c:v>
                </c:pt>
                <c:pt idx="141">
                  <c:v>0.39156345085635769</c:v>
                </c:pt>
                <c:pt idx="142">
                  <c:v>0.39088246864140741</c:v>
                </c:pt>
                <c:pt idx="143">
                  <c:v>0.39160087166097979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1-4847-A4CF-B1D136DA1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673264"/>
        <c:axId val="-2025663680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7'!$EC$8:$EC$150</c:f>
              <c:numCache>
                <c:formatCode>0.000</c:formatCode>
                <c:ptCount val="143"/>
                <c:pt idx="7">
                  <c:v>0.54195406509585409</c:v>
                </c:pt>
                <c:pt idx="8">
                  <c:v>-0.81316758730067118</c:v>
                </c:pt>
                <c:pt idx="9">
                  <c:v>-1.8394531847439834</c:v>
                </c:pt>
                <c:pt idx="10">
                  <c:v>-2.4695976845197039</c:v>
                </c:pt>
                <c:pt idx="11">
                  <c:v>-1.0651381288299109</c:v>
                </c:pt>
                <c:pt idx="12">
                  <c:v>-0.59892787746201748</c:v>
                </c:pt>
                <c:pt idx="13">
                  <c:v>-0.18437699289918186</c:v>
                </c:pt>
                <c:pt idx="14">
                  <c:v>-1.2005924491810163</c:v>
                </c:pt>
                <c:pt idx="15">
                  <c:v>-1.3680144254648865</c:v>
                </c:pt>
                <c:pt idx="23">
                  <c:v>-1.4934827979861893</c:v>
                </c:pt>
                <c:pt idx="24">
                  <c:v>-0.54631381358665632</c:v>
                </c:pt>
                <c:pt idx="25">
                  <c:v>-0.80884284270011353</c:v>
                </c:pt>
                <c:pt idx="26">
                  <c:v>-0.56831329959123922</c:v>
                </c:pt>
                <c:pt idx="27">
                  <c:v>0.41839054688435162</c:v>
                </c:pt>
                <c:pt idx="28">
                  <c:v>-1.1686428406674434</c:v>
                </c:pt>
                <c:pt idx="30">
                  <c:v>-0.83841064212432936</c:v>
                </c:pt>
                <c:pt idx="34">
                  <c:v>-1.3860916966695789</c:v>
                </c:pt>
                <c:pt idx="35">
                  <c:v>-0.80755960410805105</c:v>
                </c:pt>
                <c:pt idx="36">
                  <c:v>-0.3798904867642765</c:v>
                </c:pt>
                <c:pt idx="37">
                  <c:v>-9.5686504933702565E-2</c:v>
                </c:pt>
                <c:pt idx="38">
                  <c:v>-0.31456925909300182</c:v>
                </c:pt>
                <c:pt idx="39">
                  <c:v>-0.3020030762041106</c:v>
                </c:pt>
                <c:pt idx="40">
                  <c:v>-0.55699775531487106</c:v>
                </c:pt>
                <c:pt idx="41">
                  <c:v>-0.58996450647456555</c:v>
                </c:pt>
                <c:pt idx="42">
                  <c:v>-0.35767398137029938</c:v>
                </c:pt>
                <c:pt idx="43">
                  <c:v>-0.45512925890862688</c:v>
                </c:pt>
                <c:pt idx="44">
                  <c:v>-0.37774367011921406</c:v>
                </c:pt>
                <c:pt idx="45">
                  <c:v>-0.1115077677420091</c:v>
                </c:pt>
                <c:pt idx="50">
                  <c:v>4.3422390507913633E-2</c:v>
                </c:pt>
                <c:pt idx="51">
                  <c:v>-0.51649129679547023</c:v>
                </c:pt>
                <c:pt idx="52">
                  <c:v>0.63153638159846492</c:v>
                </c:pt>
                <c:pt idx="53">
                  <c:v>0.94155290821139204</c:v>
                </c:pt>
                <c:pt idx="57">
                  <c:v>1.1547139143188097</c:v>
                </c:pt>
                <c:pt idx="61">
                  <c:v>-0.26824852694965351</c:v>
                </c:pt>
                <c:pt idx="62">
                  <c:v>0.2357336890413686</c:v>
                </c:pt>
                <c:pt idx="63">
                  <c:v>9.6746017342390633E-2</c:v>
                </c:pt>
                <c:pt idx="64">
                  <c:v>1.1696818889693983</c:v>
                </c:pt>
                <c:pt idx="65">
                  <c:v>1.5622743532361145</c:v>
                </c:pt>
                <c:pt idx="69">
                  <c:v>4.9679999999999991</c:v>
                </c:pt>
                <c:pt idx="70">
                  <c:v>3.5424000000000002</c:v>
                </c:pt>
                <c:pt idx="71">
                  <c:v>2.3939984227144446</c:v>
                </c:pt>
                <c:pt idx="72">
                  <c:v>1.6847999999999999</c:v>
                </c:pt>
                <c:pt idx="73">
                  <c:v>0.91871999999999998</c:v>
                </c:pt>
                <c:pt idx="74">
                  <c:v>0.97055999999999998</c:v>
                </c:pt>
                <c:pt idx="75">
                  <c:v>0.9979199999999997</c:v>
                </c:pt>
                <c:pt idx="76">
                  <c:v>3.528</c:v>
                </c:pt>
                <c:pt idx="77">
                  <c:v>2.8512</c:v>
                </c:pt>
                <c:pt idx="79">
                  <c:v>1.7568000000000001</c:v>
                </c:pt>
                <c:pt idx="80">
                  <c:v>1.8863999999999999</c:v>
                </c:pt>
                <c:pt idx="81">
                  <c:v>1.4327999999999999</c:v>
                </c:pt>
                <c:pt idx="82">
                  <c:v>1.2312000000000001</c:v>
                </c:pt>
                <c:pt idx="83">
                  <c:v>0.7545599999999999</c:v>
                </c:pt>
                <c:pt idx="86">
                  <c:v>1.3881599999999998</c:v>
                </c:pt>
                <c:pt idx="87">
                  <c:v>0.98639999999999994</c:v>
                </c:pt>
                <c:pt idx="88">
                  <c:v>0.63648000000000005</c:v>
                </c:pt>
                <c:pt idx="89">
                  <c:v>0.58607999999999993</c:v>
                </c:pt>
                <c:pt idx="90">
                  <c:v>0.78336000000000006</c:v>
                </c:pt>
                <c:pt idx="91">
                  <c:v>0.62783999999999995</c:v>
                </c:pt>
                <c:pt idx="92">
                  <c:v>0.54143999999999992</c:v>
                </c:pt>
                <c:pt idx="93">
                  <c:v>0.64511999999999992</c:v>
                </c:pt>
                <c:pt idx="94">
                  <c:v>1.1059199999999998</c:v>
                </c:pt>
                <c:pt idx="95">
                  <c:v>0.93023999999999996</c:v>
                </c:pt>
                <c:pt idx="96">
                  <c:v>0.70991999999999988</c:v>
                </c:pt>
                <c:pt idx="97">
                  <c:v>0.60624000000000011</c:v>
                </c:pt>
                <c:pt idx="98">
                  <c:v>0.48527999999999993</c:v>
                </c:pt>
                <c:pt idx="99">
                  <c:v>0.36143999999999998</c:v>
                </c:pt>
                <c:pt idx="100">
                  <c:v>0.42255134218871415</c:v>
                </c:pt>
                <c:pt idx="101">
                  <c:v>0.42623999999999995</c:v>
                </c:pt>
                <c:pt idx="102">
                  <c:v>1.0396800000000002</c:v>
                </c:pt>
                <c:pt idx="103">
                  <c:v>-2.6784000000000141E-2</c:v>
                </c:pt>
                <c:pt idx="104">
                  <c:v>-1.2830399999999909E-2</c:v>
                </c:pt>
                <c:pt idx="105">
                  <c:v>9.6191999999999833E-2</c:v>
                </c:pt>
                <c:pt idx="106">
                  <c:v>0.18432000000000004</c:v>
                </c:pt>
                <c:pt idx="107">
                  <c:v>-3.8736000000000104E-2</c:v>
                </c:pt>
                <c:pt idx="108">
                  <c:v>0.11231999999999998</c:v>
                </c:pt>
                <c:pt idx="109">
                  <c:v>0.30527999999999977</c:v>
                </c:pt>
                <c:pt idx="110">
                  <c:v>-0.17711999999999994</c:v>
                </c:pt>
                <c:pt idx="111">
                  <c:v>-4.8528000000000127E-2</c:v>
                </c:pt>
                <c:pt idx="112">
                  <c:v>0.12844800000000012</c:v>
                </c:pt>
                <c:pt idx="113">
                  <c:v>-0.22319999999999984</c:v>
                </c:pt>
                <c:pt idx="114">
                  <c:v>-0.97775999999999996</c:v>
                </c:pt>
                <c:pt idx="115">
                  <c:v>-0.54576000000000002</c:v>
                </c:pt>
                <c:pt idx="116">
                  <c:v>-0.30527999999999977</c:v>
                </c:pt>
                <c:pt idx="117">
                  <c:v>-0.45359999999999978</c:v>
                </c:pt>
                <c:pt idx="118">
                  <c:v>-0.6120000000000001</c:v>
                </c:pt>
                <c:pt idx="119">
                  <c:v>-0.93455999999999984</c:v>
                </c:pt>
                <c:pt idx="120">
                  <c:v>-0.12124800000000002</c:v>
                </c:pt>
                <c:pt idx="121">
                  <c:v>0.30384000000000011</c:v>
                </c:pt>
                <c:pt idx="122">
                  <c:v>1.6992</c:v>
                </c:pt>
                <c:pt idx="123">
                  <c:v>-0.3024</c:v>
                </c:pt>
                <c:pt idx="124">
                  <c:v>-0.26495999999999986</c:v>
                </c:pt>
                <c:pt idx="125">
                  <c:v>0.71711999999999998</c:v>
                </c:pt>
                <c:pt idx="126">
                  <c:v>0.28224000000000005</c:v>
                </c:pt>
                <c:pt idx="127">
                  <c:v>-1.1664000000000003</c:v>
                </c:pt>
                <c:pt idx="131">
                  <c:v>-0.81523926848087025</c:v>
                </c:pt>
                <c:pt idx="132">
                  <c:v>-1.1284992313921514</c:v>
                </c:pt>
                <c:pt idx="133">
                  <c:v>-0.57475286543238457</c:v>
                </c:pt>
                <c:pt idx="134">
                  <c:v>7.7648568323773759E-2</c:v>
                </c:pt>
                <c:pt idx="135">
                  <c:v>0.20601248328500077</c:v>
                </c:pt>
                <c:pt idx="136">
                  <c:v>1.2393120948850367E-2</c:v>
                </c:pt>
                <c:pt idx="138">
                  <c:v>-3.6003676844405419</c:v>
                </c:pt>
                <c:pt idx="139">
                  <c:v>9.8998975390870214</c:v>
                </c:pt>
                <c:pt idx="140">
                  <c:v>0.2494474159773219</c:v>
                </c:pt>
                <c:pt idx="141">
                  <c:v>6.8098221495027644E-2</c:v>
                </c:pt>
                <c:pt idx="142">
                  <c:v>-7.1840301957237784E-2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F1-4847-A4CF-B1D136DA1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5673264"/>
        <c:axId val="-2025663680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'Figs 6 &amp; 7'!$EN$6:$EN$150</c:f>
              <c:numCache>
                <c:formatCode>m/d/yy</c:formatCode>
                <c:ptCount val="145"/>
                <c:pt idx="0">
                  <c:v>41560</c:v>
                </c:pt>
                <c:pt idx="1">
                  <c:v>41561</c:v>
                </c:pt>
                <c:pt idx="2">
                  <c:v>41562</c:v>
                </c:pt>
                <c:pt idx="3">
                  <c:v>41563</c:v>
                </c:pt>
                <c:pt idx="4">
                  <c:v>41564</c:v>
                </c:pt>
                <c:pt idx="5">
                  <c:v>41565</c:v>
                </c:pt>
                <c:pt idx="6">
                  <c:v>41566</c:v>
                </c:pt>
                <c:pt idx="7">
                  <c:v>41567</c:v>
                </c:pt>
                <c:pt idx="8">
                  <c:v>41568</c:v>
                </c:pt>
                <c:pt idx="9">
                  <c:v>41569</c:v>
                </c:pt>
                <c:pt idx="10">
                  <c:v>41570</c:v>
                </c:pt>
                <c:pt idx="11">
                  <c:v>41571</c:v>
                </c:pt>
                <c:pt idx="12">
                  <c:v>41572</c:v>
                </c:pt>
                <c:pt idx="13">
                  <c:v>41573</c:v>
                </c:pt>
                <c:pt idx="14">
                  <c:v>41574</c:v>
                </c:pt>
                <c:pt idx="15">
                  <c:v>41575</c:v>
                </c:pt>
                <c:pt idx="16">
                  <c:v>41576</c:v>
                </c:pt>
                <c:pt idx="17">
                  <c:v>41577</c:v>
                </c:pt>
                <c:pt idx="18">
                  <c:v>41578</c:v>
                </c:pt>
                <c:pt idx="19">
                  <c:v>41579</c:v>
                </c:pt>
                <c:pt idx="20">
                  <c:v>41580</c:v>
                </c:pt>
                <c:pt idx="21">
                  <c:v>41581</c:v>
                </c:pt>
                <c:pt idx="22">
                  <c:v>41582</c:v>
                </c:pt>
                <c:pt idx="23">
                  <c:v>41583</c:v>
                </c:pt>
                <c:pt idx="24">
                  <c:v>41584</c:v>
                </c:pt>
                <c:pt idx="25">
                  <c:v>41585</c:v>
                </c:pt>
                <c:pt idx="26">
                  <c:v>41586</c:v>
                </c:pt>
                <c:pt idx="27">
                  <c:v>41587</c:v>
                </c:pt>
                <c:pt idx="28">
                  <c:v>41588</c:v>
                </c:pt>
                <c:pt idx="29">
                  <c:v>41589</c:v>
                </c:pt>
                <c:pt idx="30">
                  <c:v>41590</c:v>
                </c:pt>
                <c:pt idx="31">
                  <c:v>41591</c:v>
                </c:pt>
                <c:pt idx="32">
                  <c:v>41592</c:v>
                </c:pt>
                <c:pt idx="33">
                  <c:v>41593</c:v>
                </c:pt>
                <c:pt idx="34">
                  <c:v>41594</c:v>
                </c:pt>
                <c:pt idx="35">
                  <c:v>41595</c:v>
                </c:pt>
                <c:pt idx="36">
                  <c:v>41596</c:v>
                </c:pt>
                <c:pt idx="37">
                  <c:v>41597</c:v>
                </c:pt>
                <c:pt idx="38">
                  <c:v>41598</c:v>
                </c:pt>
                <c:pt idx="39">
                  <c:v>41599</c:v>
                </c:pt>
                <c:pt idx="40">
                  <c:v>41600</c:v>
                </c:pt>
                <c:pt idx="41">
                  <c:v>41601</c:v>
                </c:pt>
                <c:pt idx="42">
                  <c:v>41602</c:v>
                </c:pt>
                <c:pt idx="43">
                  <c:v>41603</c:v>
                </c:pt>
                <c:pt idx="44">
                  <c:v>41604</c:v>
                </c:pt>
                <c:pt idx="45">
                  <c:v>41605</c:v>
                </c:pt>
                <c:pt idx="46">
                  <c:v>41606</c:v>
                </c:pt>
                <c:pt idx="47">
                  <c:v>41607</c:v>
                </c:pt>
                <c:pt idx="48">
                  <c:v>41608</c:v>
                </c:pt>
                <c:pt idx="49">
                  <c:v>41609</c:v>
                </c:pt>
                <c:pt idx="50">
                  <c:v>41610</c:v>
                </c:pt>
                <c:pt idx="51">
                  <c:v>41611</c:v>
                </c:pt>
                <c:pt idx="52">
                  <c:v>41612</c:v>
                </c:pt>
                <c:pt idx="53">
                  <c:v>41613</c:v>
                </c:pt>
                <c:pt idx="54">
                  <c:v>41614</c:v>
                </c:pt>
                <c:pt idx="55">
                  <c:v>41615</c:v>
                </c:pt>
                <c:pt idx="56">
                  <c:v>41616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41622</c:v>
                </c:pt>
                <c:pt idx="63">
                  <c:v>41623</c:v>
                </c:pt>
                <c:pt idx="64">
                  <c:v>41624</c:v>
                </c:pt>
                <c:pt idx="65">
                  <c:v>41625</c:v>
                </c:pt>
                <c:pt idx="66">
                  <c:v>41626</c:v>
                </c:pt>
                <c:pt idx="67">
                  <c:v>41627</c:v>
                </c:pt>
                <c:pt idx="68">
                  <c:v>41628</c:v>
                </c:pt>
                <c:pt idx="69">
                  <c:v>41629</c:v>
                </c:pt>
                <c:pt idx="70">
                  <c:v>41630</c:v>
                </c:pt>
                <c:pt idx="71">
                  <c:v>41631</c:v>
                </c:pt>
                <c:pt idx="72">
                  <c:v>41632</c:v>
                </c:pt>
                <c:pt idx="73">
                  <c:v>41633</c:v>
                </c:pt>
                <c:pt idx="74">
                  <c:v>41634</c:v>
                </c:pt>
                <c:pt idx="75">
                  <c:v>41635</c:v>
                </c:pt>
                <c:pt idx="76">
                  <c:v>41636</c:v>
                </c:pt>
                <c:pt idx="77">
                  <c:v>41637</c:v>
                </c:pt>
                <c:pt idx="78">
                  <c:v>41638</c:v>
                </c:pt>
                <c:pt idx="79">
                  <c:v>41639</c:v>
                </c:pt>
                <c:pt idx="80">
                  <c:v>41640</c:v>
                </c:pt>
                <c:pt idx="81">
                  <c:v>41641</c:v>
                </c:pt>
                <c:pt idx="82">
                  <c:v>41642</c:v>
                </c:pt>
                <c:pt idx="83">
                  <c:v>41643</c:v>
                </c:pt>
                <c:pt idx="84">
                  <c:v>41644</c:v>
                </c:pt>
                <c:pt idx="85">
                  <c:v>41645</c:v>
                </c:pt>
                <c:pt idx="86">
                  <c:v>41646</c:v>
                </c:pt>
                <c:pt idx="87">
                  <c:v>41647</c:v>
                </c:pt>
                <c:pt idx="88">
                  <c:v>41648</c:v>
                </c:pt>
                <c:pt idx="89">
                  <c:v>41649</c:v>
                </c:pt>
                <c:pt idx="90">
                  <c:v>41650</c:v>
                </c:pt>
                <c:pt idx="91">
                  <c:v>41651</c:v>
                </c:pt>
                <c:pt idx="92">
                  <c:v>41652</c:v>
                </c:pt>
                <c:pt idx="93">
                  <c:v>41653</c:v>
                </c:pt>
                <c:pt idx="94">
                  <c:v>41654</c:v>
                </c:pt>
                <c:pt idx="95">
                  <c:v>41655</c:v>
                </c:pt>
                <c:pt idx="96">
                  <c:v>41656</c:v>
                </c:pt>
                <c:pt idx="97">
                  <c:v>41657</c:v>
                </c:pt>
                <c:pt idx="98">
                  <c:v>41658</c:v>
                </c:pt>
                <c:pt idx="99">
                  <c:v>41659</c:v>
                </c:pt>
                <c:pt idx="100">
                  <c:v>41660</c:v>
                </c:pt>
                <c:pt idx="101">
                  <c:v>41661</c:v>
                </c:pt>
                <c:pt idx="102">
                  <c:v>41662</c:v>
                </c:pt>
                <c:pt idx="103">
                  <c:v>41663</c:v>
                </c:pt>
                <c:pt idx="104">
                  <c:v>41664</c:v>
                </c:pt>
                <c:pt idx="105">
                  <c:v>41665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41671</c:v>
                </c:pt>
                <c:pt idx="112">
                  <c:v>41672</c:v>
                </c:pt>
                <c:pt idx="113">
                  <c:v>41673</c:v>
                </c:pt>
                <c:pt idx="114">
                  <c:v>41674</c:v>
                </c:pt>
                <c:pt idx="115">
                  <c:v>41675</c:v>
                </c:pt>
                <c:pt idx="116">
                  <c:v>41676</c:v>
                </c:pt>
                <c:pt idx="117">
                  <c:v>41677</c:v>
                </c:pt>
                <c:pt idx="118">
                  <c:v>41678</c:v>
                </c:pt>
                <c:pt idx="119">
                  <c:v>41679</c:v>
                </c:pt>
                <c:pt idx="120">
                  <c:v>41680</c:v>
                </c:pt>
                <c:pt idx="121">
                  <c:v>41681</c:v>
                </c:pt>
                <c:pt idx="122">
                  <c:v>41682</c:v>
                </c:pt>
                <c:pt idx="123">
                  <c:v>41683</c:v>
                </c:pt>
                <c:pt idx="124">
                  <c:v>41684</c:v>
                </c:pt>
                <c:pt idx="125">
                  <c:v>41685</c:v>
                </c:pt>
                <c:pt idx="126">
                  <c:v>41686</c:v>
                </c:pt>
                <c:pt idx="127">
                  <c:v>41687</c:v>
                </c:pt>
                <c:pt idx="128">
                  <c:v>41688</c:v>
                </c:pt>
                <c:pt idx="129">
                  <c:v>41689</c:v>
                </c:pt>
                <c:pt idx="130">
                  <c:v>41690</c:v>
                </c:pt>
                <c:pt idx="131">
                  <c:v>41691</c:v>
                </c:pt>
              </c:numCache>
            </c:numRef>
          </c:cat>
          <c:val>
            <c:numRef>
              <c:f>'Figs 6 &amp; 7'!$EM$6:$EM$150</c:f>
              <c:numCache>
                <c:formatCode>###0.00;###0.00</c:formatCode>
                <c:ptCount val="145"/>
                <c:pt idx="0">
                  <c:v>127.800000000002</c:v>
                </c:pt>
                <c:pt idx="1">
                  <c:v>3.3345159959313371</c:v>
                </c:pt>
                <c:pt idx="2">
                  <c:v>11.4</c:v>
                </c:pt>
                <c:pt idx="3">
                  <c:v>24.049999999999976</c:v>
                </c:pt>
                <c:pt idx="4">
                  <c:v>25.749999999999925</c:v>
                </c:pt>
                <c:pt idx="5">
                  <c:v>2</c:v>
                </c:pt>
                <c:pt idx="6">
                  <c:v>10.466666666666667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2.0666666666666664</c:v>
                </c:pt>
                <c:pt idx="17">
                  <c:v>0.1</c:v>
                </c:pt>
                <c:pt idx="18">
                  <c:v>2.1</c:v>
                </c:pt>
                <c:pt idx="19">
                  <c:v>0.4</c:v>
                </c:pt>
                <c:pt idx="20">
                  <c:v>22.5</c:v>
                </c:pt>
                <c:pt idx="21">
                  <c:v>4.75</c:v>
                </c:pt>
                <c:pt idx="22">
                  <c:v>0.3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 formatCode="General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0.05</c:v>
                </c:pt>
                <c:pt idx="33">
                  <c:v>63.600000000000051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0.55000000000000004</c:v>
                </c:pt>
                <c:pt idx="47">
                  <c:v>2.4500000000000002</c:v>
                </c:pt>
                <c:pt idx="48">
                  <c:v>15.1</c:v>
                </c:pt>
                <c:pt idx="49">
                  <c:v>1.9500000000000002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1.6500000000000001</c:v>
                </c:pt>
                <c:pt idx="55">
                  <c:v>0.1</c:v>
                </c:pt>
                <c:pt idx="56">
                  <c:v>0.95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F1-4847-A4CF-B1D136DA1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5657680"/>
        <c:axId val="-2025660576"/>
      </c:barChart>
      <c:dateAx>
        <c:axId val="-2025673264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25663680"/>
        <c:crosses val="autoZero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25663680"/>
        <c:scaling>
          <c:orientation val="minMax"/>
          <c:max val="5.25"/>
          <c:min val="-2.5"/>
        </c:scaling>
        <c:delete val="0"/>
        <c:axPos val="r"/>
        <c:numFmt formatCode="General" sourceLinked="0"/>
        <c:majorTickMark val="in"/>
        <c:minorTickMark val="none"/>
        <c:tickLblPos val="high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5673264"/>
        <c:crosses val="max"/>
        <c:crossBetween val="between"/>
        <c:majorUnit val="1.25"/>
      </c:valAx>
      <c:valAx>
        <c:axId val="-2025660576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out"/>
        <c:minorTickMark val="none"/>
        <c:tickLblPos val="high"/>
        <c:spPr>
          <a:ln w="19050">
            <a:solidFill>
              <a:srgbClr val="FF0000"/>
            </a:solidFill>
          </a:ln>
        </c:spPr>
        <c:txPr>
          <a:bodyPr/>
          <a:lstStyle/>
          <a:p>
            <a:pPr>
              <a:defRPr sz="1200" b="1">
                <a:solidFill>
                  <a:srgbClr val="FF0000"/>
                </a:solidFill>
              </a:defRPr>
            </a:pPr>
            <a:endParaRPr lang="en-US"/>
          </a:p>
        </c:txPr>
        <c:crossAx val="-2025657680"/>
        <c:crosses val="max"/>
        <c:crossBetween val="between"/>
        <c:majorUnit val="50"/>
      </c:valAx>
      <c:dateAx>
        <c:axId val="-2025657680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5660576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031196581196598E-2"/>
          <c:y val="4.1182992883824002E-2"/>
          <c:w val="0.87293247863247903"/>
          <c:h val="0.77854029960998705"/>
        </c:manualLayout>
      </c:layout>
      <c:areaChart>
        <c:grouping val="standard"/>
        <c:varyColors val="0"/>
        <c:ser>
          <c:idx val="1"/>
          <c:order val="1"/>
          <c:spPr>
            <a:solidFill>
              <a:schemeClr val="bg1">
                <a:lumMod val="75000"/>
              </a:schemeClr>
            </a:solidFill>
            <a:ln w="25400">
              <a:noFill/>
            </a:ln>
          </c:spPr>
          <c:cat>
            <c:numRef>
              <c:f>'Figs 6 &amp; 7'!$EN$6:$EN$137</c:f>
              <c:numCache>
                <c:formatCode>m/d/yy</c:formatCode>
                <c:ptCount val="132"/>
                <c:pt idx="0">
                  <c:v>41560</c:v>
                </c:pt>
                <c:pt idx="1">
                  <c:v>41561</c:v>
                </c:pt>
                <c:pt idx="2">
                  <c:v>41562</c:v>
                </c:pt>
                <c:pt idx="3">
                  <c:v>41563</c:v>
                </c:pt>
                <c:pt idx="4">
                  <c:v>41564</c:v>
                </c:pt>
                <c:pt idx="5">
                  <c:v>41565</c:v>
                </c:pt>
                <c:pt idx="6">
                  <c:v>41566</c:v>
                </c:pt>
                <c:pt idx="7">
                  <c:v>41567</c:v>
                </c:pt>
                <c:pt idx="8">
                  <c:v>41568</c:v>
                </c:pt>
                <c:pt idx="9">
                  <c:v>41569</c:v>
                </c:pt>
                <c:pt idx="10">
                  <c:v>41570</c:v>
                </c:pt>
                <c:pt idx="11">
                  <c:v>41571</c:v>
                </c:pt>
                <c:pt idx="12">
                  <c:v>41572</c:v>
                </c:pt>
                <c:pt idx="13">
                  <c:v>41573</c:v>
                </c:pt>
                <c:pt idx="14">
                  <c:v>41574</c:v>
                </c:pt>
                <c:pt idx="15">
                  <c:v>41575</c:v>
                </c:pt>
                <c:pt idx="16">
                  <c:v>41576</c:v>
                </c:pt>
                <c:pt idx="17">
                  <c:v>41577</c:v>
                </c:pt>
                <c:pt idx="18">
                  <c:v>41578</c:v>
                </c:pt>
                <c:pt idx="19">
                  <c:v>41579</c:v>
                </c:pt>
                <c:pt idx="20">
                  <c:v>41580</c:v>
                </c:pt>
                <c:pt idx="21">
                  <c:v>41581</c:v>
                </c:pt>
                <c:pt idx="22">
                  <c:v>41582</c:v>
                </c:pt>
                <c:pt idx="23">
                  <c:v>41583</c:v>
                </c:pt>
                <c:pt idx="24">
                  <c:v>41584</c:v>
                </c:pt>
                <c:pt idx="25">
                  <c:v>41585</c:v>
                </c:pt>
                <c:pt idx="26">
                  <c:v>41586</c:v>
                </c:pt>
                <c:pt idx="27">
                  <c:v>41587</c:v>
                </c:pt>
                <c:pt idx="28">
                  <c:v>41588</c:v>
                </c:pt>
                <c:pt idx="29">
                  <c:v>41589</c:v>
                </c:pt>
                <c:pt idx="30">
                  <c:v>41590</c:v>
                </c:pt>
                <c:pt idx="31">
                  <c:v>41591</c:v>
                </c:pt>
                <c:pt idx="32">
                  <c:v>41592</c:v>
                </c:pt>
                <c:pt idx="33">
                  <c:v>41593</c:v>
                </c:pt>
                <c:pt idx="34">
                  <c:v>41594</c:v>
                </c:pt>
                <c:pt idx="35">
                  <c:v>41595</c:v>
                </c:pt>
                <c:pt idx="36">
                  <c:v>41596</c:v>
                </c:pt>
                <c:pt idx="37">
                  <c:v>41597</c:v>
                </c:pt>
                <c:pt idx="38">
                  <c:v>41598</c:v>
                </c:pt>
                <c:pt idx="39">
                  <c:v>41599</c:v>
                </c:pt>
                <c:pt idx="40">
                  <c:v>41600</c:v>
                </c:pt>
                <c:pt idx="41">
                  <c:v>41601</c:v>
                </c:pt>
                <c:pt idx="42">
                  <c:v>41602</c:v>
                </c:pt>
                <c:pt idx="43">
                  <c:v>41603</c:v>
                </c:pt>
                <c:pt idx="44">
                  <c:v>41604</c:v>
                </c:pt>
                <c:pt idx="45">
                  <c:v>41605</c:v>
                </c:pt>
                <c:pt idx="46">
                  <c:v>41606</c:v>
                </c:pt>
                <c:pt idx="47">
                  <c:v>41607</c:v>
                </c:pt>
                <c:pt idx="48">
                  <c:v>41608</c:v>
                </c:pt>
                <c:pt idx="49">
                  <c:v>41609</c:v>
                </c:pt>
                <c:pt idx="50">
                  <c:v>41610</c:v>
                </c:pt>
                <c:pt idx="51">
                  <c:v>41611</c:v>
                </c:pt>
                <c:pt idx="52">
                  <c:v>41612</c:v>
                </c:pt>
                <c:pt idx="53">
                  <c:v>41613</c:v>
                </c:pt>
                <c:pt idx="54">
                  <c:v>41614</c:v>
                </c:pt>
                <c:pt idx="55">
                  <c:v>41615</c:v>
                </c:pt>
                <c:pt idx="56">
                  <c:v>41616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41622</c:v>
                </c:pt>
                <c:pt idx="63">
                  <c:v>41623</c:v>
                </c:pt>
                <c:pt idx="64">
                  <c:v>41624</c:v>
                </c:pt>
                <c:pt idx="65">
                  <c:v>41625</c:v>
                </c:pt>
                <c:pt idx="66">
                  <c:v>41626</c:v>
                </c:pt>
                <c:pt idx="67">
                  <c:v>41627</c:v>
                </c:pt>
                <c:pt idx="68">
                  <c:v>41628</c:v>
                </c:pt>
                <c:pt idx="69">
                  <c:v>41629</c:v>
                </c:pt>
                <c:pt idx="70">
                  <c:v>41630</c:v>
                </c:pt>
                <c:pt idx="71">
                  <c:v>41631</c:v>
                </c:pt>
                <c:pt idx="72">
                  <c:v>41632</c:v>
                </c:pt>
                <c:pt idx="73">
                  <c:v>41633</c:v>
                </c:pt>
                <c:pt idx="74">
                  <c:v>41634</c:v>
                </c:pt>
                <c:pt idx="75">
                  <c:v>41635</c:v>
                </c:pt>
                <c:pt idx="76">
                  <c:v>41636</c:v>
                </c:pt>
                <c:pt idx="77">
                  <c:v>41637</c:v>
                </c:pt>
                <c:pt idx="78">
                  <c:v>41638</c:v>
                </c:pt>
                <c:pt idx="79">
                  <c:v>41639</c:v>
                </c:pt>
                <c:pt idx="80">
                  <c:v>41640</c:v>
                </c:pt>
                <c:pt idx="81">
                  <c:v>41641</c:v>
                </c:pt>
                <c:pt idx="82">
                  <c:v>41642</c:v>
                </c:pt>
                <c:pt idx="83">
                  <c:v>41643</c:v>
                </c:pt>
                <c:pt idx="84">
                  <c:v>41644</c:v>
                </c:pt>
                <c:pt idx="85">
                  <c:v>41645</c:v>
                </c:pt>
                <c:pt idx="86">
                  <c:v>41646</c:v>
                </c:pt>
                <c:pt idx="87">
                  <c:v>41647</c:v>
                </c:pt>
                <c:pt idx="88">
                  <c:v>41648</c:v>
                </c:pt>
                <c:pt idx="89">
                  <c:v>41649</c:v>
                </c:pt>
                <c:pt idx="90">
                  <c:v>41650</c:v>
                </c:pt>
                <c:pt idx="91">
                  <c:v>41651</c:v>
                </c:pt>
                <c:pt idx="92">
                  <c:v>41652</c:v>
                </c:pt>
                <c:pt idx="93">
                  <c:v>41653</c:v>
                </c:pt>
                <c:pt idx="94">
                  <c:v>41654</c:v>
                </c:pt>
                <c:pt idx="95">
                  <c:v>41655</c:v>
                </c:pt>
                <c:pt idx="96">
                  <c:v>41656</c:v>
                </c:pt>
                <c:pt idx="97">
                  <c:v>41657</c:v>
                </c:pt>
                <c:pt idx="98">
                  <c:v>41658</c:v>
                </c:pt>
                <c:pt idx="99">
                  <c:v>41659</c:v>
                </c:pt>
                <c:pt idx="100">
                  <c:v>41660</c:v>
                </c:pt>
                <c:pt idx="101">
                  <c:v>41661</c:v>
                </c:pt>
                <c:pt idx="102">
                  <c:v>41662</c:v>
                </c:pt>
                <c:pt idx="103">
                  <c:v>41663</c:v>
                </c:pt>
                <c:pt idx="104">
                  <c:v>41664</c:v>
                </c:pt>
                <c:pt idx="105">
                  <c:v>41665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41671</c:v>
                </c:pt>
                <c:pt idx="112">
                  <c:v>41672</c:v>
                </c:pt>
                <c:pt idx="113">
                  <c:v>41673</c:v>
                </c:pt>
                <c:pt idx="114">
                  <c:v>41674</c:v>
                </c:pt>
                <c:pt idx="115">
                  <c:v>41675</c:v>
                </c:pt>
                <c:pt idx="116">
                  <c:v>41676</c:v>
                </c:pt>
                <c:pt idx="117">
                  <c:v>41677</c:v>
                </c:pt>
                <c:pt idx="118">
                  <c:v>41678</c:v>
                </c:pt>
                <c:pt idx="119">
                  <c:v>41679</c:v>
                </c:pt>
                <c:pt idx="120">
                  <c:v>41680</c:v>
                </c:pt>
                <c:pt idx="121">
                  <c:v>41681</c:v>
                </c:pt>
                <c:pt idx="122">
                  <c:v>41682</c:v>
                </c:pt>
                <c:pt idx="123">
                  <c:v>41683</c:v>
                </c:pt>
                <c:pt idx="124">
                  <c:v>41684</c:v>
                </c:pt>
                <c:pt idx="125">
                  <c:v>41685</c:v>
                </c:pt>
                <c:pt idx="126">
                  <c:v>41686</c:v>
                </c:pt>
                <c:pt idx="127">
                  <c:v>41687</c:v>
                </c:pt>
                <c:pt idx="128">
                  <c:v>41688</c:v>
                </c:pt>
                <c:pt idx="129">
                  <c:v>41689</c:v>
                </c:pt>
                <c:pt idx="130">
                  <c:v>41690</c:v>
                </c:pt>
                <c:pt idx="131">
                  <c:v>41691</c:v>
                </c:pt>
              </c:numCache>
            </c:numRef>
          </c:cat>
          <c:val>
            <c:numRef>
              <c:f>'Figs 6 &amp; 7'!$EQ$6:$EQ$149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3.402581022440164</c:v>
                </c:pt>
                <c:pt idx="3" formatCode="0.000">
                  <c:v>3.5956143565567311</c:v>
                </c:pt>
                <c:pt idx="4">
                  <c:v>3.7167159959313372</c:v>
                </c:pt>
                <c:pt idx="5">
                  <c:v>3.9735063881024368</c:v>
                </c:pt>
                <c:pt idx="6">
                  <c:v>4.0705503382091868</c:v>
                </c:pt>
                <c:pt idx="7">
                  <c:v>4.0373947052086629</c:v>
                </c:pt>
                <c:pt idx="8">
                  <c:v>3.9870924557679617</c:v>
                </c:pt>
                <c:pt idx="9" formatCode="0.000">
                  <c:v>3.9363337677375876</c:v>
                </c:pt>
                <c:pt idx="10" formatCode="0.000">
                  <c:v>3.8828229280280384</c:v>
                </c:pt>
                <c:pt idx="11" formatCode="0.000">
                  <c:v>3.8284341775812392</c:v>
                </c:pt>
                <c:pt idx="12" formatCode="0.000">
                  <c:v>3.7887409376518049</c:v>
                </c:pt>
                <c:pt idx="13" formatCode="0.000">
                  <c:v>3.7360098576753265</c:v>
                </c:pt>
                <c:pt idx="14" formatCode="0.000">
                  <c:v>3.6890624191981507</c:v>
                </c:pt>
                <c:pt idx="15" formatCode="0.000">
                  <c:v>3.661432976246588</c:v>
                </c:pt>
                <c:pt idx="16" formatCode="0.000">
                  <c:v>3.616246677812625</c:v>
                </c:pt>
                <c:pt idx="17" formatCode="0.000">
                  <c:v>3.5651524038752909</c:v>
                </c:pt>
                <c:pt idx="18">
                  <c:v>3.5144710094669973</c:v>
                </c:pt>
                <c:pt idx="19">
                  <c:v>3.4816802121516313</c:v>
                </c:pt>
                <c:pt idx="20">
                  <c:v>3.4474771477230091</c:v>
                </c:pt>
                <c:pt idx="21">
                  <c:v>3.4445194843017637</c:v>
                </c:pt>
                <c:pt idx="22">
                  <c:v>3.42052888955853</c:v>
                </c:pt>
                <c:pt idx="23">
                  <c:v>3.3864530186407693</c:v>
                </c:pt>
                <c:pt idx="24">
                  <c:v>3.3481487199818067</c:v>
                </c:pt>
                <c:pt idx="25" formatCode="0.000">
                  <c:v>3.3074953411213714</c:v>
                </c:pt>
                <c:pt idx="26" formatCode="0.000">
                  <c:v>3.2686184455944813</c:v>
                </c:pt>
                <c:pt idx="27" formatCode="0.000">
                  <c:v>3.2278004524185606</c:v>
                </c:pt>
                <c:pt idx="28" formatCode="0.000">
                  <c:v>3.1861161938040867</c:v>
                </c:pt>
                <c:pt idx="29" formatCode="0.000">
                  <c:v>3.1516955413438135</c:v>
                </c:pt>
                <c:pt idx="30" formatCode="0.000">
                  <c:v>3.1205748912332298</c:v>
                </c:pt>
                <c:pt idx="31">
                  <c:v>3.0834939113679729</c:v>
                </c:pt>
                <c:pt idx="32" formatCode="0.000">
                  <c:v>3.0417266236699829</c:v>
                </c:pt>
                <c:pt idx="33">
                  <c:v>3.0008783584564283</c:v>
                </c:pt>
                <c:pt idx="34">
                  <c:v>3.7856730516361816</c:v>
                </c:pt>
                <c:pt idx="35">
                  <c:v>3.7786814440322791</c:v>
                </c:pt>
                <c:pt idx="36" formatCode="0.000">
                  <c:v>3.7410401297129612</c:v>
                </c:pt>
                <c:pt idx="37" formatCode="0.000">
                  <c:v>3.7009155743392244</c:v>
                </c:pt>
                <c:pt idx="38" formatCode="0.000">
                  <c:v>3.660127233736076</c:v>
                </c:pt>
                <c:pt idx="39" formatCode="0.000">
                  <c:v>3.6221720246773588</c:v>
                </c:pt>
                <c:pt idx="40" formatCode="0.000">
                  <c:v>3.5806231540970943</c:v>
                </c:pt>
                <c:pt idx="41" formatCode="0.000">
                  <c:v>3.5398139537621534</c:v>
                </c:pt>
                <c:pt idx="42" formatCode="0.000">
                  <c:v>3.5004722295991852</c:v>
                </c:pt>
                <c:pt idx="43" formatCode="0.000">
                  <c:v>3.4643587306052828</c:v>
                </c:pt>
                <c:pt idx="44" formatCode="0.000">
                  <c:v>3.4180634391078977</c:v>
                </c:pt>
                <c:pt idx="45" formatCode="0.000">
                  <c:v>3.3739726488416055</c:v>
                </c:pt>
                <c:pt idx="46" formatCode="0.000">
                  <c:v>3.339745248059228</c:v>
                </c:pt>
                <c:pt idx="47" formatCode="0.000">
                  <c:v>3.3122742858665228</c:v>
                </c:pt>
                <c:pt idx="48">
                  <c:v>3.2755507692000672</c:v>
                </c:pt>
                <c:pt idx="49">
                  <c:v>3.2615924910133449</c:v>
                </c:pt>
                <c:pt idx="50">
                  <c:v>3.2337663033140762</c:v>
                </c:pt>
                <c:pt idx="51">
                  <c:v>3.2027693677426976</c:v>
                </c:pt>
                <c:pt idx="52" formatCode="0.000">
                  <c:v>3.1658550443621065</c:v>
                </c:pt>
                <c:pt idx="53" formatCode="0.000">
                  <c:v>3.1260257992832949</c:v>
                </c:pt>
                <c:pt idx="54" formatCode="0.000">
                  <c:v>3.0964350043176188</c:v>
                </c:pt>
                <c:pt idx="55" formatCode="0.000">
                  <c:v>3.0696703853027509</c:v>
                </c:pt>
                <c:pt idx="56">
                  <c:v>3.0310358193055391</c:v>
                </c:pt>
                <c:pt idx="57">
                  <c:v>2.9960996280318719</c:v>
                </c:pt>
                <c:pt idx="58">
                  <c:v>2.9535202734430692</c:v>
                </c:pt>
                <c:pt idx="59" formatCode="0.000">
                  <c:v>2.9459572820543505</c:v>
                </c:pt>
                <c:pt idx="60" formatCode="0.000">
                  <c:v>2.9589521919043884</c:v>
                </c:pt>
                <c:pt idx="61" formatCode="0.000">
                  <c:v>2.9403162032028556</c:v>
                </c:pt>
                <c:pt idx="62">
                  <c:v>2.9093452457095355</c:v>
                </c:pt>
                <c:pt idx="63" formatCode="0.000">
                  <c:v>2.8816566978348677</c:v>
                </c:pt>
                <c:pt idx="64" formatCode="0.000">
                  <c:v>2.8446575104730956</c:v>
                </c:pt>
                <c:pt idx="65" formatCode="0.000">
                  <c:v>2.8065082253497939</c:v>
                </c:pt>
                <c:pt idx="66" formatCode="0.000">
                  <c:v>2.7656875728895214</c:v>
                </c:pt>
                <c:pt idx="67" formatCode="0.000">
                  <c:v>2.7222288895585303</c:v>
                </c:pt>
                <c:pt idx="68" formatCode="0.000">
                  <c:v>2.677693310700648</c:v>
                </c:pt>
                <c:pt idx="69" formatCode="0.000">
                  <c:v>2.6445738854216385</c:v>
                </c:pt>
                <c:pt idx="70" formatCode="0.000">
                  <c:v>2.6126156048852236</c:v>
                </c:pt>
                <c:pt idx="71" formatCode="0.000">
                  <c:v>2.5780434202106379</c:v>
                </c:pt>
                <c:pt idx="72" formatCode="0.000">
                  <c:v>2.5453010906809608</c:v>
                </c:pt>
                <c:pt idx="73" formatCode="0.000">
                  <c:v>2.5081965847504817</c:v>
                </c:pt>
                <c:pt idx="74" formatCode="0.000">
                  <c:v>2.4690867673003689</c:v>
                </c:pt>
                <c:pt idx="75" formatCode="0.000">
                  <c:v>2.4298540455995914</c:v>
                </c:pt>
                <c:pt idx="76" formatCode="0.000">
                  <c:v>2.3931609988435225</c:v>
                </c:pt>
                <c:pt idx="77" formatCode="0.000">
                  <c:v>2.3502505713273179</c:v>
                </c:pt>
                <c:pt idx="78" formatCode="0.000">
                  <c:v>2.3023331858677993</c:v>
                </c:pt>
                <c:pt idx="79" formatCode="0.000">
                  <c:v>2.2695798117067456</c:v>
                </c:pt>
                <c:pt idx="80">
                  <c:v>2.2397538406777668</c:v>
                </c:pt>
                <c:pt idx="81" formatCode="0.000">
                  <c:v>2.2115980098044945</c:v>
                </c:pt>
                <c:pt idx="82" formatCode="0.000">
                  <c:v>2.1831853257985108</c:v>
                </c:pt>
                <c:pt idx="83" formatCode="0.000">
                  <c:v>2.1525399177420583</c:v>
                </c:pt>
                <c:pt idx="84" formatCode="0.000">
                  <c:v>2.1216223344097918</c:v>
                </c:pt>
                <c:pt idx="85" formatCode="0.000">
                  <c:v>2.0977466778126255</c:v>
                </c:pt>
                <c:pt idx="86" formatCode="0.000">
                  <c:v>2.0814663127128457</c:v>
                </c:pt>
                <c:pt idx="87" formatCode="0.000">
                  <c:v>2.055550566627935</c:v>
                </c:pt>
                <c:pt idx="88" formatCode="0.000">
                  <c:v>2.0289470923556623</c:v>
                </c:pt>
                <c:pt idx="89" formatCode="0.000">
                  <c:v>2.0001311436986162</c:v>
                </c:pt>
                <c:pt idx="90" formatCode="0.000">
                  <c:v>1.9718288942579132</c:v>
                </c:pt>
                <c:pt idx="91" formatCode="0.000">
                  <c:v>1.94464341316156</c:v>
                </c:pt>
                <c:pt idx="92" formatCode="0.000">
                  <c:v>1.9197092617073845</c:v>
                </c:pt>
                <c:pt idx="93" formatCode="0.000">
                  <c:v>1.8912460747956057</c:v>
                </c:pt>
                <c:pt idx="94" formatCode="0.000">
                  <c:v>1.8654438253549059</c:v>
                </c:pt>
                <c:pt idx="95" formatCode="0.000">
                  <c:v>1.8430272572329993</c:v>
                </c:pt>
                <c:pt idx="96" formatCode="0.000">
                  <c:v>1.8197387187570999</c:v>
                </c:pt>
                <c:pt idx="97" formatCode="0.000">
                  <c:v>1.7965307456034256</c:v>
                </c:pt>
                <c:pt idx="98" formatCode="0.000">
                  <c:v>1.7742712355360541</c:v>
                </c:pt>
                <c:pt idx="99" formatCode="0.000">
                  <c:v>1.7503448476143439</c:v>
                </c:pt>
                <c:pt idx="100" formatCode="0.000">
                  <c:v>1.7278583466082462</c:v>
                </c:pt>
                <c:pt idx="101" formatCode="0.000">
                  <c:v>1.7063139702099981</c:v>
                </c:pt>
                <c:pt idx="102" formatCode="0.000">
                  <c:v>1.6838859452633741</c:v>
                </c:pt>
                <c:pt idx="103" formatCode="0.000">
                  <c:v>1.6634575198718646</c:v>
                </c:pt>
                <c:pt idx="104" formatCode="0.000">
                  <c:v>1.6420783796036555</c:v>
                </c:pt>
                <c:pt idx="105" formatCode="0.000">
                  <c:v>1.6201814463819708</c:v>
                </c:pt>
                <c:pt idx="106" formatCode="0.000">
                  <c:v>1.5991260277020405</c:v>
                </c:pt>
                <c:pt idx="107" formatCode="0.000">
                  <c:v>1.5776430056676023</c:v>
                </c:pt>
                <c:pt idx="108" formatCode="0.000">
                  <c:v>1.5563562973899845</c:v>
                </c:pt>
                <c:pt idx="109" formatCode="0.000">
                  <c:v>1.5351661054413257</c:v>
                </c:pt>
                <c:pt idx="110" formatCode="0.000">
                  <c:v>1.5152657026467513</c:v>
                </c:pt>
                <c:pt idx="111" formatCode="0.000">
                  <c:v>1.4951765329575299</c:v>
                </c:pt>
                <c:pt idx="112" formatCode="0.000">
                  <c:v>1.4721573055512711</c:v>
                </c:pt>
                <c:pt idx="113" formatCode="0.000">
                  <c:v>1.4525552539833169</c:v>
                </c:pt>
                <c:pt idx="114" formatCode="0.000">
                  <c:v>1.4321198800472623</c:v>
                </c:pt>
                <c:pt idx="115" formatCode="0.000">
                  <c:v>1.4101740691962346</c:v>
                </c:pt>
                <c:pt idx="116" formatCode="0.000">
                  <c:v>1.3890292876537189</c:v>
                </c:pt>
                <c:pt idx="117" formatCode="0.000">
                  <c:v>1.3675225346322315</c:v>
                </c:pt>
                <c:pt idx="118" formatCode="0.000">
                  <c:v>1.3459656861989058</c:v>
                </c:pt>
                <c:pt idx="119" formatCode="0.000">
                  <c:v>1.3257501426861293</c:v>
                </c:pt>
                <c:pt idx="120" formatCode="0.000">
                  <c:v>1.3051910354133338</c:v>
                </c:pt>
                <c:pt idx="121" formatCode="0.000">
                  <c:v>1.2847067908970122</c:v>
                </c:pt>
                <c:pt idx="122" formatCode="0.000">
                  <c:v>1.2617270452620954</c:v>
                </c:pt>
                <c:pt idx="123" formatCode="0.000">
                  <c:v>1.2418932989521871</c:v>
                </c:pt>
                <c:pt idx="124" formatCode="0.000">
                  <c:v>1.2223783631558125</c:v>
                </c:pt>
                <c:pt idx="125" formatCode="0.000">
                  <c:v>1.2017894124865713</c:v>
                </c:pt>
                <c:pt idx="126" formatCode="0.000">
                  <c:v>1.1800295043240081</c:v>
                </c:pt>
                <c:pt idx="127" formatCode="0.000">
                  <c:v>1.1658444354209991</c:v>
                </c:pt>
                <c:pt idx="128" formatCode="0.000">
                  <c:v>1.1438027112580298</c:v>
                </c:pt>
                <c:pt idx="129" formatCode="0.000">
                  <c:v>1.1231266448172126</c:v>
                </c:pt>
                <c:pt idx="130" formatCode="0.000">
                  <c:v>1.1026425958239483</c:v>
                </c:pt>
                <c:pt idx="131" formatCode="0.000">
                  <c:v>1.0823505689776245</c:v>
                </c:pt>
                <c:pt idx="132">
                  <c:v>1.0625391168522911</c:v>
                </c:pt>
                <c:pt idx="133">
                  <c:v>1.0506423909021234</c:v>
                </c:pt>
                <c:pt idx="134">
                  <c:v>1.026062638218129</c:v>
                </c:pt>
                <c:pt idx="135">
                  <c:v>1.0033861525348908</c:v>
                </c:pt>
                <c:pt idx="136">
                  <c:v>0.98222602770204104</c:v>
                </c:pt>
                <c:pt idx="137">
                  <c:v>0.95960209649255346</c:v>
                </c:pt>
                <c:pt idx="138">
                  <c:v>1.0025532235625954</c:v>
                </c:pt>
                <c:pt idx="139">
                  <c:v>0.9875569004070025</c:v>
                </c:pt>
                <c:pt idx="140">
                  <c:v>0.96815792501613152</c:v>
                </c:pt>
                <c:pt idx="141">
                  <c:v>0.98956345085635766</c:v>
                </c:pt>
                <c:pt idx="142">
                  <c:v>0.8906824686414071</c:v>
                </c:pt>
                <c:pt idx="143">
                  <c:v>0.62770087166098121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D-7D4A-B1BB-6B18C9556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731184"/>
        <c:axId val="-2025727872"/>
      </c:areaChar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'Figs 6 &amp; 7'!$DE$8:$DE$150</c:f>
              <c:numCache>
                <c:formatCode>m/d/yy</c:formatCode>
                <c:ptCount val="143"/>
                <c:pt idx="0">
                  <c:v>41562</c:v>
                </c:pt>
                <c:pt idx="1">
                  <c:v>41563</c:v>
                </c:pt>
                <c:pt idx="2">
                  <c:v>41564</c:v>
                </c:pt>
                <c:pt idx="3">
                  <c:v>41565</c:v>
                </c:pt>
                <c:pt idx="4">
                  <c:v>41566</c:v>
                </c:pt>
                <c:pt idx="5">
                  <c:v>41567</c:v>
                </c:pt>
                <c:pt idx="6">
                  <c:v>41568</c:v>
                </c:pt>
                <c:pt idx="7">
                  <c:v>41569</c:v>
                </c:pt>
                <c:pt idx="8">
                  <c:v>41570</c:v>
                </c:pt>
                <c:pt idx="9">
                  <c:v>41571</c:v>
                </c:pt>
                <c:pt idx="10">
                  <c:v>41572</c:v>
                </c:pt>
                <c:pt idx="11">
                  <c:v>41573</c:v>
                </c:pt>
                <c:pt idx="12">
                  <c:v>41574</c:v>
                </c:pt>
                <c:pt idx="13">
                  <c:v>41575</c:v>
                </c:pt>
                <c:pt idx="14">
                  <c:v>41576</c:v>
                </c:pt>
                <c:pt idx="15">
                  <c:v>41577</c:v>
                </c:pt>
                <c:pt idx="16">
                  <c:v>41578</c:v>
                </c:pt>
                <c:pt idx="17">
                  <c:v>41579</c:v>
                </c:pt>
                <c:pt idx="18">
                  <c:v>41580</c:v>
                </c:pt>
                <c:pt idx="19">
                  <c:v>41581</c:v>
                </c:pt>
                <c:pt idx="20">
                  <c:v>41582</c:v>
                </c:pt>
                <c:pt idx="21">
                  <c:v>41583</c:v>
                </c:pt>
                <c:pt idx="22">
                  <c:v>41584</c:v>
                </c:pt>
                <c:pt idx="23">
                  <c:v>41585</c:v>
                </c:pt>
                <c:pt idx="24">
                  <c:v>41586</c:v>
                </c:pt>
                <c:pt idx="25">
                  <c:v>41587</c:v>
                </c:pt>
                <c:pt idx="26">
                  <c:v>41588</c:v>
                </c:pt>
                <c:pt idx="27">
                  <c:v>41589</c:v>
                </c:pt>
                <c:pt idx="28">
                  <c:v>41590</c:v>
                </c:pt>
                <c:pt idx="29">
                  <c:v>41591</c:v>
                </c:pt>
                <c:pt idx="30">
                  <c:v>41592</c:v>
                </c:pt>
                <c:pt idx="31">
                  <c:v>41593</c:v>
                </c:pt>
                <c:pt idx="32">
                  <c:v>41594</c:v>
                </c:pt>
                <c:pt idx="33">
                  <c:v>41595</c:v>
                </c:pt>
                <c:pt idx="34">
                  <c:v>41596</c:v>
                </c:pt>
                <c:pt idx="35">
                  <c:v>41597</c:v>
                </c:pt>
                <c:pt idx="36">
                  <c:v>41598</c:v>
                </c:pt>
                <c:pt idx="37">
                  <c:v>41599</c:v>
                </c:pt>
                <c:pt idx="38">
                  <c:v>41600</c:v>
                </c:pt>
                <c:pt idx="39">
                  <c:v>41601</c:v>
                </c:pt>
                <c:pt idx="40">
                  <c:v>41602</c:v>
                </c:pt>
                <c:pt idx="41">
                  <c:v>41603</c:v>
                </c:pt>
                <c:pt idx="42">
                  <c:v>41604</c:v>
                </c:pt>
                <c:pt idx="43">
                  <c:v>41605</c:v>
                </c:pt>
                <c:pt idx="44">
                  <c:v>41606</c:v>
                </c:pt>
                <c:pt idx="45">
                  <c:v>41607</c:v>
                </c:pt>
                <c:pt idx="46">
                  <c:v>41608</c:v>
                </c:pt>
                <c:pt idx="47">
                  <c:v>41609</c:v>
                </c:pt>
                <c:pt idx="48">
                  <c:v>41610</c:v>
                </c:pt>
                <c:pt idx="49">
                  <c:v>41611</c:v>
                </c:pt>
                <c:pt idx="50">
                  <c:v>41612</c:v>
                </c:pt>
                <c:pt idx="51">
                  <c:v>41613</c:v>
                </c:pt>
                <c:pt idx="52">
                  <c:v>41614</c:v>
                </c:pt>
                <c:pt idx="53">
                  <c:v>41615</c:v>
                </c:pt>
                <c:pt idx="54">
                  <c:v>41616</c:v>
                </c:pt>
                <c:pt idx="55">
                  <c:v>41617</c:v>
                </c:pt>
                <c:pt idx="56">
                  <c:v>41618</c:v>
                </c:pt>
                <c:pt idx="57">
                  <c:v>41619</c:v>
                </c:pt>
                <c:pt idx="58">
                  <c:v>41620</c:v>
                </c:pt>
                <c:pt idx="59">
                  <c:v>41621</c:v>
                </c:pt>
                <c:pt idx="60">
                  <c:v>41622</c:v>
                </c:pt>
                <c:pt idx="61">
                  <c:v>41623</c:v>
                </c:pt>
                <c:pt idx="62">
                  <c:v>41624</c:v>
                </c:pt>
                <c:pt idx="63">
                  <c:v>41625</c:v>
                </c:pt>
                <c:pt idx="64">
                  <c:v>41626</c:v>
                </c:pt>
                <c:pt idx="65">
                  <c:v>41627</c:v>
                </c:pt>
                <c:pt idx="66">
                  <c:v>41628</c:v>
                </c:pt>
                <c:pt idx="67">
                  <c:v>41629</c:v>
                </c:pt>
                <c:pt idx="68">
                  <c:v>41630</c:v>
                </c:pt>
                <c:pt idx="69">
                  <c:v>41631</c:v>
                </c:pt>
                <c:pt idx="70">
                  <c:v>41632</c:v>
                </c:pt>
                <c:pt idx="71">
                  <c:v>41633</c:v>
                </c:pt>
                <c:pt idx="72">
                  <c:v>41634</c:v>
                </c:pt>
                <c:pt idx="73">
                  <c:v>41635</c:v>
                </c:pt>
                <c:pt idx="74">
                  <c:v>41636</c:v>
                </c:pt>
                <c:pt idx="75">
                  <c:v>41637</c:v>
                </c:pt>
                <c:pt idx="76">
                  <c:v>41638</c:v>
                </c:pt>
                <c:pt idx="77">
                  <c:v>41639</c:v>
                </c:pt>
                <c:pt idx="78">
                  <c:v>41640</c:v>
                </c:pt>
                <c:pt idx="79">
                  <c:v>41641</c:v>
                </c:pt>
                <c:pt idx="80">
                  <c:v>41642</c:v>
                </c:pt>
                <c:pt idx="81">
                  <c:v>41643</c:v>
                </c:pt>
                <c:pt idx="82">
                  <c:v>41644</c:v>
                </c:pt>
                <c:pt idx="83">
                  <c:v>41645</c:v>
                </c:pt>
                <c:pt idx="84">
                  <c:v>41646</c:v>
                </c:pt>
                <c:pt idx="85">
                  <c:v>41647</c:v>
                </c:pt>
                <c:pt idx="86">
                  <c:v>41648</c:v>
                </c:pt>
                <c:pt idx="87">
                  <c:v>41649</c:v>
                </c:pt>
                <c:pt idx="88">
                  <c:v>41650</c:v>
                </c:pt>
                <c:pt idx="89">
                  <c:v>41651</c:v>
                </c:pt>
                <c:pt idx="90">
                  <c:v>41652</c:v>
                </c:pt>
                <c:pt idx="91">
                  <c:v>41653</c:v>
                </c:pt>
                <c:pt idx="92">
                  <c:v>41654</c:v>
                </c:pt>
                <c:pt idx="93">
                  <c:v>41655</c:v>
                </c:pt>
                <c:pt idx="94">
                  <c:v>41656</c:v>
                </c:pt>
                <c:pt idx="95">
                  <c:v>41657</c:v>
                </c:pt>
                <c:pt idx="96">
                  <c:v>41658</c:v>
                </c:pt>
                <c:pt idx="97">
                  <c:v>41659</c:v>
                </c:pt>
                <c:pt idx="98">
                  <c:v>41660</c:v>
                </c:pt>
                <c:pt idx="99">
                  <c:v>41661</c:v>
                </c:pt>
                <c:pt idx="100">
                  <c:v>41662</c:v>
                </c:pt>
                <c:pt idx="101">
                  <c:v>41663</c:v>
                </c:pt>
                <c:pt idx="102">
                  <c:v>41664</c:v>
                </c:pt>
                <c:pt idx="103">
                  <c:v>41665</c:v>
                </c:pt>
                <c:pt idx="104">
                  <c:v>41666</c:v>
                </c:pt>
                <c:pt idx="105">
                  <c:v>41667</c:v>
                </c:pt>
                <c:pt idx="106">
                  <c:v>41668</c:v>
                </c:pt>
                <c:pt idx="107">
                  <c:v>41669</c:v>
                </c:pt>
                <c:pt idx="108">
                  <c:v>41670</c:v>
                </c:pt>
                <c:pt idx="109">
                  <c:v>41671</c:v>
                </c:pt>
                <c:pt idx="110">
                  <c:v>41672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41678</c:v>
                </c:pt>
                <c:pt idx="117">
                  <c:v>41679</c:v>
                </c:pt>
                <c:pt idx="118">
                  <c:v>41680</c:v>
                </c:pt>
                <c:pt idx="119">
                  <c:v>41681</c:v>
                </c:pt>
                <c:pt idx="120">
                  <c:v>41682</c:v>
                </c:pt>
                <c:pt idx="121">
                  <c:v>41683</c:v>
                </c:pt>
                <c:pt idx="122">
                  <c:v>41684</c:v>
                </c:pt>
                <c:pt idx="123">
                  <c:v>41685</c:v>
                </c:pt>
                <c:pt idx="124">
                  <c:v>41686</c:v>
                </c:pt>
                <c:pt idx="125">
                  <c:v>41687</c:v>
                </c:pt>
                <c:pt idx="126">
                  <c:v>41688</c:v>
                </c:pt>
                <c:pt idx="127">
                  <c:v>41689</c:v>
                </c:pt>
                <c:pt idx="128">
                  <c:v>41690</c:v>
                </c:pt>
                <c:pt idx="129">
                  <c:v>41691</c:v>
                </c:pt>
              </c:numCache>
            </c:numRef>
          </c:cat>
          <c:val>
            <c:numRef>
              <c:f>'Figs 6 &amp; 7'!$EB$8:$EB$150</c:f>
              <c:numCache>
                <c:formatCode>0.000</c:formatCode>
                <c:ptCount val="143"/>
                <c:pt idx="7">
                  <c:v>3.2727602890206309</c:v>
                </c:pt>
                <c:pt idx="8">
                  <c:v>3.3176623044260181</c:v>
                </c:pt>
                <c:pt idx="9">
                  <c:v>3.5923110136285521</c:v>
                </c:pt>
                <c:pt idx="10">
                  <c:v>4.3428434144931023</c:v>
                </c:pt>
                <c:pt idx="11">
                  <c:v>2.7474285785189858</c:v>
                </c:pt>
                <c:pt idx="12">
                  <c:v>3.9255544551259103</c:v>
                </c:pt>
                <c:pt idx="13">
                  <c:v>3.4074644537712255</c:v>
                </c:pt>
                <c:pt idx="14">
                  <c:v>1.0890368485660638</c:v>
                </c:pt>
                <c:pt idx="15">
                  <c:v>2.4579943980309591</c:v>
                </c:pt>
                <c:pt idx="23">
                  <c:v>2.4099202472238548</c:v>
                </c:pt>
                <c:pt idx="24">
                  <c:v>2.5849687140150812</c:v>
                </c:pt>
                <c:pt idx="25">
                  <c:v>2.357247889535663</c:v>
                </c:pt>
                <c:pt idx="26">
                  <c:v>2.4177093906381546</c:v>
                </c:pt>
                <c:pt idx="27">
                  <c:v>2.4786486742017049</c:v>
                </c:pt>
                <c:pt idx="28">
                  <c:v>1.9248509521759751</c:v>
                </c:pt>
                <c:pt idx="30">
                  <c:v>2.5352211692552666</c:v>
                </c:pt>
                <c:pt idx="34">
                  <c:v>-1.2559589110109535</c:v>
                </c:pt>
                <c:pt idx="35">
                  <c:v>1.6215926195515196</c:v>
                </c:pt>
                <c:pt idx="36">
                  <c:v>2.2671957312482216</c:v>
                </c:pt>
                <c:pt idx="37">
                  <c:v>2.7310272233608659</c:v>
                </c:pt>
                <c:pt idx="38">
                  <c:v>2.4868161403737918</c:v>
                </c:pt>
                <c:pt idx="39">
                  <c:v>2.5163349535879447</c:v>
                </c:pt>
                <c:pt idx="40">
                  <c:v>2.8757220906537446</c:v>
                </c:pt>
                <c:pt idx="41">
                  <c:v>2.4897078554911189</c:v>
                </c:pt>
                <c:pt idx="42">
                  <c:v>1.7566663861910565</c:v>
                </c:pt>
                <c:pt idx="43">
                  <c:v>2.319710623450967</c:v>
                </c:pt>
                <c:pt idx="44">
                  <c:v>2.3794553762568071</c:v>
                </c:pt>
                <c:pt idx="45">
                  <c:v>1.7914244224558209</c:v>
                </c:pt>
                <c:pt idx="50">
                  <c:v>0.53413838918235657</c:v>
                </c:pt>
                <c:pt idx="51">
                  <c:v>1.1272754696107126</c:v>
                </c:pt>
                <c:pt idx="52">
                  <c:v>1.5340212544321057</c:v>
                </c:pt>
                <c:pt idx="53">
                  <c:v>0.580328799386439</c:v>
                </c:pt>
                <c:pt idx="57">
                  <c:v>2.1596694523603741</c:v>
                </c:pt>
                <c:pt idx="61">
                  <c:v>0.77159145993558065</c:v>
                </c:pt>
                <c:pt idx="62">
                  <c:v>1.5112910128221571</c:v>
                </c:pt>
                <c:pt idx="63">
                  <c:v>1.5739227997893952</c:v>
                </c:pt>
                <c:pt idx="64">
                  <c:v>1.6099028971229741</c:v>
                </c:pt>
                <c:pt idx="65">
                  <c:v>1.7906845772023496</c:v>
                </c:pt>
                <c:pt idx="66">
                  <c:v>2.0015187029673589</c:v>
                </c:pt>
                <c:pt idx="67">
                  <c:v>2.9193934360205995</c:v>
                </c:pt>
                <c:pt idx="68">
                  <c:v>1.5777037055302723</c:v>
                </c:pt>
                <c:pt idx="69">
                  <c:v>1.4864436727347068</c:v>
                </c:pt>
                <c:pt idx="70">
                  <c:v>1.4098371767342979</c:v>
                </c:pt>
                <c:pt idx="71">
                  <c:v>1.4931207691465183</c:v>
                </c:pt>
                <c:pt idx="72">
                  <c:v>1.1733069915397629</c:v>
                </c:pt>
                <c:pt idx="73">
                  <c:v>1.3886855674006373</c:v>
                </c:pt>
                <c:pt idx="74">
                  <c:v>2.0090834447837604</c:v>
                </c:pt>
                <c:pt idx="75">
                  <c:v>0.97471852729933239</c:v>
                </c:pt>
                <c:pt idx="76">
                  <c:v>2.0572191929802992</c:v>
                </c:pt>
                <c:pt idx="77">
                  <c:v>2.294508238372603</c:v>
                </c:pt>
                <c:pt idx="79">
                  <c:v>0.8130560206943076</c:v>
                </c:pt>
                <c:pt idx="80">
                  <c:v>0.86026939967923921</c:v>
                </c:pt>
                <c:pt idx="81">
                  <c:v>1.0946237297955292</c:v>
                </c:pt>
                <c:pt idx="82">
                  <c:v>1.3589583779788437</c:v>
                </c:pt>
                <c:pt idx="83">
                  <c:v>1.2228366820038494</c:v>
                </c:pt>
                <c:pt idx="86">
                  <c:v>1.337378577976011</c:v>
                </c:pt>
                <c:pt idx="87">
                  <c:v>1.2449419530532713</c:v>
                </c:pt>
                <c:pt idx="88">
                  <c:v>1.0391201934159273</c:v>
                </c:pt>
                <c:pt idx="89">
                  <c:v>1.0384080211698601</c:v>
                </c:pt>
                <c:pt idx="90">
                  <c:v>0.72196983464759823</c:v>
                </c:pt>
                <c:pt idx="91">
                  <c:v>1.3419423188444295</c:v>
                </c:pt>
                <c:pt idx="92">
                  <c:v>1.3272920470254472</c:v>
                </c:pt>
                <c:pt idx="93">
                  <c:v>1.0102926714582252</c:v>
                </c:pt>
                <c:pt idx="94">
                  <c:v>1.0201309896267592</c:v>
                </c:pt>
                <c:pt idx="95">
                  <c:v>0.74483004024267152</c:v>
                </c:pt>
                <c:pt idx="96">
                  <c:v>0.56576661193491162</c:v>
                </c:pt>
                <c:pt idx="97">
                  <c:v>0.56816344768324645</c:v>
                </c:pt>
                <c:pt idx="98">
                  <c:v>0.59808424612383937</c:v>
                </c:pt>
                <c:pt idx="99">
                  <c:v>0.52868427880805724</c:v>
                </c:pt>
                <c:pt idx="100">
                  <c:v>0.34658347167495518</c:v>
                </c:pt>
                <c:pt idx="101">
                  <c:v>0.34718426852914019</c:v>
                </c:pt>
                <c:pt idx="102">
                  <c:v>-0.47807999999999984</c:v>
                </c:pt>
                <c:pt idx="103">
                  <c:v>-0.15983999999999998</c:v>
                </c:pt>
                <c:pt idx="104">
                  <c:v>-0.4104000000000001</c:v>
                </c:pt>
                <c:pt idx="105">
                  <c:v>-0.24191999999999991</c:v>
                </c:pt>
                <c:pt idx="106">
                  <c:v>-0.23328000000000015</c:v>
                </c:pt>
                <c:pt idx="107">
                  <c:v>-7.185599999999992E-2</c:v>
                </c:pt>
                <c:pt idx="108">
                  <c:v>-0.14371199999999984</c:v>
                </c:pt>
                <c:pt idx="109">
                  <c:v>-6.3072000000000017E-2</c:v>
                </c:pt>
                <c:pt idx="110">
                  <c:v>5.731200000000003E-2</c:v>
                </c:pt>
                <c:pt idx="111">
                  <c:v>0.11203200000000013</c:v>
                </c:pt>
                <c:pt idx="112">
                  <c:v>-0.7128000000000001</c:v>
                </c:pt>
                <c:pt idx="113">
                  <c:v>-0.66528000000000009</c:v>
                </c:pt>
                <c:pt idx="116">
                  <c:v>-0.87695999999999996</c:v>
                </c:pt>
                <c:pt idx="117">
                  <c:v>-0.98351999999999995</c:v>
                </c:pt>
                <c:pt idx="119">
                  <c:v>-0.98064000000000018</c:v>
                </c:pt>
                <c:pt idx="120">
                  <c:v>-8.524799999999999E-2</c:v>
                </c:pt>
                <c:pt idx="121">
                  <c:v>0.12196799999999985</c:v>
                </c:pt>
                <c:pt idx="122">
                  <c:v>0.74015999999999993</c:v>
                </c:pt>
                <c:pt idx="123">
                  <c:v>0.22320000000000007</c:v>
                </c:pt>
                <c:pt idx="124">
                  <c:v>0.19584000000000001</c:v>
                </c:pt>
                <c:pt idx="125">
                  <c:v>0.52127999999999997</c:v>
                </c:pt>
                <c:pt idx="126">
                  <c:v>7.6608000000000231E-3</c:v>
                </c:pt>
                <c:pt idx="127">
                  <c:v>-0.13852799999999998</c:v>
                </c:pt>
                <c:pt idx="128">
                  <c:v>3.0095999999999901E-2</c:v>
                </c:pt>
                <c:pt idx="129">
                  <c:v>0.16847999999999996</c:v>
                </c:pt>
                <c:pt idx="130">
                  <c:v>2.0292026846323807</c:v>
                </c:pt>
                <c:pt idx="131">
                  <c:v>0.98580265541425049</c:v>
                </c:pt>
                <c:pt idx="132">
                  <c:v>0.76508881643504389</c:v>
                </c:pt>
                <c:pt idx="133">
                  <c:v>0.61346515411690095</c:v>
                </c:pt>
                <c:pt idx="134">
                  <c:v>2.2676485683238212</c:v>
                </c:pt>
                <c:pt idx="135">
                  <c:v>2.1160124832849792</c:v>
                </c:pt>
                <c:pt idx="136">
                  <c:v>2.262393120948758</c:v>
                </c:pt>
                <c:pt idx="138">
                  <c:v>1.499632315559285</c:v>
                </c:pt>
                <c:pt idx="139">
                  <c:v>1.9398975390870987</c:v>
                </c:pt>
                <c:pt idx="140">
                  <c:v>-2.1405525840226147</c:v>
                </c:pt>
                <c:pt idx="141">
                  <c:v>9.8880982214950564</c:v>
                </c:pt>
                <c:pt idx="142">
                  <c:v>26.298159698042589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7D-7D4A-B1BB-6B18C9556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5731184"/>
        <c:axId val="-2025727872"/>
      </c:barChart>
      <c:barChart>
        <c:barDir val="col"/>
        <c:grouping val="clustered"/>
        <c:varyColors val="0"/>
        <c:ser>
          <c:idx val="2"/>
          <c:order val="2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'Figs 6 &amp; 7'!$EN$6:$EN$150</c:f>
              <c:numCache>
                <c:formatCode>m/d/yy</c:formatCode>
                <c:ptCount val="145"/>
                <c:pt idx="0">
                  <c:v>41560</c:v>
                </c:pt>
                <c:pt idx="1">
                  <c:v>41561</c:v>
                </c:pt>
                <c:pt idx="2">
                  <c:v>41562</c:v>
                </c:pt>
                <c:pt idx="3">
                  <c:v>41563</c:v>
                </c:pt>
                <c:pt idx="4">
                  <c:v>41564</c:v>
                </c:pt>
                <c:pt idx="5">
                  <c:v>41565</c:v>
                </c:pt>
                <c:pt idx="6">
                  <c:v>41566</c:v>
                </c:pt>
                <c:pt idx="7">
                  <c:v>41567</c:v>
                </c:pt>
                <c:pt idx="8">
                  <c:v>41568</c:v>
                </c:pt>
                <c:pt idx="9">
                  <c:v>41569</c:v>
                </c:pt>
                <c:pt idx="10">
                  <c:v>41570</c:v>
                </c:pt>
                <c:pt idx="11">
                  <c:v>41571</c:v>
                </c:pt>
                <c:pt idx="12">
                  <c:v>41572</c:v>
                </c:pt>
                <c:pt idx="13">
                  <c:v>41573</c:v>
                </c:pt>
                <c:pt idx="14">
                  <c:v>41574</c:v>
                </c:pt>
                <c:pt idx="15">
                  <c:v>41575</c:v>
                </c:pt>
                <c:pt idx="16">
                  <c:v>41576</c:v>
                </c:pt>
                <c:pt idx="17">
                  <c:v>41577</c:v>
                </c:pt>
                <c:pt idx="18">
                  <c:v>41578</c:v>
                </c:pt>
                <c:pt idx="19">
                  <c:v>41579</c:v>
                </c:pt>
                <c:pt idx="20">
                  <c:v>41580</c:v>
                </c:pt>
                <c:pt idx="21">
                  <c:v>41581</c:v>
                </c:pt>
                <c:pt idx="22">
                  <c:v>41582</c:v>
                </c:pt>
                <c:pt idx="23">
                  <c:v>41583</c:v>
                </c:pt>
                <c:pt idx="24">
                  <c:v>41584</c:v>
                </c:pt>
                <c:pt idx="25">
                  <c:v>41585</c:v>
                </c:pt>
                <c:pt idx="26">
                  <c:v>41586</c:v>
                </c:pt>
                <c:pt idx="27">
                  <c:v>41587</c:v>
                </c:pt>
                <c:pt idx="28">
                  <c:v>41588</c:v>
                </c:pt>
                <c:pt idx="29">
                  <c:v>41589</c:v>
                </c:pt>
                <c:pt idx="30">
                  <c:v>41590</c:v>
                </c:pt>
                <c:pt idx="31">
                  <c:v>41591</c:v>
                </c:pt>
                <c:pt idx="32">
                  <c:v>41592</c:v>
                </c:pt>
                <c:pt idx="33">
                  <c:v>41593</c:v>
                </c:pt>
                <c:pt idx="34">
                  <c:v>41594</c:v>
                </c:pt>
                <c:pt idx="35">
                  <c:v>41595</c:v>
                </c:pt>
                <c:pt idx="36">
                  <c:v>41596</c:v>
                </c:pt>
                <c:pt idx="37">
                  <c:v>41597</c:v>
                </c:pt>
                <c:pt idx="38">
                  <c:v>41598</c:v>
                </c:pt>
                <c:pt idx="39">
                  <c:v>41599</c:v>
                </c:pt>
                <c:pt idx="40">
                  <c:v>41600</c:v>
                </c:pt>
                <c:pt idx="41">
                  <c:v>41601</c:v>
                </c:pt>
                <c:pt idx="42">
                  <c:v>41602</c:v>
                </c:pt>
                <c:pt idx="43">
                  <c:v>41603</c:v>
                </c:pt>
                <c:pt idx="44">
                  <c:v>41604</c:v>
                </c:pt>
                <c:pt idx="45">
                  <c:v>41605</c:v>
                </c:pt>
                <c:pt idx="46">
                  <c:v>41606</c:v>
                </c:pt>
                <c:pt idx="47">
                  <c:v>41607</c:v>
                </c:pt>
                <c:pt idx="48">
                  <c:v>41608</c:v>
                </c:pt>
                <c:pt idx="49">
                  <c:v>41609</c:v>
                </c:pt>
                <c:pt idx="50">
                  <c:v>41610</c:v>
                </c:pt>
                <c:pt idx="51">
                  <c:v>41611</c:v>
                </c:pt>
                <c:pt idx="52">
                  <c:v>41612</c:v>
                </c:pt>
                <c:pt idx="53">
                  <c:v>41613</c:v>
                </c:pt>
                <c:pt idx="54">
                  <c:v>41614</c:v>
                </c:pt>
                <c:pt idx="55">
                  <c:v>41615</c:v>
                </c:pt>
                <c:pt idx="56">
                  <c:v>41616</c:v>
                </c:pt>
                <c:pt idx="57">
                  <c:v>41617</c:v>
                </c:pt>
                <c:pt idx="58">
                  <c:v>41618</c:v>
                </c:pt>
                <c:pt idx="59">
                  <c:v>41619</c:v>
                </c:pt>
                <c:pt idx="60">
                  <c:v>41620</c:v>
                </c:pt>
                <c:pt idx="61">
                  <c:v>41621</c:v>
                </c:pt>
                <c:pt idx="62">
                  <c:v>41622</c:v>
                </c:pt>
                <c:pt idx="63">
                  <c:v>41623</c:v>
                </c:pt>
                <c:pt idx="64">
                  <c:v>41624</c:v>
                </c:pt>
                <c:pt idx="65">
                  <c:v>41625</c:v>
                </c:pt>
                <c:pt idx="66">
                  <c:v>41626</c:v>
                </c:pt>
                <c:pt idx="67">
                  <c:v>41627</c:v>
                </c:pt>
                <c:pt idx="68">
                  <c:v>41628</c:v>
                </c:pt>
                <c:pt idx="69">
                  <c:v>41629</c:v>
                </c:pt>
                <c:pt idx="70">
                  <c:v>41630</c:v>
                </c:pt>
                <c:pt idx="71">
                  <c:v>41631</c:v>
                </c:pt>
                <c:pt idx="72">
                  <c:v>41632</c:v>
                </c:pt>
                <c:pt idx="73">
                  <c:v>41633</c:v>
                </c:pt>
                <c:pt idx="74">
                  <c:v>41634</c:v>
                </c:pt>
                <c:pt idx="75">
                  <c:v>41635</c:v>
                </c:pt>
                <c:pt idx="76">
                  <c:v>41636</c:v>
                </c:pt>
                <c:pt idx="77">
                  <c:v>41637</c:v>
                </c:pt>
                <c:pt idx="78">
                  <c:v>41638</c:v>
                </c:pt>
                <c:pt idx="79">
                  <c:v>41639</c:v>
                </c:pt>
                <c:pt idx="80">
                  <c:v>41640</c:v>
                </c:pt>
                <c:pt idx="81">
                  <c:v>41641</c:v>
                </c:pt>
                <c:pt idx="82">
                  <c:v>41642</c:v>
                </c:pt>
                <c:pt idx="83">
                  <c:v>41643</c:v>
                </c:pt>
                <c:pt idx="84">
                  <c:v>41644</c:v>
                </c:pt>
                <c:pt idx="85">
                  <c:v>41645</c:v>
                </c:pt>
                <c:pt idx="86">
                  <c:v>41646</c:v>
                </c:pt>
                <c:pt idx="87">
                  <c:v>41647</c:v>
                </c:pt>
                <c:pt idx="88">
                  <c:v>41648</c:v>
                </c:pt>
                <c:pt idx="89">
                  <c:v>41649</c:v>
                </c:pt>
                <c:pt idx="90">
                  <c:v>41650</c:v>
                </c:pt>
                <c:pt idx="91">
                  <c:v>41651</c:v>
                </c:pt>
                <c:pt idx="92">
                  <c:v>41652</c:v>
                </c:pt>
                <c:pt idx="93">
                  <c:v>41653</c:v>
                </c:pt>
                <c:pt idx="94">
                  <c:v>41654</c:v>
                </c:pt>
                <c:pt idx="95">
                  <c:v>41655</c:v>
                </c:pt>
                <c:pt idx="96">
                  <c:v>41656</c:v>
                </c:pt>
                <c:pt idx="97">
                  <c:v>41657</c:v>
                </c:pt>
                <c:pt idx="98">
                  <c:v>41658</c:v>
                </c:pt>
                <c:pt idx="99">
                  <c:v>41659</c:v>
                </c:pt>
                <c:pt idx="100">
                  <c:v>41660</c:v>
                </c:pt>
                <c:pt idx="101">
                  <c:v>41661</c:v>
                </c:pt>
                <c:pt idx="102">
                  <c:v>41662</c:v>
                </c:pt>
                <c:pt idx="103">
                  <c:v>41663</c:v>
                </c:pt>
                <c:pt idx="104">
                  <c:v>41664</c:v>
                </c:pt>
                <c:pt idx="105">
                  <c:v>41665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41671</c:v>
                </c:pt>
                <c:pt idx="112">
                  <c:v>41672</c:v>
                </c:pt>
                <c:pt idx="113">
                  <c:v>41673</c:v>
                </c:pt>
                <c:pt idx="114">
                  <c:v>41674</c:v>
                </c:pt>
                <c:pt idx="115">
                  <c:v>41675</c:v>
                </c:pt>
                <c:pt idx="116">
                  <c:v>41676</c:v>
                </c:pt>
                <c:pt idx="117">
                  <c:v>41677</c:v>
                </c:pt>
                <c:pt idx="118">
                  <c:v>41678</c:v>
                </c:pt>
                <c:pt idx="119">
                  <c:v>41679</c:v>
                </c:pt>
                <c:pt idx="120">
                  <c:v>41680</c:v>
                </c:pt>
                <c:pt idx="121">
                  <c:v>41681</c:v>
                </c:pt>
                <c:pt idx="122">
                  <c:v>41682</c:v>
                </c:pt>
                <c:pt idx="123">
                  <c:v>41683</c:v>
                </c:pt>
                <c:pt idx="124">
                  <c:v>41684</c:v>
                </c:pt>
                <c:pt idx="125">
                  <c:v>41685</c:v>
                </c:pt>
                <c:pt idx="126">
                  <c:v>41686</c:v>
                </c:pt>
                <c:pt idx="127">
                  <c:v>41687</c:v>
                </c:pt>
                <c:pt idx="128">
                  <c:v>41688</c:v>
                </c:pt>
                <c:pt idx="129">
                  <c:v>41689</c:v>
                </c:pt>
                <c:pt idx="130">
                  <c:v>41690</c:v>
                </c:pt>
                <c:pt idx="131">
                  <c:v>41691</c:v>
                </c:pt>
              </c:numCache>
            </c:numRef>
          </c:cat>
          <c:val>
            <c:numRef>
              <c:f>'Figs 6 &amp; 7'!$EM$6:$EM$150</c:f>
              <c:numCache>
                <c:formatCode>###0.00;###0.00</c:formatCode>
                <c:ptCount val="145"/>
                <c:pt idx="0">
                  <c:v>127.800000000002</c:v>
                </c:pt>
                <c:pt idx="1">
                  <c:v>3.3345159959313371</c:v>
                </c:pt>
                <c:pt idx="2">
                  <c:v>11.4</c:v>
                </c:pt>
                <c:pt idx="3">
                  <c:v>24.049999999999976</c:v>
                </c:pt>
                <c:pt idx="4">
                  <c:v>25.749999999999925</c:v>
                </c:pt>
                <c:pt idx="5">
                  <c:v>2</c:v>
                </c:pt>
                <c:pt idx="6">
                  <c:v>10.466666666666667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2.0666666666666664</c:v>
                </c:pt>
                <c:pt idx="17">
                  <c:v>0.1</c:v>
                </c:pt>
                <c:pt idx="18">
                  <c:v>2.1</c:v>
                </c:pt>
                <c:pt idx="19">
                  <c:v>0.4</c:v>
                </c:pt>
                <c:pt idx="20">
                  <c:v>22.5</c:v>
                </c:pt>
                <c:pt idx="21">
                  <c:v>4.75</c:v>
                </c:pt>
                <c:pt idx="22">
                  <c:v>0.3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 formatCode="General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0.05</c:v>
                </c:pt>
                <c:pt idx="33">
                  <c:v>63.600000000000051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0.55000000000000004</c:v>
                </c:pt>
                <c:pt idx="47">
                  <c:v>2.4500000000000002</c:v>
                </c:pt>
                <c:pt idx="48">
                  <c:v>15.1</c:v>
                </c:pt>
                <c:pt idx="49">
                  <c:v>1.9500000000000002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1.6500000000000001</c:v>
                </c:pt>
                <c:pt idx="55">
                  <c:v>0.1</c:v>
                </c:pt>
                <c:pt idx="56">
                  <c:v>0.95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7D-7D4A-B1BB-6B18C9556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-2025736864"/>
        <c:axId val="-2025739840"/>
      </c:barChart>
      <c:dateAx>
        <c:axId val="-2025731184"/>
        <c:scaling>
          <c:orientation val="minMax"/>
        </c:scaling>
        <c:delete val="0"/>
        <c:axPos val="b"/>
        <c:numFmt formatCode="mm/dd" sourceLinked="0"/>
        <c:majorTickMark val="out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400" b="1"/>
            </a:pPr>
            <a:endParaRPr lang="en-US"/>
          </a:p>
        </c:txPr>
        <c:crossAx val="-2025727872"/>
        <c:crossesAt val="0"/>
        <c:auto val="0"/>
        <c:lblOffset val="100"/>
        <c:baseTimeUnit val="days"/>
        <c:majorUnit val="28"/>
        <c:majorTimeUnit val="days"/>
        <c:minorUnit val="14"/>
        <c:minorTimeUnit val="days"/>
      </c:dateAx>
      <c:valAx>
        <c:axId val="-2025727872"/>
        <c:scaling>
          <c:orientation val="minMax"/>
          <c:max val="5.25"/>
          <c:min val="-2.5"/>
        </c:scaling>
        <c:delete val="0"/>
        <c:axPos val="l"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="1"/>
            </a:pPr>
            <a:endParaRPr lang="en-US"/>
          </a:p>
        </c:txPr>
        <c:crossAx val="-2025731184"/>
        <c:crosses val="autoZero"/>
        <c:crossBetween val="between"/>
        <c:majorUnit val="1.25"/>
      </c:valAx>
      <c:valAx>
        <c:axId val="-2025739840"/>
        <c:scaling>
          <c:orientation val="maxMin"/>
          <c:max val="200"/>
          <c:min val="0"/>
        </c:scaling>
        <c:delete val="0"/>
        <c:axPos val="r"/>
        <c:numFmt formatCode="General" sourceLinked="0"/>
        <c:majorTickMark val="none"/>
        <c:minorTickMark val="none"/>
        <c:tickLblPos val="none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-2025736864"/>
        <c:crosses val="max"/>
        <c:crossBetween val="between"/>
        <c:majorUnit val="50"/>
      </c:valAx>
      <c:dateAx>
        <c:axId val="-2025736864"/>
        <c:scaling>
          <c:orientation val="minMax"/>
        </c:scaling>
        <c:delete val="1"/>
        <c:axPos val="t"/>
        <c:numFmt formatCode="m/d/yy" sourceLinked="1"/>
        <c:majorTickMark val="out"/>
        <c:minorTickMark val="none"/>
        <c:tickLblPos val="nextTo"/>
        <c:crossAx val="-2025739840"/>
        <c:crosses val="autoZero"/>
        <c:auto val="1"/>
        <c:lblOffset val="100"/>
        <c:baseTimeUnit val="days"/>
      </c:date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ln w="28575">
      <a:noFill/>
    </a:ln>
  </c:spPr>
  <c:printSettings>
    <c:headerFooter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tx>
            <c:v>GE</c:v>
          </c:tx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Balance'!$AC$2:$AC$14</c:f>
              <c:numCache>
                <c:formatCode>General</c:formatCode>
                <c:ptCount val="13"/>
                <c:pt idx="0">
                  <c:v>74888.163615842961</c:v>
                </c:pt>
                <c:pt idx="1">
                  <c:v>11976.561984916914</c:v>
                </c:pt>
                <c:pt idx="2">
                  <c:v>4613.1806185357145</c:v>
                </c:pt>
                <c:pt idx="3">
                  <c:v>6845.0500858766627</c:v>
                </c:pt>
                <c:pt idx="4">
                  <c:v>42270.665338255167</c:v>
                </c:pt>
                <c:pt idx="5">
                  <c:v>15360.932453834059</c:v>
                </c:pt>
                <c:pt idx="6">
                  <c:v>7044.9779947426414</c:v>
                </c:pt>
                <c:pt idx="7">
                  <c:v>4200.1048330001968</c:v>
                </c:pt>
                <c:pt idx="8">
                  <c:v>334.5619115323542</c:v>
                </c:pt>
                <c:pt idx="9">
                  <c:v>2697.4859675762395</c:v>
                </c:pt>
                <c:pt idx="10">
                  <c:v>2115.1602487790442</c:v>
                </c:pt>
                <c:pt idx="11">
                  <c:v>201.72690683549109</c:v>
                </c:pt>
                <c:pt idx="12">
                  <c:v>2389.8656190241181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4-224C-A517-81A649EDA8F6}"/>
            </c:ext>
          </c:extLst>
        </c:ser>
        <c:ser>
          <c:idx val="1"/>
          <c:order val="1"/>
          <c:tx>
            <c:v>ET</c:v>
          </c:tx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Balance'!$AK$2:$AK$14</c:f>
              <c:numCache>
                <c:formatCode>General</c:formatCode>
                <c:ptCount val="13"/>
                <c:pt idx="0">
                  <c:v>5116.6541585427103</c:v>
                </c:pt>
                <c:pt idx="1">
                  <c:v>4281.1399073108769</c:v>
                </c:pt>
                <c:pt idx="2">
                  <c:v>3669.4194096533934</c:v>
                </c:pt>
                <c:pt idx="3">
                  <c:v>2738.0543547777988</c:v>
                </c:pt>
                <c:pt idx="4">
                  <c:v>3134.4051052247614</c:v>
                </c:pt>
                <c:pt idx="5">
                  <c:v>3346.7574206050163</c:v>
                </c:pt>
                <c:pt idx="6">
                  <c:v>4935.4266437637325</c:v>
                </c:pt>
                <c:pt idx="7">
                  <c:v>3302.7879216165502</c:v>
                </c:pt>
                <c:pt idx="8">
                  <c:v>2147.3145252920358</c:v>
                </c:pt>
                <c:pt idx="9">
                  <c:v>3369.6992343106303</c:v>
                </c:pt>
                <c:pt idx="10">
                  <c:v>3719.4239894694629</c:v>
                </c:pt>
                <c:pt idx="11">
                  <c:v>5999.2894305720811</c:v>
                </c:pt>
                <c:pt idx="12">
                  <c:v>3531.4050241307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4-224C-A517-81A649EDA8F6}"/>
            </c:ext>
          </c:extLst>
        </c:ser>
        <c:ser>
          <c:idx val="2"/>
          <c:order val="2"/>
          <c:tx>
            <c:v>Sluice</c:v>
          </c:tx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Balance'!$AG$2:$AG$14</c:f>
              <c:numCache>
                <c:formatCode>General</c:formatCode>
                <c:ptCount val="13"/>
                <c:pt idx="0">
                  <c:v>23405.155823558664</c:v>
                </c:pt>
                <c:pt idx="1">
                  <c:v>25193.283535709095</c:v>
                </c:pt>
                <c:pt idx="2">
                  <c:v>21926.372844544734</c:v>
                </c:pt>
                <c:pt idx="3">
                  <c:v>19835.70791529437</c:v>
                </c:pt>
                <c:pt idx="4">
                  <c:v>16982.671869589351</c:v>
                </c:pt>
                <c:pt idx="5">
                  <c:v>14493.174834772584</c:v>
                </c:pt>
                <c:pt idx="6">
                  <c:v>10668.519457303213</c:v>
                </c:pt>
                <c:pt idx="7">
                  <c:v>7923.6964077115736</c:v>
                </c:pt>
                <c:pt idx="8">
                  <c:v>5865.7513414196319</c:v>
                </c:pt>
                <c:pt idx="9">
                  <c:v>3952.7723762992109</c:v>
                </c:pt>
                <c:pt idx="10">
                  <c:v>2156.9270919161754</c:v>
                </c:pt>
                <c:pt idx="11">
                  <c:v>634.00068697824236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64-224C-A517-81A649EDA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10224384"/>
        <c:axId val="-2010218864"/>
      </c:barChart>
      <c:catAx>
        <c:axId val="-201022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Date</a:t>
                </a:r>
              </a:p>
            </c:rich>
          </c:tx>
          <c:layout>
            <c:manualLayout>
              <c:xMode val="edge"/>
              <c:yMode val="edge"/>
              <c:x val="0.48491933049137098"/>
              <c:y val="0.867463617463617"/>
            </c:manualLayout>
          </c:layout>
          <c:overlay val="0"/>
        </c:title>
        <c:numFmt formatCode="m/d;@" sourceLinked="0"/>
        <c:majorTickMark val="none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10218864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10218864"/>
        <c:scaling>
          <c:orientation val="minMax"/>
          <c:max val="125000"/>
          <c:min val="-25000"/>
        </c:scaling>
        <c:delete val="0"/>
        <c:axPos val="l"/>
        <c:majorGridlines/>
        <c:numFmt formatCode="#,##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10224384"/>
        <c:crosses val="autoZero"/>
        <c:crossBetween val="between"/>
        <c:majorUnit val="25000"/>
        <c:dispUnits>
          <c:builtInUnit val="thousands"/>
          <c:dispUnitsLbl>
            <c:layout>
              <c:manualLayout>
                <c:xMode val="edge"/>
                <c:yMode val="edge"/>
                <c:x val="3.3533342499210798E-2"/>
                <c:y val="0.24168399168399199"/>
              </c:manualLayout>
            </c:layout>
            <c:tx>
              <c:rich>
                <a:bodyPr/>
                <a:lstStyle/>
                <a:p>
                  <a:pPr>
                    <a:defRPr sz="1600" b="0"/>
                  </a:pPr>
                  <a:r>
                    <a:rPr lang="en-US" sz="1600" b="0"/>
                    <a:t>Weekly Flux (1000 m</a:t>
                  </a:r>
                  <a:r>
                    <a:rPr lang="en-US" sz="1600" b="0" baseline="30000"/>
                    <a:t>3</a:t>
                  </a:r>
                  <a:r>
                    <a:rPr lang="en-US" sz="1600" b="0"/>
                    <a:t>)</a:t>
                  </a:r>
                </a:p>
              </c:rich>
            </c:tx>
          </c:dispUnitsLbl>
        </c:dispUnits>
      </c:valAx>
      <c:spPr>
        <a:ln w="19050">
          <a:solidFill>
            <a:schemeClr val="tx1"/>
          </a:solidFill>
        </a:ln>
      </c:spPr>
    </c:plotArea>
    <c:legend>
      <c:legendPos val="t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Balance'!$AD$2:$AD$14</c:f>
              <c:numCache>
                <c:formatCode>General</c:formatCode>
                <c:ptCount val="13"/>
                <c:pt idx="0">
                  <c:v>82685.145296885923</c:v>
                </c:pt>
                <c:pt idx="1">
                  <c:v>24844.267805604584</c:v>
                </c:pt>
                <c:pt idx="2">
                  <c:v>25937.470513104123</c:v>
                </c:pt>
                <c:pt idx="3">
                  <c:v>30058.167418255438</c:v>
                </c:pt>
                <c:pt idx="4">
                  <c:v>26244.273092342239</c:v>
                </c:pt>
                <c:pt idx="5">
                  <c:v>38837.523605607676</c:v>
                </c:pt>
                <c:pt idx="6">
                  <c:v>42057.64674031407</c:v>
                </c:pt>
                <c:pt idx="7">
                  <c:v>38608.456377587303</c:v>
                </c:pt>
                <c:pt idx="8">
                  <c:v>8812.1623972347552</c:v>
                </c:pt>
                <c:pt idx="9">
                  <c:v>31594.522269860696</c:v>
                </c:pt>
                <c:pt idx="10">
                  <c:v>22853.621528029802</c:v>
                </c:pt>
                <c:pt idx="11">
                  <c:v>6359.0923591540877</c:v>
                </c:pt>
                <c:pt idx="12">
                  <c:v>3586.8512548495733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4-414B-B89B-EB0682937D35}"/>
            </c:ext>
          </c:extLst>
        </c:ser>
        <c:ser>
          <c:idx val="1"/>
          <c:order val="1"/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Balance'!$AL$2:$AL$14</c:f>
              <c:numCache>
                <c:formatCode>General</c:formatCode>
                <c:ptCount val="13"/>
                <c:pt idx="0">
                  <c:v>13064.67720850655</c:v>
                </c:pt>
                <c:pt idx="1">
                  <c:v>15603.174782967128</c:v>
                </c:pt>
                <c:pt idx="2">
                  <c:v>14435.278777560907</c:v>
                </c:pt>
                <c:pt idx="3">
                  <c:v>4893.340716917839</c:v>
                </c:pt>
                <c:pt idx="4">
                  <c:v>7600.1541503440276</c:v>
                </c:pt>
                <c:pt idx="5">
                  <c:v>6253.2142512307</c:v>
                </c:pt>
                <c:pt idx="6">
                  <c:v>10514.966368024105</c:v>
                </c:pt>
                <c:pt idx="7">
                  <c:v>21089.532404040685</c:v>
                </c:pt>
                <c:pt idx="8">
                  <c:v>19768.744623445615</c:v>
                </c:pt>
                <c:pt idx="9">
                  <c:v>16266.798771411224</c:v>
                </c:pt>
                <c:pt idx="10">
                  <c:v>15913.530364043445</c:v>
                </c:pt>
                <c:pt idx="11">
                  <c:v>12882.45326038549</c:v>
                </c:pt>
                <c:pt idx="12">
                  <c:v>6434.4047824233958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4-414B-B89B-EB0682937D35}"/>
            </c:ext>
          </c:extLst>
        </c:ser>
        <c:ser>
          <c:idx val="2"/>
          <c:order val="2"/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Balance'!$AH$2:$AH$14</c:f>
              <c:numCache>
                <c:formatCode>General</c:formatCode>
                <c:ptCount val="13"/>
                <c:pt idx="0">
                  <c:v>20946.963492082345</c:v>
                </c:pt>
                <c:pt idx="1">
                  <c:v>25899.484373120667</c:v>
                </c:pt>
                <c:pt idx="2">
                  <c:v>21453.889417184888</c:v>
                </c:pt>
                <c:pt idx="3">
                  <c:v>18461.610666367444</c:v>
                </c:pt>
                <c:pt idx="4">
                  <c:v>14507.24704194946</c:v>
                </c:pt>
                <c:pt idx="5">
                  <c:v>19304.064103592278</c:v>
                </c:pt>
                <c:pt idx="6">
                  <c:v>13694.58461179834</c:v>
                </c:pt>
                <c:pt idx="7">
                  <c:v>8278.3859531941052</c:v>
                </c:pt>
                <c:pt idx="8">
                  <c:v>1895.262051857065</c:v>
                </c:pt>
                <c:pt idx="9">
                  <c:v>1062.5917736859728</c:v>
                </c:pt>
                <c:pt idx="10">
                  <c:v>694.9999388389565</c:v>
                </c:pt>
                <c:pt idx="11">
                  <c:v>331.60282255318657</c:v>
                </c:pt>
                <c:pt idx="12">
                  <c:v>80.835369258619281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4-414B-B89B-EB0682937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22089024"/>
        <c:axId val="-2022100624"/>
      </c:barChart>
      <c:catAx>
        <c:axId val="-202208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Date</a:t>
                </a:r>
              </a:p>
            </c:rich>
          </c:tx>
          <c:layout>
            <c:manualLayout>
              <c:xMode val="edge"/>
              <c:yMode val="edge"/>
              <c:x val="0.48491933049137098"/>
              <c:y val="0.867463617463617"/>
            </c:manualLayout>
          </c:layout>
          <c:overlay val="0"/>
        </c:title>
        <c:numFmt formatCode="m/d;@" sourceLinked="0"/>
        <c:majorTickMark val="none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2100624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22100624"/>
        <c:scaling>
          <c:orientation val="minMax"/>
          <c:max val="125000"/>
          <c:min val="-25000"/>
        </c:scaling>
        <c:delete val="0"/>
        <c:axPos val="l"/>
        <c:majorGridlines/>
        <c:numFmt formatCode="#,##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2089024"/>
        <c:crosses val="autoZero"/>
        <c:crossBetween val="between"/>
        <c:majorUnit val="25000"/>
        <c:dispUnits>
          <c:builtInUnit val="thousands"/>
          <c:dispUnitsLbl>
            <c:layout>
              <c:manualLayout>
                <c:xMode val="edge"/>
                <c:yMode val="edge"/>
                <c:x val="3.3533342499210798E-2"/>
                <c:y val="0.24168399168399199"/>
              </c:manualLayout>
            </c:layout>
            <c:tx>
              <c:rich>
                <a:bodyPr/>
                <a:lstStyle/>
                <a:p>
                  <a:pPr>
                    <a:defRPr sz="1600" b="0"/>
                  </a:pPr>
                  <a:r>
                    <a:rPr lang="en-US" sz="1600" b="0"/>
                    <a:t>Weekly Flux (1000 m</a:t>
                  </a:r>
                  <a:r>
                    <a:rPr lang="en-US" sz="1600" b="0" baseline="30000"/>
                    <a:t>3</a:t>
                  </a:r>
                  <a:r>
                    <a:rPr lang="en-US" sz="1600" b="0"/>
                    <a:t>)</a:t>
                  </a:r>
                </a:p>
              </c:rich>
            </c:tx>
          </c:dispUnitsLbl>
        </c:dispUnits>
      </c:valAx>
      <c:spPr>
        <a:ln w="19050">
          <a:solidFill>
            <a:schemeClr val="tx1"/>
          </a:solidFill>
        </a:ln>
      </c:spPr>
    </c:plotArea>
    <c:legend>
      <c:legendPos val="t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Balance'!$AE$2:$AE$14</c:f>
              <c:numCache>
                <c:formatCode>General</c:formatCode>
                <c:ptCount val="13"/>
                <c:pt idx="0">
                  <c:v>46219.300009180712</c:v>
                </c:pt>
                <c:pt idx="1">
                  <c:v>33404.888249160329</c:v>
                </c:pt>
                <c:pt idx="2">
                  <c:v>18434.910568782987</c:v>
                </c:pt>
                <c:pt idx="3">
                  <c:v>17510.851372483896</c:v>
                </c:pt>
                <c:pt idx="4">
                  <c:v>-20397.089065399843</c:v>
                </c:pt>
                <c:pt idx="5">
                  <c:v>20571.002545529172</c:v>
                </c:pt>
                <c:pt idx="6">
                  <c:v>14309.548659417947</c:v>
                </c:pt>
                <c:pt idx="7">
                  <c:v>6811.1889105284099</c:v>
                </c:pt>
                <c:pt idx="8">
                  <c:v>620.80506467664532</c:v>
                </c:pt>
                <c:pt idx="9">
                  <c:v>9573.9485392988099</c:v>
                </c:pt>
                <c:pt idx="10">
                  <c:v>6498.5831390871008</c:v>
                </c:pt>
                <c:pt idx="11">
                  <c:v>4443.2065378052466</c:v>
                </c:pt>
                <c:pt idx="12">
                  <c:v>2652.0520310922311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4-CA46-BA8E-80A74B8C0D2E}"/>
            </c:ext>
          </c:extLst>
        </c:ser>
        <c:ser>
          <c:idx val="1"/>
          <c:order val="1"/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Balance'!$AM$2:$AM$14</c:f>
              <c:numCache>
                <c:formatCode>General</c:formatCode>
                <c:ptCount val="13"/>
                <c:pt idx="0">
                  <c:v>6286.5990705426429</c:v>
                </c:pt>
                <c:pt idx="1">
                  <c:v>5165.34289673079</c:v>
                </c:pt>
                <c:pt idx="2">
                  <c:v>7815.9539991397614</c:v>
                </c:pt>
                <c:pt idx="3">
                  <c:v>5074.9801337110748</c:v>
                </c:pt>
                <c:pt idx="4">
                  <c:v>3827.4872240782656</c:v>
                </c:pt>
                <c:pt idx="5">
                  <c:v>5343.350871061356</c:v>
                </c:pt>
                <c:pt idx="6">
                  <c:v>7858.5157243615113</c:v>
                </c:pt>
                <c:pt idx="7">
                  <c:v>9931.4385796463721</c:v>
                </c:pt>
                <c:pt idx="8">
                  <c:v>6945.1193549883556</c:v>
                </c:pt>
                <c:pt idx="9">
                  <c:v>6050.610326442873</c:v>
                </c:pt>
                <c:pt idx="10">
                  <c:v>6460.2762656250825</c:v>
                </c:pt>
                <c:pt idx="11">
                  <c:v>5107.2141869532079</c:v>
                </c:pt>
                <c:pt idx="12">
                  <c:v>3523.5426456357095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4-CA46-BA8E-80A74B8C0D2E}"/>
            </c:ext>
          </c:extLst>
        </c:ser>
        <c:ser>
          <c:idx val="2"/>
          <c:order val="2"/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Balance'!$AI$2:$AI$14</c:f>
              <c:numCache>
                <c:formatCode>General</c:formatCode>
                <c:ptCount val="13"/>
                <c:pt idx="0">
                  <c:v>6976.3717453702175</c:v>
                </c:pt>
                <c:pt idx="1">
                  <c:v>8812.5447807540659</c:v>
                </c:pt>
                <c:pt idx="2">
                  <c:v>7529.0080644625587</c:v>
                </c:pt>
                <c:pt idx="3">
                  <c:v>6602.4433655568573</c:v>
                </c:pt>
                <c:pt idx="4">
                  <c:v>5617.4667213074335</c:v>
                </c:pt>
                <c:pt idx="5">
                  <c:v>7872.1132150031735</c:v>
                </c:pt>
                <c:pt idx="6">
                  <c:v>6784.8970850226697</c:v>
                </c:pt>
                <c:pt idx="7">
                  <c:v>5890.2122210876732</c:v>
                </c:pt>
                <c:pt idx="8">
                  <c:v>5066.2909533285019</c:v>
                </c:pt>
                <c:pt idx="9">
                  <c:v>4318.8366485782117</c:v>
                </c:pt>
                <c:pt idx="10">
                  <c:v>3283.8908306678363</c:v>
                </c:pt>
                <c:pt idx="11">
                  <c:v>2237.3659297951835</c:v>
                </c:pt>
                <c:pt idx="12">
                  <c:v>1449.8829426537334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4-CA46-BA8E-80A74B8C0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22267568"/>
        <c:axId val="-2022262160"/>
      </c:barChart>
      <c:catAx>
        <c:axId val="-202226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Date</a:t>
                </a:r>
              </a:p>
            </c:rich>
          </c:tx>
          <c:layout>
            <c:manualLayout>
              <c:xMode val="edge"/>
              <c:yMode val="edge"/>
              <c:x val="0.48491933049137098"/>
              <c:y val="0.867463617463617"/>
            </c:manualLayout>
          </c:layout>
          <c:overlay val="0"/>
        </c:title>
        <c:numFmt formatCode="m/d;@" sourceLinked="0"/>
        <c:majorTickMark val="none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2262160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22262160"/>
        <c:scaling>
          <c:orientation val="minMax"/>
          <c:max val="125000"/>
          <c:min val="-25000"/>
        </c:scaling>
        <c:delete val="0"/>
        <c:axPos val="l"/>
        <c:majorGridlines/>
        <c:numFmt formatCode="#,##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2267568"/>
        <c:crosses val="autoZero"/>
        <c:crossBetween val="between"/>
        <c:majorUnit val="25000"/>
        <c:dispUnits>
          <c:builtInUnit val="thousands"/>
          <c:dispUnitsLbl>
            <c:layout>
              <c:manualLayout>
                <c:xMode val="edge"/>
                <c:yMode val="edge"/>
                <c:x val="3.3533342499210798E-2"/>
                <c:y val="0.24168399168399199"/>
              </c:manualLayout>
            </c:layout>
            <c:tx>
              <c:rich>
                <a:bodyPr/>
                <a:lstStyle/>
                <a:p>
                  <a:pPr>
                    <a:defRPr sz="1600" b="0"/>
                  </a:pPr>
                  <a:r>
                    <a:rPr lang="en-US" sz="1600" b="0"/>
                    <a:t>Weekly Flux (1000 m</a:t>
                  </a:r>
                  <a:r>
                    <a:rPr lang="en-US" sz="1600" b="0" baseline="30000"/>
                    <a:t>3</a:t>
                  </a:r>
                  <a:r>
                    <a:rPr lang="en-US" sz="1600" b="0"/>
                    <a:t>)</a:t>
                  </a:r>
                </a:p>
              </c:rich>
            </c:tx>
          </c:dispUnitsLbl>
        </c:dispUnits>
      </c:valAx>
      <c:spPr>
        <a:ln w="19050">
          <a:solidFill>
            <a:schemeClr val="tx1"/>
          </a:solidFill>
        </a:ln>
      </c:spPr>
    </c:plotArea>
    <c:legend>
      <c:legendPos val="t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Balance'!$AF$2:$AF$14</c:f>
              <c:numCache>
                <c:formatCode>General</c:formatCode>
                <c:ptCount val="13"/>
                <c:pt idx="0">
                  <c:v>31417.713108205473</c:v>
                </c:pt>
                <c:pt idx="1">
                  <c:v>-10837.645106523682</c:v>
                </c:pt>
                <c:pt idx="2">
                  <c:v>-12489.911114761571</c:v>
                </c:pt>
                <c:pt idx="3">
                  <c:v>-6120.2374628800089</c:v>
                </c:pt>
                <c:pt idx="4">
                  <c:v>-22530.337213889998</c:v>
                </c:pt>
                <c:pt idx="5">
                  <c:v>-4817.5510369540198</c:v>
                </c:pt>
                <c:pt idx="6">
                  <c:v>-268.21169137197376</c:v>
                </c:pt>
                <c:pt idx="7">
                  <c:v>3572.3891250154375</c:v>
                </c:pt>
                <c:pt idx="8">
                  <c:v>-4321.4085822703364</c:v>
                </c:pt>
                <c:pt idx="9">
                  <c:v>14841.619213571812</c:v>
                </c:pt>
                <c:pt idx="10">
                  <c:v>5313.6873151700474</c:v>
                </c:pt>
                <c:pt idx="11">
                  <c:v>3316.750713862044</c:v>
                </c:pt>
                <c:pt idx="12">
                  <c:v>904.78818466914754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7-C242-890C-CC0C6AC78943}"/>
            </c:ext>
          </c:extLst>
        </c:ser>
        <c:ser>
          <c:idx val="1"/>
          <c:order val="1"/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Balance'!$AN$2:$AN$14</c:f>
              <c:numCache>
                <c:formatCode>General</c:formatCode>
                <c:ptCount val="13"/>
                <c:pt idx="0">
                  <c:v>5550.2524499001102</c:v>
                </c:pt>
                <c:pt idx="1">
                  <c:v>9993.0744153034193</c:v>
                </c:pt>
                <c:pt idx="2">
                  <c:v>7608.8073796893477</c:v>
                </c:pt>
                <c:pt idx="3">
                  <c:v>7855.6077003029586</c:v>
                </c:pt>
                <c:pt idx="4">
                  <c:v>6389.350288846219</c:v>
                </c:pt>
                <c:pt idx="5">
                  <c:v>5094.6622915106454</c:v>
                </c:pt>
                <c:pt idx="6">
                  <c:v>3701.6967015959913</c:v>
                </c:pt>
                <c:pt idx="7">
                  <c:v>3419.7384383850404</c:v>
                </c:pt>
                <c:pt idx="8">
                  <c:v>3624.801332220025</c:v>
                </c:pt>
                <c:pt idx="9">
                  <c:v>6245.1913819056608</c:v>
                </c:pt>
                <c:pt idx="10">
                  <c:v>2416.829925653286</c:v>
                </c:pt>
                <c:pt idx="11">
                  <c:v>1518.3837359009042</c:v>
                </c:pt>
                <c:pt idx="12">
                  <c:v>1133.7979125676998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17-C242-890C-CC0C6AC78943}"/>
            </c:ext>
          </c:extLst>
        </c:ser>
        <c:ser>
          <c:idx val="2"/>
          <c:order val="2"/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Balance'!$AJ$2:$AJ$14</c:f>
              <c:numCache>
                <c:formatCode>General</c:formatCode>
                <c:ptCount val="13"/>
                <c:pt idx="0">
                  <c:v>27432.238226037778</c:v>
                </c:pt>
                <c:pt idx="1">
                  <c:v>29151.658859141411</c:v>
                </c:pt>
                <c:pt idx="2">
                  <c:v>25218.893040296483</c:v>
                </c:pt>
                <c:pt idx="3">
                  <c:v>22392.713882571945</c:v>
                </c:pt>
                <c:pt idx="4">
                  <c:v>17764.569589548075</c:v>
                </c:pt>
                <c:pt idx="5">
                  <c:v>27370.871853588465</c:v>
                </c:pt>
                <c:pt idx="6">
                  <c:v>22492.929372320094</c:v>
                </c:pt>
                <c:pt idx="7">
                  <c:v>17699.523436982414</c:v>
                </c:pt>
                <c:pt idx="8">
                  <c:v>12157.816544601475</c:v>
                </c:pt>
                <c:pt idx="9">
                  <c:v>5954.6807708659371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17-C242-890C-CC0C6AC78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29420304"/>
        <c:axId val="-2022369424"/>
      </c:barChart>
      <c:catAx>
        <c:axId val="-202942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Date</a:t>
                </a:r>
              </a:p>
            </c:rich>
          </c:tx>
          <c:layout>
            <c:manualLayout>
              <c:xMode val="edge"/>
              <c:yMode val="edge"/>
              <c:x val="0.48491933049137098"/>
              <c:y val="0.867463617463617"/>
            </c:manualLayout>
          </c:layout>
          <c:overlay val="0"/>
        </c:title>
        <c:numFmt formatCode="m/d;@" sourceLinked="0"/>
        <c:majorTickMark val="none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2369424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22369424"/>
        <c:scaling>
          <c:orientation val="minMax"/>
          <c:max val="125000"/>
          <c:min val="-25000"/>
        </c:scaling>
        <c:delete val="0"/>
        <c:axPos val="l"/>
        <c:majorGridlines/>
        <c:numFmt formatCode="#,##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9420304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3.3533342499210798E-2"/>
                <c:y val="0.24168399168399199"/>
              </c:manualLayout>
            </c:layout>
            <c:tx>
              <c:rich>
                <a:bodyPr/>
                <a:lstStyle/>
                <a:p>
                  <a:pPr>
                    <a:defRPr sz="1600" b="0"/>
                  </a:pPr>
                  <a:r>
                    <a:rPr lang="en-US" sz="1600" b="0"/>
                    <a:t>Weekly Flux (1000 m</a:t>
                  </a:r>
                  <a:r>
                    <a:rPr lang="en-US" sz="1600" b="0" baseline="30000"/>
                    <a:t>3</a:t>
                  </a:r>
                  <a:r>
                    <a:rPr lang="en-US" sz="1600" b="0"/>
                    <a:t>)</a:t>
                  </a:r>
                </a:p>
              </c:rich>
            </c:tx>
          </c:dispUnitsLbl>
        </c:dispUnits>
      </c:valAx>
      <c:spPr>
        <a:ln w="19050">
          <a:solidFill>
            <a:schemeClr val="tx1"/>
          </a:solidFill>
        </a:ln>
      </c:spPr>
    </c:plotArea>
    <c:legend>
      <c:legendPos val="t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tx>
            <c:v>GE</c:v>
          </c:tx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Balance'!$AC$2:$AC$14</c:f>
              <c:numCache>
                <c:formatCode>General</c:formatCode>
                <c:ptCount val="13"/>
                <c:pt idx="0">
                  <c:v>74888.163615842961</c:v>
                </c:pt>
                <c:pt idx="1">
                  <c:v>11976.561984916914</c:v>
                </c:pt>
                <c:pt idx="2">
                  <c:v>4613.1806185357145</c:v>
                </c:pt>
                <c:pt idx="3">
                  <c:v>6845.0500858766627</c:v>
                </c:pt>
                <c:pt idx="4">
                  <c:v>42270.665338255167</c:v>
                </c:pt>
                <c:pt idx="5">
                  <c:v>15360.932453834059</c:v>
                </c:pt>
                <c:pt idx="6">
                  <c:v>7044.9779947426414</c:v>
                </c:pt>
                <c:pt idx="7">
                  <c:v>4200.1048330001968</c:v>
                </c:pt>
                <c:pt idx="8">
                  <c:v>334.5619115323542</c:v>
                </c:pt>
                <c:pt idx="9">
                  <c:v>2697.4859675762395</c:v>
                </c:pt>
                <c:pt idx="10">
                  <c:v>2115.1602487790442</c:v>
                </c:pt>
                <c:pt idx="11">
                  <c:v>201.72690683549109</c:v>
                </c:pt>
                <c:pt idx="12">
                  <c:v>2389.8656190241181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3-D540-B2CF-9917949D8516}"/>
            </c:ext>
          </c:extLst>
        </c:ser>
        <c:ser>
          <c:idx val="1"/>
          <c:order val="1"/>
          <c:tx>
            <c:v>ET</c:v>
          </c:tx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Balance'!$AK$2:$AK$14</c:f>
              <c:numCache>
                <c:formatCode>General</c:formatCode>
                <c:ptCount val="13"/>
                <c:pt idx="0">
                  <c:v>5116.6541585427103</c:v>
                </c:pt>
                <c:pt idx="1">
                  <c:v>4281.1399073108769</c:v>
                </c:pt>
                <c:pt idx="2">
                  <c:v>3669.4194096533934</c:v>
                </c:pt>
                <c:pt idx="3">
                  <c:v>2738.0543547777988</c:v>
                </c:pt>
                <c:pt idx="4">
                  <c:v>3134.4051052247614</c:v>
                </c:pt>
                <c:pt idx="5">
                  <c:v>3346.7574206050163</c:v>
                </c:pt>
                <c:pt idx="6">
                  <c:v>4935.4266437637325</c:v>
                </c:pt>
                <c:pt idx="7">
                  <c:v>3302.7879216165502</c:v>
                </c:pt>
                <c:pt idx="8">
                  <c:v>2147.3145252920358</c:v>
                </c:pt>
                <c:pt idx="9">
                  <c:v>3369.6992343106303</c:v>
                </c:pt>
                <c:pt idx="10">
                  <c:v>3719.4239894694629</c:v>
                </c:pt>
                <c:pt idx="11">
                  <c:v>5999.2894305720811</c:v>
                </c:pt>
                <c:pt idx="12">
                  <c:v>3531.4050241307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63-D540-B2CF-9917949D8516}"/>
            </c:ext>
          </c:extLst>
        </c:ser>
        <c:ser>
          <c:idx val="2"/>
          <c:order val="2"/>
          <c:tx>
            <c:v>Sluice</c:v>
          </c:tx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Balance'!$AG$2:$AG$14</c:f>
              <c:numCache>
                <c:formatCode>General</c:formatCode>
                <c:ptCount val="13"/>
                <c:pt idx="0">
                  <c:v>23405.155823558664</c:v>
                </c:pt>
                <c:pt idx="1">
                  <c:v>25193.283535709095</c:v>
                </c:pt>
                <c:pt idx="2">
                  <c:v>21926.372844544734</c:v>
                </c:pt>
                <c:pt idx="3">
                  <c:v>19835.70791529437</c:v>
                </c:pt>
                <c:pt idx="4">
                  <c:v>16982.671869589351</c:v>
                </c:pt>
                <c:pt idx="5">
                  <c:v>14493.174834772584</c:v>
                </c:pt>
                <c:pt idx="6">
                  <c:v>10668.519457303213</c:v>
                </c:pt>
                <c:pt idx="7">
                  <c:v>7923.6964077115736</c:v>
                </c:pt>
                <c:pt idx="8">
                  <c:v>5865.7513414196319</c:v>
                </c:pt>
                <c:pt idx="9">
                  <c:v>3952.7723762992109</c:v>
                </c:pt>
                <c:pt idx="10">
                  <c:v>2156.9270919161754</c:v>
                </c:pt>
                <c:pt idx="11">
                  <c:v>634.00068697824236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63-D540-B2CF-9917949D8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64359600"/>
        <c:axId val="-2038020464"/>
      </c:barChart>
      <c:catAx>
        <c:axId val="-2064359600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none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38020464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38020464"/>
        <c:scaling>
          <c:orientation val="minMax"/>
          <c:max val="125000"/>
          <c:min val="-25000"/>
        </c:scaling>
        <c:delete val="0"/>
        <c:axPos val="l"/>
        <c:majorGridlines/>
        <c:numFmt formatCode="#,##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64359600"/>
        <c:crosses val="autoZero"/>
        <c:crossBetween val="between"/>
        <c:majorUnit val="25000"/>
        <c:dispUnits>
          <c:builtInUnit val="thousands"/>
        </c:dispUnits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Balance'!$AD$2:$AD$14</c:f>
              <c:numCache>
                <c:formatCode>General</c:formatCode>
                <c:ptCount val="13"/>
                <c:pt idx="0">
                  <c:v>82685.145296885923</c:v>
                </c:pt>
                <c:pt idx="1">
                  <c:v>24844.267805604584</c:v>
                </c:pt>
                <c:pt idx="2">
                  <c:v>25937.470513104123</c:v>
                </c:pt>
                <c:pt idx="3">
                  <c:v>30058.167418255438</c:v>
                </c:pt>
                <c:pt idx="4">
                  <c:v>26244.273092342239</c:v>
                </c:pt>
                <c:pt idx="5">
                  <c:v>38837.523605607676</c:v>
                </c:pt>
                <c:pt idx="6">
                  <c:v>42057.64674031407</c:v>
                </c:pt>
                <c:pt idx="7">
                  <c:v>38608.456377587303</c:v>
                </c:pt>
                <c:pt idx="8">
                  <c:v>8812.1623972347552</c:v>
                </c:pt>
                <c:pt idx="9">
                  <c:v>31594.522269860696</c:v>
                </c:pt>
                <c:pt idx="10">
                  <c:v>22853.621528029802</c:v>
                </c:pt>
                <c:pt idx="11">
                  <c:v>6359.0923591540877</c:v>
                </c:pt>
                <c:pt idx="12">
                  <c:v>3586.8512548495733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5-2243-97AF-119D9E7B06C3}"/>
            </c:ext>
          </c:extLst>
        </c:ser>
        <c:ser>
          <c:idx val="1"/>
          <c:order val="1"/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Balance'!$AL$2:$AL$14</c:f>
              <c:numCache>
                <c:formatCode>General</c:formatCode>
                <c:ptCount val="13"/>
                <c:pt idx="0">
                  <c:v>13064.67720850655</c:v>
                </c:pt>
                <c:pt idx="1">
                  <c:v>15603.174782967128</c:v>
                </c:pt>
                <c:pt idx="2">
                  <c:v>14435.278777560907</c:v>
                </c:pt>
                <c:pt idx="3">
                  <c:v>4893.340716917839</c:v>
                </c:pt>
                <c:pt idx="4">
                  <c:v>7600.1541503440276</c:v>
                </c:pt>
                <c:pt idx="5">
                  <c:v>6253.2142512307</c:v>
                </c:pt>
                <c:pt idx="6">
                  <c:v>10514.966368024105</c:v>
                </c:pt>
                <c:pt idx="7">
                  <c:v>21089.532404040685</c:v>
                </c:pt>
                <c:pt idx="8">
                  <c:v>19768.744623445615</c:v>
                </c:pt>
                <c:pt idx="9">
                  <c:v>16266.798771411224</c:v>
                </c:pt>
                <c:pt idx="10">
                  <c:v>15913.530364043445</c:v>
                </c:pt>
                <c:pt idx="11">
                  <c:v>12882.45326038549</c:v>
                </c:pt>
                <c:pt idx="12">
                  <c:v>6434.4047824233958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15-2243-97AF-119D9E7B06C3}"/>
            </c:ext>
          </c:extLst>
        </c:ser>
        <c:ser>
          <c:idx val="2"/>
          <c:order val="2"/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Balance'!$AH$2:$AH$14</c:f>
              <c:numCache>
                <c:formatCode>General</c:formatCode>
                <c:ptCount val="13"/>
                <c:pt idx="0">
                  <c:v>20946.963492082345</c:v>
                </c:pt>
                <c:pt idx="1">
                  <c:v>25899.484373120667</c:v>
                </c:pt>
                <c:pt idx="2">
                  <c:v>21453.889417184888</c:v>
                </c:pt>
                <c:pt idx="3">
                  <c:v>18461.610666367444</c:v>
                </c:pt>
                <c:pt idx="4">
                  <c:v>14507.24704194946</c:v>
                </c:pt>
                <c:pt idx="5">
                  <c:v>19304.064103592278</c:v>
                </c:pt>
                <c:pt idx="6">
                  <c:v>13694.58461179834</c:v>
                </c:pt>
                <c:pt idx="7">
                  <c:v>8278.3859531941052</c:v>
                </c:pt>
                <c:pt idx="8">
                  <c:v>1895.262051857065</c:v>
                </c:pt>
                <c:pt idx="9">
                  <c:v>1062.5917736859728</c:v>
                </c:pt>
                <c:pt idx="10">
                  <c:v>694.9999388389565</c:v>
                </c:pt>
                <c:pt idx="11">
                  <c:v>331.60282255318657</c:v>
                </c:pt>
                <c:pt idx="12">
                  <c:v>80.835369258619281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15-2243-97AF-119D9E7B0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28826112"/>
        <c:axId val="-2028828752"/>
      </c:barChart>
      <c:catAx>
        <c:axId val="-2028826112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none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8828752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28828752"/>
        <c:scaling>
          <c:orientation val="minMax"/>
          <c:max val="125000"/>
          <c:min val="-25000"/>
        </c:scaling>
        <c:delete val="0"/>
        <c:axPos val="l"/>
        <c:majorGridlines/>
        <c:numFmt formatCode="#,##0" sourceLinked="0"/>
        <c:majorTickMark val="in"/>
        <c:minorTickMark val="none"/>
        <c:tickLblPos val="none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8826112"/>
        <c:crosses val="autoZero"/>
        <c:crossBetween val="between"/>
        <c:majorUnit val="25000"/>
        <c:dispUnits>
          <c:builtInUnit val="thousands"/>
        </c:dispUnits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Balance'!$AE$2:$AE$14</c:f>
              <c:numCache>
                <c:formatCode>General</c:formatCode>
                <c:ptCount val="13"/>
                <c:pt idx="0">
                  <c:v>46219.300009180712</c:v>
                </c:pt>
                <c:pt idx="1">
                  <c:v>33404.888249160329</c:v>
                </c:pt>
                <c:pt idx="2">
                  <c:v>18434.910568782987</c:v>
                </c:pt>
                <c:pt idx="3">
                  <c:v>17510.851372483896</c:v>
                </c:pt>
                <c:pt idx="4">
                  <c:v>-20397.089065399843</c:v>
                </c:pt>
                <c:pt idx="5">
                  <c:v>20571.002545529172</c:v>
                </c:pt>
                <c:pt idx="6">
                  <c:v>14309.548659417947</c:v>
                </c:pt>
                <c:pt idx="7">
                  <c:v>6811.1889105284099</c:v>
                </c:pt>
                <c:pt idx="8">
                  <c:v>620.80506467664532</c:v>
                </c:pt>
                <c:pt idx="9">
                  <c:v>9573.9485392988099</c:v>
                </c:pt>
                <c:pt idx="10">
                  <c:v>6498.5831390871008</c:v>
                </c:pt>
                <c:pt idx="11">
                  <c:v>4443.2065378052466</c:v>
                </c:pt>
                <c:pt idx="12">
                  <c:v>2652.0520310922311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A-F34C-8F3A-54188D470A59}"/>
            </c:ext>
          </c:extLst>
        </c:ser>
        <c:ser>
          <c:idx val="1"/>
          <c:order val="1"/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Balance'!$AM$2:$AM$14</c:f>
              <c:numCache>
                <c:formatCode>General</c:formatCode>
                <c:ptCount val="13"/>
                <c:pt idx="0">
                  <c:v>6286.5990705426429</c:v>
                </c:pt>
                <c:pt idx="1">
                  <c:v>5165.34289673079</c:v>
                </c:pt>
                <c:pt idx="2">
                  <c:v>7815.9539991397614</c:v>
                </c:pt>
                <c:pt idx="3">
                  <c:v>5074.9801337110748</c:v>
                </c:pt>
                <c:pt idx="4">
                  <c:v>3827.4872240782656</c:v>
                </c:pt>
                <c:pt idx="5">
                  <c:v>5343.350871061356</c:v>
                </c:pt>
                <c:pt idx="6">
                  <c:v>7858.5157243615113</c:v>
                </c:pt>
                <c:pt idx="7">
                  <c:v>9931.4385796463721</c:v>
                </c:pt>
                <c:pt idx="8">
                  <c:v>6945.1193549883556</c:v>
                </c:pt>
                <c:pt idx="9">
                  <c:v>6050.610326442873</c:v>
                </c:pt>
                <c:pt idx="10">
                  <c:v>6460.2762656250825</c:v>
                </c:pt>
                <c:pt idx="11">
                  <c:v>5107.2141869532079</c:v>
                </c:pt>
                <c:pt idx="12">
                  <c:v>3523.5426456357095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A-F34C-8F3A-54188D470A59}"/>
            </c:ext>
          </c:extLst>
        </c:ser>
        <c:ser>
          <c:idx val="2"/>
          <c:order val="2"/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Balance'!$AI$2:$AI$14</c:f>
              <c:numCache>
                <c:formatCode>General</c:formatCode>
                <c:ptCount val="13"/>
                <c:pt idx="0">
                  <c:v>6976.3717453702175</c:v>
                </c:pt>
                <c:pt idx="1">
                  <c:v>8812.5447807540659</c:v>
                </c:pt>
                <c:pt idx="2">
                  <c:v>7529.0080644625587</c:v>
                </c:pt>
                <c:pt idx="3">
                  <c:v>6602.4433655568573</c:v>
                </c:pt>
                <c:pt idx="4">
                  <c:v>5617.4667213074335</c:v>
                </c:pt>
                <c:pt idx="5">
                  <c:v>7872.1132150031735</c:v>
                </c:pt>
                <c:pt idx="6">
                  <c:v>6784.8970850226697</c:v>
                </c:pt>
                <c:pt idx="7">
                  <c:v>5890.2122210876732</c:v>
                </c:pt>
                <c:pt idx="8">
                  <c:v>5066.2909533285019</c:v>
                </c:pt>
                <c:pt idx="9">
                  <c:v>4318.8366485782117</c:v>
                </c:pt>
                <c:pt idx="10">
                  <c:v>3283.8908306678363</c:v>
                </c:pt>
                <c:pt idx="11">
                  <c:v>2237.3659297951835</c:v>
                </c:pt>
                <c:pt idx="12">
                  <c:v>1449.8829426537334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5A-F34C-8F3A-54188D470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65226736"/>
        <c:axId val="-2065251344"/>
      </c:barChart>
      <c:catAx>
        <c:axId val="-2065226736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65251344"/>
        <c:crossesAt val="0"/>
        <c:auto val="0"/>
        <c:lblAlgn val="ctr"/>
        <c:lblOffset val="100"/>
        <c:tickLblSkip val="2"/>
        <c:tickMarkSkip val="2"/>
        <c:noMultiLvlLbl val="0"/>
      </c:catAx>
      <c:valAx>
        <c:axId val="-2065251344"/>
        <c:scaling>
          <c:orientation val="minMax"/>
          <c:max val="125000"/>
          <c:min val="-25000"/>
        </c:scaling>
        <c:delete val="0"/>
        <c:axPos val="l"/>
        <c:majorGridlines/>
        <c:numFmt formatCode="#,##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65226736"/>
        <c:crosses val="autoZero"/>
        <c:crossBetween val="between"/>
        <c:majorUnit val="25000"/>
        <c:dispUnits>
          <c:builtInUnit val="thousands"/>
        </c:dispUnits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Balance'!$AF$2:$AF$14</c:f>
              <c:numCache>
                <c:formatCode>General</c:formatCode>
                <c:ptCount val="13"/>
                <c:pt idx="0">
                  <c:v>31417.713108205473</c:v>
                </c:pt>
                <c:pt idx="1">
                  <c:v>-10837.645106523682</c:v>
                </c:pt>
                <c:pt idx="2">
                  <c:v>-12489.911114761571</c:v>
                </c:pt>
                <c:pt idx="3">
                  <c:v>-6120.2374628800089</c:v>
                </c:pt>
                <c:pt idx="4">
                  <c:v>-22530.337213889998</c:v>
                </c:pt>
                <c:pt idx="5">
                  <c:v>-4817.5510369540198</c:v>
                </c:pt>
                <c:pt idx="6">
                  <c:v>-268.21169137197376</c:v>
                </c:pt>
                <c:pt idx="7">
                  <c:v>3572.3891250154375</c:v>
                </c:pt>
                <c:pt idx="8">
                  <c:v>-4321.4085822703364</c:v>
                </c:pt>
                <c:pt idx="9">
                  <c:v>14841.619213571812</c:v>
                </c:pt>
                <c:pt idx="10">
                  <c:v>5313.6873151700474</c:v>
                </c:pt>
                <c:pt idx="11">
                  <c:v>3316.750713862044</c:v>
                </c:pt>
                <c:pt idx="12">
                  <c:v>904.78818466914754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F-8F40-8BAE-26EA023890D9}"/>
            </c:ext>
          </c:extLst>
        </c:ser>
        <c:ser>
          <c:idx val="1"/>
          <c:order val="1"/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Balance'!$AN$2:$AN$14</c:f>
              <c:numCache>
                <c:formatCode>General</c:formatCode>
                <c:ptCount val="13"/>
                <c:pt idx="0">
                  <c:v>5550.2524499001102</c:v>
                </c:pt>
                <c:pt idx="1">
                  <c:v>9993.0744153034193</c:v>
                </c:pt>
                <c:pt idx="2">
                  <c:v>7608.8073796893477</c:v>
                </c:pt>
                <c:pt idx="3">
                  <c:v>7855.6077003029586</c:v>
                </c:pt>
                <c:pt idx="4">
                  <c:v>6389.350288846219</c:v>
                </c:pt>
                <c:pt idx="5">
                  <c:v>5094.6622915106454</c:v>
                </c:pt>
                <c:pt idx="6">
                  <c:v>3701.6967015959913</c:v>
                </c:pt>
                <c:pt idx="7">
                  <c:v>3419.7384383850404</c:v>
                </c:pt>
                <c:pt idx="8">
                  <c:v>3624.801332220025</c:v>
                </c:pt>
                <c:pt idx="9">
                  <c:v>6245.1913819056608</c:v>
                </c:pt>
                <c:pt idx="10">
                  <c:v>2416.829925653286</c:v>
                </c:pt>
                <c:pt idx="11">
                  <c:v>1518.3837359009042</c:v>
                </c:pt>
                <c:pt idx="12">
                  <c:v>1133.7979125676998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F-8F40-8BAE-26EA023890D9}"/>
            </c:ext>
          </c:extLst>
        </c:ser>
        <c:ser>
          <c:idx val="2"/>
          <c:order val="2"/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Balance'!$AJ$2:$AJ$14</c:f>
              <c:numCache>
                <c:formatCode>General</c:formatCode>
                <c:ptCount val="13"/>
                <c:pt idx="0">
                  <c:v>27432.238226037778</c:v>
                </c:pt>
                <c:pt idx="1">
                  <c:v>29151.658859141411</c:v>
                </c:pt>
                <c:pt idx="2">
                  <c:v>25218.893040296483</c:v>
                </c:pt>
                <c:pt idx="3">
                  <c:v>22392.713882571945</c:v>
                </c:pt>
                <c:pt idx="4">
                  <c:v>17764.569589548075</c:v>
                </c:pt>
                <c:pt idx="5">
                  <c:v>27370.871853588465</c:v>
                </c:pt>
                <c:pt idx="6">
                  <c:v>22492.929372320094</c:v>
                </c:pt>
                <c:pt idx="7">
                  <c:v>17699.523436982414</c:v>
                </c:pt>
                <c:pt idx="8">
                  <c:v>12157.816544601475</c:v>
                </c:pt>
                <c:pt idx="9">
                  <c:v>5954.6807708659371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F-8F40-8BAE-26EA02389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65444384"/>
        <c:axId val="-2065441104"/>
      </c:barChart>
      <c:catAx>
        <c:axId val="-2065444384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65441104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65441104"/>
        <c:scaling>
          <c:orientation val="minMax"/>
          <c:max val="125000"/>
          <c:min val="-25000"/>
        </c:scaling>
        <c:delete val="0"/>
        <c:axPos val="l"/>
        <c:majorGridlines/>
        <c:numFmt formatCode="#,##0" sourceLinked="0"/>
        <c:majorTickMark val="in"/>
        <c:minorTickMark val="none"/>
        <c:tickLblPos val="none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65444384"/>
        <c:crosses val="autoZero"/>
        <c:crossBetween val="between"/>
        <c:majorUnit val="25000"/>
        <c:dispUnits>
          <c:builtInUnit val="thousands"/>
        </c:dispUnits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Balance'!$AP$2:$AP$14</c:f>
              <c:numCache>
                <c:formatCode>General</c:formatCode>
                <c:ptCount val="13"/>
                <c:pt idx="0">
                  <c:v>0.2093602561248056</c:v>
                </c:pt>
                <c:pt idx="1">
                  <c:v>3.3482141417156594E-2</c:v>
                </c:pt>
                <c:pt idx="2">
                  <c:v>1.2896786744578458E-2</c:v>
                </c:pt>
                <c:pt idx="3">
                  <c:v>1.9136287631749127E-2</c:v>
                </c:pt>
                <c:pt idx="4">
                  <c:v>0.11817351226797643</c:v>
                </c:pt>
                <c:pt idx="5">
                  <c:v>4.2943618825367791E-2</c:v>
                </c:pt>
                <c:pt idx="6">
                  <c:v>1.9695213851670789E-2</c:v>
                </c:pt>
                <c:pt idx="7">
                  <c:v>1.1741976049762921E-2</c:v>
                </c:pt>
                <c:pt idx="8">
                  <c:v>9.3531426204180657E-4</c:v>
                </c:pt>
                <c:pt idx="9">
                  <c:v>7.5411964427627605E-3</c:v>
                </c:pt>
                <c:pt idx="10">
                  <c:v>5.9132240670367467E-3</c:v>
                </c:pt>
                <c:pt idx="11">
                  <c:v>5.6395556845258903E-4</c:v>
                </c:pt>
                <c:pt idx="12">
                  <c:v>6.6812010596145324E-3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6-5D41-9D54-EB71E075F0B2}"/>
            </c:ext>
          </c:extLst>
        </c:ser>
        <c:ser>
          <c:idx val="1"/>
          <c:order val="1"/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Balance'!$AX$2:$AX$14</c:f>
              <c:numCache>
                <c:formatCode>General</c:formatCode>
                <c:ptCount val="13"/>
                <c:pt idx="0">
                  <c:v>1.4304316909540706E-2</c:v>
                </c:pt>
                <c:pt idx="1">
                  <c:v>1.1968520847947656E-2</c:v>
                </c:pt>
                <c:pt idx="2">
                  <c:v>1.0258371287820501E-2</c:v>
                </c:pt>
                <c:pt idx="3">
                  <c:v>7.6546110002174974E-3</c:v>
                </c:pt>
                <c:pt idx="4">
                  <c:v>8.7626645379501305E-3</c:v>
                </c:pt>
                <c:pt idx="5">
                  <c:v>9.3563249108331459E-3</c:v>
                </c:pt>
                <c:pt idx="6">
                  <c:v>1.3797670236968779E-2</c:v>
                </c:pt>
                <c:pt idx="7">
                  <c:v>9.2334020732920043E-3</c:v>
                </c:pt>
                <c:pt idx="8">
                  <c:v>6.0031158101538605E-3</c:v>
                </c:pt>
                <c:pt idx="9">
                  <c:v>9.4204619354504616E-3</c:v>
                </c:pt>
                <c:pt idx="10">
                  <c:v>1.0398166031505347E-2</c:v>
                </c:pt>
                <c:pt idx="11">
                  <c:v>1.6771846325334305E-2</c:v>
                </c:pt>
                <c:pt idx="12">
                  <c:v>9.8725329162166614E-3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6-5D41-9D54-EB71E075F0B2}"/>
            </c:ext>
          </c:extLst>
        </c:ser>
        <c:ser>
          <c:idx val="2"/>
          <c:order val="2"/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Balance'!$AU$2:$AU$14</c:f>
              <c:numCache>
                <c:formatCode>General</c:formatCode>
                <c:ptCount val="13"/>
                <c:pt idx="0">
                  <c:v>3.1907027406066026E-2</c:v>
                </c:pt>
                <c:pt idx="1">
                  <c:v>3.9450852053496827E-2</c:v>
                </c:pt>
                <c:pt idx="2">
                  <c:v>3.2679191800738597E-2</c:v>
                </c:pt>
                <c:pt idx="3">
                  <c:v>2.8121265295304562E-2</c:v>
                </c:pt>
                <c:pt idx="4">
                  <c:v>2.2097862973266505E-2</c:v>
                </c:pt>
                <c:pt idx="5">
                  <c:v>2.9404515009279937E-2</c:v>
                </c:pt>
                <c:pt idx="6">
                  <c:v>2.0859991792533648E-2</c:v>
                </c:pt>
                <c:pt idx="7">
                  <c:v>1.2609879593593458E-2</c:v>
                </c:pt>
                <c:pt idx="8">
                  <c:v>2.8869185862255369E-3</c:v>
                </c:pt>
                <c:pt idx="9">
                  <c:v>1.6185708662391056E-3</c:v>
                </c:pt>
                <c:pt idx="10">
                  <c:v>1.0586442328087684E-3</c:v>
                </c:pt>
                <c:pt idx="11">
                  <c:v>5.0510711736966724E-4</c:v>
                </c:pt>
                <c:pt idx="12">
                  <c:v>1.2313079856606136E-4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6-5D41-9D54-EB71E075F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65490336"/>
        <c:axId val="-2065487056"/>
      </c:barChart>
      <c:catAx>
        <c:axId val="-2065490336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none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65487056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65487056"/>
        <c:scaling>
          <c:orientation val="minMax"/>
          <c:max val="0.45"/>
          <c:min val="-0.15"/>
        </c:scaling>
        <c:delete val="0"/>
        <c:axPos val="l"/>
        <c:majorGridlines/>
        <c:numFmt formatCode="#,##0.0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65490336"/>
        <c:crosses val="autoZero"/>
        <c:crossBetween val="between"/>
        <c:majorUnit val="0.15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Balance'!$AQ$2:$AQ$14</c:f>
              <c:numCache>
                <c:formatCode>General</c:formatCode>
                <c:ptCount val="13"/>
                <c:pt idx="0">
                  <c:v>0.12594843152610194</c:v>
                </c:pt>
                <c:pt idx="1">
                  <c:v>3.784351531699099E-2</c:v>
                </c:pt>
                <c:pt idx="2">
                  <c:v>3.9508713652862334E-2</c:v>
                </c:pt>
                <c:pt idx="3">
                  <c:v>4.5785479692696786E-2</c:v>
                </c:pt>
                <c:pt idx="4">
                  <c:v>3.9976044314306534E-2</c:v>
                </c:pt>
                <c:pt idx="5">
                  <c:v>5.9158451798336141E-2</c:v>
                </c:pt>
                <c:pt idx="6">
                  <c:v>6.4063437532847017E-2</c:v>
                </c:pt>
                <c:pt idx="7">
                  <c:v>5.8809529897315006E-2</c:v>
                </c:pt>
                <c:pt idx="8">
                  <c:v>1.3422943483982871E-2</c:v>
                </c:pt>
                <c:pt idx="9">
                  <c:v>4.8125700334898242E-2</c:v>
                </c:pt>
                <c:pt idx="10">
                  <c:v>3.4811304688545014E-2</c:v>
                </c:pt>
                <c:pt idx="11">
                  <c:v>9.6863554594883283E-3</c:v>
                </c:pt>
                <c:pt idx="12">
                  <c:v>5.4635967324441325E-3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25-8C4F-90F9-2A1B8E6CFF23}"/>
            </c:ext>
          </c:extLst>
        </c:ser>
        <c:ser>
          <c:idx val="1"/>
          <c:order val="1"/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Balance'!$AY$2:$AY$14</c:f>
              <c:numCache>
                <c:formatCode>General</c:formatCode>
                <c:ptCount val="13"/>
                <c:pt idx="0">
                  <c:v>1.9900498413566718E-2</c:v>
                </c:pt>
                <c:pt idx="1">
                  <c:v>2.3767212159888997E-2</c:v>
                </c:pt>
                <c:pt idx="2">
                  <c:v>2.1988238808165889E-2</c:v>
                </c:pt>
                <c:pt idx="3">
                  <c:v>7.4536796906593131E-3</c:v>
                </c:pt>
                <c:pt idx="4">
                  <c:v>1.157677707592388E-2</c:v>
                </c:pt>
                <c:pt idx="5">
                  <c:v>9.5250788289881188E-3</c:v>
                </c:pt>
                <c:pt idx="6">
                  <c:v>1.6016704292496731E-2</c:v>
                </c:pt>
                <c:pt idx="7">
                  <c:v>3.2124192542331585E-2</c:v>
                </c:pt>
                <c:pt idx="8">
                  <c:v>3.0112329967167731E-2</c:v>
                </c:pt>
                <c:pt idx="9">
                  <c:v>2.4778063627435225E-2</c:v>
                </c:pt>
                <c:pt idx="10">
                  <c:v>2.4239954857644241E-2</c:v>
                </c:pt>
                <c:pt idx="11">
                  <c:v>1.9622929566466853E-2</c:v>
                </c:pt>
                <c:pt idx="12">
                  <c:v>9.8010735451993843E-3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25-8C4F-90F9-2A1B8E6CFF23}"/>
            </c:ext>
          </c:extLst>
        </c:ser>
        <c:ser>
          <c:idx val="2"/>
          <c:order val="2"/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Balance'!$AU$2:$AU$14</c:f>
              <c:numCache>
                <c:formatCode>General</c:formatCode>
                <c:ptCount val="13"/>
                <c:pt idx="0">
                  <c:v>3.1907027406066026E-2</c:v>
                </c:pt>
                <c:pt idx="1">
                  <c:v>3.9450852053496827E-2</c:v>
                </c:pt>
                <c:pt idx="2">
                  <c:v>3.2679191800738597E-2</c:v>
                </c:pt>
                <c:pt idx="3">
                  <c:v>2.8121265295304562E-2</c:v>
                </c:pt>
                <c:pt idx="4">
                  <c:v>2.2097862973266505E-2</c:v>
                </c:pt>
                <c:pt idx="5">
                  <c:v>2.9404515009279937E-2</c:v>
                </c:pt>
                <c:pt idx="6">
                  <c:v>2.0859991792533648E-2</c:v>
                </c:pt>
                <c:pt idx="7">
                  <c:v>1.2609879593593458E-2</c:v>
                </c:pt>
                <c:pt idx="8">
                  <c:v>2.8869185862255369E-3</c:v>
                </c:pt>
                <c:pt idx="9">
                  <c:v>1.6185708662391056E-3</c:v>
                </c:pt>
                <c:pt idx="10">
                  <c:v>1.0586442328087684E-3</c:v>
                </c:pt>
                <c:pt idx="11">
                  <c:v>5.0510711736966724E-4</c:v>
                </c:pt>
                <c:pt idx="12">
                  <c:v>1.2313079856606136E-4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25-8C4F-90F9-2A1B8E6CF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28849552"/>
        <c:axId val="-2028119344"/>
      </c:barChart>
      <c:catAx>
        <c:axId val="-2028849552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none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8119344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28119344"/>
        <c:scaling>
          <c:orientation val="minMax"/>
          <c:max val="0.45"/>
          <c:min val="-0.15"/>
        </c:scaling>
        <c:delete val="0"/>
        <c:axPos val="l"/>
        <c:majorGridlines/>
        <c:numFmt formatCode="#,##0" sourceLinked="0"/>
        <c:majorTickMark val="in"/>
        <c:minorTickMark val="none"/>
        <c:tickLblPos val="none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8849552"/>
        <c:crosses val="autoZero"/>
        <c:crossBetween val="between"/>
        <c:majorUnit val="0.15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Balance'!$AR$2:$AR$14</c:f>
              <c:numCache>
                <c:formatCode>General</c:formatCode>
                <c:ptCount val="13"/>
                <c:pt idx="0">
                  <c:v>0.19501814349865279</c:v>
                </c:pt>
                <c:pt idx="1">
                  <c:v>0.14094889556607734</c:v>
                </c:pt>
                <c:pt idx="2">
                  <c:v>7.7784432779675047E-2</c:v>
                </c:pt>
                <c:pt idx="3">
                  <c:v>7.3885448829045977E-2</c:v>
                </c:pt>
                <c:pt idx="4">
                  <c:v>-8.6063666942615372E-2</c:v>
                </c:pt>
                <c:pt idx="5">
                  <c:v>8.6797479095059804E-2</c:v>
                </c:pt>
                <c:pt idx="6">
                  <c:v>6.0377842444801468E-2</c:v>
                </c:pt>
                <c:pt idx="7">
                  <c:v>2.8739193715309745E-2</c:v>
                </c:pt>
                <c:pt idx="8">
                  <c:v>2.6194306526440732E-3</c:v>
                </c:pt>
                <c:pt idx="9">
                  <c:v>4.0396407338813542E-2</c:v>
                </c:pt>
                <c:pt idx="10">
                  <c:v>2.7420182021464561E-2</c:v>
                </c:pt>
                <c:pt idx="11">
                  <c:v>1.874770691057066E-2</c:v>
                </c:pt>
                <c:pt idx="12">
                  <c:v>1.1190092958195069E-2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E-614A-A2F6-07C2DDE1ADCF}"/>
            </c:ext>
          </c:extLst>
        </c:ser>
        <c:ser>
          <c:idx val="1"/>
          <c:order val="1"/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Balance'!$AZ$2:$AZ$14</c:f>
              <c:numCache>
                <c:formatCode>General</c:formatCode>
                <c:ptCount val="13"/>
                <c:pt idx="0">
                  <c:v>2.6525734474863474E-2</c:v>
                </c:pt>
                <c:pt idx="1">
                  <c:v>2.1794695766796584E-2</c:v>
                </c:pt>
                <c:pt idx="2">
                  <c:v>3.2978708857129793E-2</c:v>
                </c:pt>
                <c:pt idx="3">
                  <c:v>2.1413418285700737E-2</c:v>
                </c:pt>
                <c:pt idx="4">
                  <c:v>1.6149735122693104E-2</c:v>
                </c:pt>
                <c:pt idx="5">
                  <c:v>2.254578426608167E-2</c:v>
                </c:pt>
                <c:pt idx="6">
                  <c:v>3.3158294195618193E-2</c:v>
                </c:pt>
                <c:pt idx="7">
                  <c:v>4.1904804133528997E-2</c:v>
                </c:pt>
                <c:pt idx="8">
                  <c:v>2.9304301075900235E-2</c:v>
                </c:pt>
                <c:pt idx="9">
                  <c:v>2.553000137739609E-2</c:v>
                </c:pt>
                <c:pt idx="10">
                  <c:v>2.725854964398769E-2</c:v>
                </c:pt>
                <c:pt idx="11">
                  <c:v>2.1549426949169653E-2</c:v>
                </c:pt>
                <c:pt idx="12">
                  <c:v>1.4867268546986116E-2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FE-614A-A2F6-07C2DDE1ADCF}"/>
            </c:ext>
          </c:extLst>
        </c:ser>
        <c:ser>
          <c:idx val="2"/>
          <c:order val="2"/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Balance'!$AV$2:$AV$14</c:f>
              <c:numCache>
                <c:formatCode>General</c:formatCode>
                <c:ptCount val="13"/>
                <c:pt idx="0">
                  <c:v>2.943616770198404E-2</c:v>
                </c:pt>
                <c:pt idx="1">
                  <c:v>3.7183733252126858E-2</c:v>
                </c:pt>
                <c:pt idx="2">
                  <c:v>3.1767966516719655E-2</c:v>
                </c:pt>
                <c:pt idx="3">
                  <c:v>2.7858410825134419E-2</c:v>
                </c:pt>
                <c:pt idx="4">
                  <c:v>2.3702391229145289E-2</c:v>
                </c:pt>
                <c:pt idx="5">
                  <c:v>3.3215667573853053E-2</c:v>
                </c:pt>
                <c:pt idx="6">
                  <c:v>2.8628257742711688E-2</c:v>
                </c:pt>
                <c:pt idx="7">
                  <c:v>2.4853216122732797E-2</c:v>
                </c:pt>
                <c:pt idx="8">
                  <c:v>2.1376755077335451E-2</c:v>
                </c:pt>
                <c:pt idx="9">
                  <c:v>1.8222939445477686E-2</c:v>
                </c:pt>
                <c:pt idx="10">
                  <c:v>1.3856079454294668E-2</c:v>
                </c:pt>
                <c:pt idx="11">
                  <c:v>9.4403625729754578E-3</c:v>
                </c:pt>
                <c:pt idx="12">
                  <c:v>6.1176495470621666E-3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FE-614A-A2F6-07C2DDE1A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65553232"/>
        <c:axId val="-2065557792"/>
      </c:barChart>
      <c:catAx>
        <c:axId val="-2065553232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65557792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65557792"/>
        <c:scaling>
          <c:orientation val="minMax"/>
          <c:max val="0.45"/>
          <c:min val="-0.15"/>
        </c:scaling>
        <c:delete val="0"/>
        <c:axPos val="l"/>
        <c:majorGridlines/>
        <c:numFmt formatCode="#,##0.0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65553232"/>
        <c:crosses val="autoZero"/>
        <c:crossBetween val="between"/>
        <c:majorUnit val="0.15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04966521936201"/>
          <c:y val="0.11694386694386701"/>
          <c:w val="0.70663670950128199"/>
          <c:h val="0.6491683991683989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Balance'!$AS$2:$AS$14</c:f>
              <c:numCache>
                <c:formatCode>General</c:formatCode>
                <c:ptCount val="13"/>
                <c:pt idx="0">
                  <c:v>0.18701019707265162</c:v>
                </c:pt>
                <c:pt idx="1">
                  <c:v>-6.4509792300736196E-2</c:v>
                </c:pt>
                <c:pt idx="2">
                  <c:v>-7.4344709016437929E-2</c:v>
                </c:pt>
                <c:pt idx="3">
                  <c:v>-3.6429984898095291E-2</c:v>
                </c:pt>
                <c:pt idx="4">
                  <c:v>-0.13410915008267857</c:v>
                </c:pt>
                <c:pt idx="5">
                  <c:v>-2.8675899029488212E-2</c:v>
                </c:pt>
                <c:pt idx="6">
                  <c:v>-1.5964981629284151E-3</c:v>
                </c:pt>
                <c:pt idx="7">
                  <c:v>2.1264220982234745E-2</c:v>
                </c:pt>
                <c:pt idx="8">
                  <c:v>-2.5722670132561527E-2</c:v>
                </c:pt>
                <c:pt idx="9">
                  <c:v>8.8342971509356022E-2</c:v>
                </c:pt>
                <c:pt idx="10">
                  <c:v>3.1629091161726471E-2</c:v>
                </c:pt>
                <c:pt idx="11">
                  <c:v>1.9742563772988359E-2</c:v>
                </c:pt>
                <c:pt idx="12">
                  <c:v>5.3856439563639731E-3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4-BC46-86DE-74BABECDF674}"/>
            </c:ext>
          </c:extLst>
        </c:ser>
        <c:ser>
          <c:idx val="1"/>
          <c:order val="1"/>
          <c:spPr>
            <a:solidFill>
              <a:schemeClr val="accent3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Balance'!$BA$2:$BA$14</c:f>
              <c:numCache>
                <c:formatCode>General</c:formatCode>
                <c:ptCount val="13"/>
                <c:pt idx="0">
                  <c:v>3.3037216963691135E-2</c:v>
                </c:pt>
                <c:pt idx="1">
                  <c:v>5.9482585805377498E-2</c:v>
                </c:pt>
                <c:pt idx="2">
                  <c:v>4.5290520117198502E-2</c:v>
                </c:pt>
                <c:pt idx="3">
                  <c:v>4.6759569644660465E-2</c:v>
                </c:pt>
                <c:pt idx="4">
                  <c:v>3.8031846957417972E-2</c:v>
                </c:pt>
                <c:pt idx="5">
                  <c:v>3.032537078280146E-2</c:v>
                </c:pt>
                <c:pt idx="6">
                  <c:v>2.2033908938071375E-2</c:v>
                </c:pt>
                <c:pt idx="7">
                  <c:v>2.0355585942768099E-2</c:v>
                </c:pt>
                <c:pt idx="8">
                  <c:v>2.1576198406071577E-2</c:v>
                </c:pt>
                <c:pt idx="9">
                  <c:v>3.7173758225628933E-2</c:v>
                </c:pt>
                <c:pt idx="10">
                  <c:v>1.4385892414602893E-2</c:v>
                </c:pt>
                <c:pt idx="11">
                  <c:v>9.0379984279815723E-3</c:v>
                </c:pt>
                <c:pt idx="12">
                  <c:v>6.7487970986172601E-3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F4-BC46-86DE-74BABECDF674}"/>
            </c:ext>
          </c:extLst>
        </c:ser>
        <c:ser>
          <c:idx val="2"/>
          <c:order val="2"/>
          <c:spPr>
            <a:solidFill>
              <a:schemeClr val="accent2"/>
            </a:solidFill>
            <a:effectLst/>
          </c:spPr>
          <c:invertIfNegative val="0"/>
          <c:cat>
            <c:numRef>
              <c:f>'Stacked Water Balance'!$AB$2:$AB$14</c:f>
              <c:numCache>
                <c:formatCode>m/d/yy</c:formatCode>
                <c:ptCount val="13"/>
                <c:pt idx="0">
                  <c:v>41568</c:v>
                </c:pt>
                <c:pt idx="1">
                  <c:v>41575</c:v>
                </c:pt>
                <c:pt idx="2">
                  <c:v>41582</c:v>
                </c:pt>
                <c:pt idx="3">
                  <c:v>41589</c:v>
                </c:pt>
                <c:pt idx="4">
                  <c:v>41596</c:v>
                </c:pt>
                <c:pt idx="5">
                  <c:v>41603</c:v>
                </c:pt>
                <c:pt idx="6">
                  <c:v>41610</c:v>
                </c:pt>
                <c:pt idx="7">
                  <c:v>41617</c:v>
                </c:pt>
                <c:pt idx="8">
                  <c:v>41624</c:v>
                </c:pt>
                <c:pt idx="9">
                  <c:v>41631</c:v>
                </c:pt>
                <c:pt idx="10">
                  <c:v>41638</c:v>
                </c:pt>
                <c:pt idx="11">
                  <c:v>41645</c:v>
                </c:pt>
                <c:pt idx="12">
                  <c:v>41652</c:v>
                </c:pt>
              </c:numCache>
            </c:numRef>
          </c:cat>
          <c:val>
            <c:numRef>
              <c:f>'Stacked Water Balance'!$AW$2:$AW$14</c:f>
              <c:numCache>
                <c:formatCode>General</c:formatCode>
                <c:ptCount val="13"/>
                <c:pt idx="0">
                  <c:v>0.16328713229784392</c:v>
                </c:pt>
                <c:pt idx="1">
                  <c:v>0.17352177892346077</c:v>
                </c:pt>
                <c:pt idx="2">
                  <c:v>0.15011245857319336</c:v>
                </c:pt>
                <c:pt idx="3">
                  <c:v>0.13328996358673778</c:v>
                </c:pt>
                <c:pt idx="4">
                  <c:v>0.10574148565207188</c:v>
                </c:pt>
                <c:pt idx="5">
                  <c:v>0.16292185627135991</c:v>
                </c:pt>
                <c:pt idx="6">
                  <c:v>0.13388648435904818</c:v>
                </c:pt>
                <c:pt idx="7">
                  <c:v>0.10535430617251437</c:v>
                </c:pt>
                <c:pt idx="8">
                  <c:v>7.2367955622627836E-2</c:v>
                </c:pt>
                <c:pt idx="9">
                  <c:v>3.5444528398011529E-2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F4-BC46-86DE-74BABECDF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-2028069104"/>
        <c:axId val="-2028064192"/>
      </c:barChart>
      <c:catAx>
        <c:axId val="-2028069104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low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2028064192"/>
        <c:crossesAt val="0"/>
        <c:auto val="0"/>
        <c:lblAlgn val="ctr"/>
        <c:lblOffset val="100"/>
        <c:tickLblSkip val="2"/>
        <c:tickMarkSkip val="7"/>
        <c:noMultiLvlLbl val="0"/>
      </c:catAx>
      <c:valAx>
        <c:axId val="-2028064192"/>
        <c:scaling>
          <c:orientation val="minMax"/>
          <c:max val="0.45"/>
          <c:min val="-0.15"/>
        </c:scaling>
        <c:delete val="0"/>
        <c:axPos val="l"/>
        <c:majorGridlines/>
        <c:numFmt formatCode="#,##0" sourceLinked="0"/>
        <c:majorTickMark val="in"/>
        <c:minorTickMark val="none"/>
        <c:tickLblPos val="none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8069104"/>
        <c:crosses val="autoZero"/>
        <c:crossBetween val="between"/>
        <c:majorUnit val="0.15"/>
        <c:dispUnits>
          <c:builtInUnit val="thousands"/>
        </c:dispUnits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rgbClr val="BFBFBF"/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Requirement'!$X$7:$X$161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895.37672222222329</c:v>
                </c:pt>
                <c:pt idx="36">
                  <c:v>895.37672222222329</c:v>
                </c:pt>
                <c:pt idx="37">
                  <c:v>895.37672222222329</c:v>
                </c:pt>
                <c:pt idx="38">
                  <c:v>895.37672222222329</c:v>
                </c:pt>
                <c:pt idx="39">
                  <c:v>895.37672222222329</c:v>
                </c:pt>
                <c:pt idx="40">
                  <c:v>895.37672222222329</c:v>
                </c:pt>
                <c:pt idx="41">
                  <c:v>895.37672222222329</c:v>
                </c:pt>
                <c:pt idx="42">
                  <c:v>895.37672222222329</c:v>
                </c:pt>
                <c:pt idx="43">
                  <c:v>895.37672222222329</c:v>
                </c:pt>
                <c:pt idx="44">
                  <c:v>895.37672222222329</c:v>
                </c:pt>
                <c:pt idx="45">
                  <c:v>895.37672222222329</c:v>
                </c:pt>
                <c:pt idx="46">
                  <c:v>895.37672222222329</c:v>
                </c:pt>
                <c:pt idx="47">
                  <c:v>895.37672222222329</c:v>
                </c:pt>
                <c:pt idx="48">
                  <c:v>895.37672222222329</c:v>
                </c:pt>
                <c:pt idx="49">
                  <c:v>895.37672222222329</c:v>
                </c:pt>
                <c:pt idx="50">
                  <c:v>895.37672222222329</c:v>
                </c:pt>
                <c:pt idx="51">
                  <c:v>895.37672222222329</c:v>
                </c:pt>
                <c:pt idx="52">
                  <c:v>895.37672222222329</c:v>
                </c:pt>
                <c:pt idx="53">
                  <c:v>895.37672222222329</c:v>
                </c:pt>
                <c:pt idx="54">
                  <c:v>895.37672222222329</c:v>
                </c:pt>
                <c:pt idx="55">
                  <c:v>895.37672222222329</c:v>
                </c:pt>
                <c:pt idx="56">
                  <c:v>895.37672222222329</c:v>
                </c:pt>
                <c:pt idx="57">
                  <c:v>895.37672222222329</c:v>
                </c:pt>
                <c:pt idx="58">
                  <c:v>895.37672222222329</c:v>
                </c:pt>
                <c:pt idx="59">
                  <c:v>895.37672222222329</c:v>
                </c:pt>
                <c:pt idx="60">
                  <c:v>895.37672222222329</c:v>
                </c:pt>
                <c:pt idx="61">
                  <c:v>895.37672222222329</c:v>
                </c:pt>
                <c:pt idx="62">
                  <c:v>895.37672222222329</c:v>
                </c:pt>
                <c:pt idx="63">
                  <c:v>895.37672222222329</c:v>
                </c:pt>
                <c:pt idx="64">
                  <c:v>895.37672222222329</c:v>
                </c:pt>
                <c:pt idx="65">
                  <c:v>1100.9243333333329</c:v>
                </c:pt>
                <c:pt idx="66">
                  <c:v>2979.0243333333333</c:v>
                </c:pt>
                <c:pt idx="67">
                  <c:v>2979.0243333333333</c:v>
                </c:pt>
                <c:pt idx="68">
                  <c:v>2979.0243333333333</c:v>
                </c:pt>
                <c:pt idx="69">
                  <c:v>2979.0243333333333</c:v>
                </c:pt>
                <c:pt idx="70">
                  <c:v>2979.0243333333333</c:v>
                </c:pt>
                <c:pt idx="71">
                  <c:v>2979.0243333333333</c:v>
                </c:pt>
                <c:pt idx="72">
                  <c:v>2979.0243333333333</c:v>
                </c:pt>
                <c:pt idx="73">
                  <c:v>2979.0243333333333</c:v>
                </c:pt>
                <c:pt idx="74">
                  <c:v>2979.0243333333333</c:v>
                </c:pt>
                <c:pt idx="75">
                  <c:v>2979.0243333333333</c:v>
                </c:pt>
                <c:pt idx="76">
                  <c:v>2979.0243333333333</c:v>
                </c:pt>
                <c:pt idx="77">
                  <c:v>2979.0243333333333</c:v>
                </c:pt>
                <c:pt idx="78">
                  <c:v>2979.0243333333333</c:v>
                </c:pt>
                <c:pt idx="79">
                  <c:v>2979.0243333333333</c:v>
                </c:pt>
                <c:pt idx="80">
                  <c:v>2979.0243333333333</c:v>
                </c:pt>
                <c:pt idx="81">
                  <c:v>2979.0243333333333</c:v>
                </c:pt>
                <c:pt idx="82">
                  <c:v>2979.0243333333333</c:v>
                </c:pt>
                <c:pt idx="83">
                  <c:v>2979.0243333333333</c:v>
                </c:pt>
                <c:pt idx="84">
                  <c:v>2979.0243333333333</c:v>
                </c:pt>
                <c:pt idx="85">
                  <c:v>2979.0243333333333</c:v>
                </c:pt>
                <c:pt idx="86">
                  <c:v>2979.0243333333333</c:v>
                </c:pt>
                <c:pt idx="87">
                  <c:v>2979.0243333333333</c:v>
                </c:pt>
                <c:pt idx="88">
                  <c:v>2979.0243333333333</c:v>
                </c:pt>
                <c:pt idx="89">
                  <c:v>2979.0243333333333</c:v>
                </c:pt>
                <c:pt idx="90">
                  <c:v>2979.0243333333333</c:v>
                </c:pt>
                <c:pt idx="91">
                  <c:v>2979.0243333333333</c:v>
                </c:pt>
                <c:pt idx="92">
                  <c:v>2979.0243333333333</c:v>
                </c:pt>
                <c:pt idx="93">
                  <c:v>2979.0243333333333</c:v>
                </c:pt>
                <c:pt idx="94">
                  <c:v>2979.0243333333333</c:v>
                </c:pt>
                <c:pt idx="95">
                  <c:v>4021.817</c:v>
                </c:pt>
                <c:pt idx="96">
                  <c:v>4021.817</c:v>
                </c:pt>
                <c:pt idx="97">
                  <c:v>4021.817</c:v>
                </c:pt>
                <c:pt idx="98">
                  <c:v>4021.817</c:v>
                </c:pt>
                <c:pt idx="99">
                  <c:v>4021.817</c:v>
                </c:pt>
                <c:pt idx="100">
                  <c:v>4021.817</c:v>
                </c:pt>
                <c:pt idx="101">
                  <c:v>4021.817</c:v>
                </c:pt>
                <c:pt idx="102">
                  <c:v>4021.817</c:v>
                </c:pt>
                <c:pt idx="103">
                  <c:v>4021.817</c:v>
                </c:pt>
                <c:pt idx="104">
                  <c:v>4021.817</c:v>
                </c:pt>
                <c:pt idx="105">
                  <c:v>4021.817</c:v>
                </c:pt>
                <c:pt idx="106">
                  <c:v>4021.817</c:v>
                </c:pt>
                <c:pt idx="107">
                  <c:v>4021.817</c:v>
                </c:pt>
                <c:pt idx="108">
                  <c:v>4021.817</c:v>
                </c:pt>
                <c:pt idx="109">
                  <c:v>4021.817</c:v>
                </c:pt>
                <c:pt idx="110">
                  <c:v>4021.817</c:v>
                </c:pt>
                <c:pt idx="111">
                  <c:v>4021.817</c:v>
                </c:pt>
                <c:pt idx="112">
                  <c:v>4021.817</c:v>
                </c:pt>
                <c:pt idx="113">
                  <c:v>4021.817</c:v>
                </c:pt>
                <c:pt idx="114">
                  <c:v>4021.817</c:v>
                </c:pt>
                <c:pt idx="115">
                  <c:v>4021.817</c:v>
                </c:pt>
                <c:pt idx="116">
                  <c:v>4021.817</c:v>
                </c:pt>
                <c:pt idx="117">
                  <c:v>4021.817</c:v>
                </c:pt>
                <c:pt idx="118">
                  <c:v>4021.817</c:v>
                </c:pt>
                <c:pt idx="119">
                  <c:v>4021.817</c:v>
                </c:pt>
                <c:pt idx="120">
                  <c:v>4021.817</c:v>
                </c:pt>
                <c:pt idx="121">
                  <c:v>4021.817</c:v>
                </c:pt>
                <c:pt idx="122">
                  <c:v>4021.817</c:v>
                </c:pt>
                <c:pt idx="123">
                  <c:v>4021.817</c:v>
                </c:pt>
                <c:pt idx="124">
                  <c:v>4021.817</c:v>
                </c:pt>
                <c:pt idx="125">
                  <c:v>1073.2</c:v>
                </c:pt>
                <c:pt idx="126">
                  <c:v>1073.2</c:v>
                </c:pt>
                <c:pt idx="127">
                  <c:v>1073.2</c:v>
                </c:pt>
                <c:pt idx="128">
                  <c:v>1073.2</c:v>
                </c:pt>
                <c:pt idx="129">
                  <c:v>1073.2</c:v>
                </c:pt>
                <c:pt idx="130">
                  <c:v>1073.2</c:v>
                </c:pt>
                <c:pt idx="131">
                  <c:v>1073.2</c:v>
                </c:pt>
                <c:pt idx="132">
                  <c:v>1073.2</c:v>
                </c:pt>
                <c:pt idx="133">
                  <c:v>1073.2</c:v>
                </c:pt>
                <c:pt idx="134">
                  <c:v>1073.2</c:v>
                </c:pt>
                <c:pt idx="135">
                  <c:v>1073.2</c:v>
                </c:pt>
                <c:pt idx="136">
                  <c:v>1073.2</c:v>
                </c:pt>
                <c:pt idx="137">
                  <c:v>1073.2</c:v>
                </c:pt>
                <c:pt idx="138">
                  <c:v>1073.2</c:v>
                </c:pt>
                <c:pt idx="139">
                  <c:v>1073.2</c:v>
                </c:pt>
                <c:pt idx="140">
                  <c:v>1073.2</c:v>
                </c:pt>
                <c:pt idx="141">
                  <c:v>1073.2</c:v>
                </c:pt>
                <c:pt idx="142">
                  <c:v>1073.2</c:v>
                </c:pt>
                <c:pt idx="143">
                  <c:v>1073.2</c:v>
                </c:pt>
                <c:pt idx="144">
                  <c:v>1073.2</c:v>
                </c:pt>
                <c:pt idx="145">
                  <c:v>1073.2</c:v>
                </c:pt>
                <c:pt idx="146">
                  <c:v>1073.2</c:v>
                </c:pt>
                <c:pt idx="147">
                  <c:v>1073.2</c:v>
                </c:pt>
                <c:pt idx="148">
                  <c:v>1073.2</c:v>
                </c:pt>
                <c:pt idx="149">
                  <c:v>1073.2</c:v>
                </c:pt>
                <c:pt idx="150">
                  <c:v>1073.2</c:v>
                </c:pt>
                <c:pt idx="151">
                  <c:v>1073.2</c:v>
                </c:pt>
                <c:pt idx="152">
                  <c:v>1073.2</c:v>
                </c:pt>
                <c:pt idx="153">
                  <c:v>1073.2</c:v>
                </c:pt>
                <c:pt idx="154">
                  <c:v>1073.2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0-C343-84E7-4D07E276F330}"/>
            </c:ext>
          </c:extLst>
        </c:ser>
        <c:ser>
          <c:idx val="2"/>
          <c:order val="1"/>
          <c:spPr>
            <a:solidFill>
              <a:schemeClr val="accent2">
                <a:lumMod val="60000"/>
                <a:lumOff val="40000"/>
              </a:schemeClr>
            </a:solidFill>
            <a:ln w="19050" cmpd="sng">
              <a:solidFill>
                <a:schemeClr val="tx1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Requirement'!$Y$7:$Y$161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2747.6550087338669</c:v>
                </c:pt>
                <c:pt idx="33">
                  <c:v>2747.6550087338669</c:v>
                </c:pt>
                <c:pt idx="34">
                  <c:v>2752.3273003296476</c:v>
                </c:pt>
                <c:pt idx="35">
                  <c:v>3625.0276520747616</c:v>
                </c:pt>
                <c:pt idx="36">
                  <c:v>3717.5305834899996</c:v>
                </c:pt>
                <c:pt idx="37">
                  <c:v>3922.6448277241288</c:v>
                </c:pt>
                <c:pt idx="38">
                  <c:v>3892.3154424723925</c:v>
                </c:pt>
                <c:pt idx="39">
                  <c:v>3820.7388408602787</c:v>
                </c:pt>
                <c:pt idx="40">
                  <c:v>3743.4888058969095</c:v>
                </c:pt>
                <c:pt idx="41">
                  <c:v>3667.5435204971163</c:v>
                </c:pt>
                <c:pt idx="42">
                  <c:v>3595.9843687280995</c:v>
                </c:pt>
                <c:pt idx="43">
                  <c:v>3526.7520736896581</c:v>
                </c:pt>
                <c:pt idx="44">
                  <c:v>3451.7831746691463</c:v>
                </c:pt>
                <c:pt idx="45">
                  <c:v>3386.9927513678858</c:v>
                </c:pt>
                <c:pt idx="46">
                  <c:v>3320.9728493172547</c:v>
                </c:pt>
                <c:pt idx="47">
                  <c:v>3251.5510868595784</c:v>
                </c:pt>
                <c:pt idx="48">
                  <c:v>3186.0253841289164</c:v>
                </c:pt>
                <c:pt idx="49">
                  <c:v>3125.9866132991547</c:v>
                </c:pt>
                <c:pt idx="50">
                  <c:v>3075.2126724334557</c:v>
                </c:pt>
                <c:pt idx="51">
                  <c:v>3012.732218672867</c:v>
                </c:pt>
                <c:pt idx="52">
                  <c:v>2953.8920198335081</c:v>
                </c:pt>
                <c:pt idx="53">
                  <c:v>2920.7210072600874</c:v>
                </c:pt>
                <c:pt idx="54">
                  <c:v>2941.2617154181348</c:v>
                </c:pt>
                <c:pt idx="55">
                  <c:v>2913.2472645131029</c:v>
                </c:pt>
                <c:pt idx="56">
                  <c:v>2853.0558526356094</c:v>
                </c:pt>
                <c:pt idx="57">
                  <c:v>2795.473202043474</c:v>
                </c:pt>
                <c:pt idx="58">
                  <c:v>2737.6701783390349</c:v>
                </c:pt>
                <c:pt idx="59">
                  <c:v>2674.27869508493</c:v>
                </c:pt>
                <c:pt idx="60">
                  <c:v>2608.9466496960995</c:v>
                </c:pt>
                <c:pt idx="61">
                  <c:v>2546.4448576398609</c:v>
                </c:pt>
                <c:pt idx="62">
                  <c:v>2489.326053537367</c:v>
                </c:pt>
                <c:pt idx="63">
                  <c:v>2431.7823611774234</c:v>
                </c:pt>
                <c:pt idx="64">
                  <c:v>2358.6658759200773</c:v>
                </c:pt>
                <c:pt idx="65">
                  <c:v>2281.0333003745618</c:v>
                </c:pt>
                <c:pt idx="66">
                  <c:v>2266.4727712439599</c:v>
                </c:pt>
                <c:pt idx="67">
                  <c:v>2314.5110587744875</c:v>
                </c:pt>
                <c:pt idx="68">
                  <c:v>2239.9360847602529</c:v>
                </c:pt>
                <c:pt idx="69">
                  <c:v>2163.5081299269918</c:v>
                </c:pt>
                <c:pt idx="70">
                  <c:v>2080.775082817624</c:v>
                </c:pt>
                <c:pt idx="71">
                  <c:v>1986.0934368472736</c:v>
                </c:pt>
                <c:pt idx="72">
                  <c:v>1895.6950714152115</c:v>
                </c:pt>
                <c:pt idx="73">
                  <c:v>1812.6559702307413</c:v>
                </c:pt>
                <c:pt idx="74">
                  <c:v>1731.4040933727717</c:v>
                </c:pt>
                <c:pt idx="75">
                  <c:v>1659.3514494884046</c:v>
                </c:pt>
                <c:pt idx="76">
                  <c:v>1594.9703939483481</c:v>
                </c:pt>
                <c:pt idx="77">
                  <c:v>1531.3570111855474</c:v>
                </c:pt>
                <c:pt idx="78">
                  <c:v>1458.8076268787408</c:v>
                </c:pt>
                <c:pt idx="79">
                  <c:v>1379.4008787104569</c:v>
                </c:pt>
                <c:pt idx="80">
                  <c:v>1313.2280037189425</c:v>
                </c:pt>
                <c:pt idx="81">
                  <c:v>1277.0124070347661</c:v>
                </c:pt>
                <c:pt idx="82">
                  <c:v>1241.6412617841786</c:v>
                </c:pt>
                <c:pt idx="83">
                  <c:v>1187.4143878874183</c:v>
                </c:pt>
                <c:pt idx="84">
                  <c:v>1132.8737831347403</c:v>
                </c:pt>
                <c:pt idx="85">
                  <c:v>1077.981093374992</c:v>
                </c:pt>
                <c:pt idx="86">
                  <c:v>1027.3549772598574</c:v>
                </c:pt>
                <c:pt idx="87">
                  <c:v>979.41849723562041</c:v>
                </c:pt>
                <c:pt idx="88">
                  <c:v>932.28113652194656</c:v>
                </c:pt>
                <c:pt idx="89">
                  <c:v>885.58839910450149</c:v>
                </c:pt>
                <c:pt idx="90">
                  <c:v>842.31892711079547</c:v>
                </c:pt>
                <c:pt idx="91">
                  <c:v>822.65798672248707</c:v>
                </c:pt>
                <c:pt idx="92">
                  <c:v>827.99727545446592</c:v>
                </c:pt>
                <c:pt idx="93">
                  <c:v>802.60942654238954</c:v>
                </c:pt>
                <c:pt idx="94">
                  <c:v>752.29818996304562</c:v>
                </c:pt>
                <c:pt idx="95">
                  <c:v>701.62464835917456</c:v>
                </c:pt>
                <c:pt idx="96">
                  <c:v>652.55008562160197</c:v>
                </c:pt>
                <c:pt idx="97">
                  <c:v>602.79828704111571</c:v>
                </c:pt>
                <c:pt idx="98">
                  <c:v>557.00601558523499</c:v>
                </c:pt>
                <c:pt idx="99">
                  <c:v>514.11237300859887</c:v>
                </c:pt>
                <c:pt idx="100">
                  <c:v>479.07142128349881</c:v>
                </c:pt>
                <c:pt idx="101">
                  <c:v>445.60954539998596</c:v>
                </c:pt>
                <c:pt idx="102">
                  <c:v>411.46990403786106</c:v>
                </c:pt>
                <c:pt idx="103">
                  <c:v>379.27408757416896</c:v>
                </c:pt>
                <c:pt idx="104">
                  <c:v>345.47737660759964</c:v>
                </c:pt>
                <c:pt idx="105">
                  <c:v>307.37945989493761</c:v>
                </c:pt>
                <c:pt idx="106">
                  <c:v>269.7417712223475</c:v>
                </c:pt>
                <c:pt idx="107">
                  <c:v>234.95126363547482</c:v>
                </c:pt>
                <c:pt idx="108">
                  <c:v>208.63322894378615</c:v>
                </c:pt>
                <c:pt idx="109">
                  <c:v>183.57147028892345</c:v>
                </c:pt>
                <c:pt idx="110">
                  <c:v>157.4544742142547</c:v>
                </c:pt>
                <c:pt idx="111">
                  <c:v>130.64744460923214</c:v>
                </c:pt>
                <c:pt idx="112">
                  <c:v>93.295527599989555</c:v>
                </c:pt>
                <c:pt idx="113">
                  <c:v>56.51038870146261</c:v>
                </c:pt>
                <c:pt idx="114">
                  <c:v>12.521381564379903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F0-C343-84E7-4D07E276F330}"/>
            </c:ext>
          </c:extLst>
        </c:ser>
        <c:ser>
          <c:idx val="3"/>
          <c:order val="2"/>
          <c:spPr>
            <a:solidFill>
              <a:srgbClr val="C0504D"/>
            </a:solidFill>
            <a:ln w="19050" cmpd="sng">
              <a:solidFill>
                <a:srgbClr val="000000"/>
              </a:solidFill>
            </a:ln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Requirement'!$Z$7:$Z$161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895.37672222222329</c:v>
                </c:pt>
                <c:pt idx="36">
                  <c:v>895.37672222222329</c:v>
                </c:pt>
                <c:pt idx="37">
                  <c:v>895.37672222222329</c:v>
                </c:pt>
                <c:pt idx="38">
                  <c:v>895.37672222222329</c:v>
                </c:pt>
                <c:pt idx="39">
                  <c:v>895.37672222222329</c:v>
                </c:pt>
                <c:pt idx="40">
                  <c:v>895.37672222222329</c:v>
                </c:pt>
                <c:pt idx="41">
                  <c:v>895.37672222222329</c:v>
                </c:pt>
                <c:pt idx="42">
                  <c:v>895.37672222222329</c:v>
                </c:pt>
                <c:pt idx="43">
                  <c:v>895.37672222222329</c:v>
                </c:pt>
                <c:pt idx="44">
                  <c:v>895.37672222222329</c:v>
                </c:pt>
                <c:pt idx="45">
                  <c:v>895.37672222222329</c:v>
                </c:pt>
                <c:pt idx="46">
                  <c:v>895.37672222222329</c:v>
                </c:pt>
                <c:pt idx="47">
                  <c:v>895.37672222222329</c:v>
                </c:pt>
                <c:pt idx="48">
                  <c:v>895.37672222222329</c:v>
                </c:pt>
                <c:pt idx="49">
                  <c:v>895.37672222222329</c:v>
                </c:pt>
                <c:pt idx="50">
                  <c:v>895.37672222222329</c:v>
                </c:pt>
                <c:pt idx="51">
                  <c:v>895.37672222222329</c:v>
                </c:pt>
                <c:pt idx="52">
                  <c:v>895.37672222222329</c:v>
                </c:pt>
                <c:pt idx="53">
                  <c:v>895.37672222222329</c:v>
                </c:pt>
                <c:pt idx="54">
                  <c:v>895.37672222222329</c:v>
                </c:pt>
                <c:pt idx="55">
                  <c:v>895.37672222222329</c:v>
                </c:pt>
                <c:pt idx="56">
                  <c:v>895.37672222222329</c:v>
                </c:pt>
                <c:pt idx="57">
                  <c:v>895.37672222222329</c:v>
                </c:pt>
                <c:pt idx="58">
                  <c:v>895.37672222222329</c:v>
                </c:pt>
                <c:pt idx="59">
                  <c:v>895.37672222222329</c:v>
                </c:pt>
                <c:pt idx="60">
                  <c:v>895.37672222222329</c:v>
                </c:pt>
                <c:pt idx="61">
                  <c:v>895.37672222222329</c:v>
                </c:pt>
                <c:pt idx="62">
                  <c:v>895.37672222222329</c:v>
                </c:pt>
                <c:pt idx="63">
                  <c:v>895.37672222222329</c:v>
                </c:pt>
                <c:pt idx="64">
                  <c:v>895.37672222222329</c:v>
                </c:pt>
                <c:pt idx="65">
                  <c:v>1100.9243333333329</c:v>
                </c:pt>
                <c:pt idx="66">
                  <c:v>2266.4727712439599</c:v>
                </c:pt>
                <c:pt idx="67">
                  <c:v>2314.5110587744875</c:v>
                </c:pt>
                <c:pt idx="68">
                  <c:v>2239.9360847602529</c:v>
                </c:pt>
                <c:pt idx="69">
                  <c:v>2163.5081299269918</c:v>
                </c:pt>
                <c:pt idx="70">
                  <c:v>2080.775082817624</c:v>
                </c:pt>
                <c:pt idx="71">
                  <c:v>1986.0934368472736</c:v>
                </c:pt>
                <c:pt idx="72">
                  <c:v>1895.6950714152115</c:v>
                </c:pt>
                <c:pt idx="73">
                  <c:v>1812.6559702307413</c:v>
                </c:pt>
                <c:pt idx="74">
                  <c:v>1731.4040933727717</c:v>
                </c:pt>
                <c:pt idx="75">
                  <c:v>1659.3514494884046</c:v>
                </c:pt>
                <c:pt idx="76">
                  <c:v>1594.9703939483481</c:v>
                </c:pt>
                <c:pt idx="77">
                  <c:v>1531.3570111855474</c:v>
                </c:pt>
                <c:pt idx="78">
                  <c:v>1458.8076268787408</c:v>
                </c:pt>
                <c:pt idx="79">
                  <c:v>1379.4008787104569</c:v>
                </c:pt>
                <c:pt idx="80">
                  <c:v>1313.2280037189425</c:v>
                </c:pt>
                <c:pt idx="81">
                  <c:v>1277.0124070347661</c:v>
                </c:pt>
                <c:pt idx="82">
                  <c:v>1241.6412617841786</c:v>
                </c:pt>
                <c:pt idx="83">
                  <c:v>1187.4143878874183</c:v>
                </c:pt>
                <c:pt idx="84">
                  <c:v>1132.8737831347403</c:v>
                </c:pt>
                <c:pt idx="85">
                  <c:v>1077.981093374992</c:v>
                </c:pt>
                <c:pt idx="86">
                  <c:v>1027.3549772598574</c:v>
                </c:pt>
                <c:pt idx="87">
                  <c:v>979.41849723562041</c:v>
                </c:pt>
                <c:pt idx="88">
                  <c:v>932.28113652194656</c:v>
                </c:pt>
                <c:pt idx="89">
                  <c:v>885.58839910450149</c:v>
                </c:pt>
                <c:pt idx="90">
                  <c:v>842.31892711079547</c:v>
                </c:pt>
                <c:pt idx="91">
                  <c:v>822.65798672248707</c:v>
                </c:pt>
                <c:pt idx="92">
                  <c:v>827.99727545446592</c:v>
                </c:pt>
                <c:pt idx="93">
                  <c:v>802.60942654238954</c:v>
                </c:pt>
                <c:pt idx="94">
                  <c:v>752.29818996304562</c:v>
                </c:pt>
                <c:pt idx="95">
                  <c:v>701.62464835917456</c:v>
                </c:pt>
                <c:pt idx="96">
                  <c:v>652.55008562160197</c:v>
                </c:pt>
                <c:pt idx="97">
                  <c:v>602.79828704111571</c:v>
                </c:pt>
                <c:pt idx="98">
                  <c:v>557.00601558523499</c:v>
                </c:pt>
                <c:pt idx="99">
                  <c:v>514.11237300859887</c:v>
                </c:pt>
                <c:pt idx="100">
                  <c:v>479.07142128349881</c:v>
                </c:pt>
                <c:pt idx="101">
                  <c:v>445.60954539998596</c:v>
                </c:pt>
                <c:pt idx="102">
                  <c:v>411.46990403786106</c:v>
                </c:pt>
                <c:pt idx="103">
                  <c:v>379.27408757416896</c:v>
                </c:pt>
                <c:pt idx="104">
                  <c:v>345.47737660759964</c:v>
                </c:pt>
                <c:pt idx="105">
                  <c:v>307.37945989493761</c:v>
                </c:pt>
                <c:pt idx="106">
                  <c:v>269.7417712223475</c:v>
                </c:pt>
                <c:pt idx="107">
                  <c:v>234.95126363547482</c:v>
                </c:pt>
                <c:pt idx="108">
                  <c:v>208.63322894378615</c:v>
                </c:pt>
                <c:pt idx="109">
                  <c:v>183.57147028892345</c:v>
                </c:pt>
                <c:pt idx="110">
                  <c:v>157.4544742142547</c:v>
                </c:pt>
                <c:pt idx="111">
                  <c:v>130.64744460923214</c:v>
                </c:pt>
                <c:pt idx="112">
                  <c:v>93.295527599989555</c:v>
                </c:pt>
                <c:pt idx="113">
                  <c:v>56.51038870146261</c:v>
                </c:pt>
                <c:pt idx="114">
                  <c:v>12.521381564379903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F0-C343-84E7-4D07E276F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796192"/>
        <c:axId val="-2025792944"/>
      </c:areaChart>
      <c:dateAx>
        <c:axId val="-2025796192"/>
        <c:scaling>
          <c:orientation val="minMax"/>
          <c:min val="42294"/>
        </c:scaling>
        <c:delete val="0"/>
        <c:axPos val="b"/>
        <c:numFmt formatCode="m/d;@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5792944"/>
        <c:crosses val="autoZero"/>
        <c:auto val="1"/>
        <c:lblOffset val="100"/>
        <c:baseTimeUnit val="days"/>
        <c:majorUnit val="28"/>
        <c:majorTimeUnit val="days"/>
      </c:dateAx>
      <c:valAx>
        <c:axId val="-2025792944"/>
        <c:scaling>
          <c:orientation val="minMax"/>
          <c:max val="8000"/>
        </c:scaling>
        <c:delete val="0"/>
        <c:axPos val="l"/>
        <c:majorGridlines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5796192"/>
        <c:crosses val="autoZero"/>
        <c:crossBetween val="midCat"/>
        <c:majorUnit val="2000"/>
        <c:dispUnits>
          <c:builtInUnit val="thousands"/>
        </c:dispUnits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ndard"/>
        <c:varyColors val="0"/>
        <c:ser>
          <c:idx val="2"/>
          <c:order val="0"/>
          <c:spPr>
            <a:solidFill>
              <a:schemeClr val="accent2">
                <a:lumMod val="60000"/>
                <a:lumOff val="40000"/>
              </a:schemeClr>
            </a:solidFill>
            <a:ln w="19050" cmpd="sng">
              <a:solidFill>
                <a:schemeClr val="tx1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Requirement'!$AB$7:$AB$161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2323.6944459487227</c:v>
                </c:pt>
                <c:pt idx="33">
                  <c:v>2323.6944459487227</c:v>
                </c:pt>
                <c:pt idx="34">
                  <c:v>2328.1420866670996</c:v>
                </c:pt>
                <c:pt idx="35">
                  <c:v>3023.3707040196955</c:v>
                </c:pt>
                <c:pt idx="36">
                  <c:v>3389.4914184882432</c:v>
                </c:pt>
                <c:pt idx="37">
                  <c:v>3656.6454704313855</c:v>
                </c:pt>
                <c:pt idx="38">
                  <c:v>3901.9249205784718</c:v>
                </c:pt>
                <c:pt idx="39">
                  <c:v>3951.3192098527793</c:v>
                </c:pt>
                <c:pt idx="40">
                  <c:v>3881.8589978176042</c:v>
                </c:pt>
                <c:pt idx="41">
                  <c:v>3797.689709726732</c:v>
                </c:pt>
                <c:pt idx="42">
                  <c:v>3704.5225620843362</c:v>
                </c:pt>
                <c:pt idx="43">
                  <c:v>3610.7746716600709</c:v>
                </c:pt>
                <c:pt idx="44">
                  <c:v>3522.6154655926957</c:v>
                </c:pt>
                <c:pt idx="45">
                  <c:v>3430.7037563864501</c:v>
                </c:pt>
                <c:pt idx="46">
                  <c:v>3335.3213795494162</c:v>
                </c:pt>
                <c:pt idx="47">
                  <c:v>3244.8636370307709</c:v>
                </c:pt>
                <c:pt idx="48">
                  <c:v>3153.5087411369432</c:v>
                </c:pt>
                <c:pt idx="49">
                  <c:v>3060.8248319957715</c:v>
                </c:pt>
                <c:pt idx="50">
                  <c:v>2969.967387466249</c:v>
                </c:pt>
                <c:pt idx="51">
                  <c:v>2885.2108671035076</c:v>
                </c:pt>
                <c:pt idx="52">
                  <c:v>2804.1925729022287</c:v>
                </c:pt>
                <c:pt idx="53">
                  <c:v>2775.8161661487411</c:v>
                </c:pt>
                <c:pt idx="54">
                  <c:v>2799.277264394188</c:v>
                </c:pt>
                <c:pt idx="55">
                  <c:v>2756.4075114624957</c:v>
                </c:pt>
                <c:pt idx="56">
                  <c:v>2665.9296000034033</c:v>
                </c:pt>
                <c:pt idx="57">
                  <c:v>2578.8394324082365</c:v>
                </c:pt>
                <c:pt idx="58">
                  <c:v>2488.4105314270105</c:v>
                </c:pt>
                <c:pt idx="59">
                  <c:v>2396.9301605233682</c:v>
                </c:pt>
                <c:pt idx="60">
                  <c:v>2299.2246345682497</c:v>
                </c:pt>
                <c:pt idx="61">
                  <c:v>2195.6772303859502</c:v>
                </c:pt>
                <c:pt idx="62">
                  <c:v>2094.3697109267555</c:v>
                </c:pt>
                <c:pt idx="63">
                  <c:v>1983.6728270903791</c:v>
                </c:pt>
                <c:pt idx="64">
                  <c:v>1865.8220276137465</c:v>
                </c:pt>
                <c:pt idx="65">
                  <c:v>1742.9895402840298</c:v>
                </c:pt>
                <c:pt idx="66">
                  <c:v>2325.4910710803488</c:v>
                </c:pt>
                <c:pt idx="67">
                  <c:v>3049.8329255133167</c:v>
                </c:pt>
                <c:pt idx="68">
                  <c:v>2960.7844050745202</c:v>
                </c:pt>
                <c:pt idx="69">
                  <c:v>2866.0503351632065</c:v>
                </c:pt>
                <c:pt idx="70">
                  <c:v>2764.8384897572823</c:v>
                </c:pt>
                <c:pt idx="71">
                  <c:v>2657.2943356291585</c:v>
                </c:pt>
                <c:pt idx="72">
                  <c:v>2553.7203079699834</c:v>
                </c:pt>
                <c:pt idx="73">
                  <c:v>2451.5433044848096</c:v>
                </c:pt>
                <c:pt idx="74">
                  <c:v>2331.7195861137616</c:v>
                </c:pt>
                <c:pt idx="75">
                  <c:v>2198.659399082901</c:v>
                </c:pt>
                <c:pt idx="76">
                  <c:v>2064.128714678187</c:v>
                </c:pt>
                <c:pt idx="77">
                  <c:v>1941.4950550294113</c:v>
                </c:pt>
                <c:pt idx="78">
                  <c:v>1833.6789417887212</c:v>
                </c:pt>
                <c:pt idx="79">
                  <c:v>1718.8636460064611</c:v>
                </c:pt>
                <c:pt idx="80">
                  <c:v>1606.0392690988967</c:v>
                </c:pt>
                <c:pt idx="81">
                  <c:v>1555.3034361030429</c:v>
                </c:pt>
                <c:pt idx="82">
                  <c:v>1482.6902384214984</c:v>
                </c:pt>
                <c:pt idx="83">
                  <c:v>1362.9104831848367</c:v>
                </c:pt>
                <c:pt idx="84">
                  <c:v>1223.3933105147364</c:v>
                </c:pt>
                <c:pt idx="85">
                  <c:v>1051.3244830317165</c:v>
                </c:pt>
                <c:pt idx="86">
                  <c:v>883.40396133764955</c:v>
                </c:pt>
                <c:pt idx="87">
                  <c:v>719.36004060062578</c:v>
                </c:pt>
                <c:pt idx="88">
                  <c:v>548.63145132064733</c:v>
                </c:pt>
                <c:pt idx="89">
                  <c:v>362.05701599821708</c:v>
                </c:pt>
                <c:pt idx="90">
                  <c:v>182.16945316114902</c:v>
                </c:pt>
                <c:pt idx="91">
                  <c:v>173.58589741151874</c:v>
                </c:pt>
                <c:pt idx="92">
                  <c:v>274.77341195170089</c:v>
                </c:pt>
                <c:pt idx="93">
                  <c:v>179.55732791232967</c:v>
                </c:pt>
                <c:pt idx="94">
                  <c:v>174.48749410150222</c:v>
                </c:pt>
                <c:pt idx="95">
                  <c:v>169.9123032170456</c:v>
                </c:pt>
                <c:pt idx="96">
                  <c:v>165.34211031202943</c:v>
                </c:pt>
                <c:pt idx="97">
                  <c:v>159.63744479140561</c:v>
                </c:pt>
                <c:pt idx="98">
                  <c:v>152.74246233152755</c:v>
                </c:pt>
                <c:pt idx="99">
                  <c:v>145.08919798566018</c:v>
                </c:pt>
                <c:pt idx="100">
                  <c:v>138.61859617582357</c:v>
                </c:pt>
                <c:pt idx="101">
                  <c:v>131.24965887248084</c:v>
                </c:pt>
                <c:pt idx="102">
                  <c:v>122.411222251504</c:v>
                </c:pt>
                <c:pt idx="103">
                  <c:v>114.4863662576041</c:v>
                </c:pt>
                <c:pt idx="104">
                  <c:v>107.13873663351893</c:v>
                </c:pt>
                <c:pt idx="105">
                  <c:v>99.71587061565819</c:v>
                </c:pt>
                <c:pt idx="106">
                  <c:v>92.071154911264415</c:v>
                </c:pt>
                <c:pt idx="107">
                  <c:v>83.881869074811405</c:v>
                </c:pt>
                <c:pt idx="108">
                  <c:v>75.294719094595351</c:v>
                </c:pt>
                <c:pt idx="109">
                  <c:v>66.807136877129238</c:v>
                </c:pt>
                <c:pt idx="110">
                  <c:v>57.700630262765223</c:v>
                </c:pt>
                <c:pt idx="111">
                  <c:v>51.107444386361095</c:v>
                </c:pt>
                <c:pt idx="112">
                  <c:v>46.238528747807457</c:v>
                </c:pt>
                <c:pt idx="113">
                  <c:v>41.600780408308133</c:v>
                </c:pt>
                <c:pt idx="114">
                  <c:v>36.587066770863316</c:v>
                </c:pt>
                <c:pt idx="115">
                  <c:v>31.561235099952107</c:v>
                </c:pt>
                <c:pt idx="116">
                  <c:v>27.485774125229693</c:v>
                </c:pt>
                <c:pt idx="117">
                  <c:v>22.28213951572517</c:v>
                </c:pt>
                <c:pt idx="118">
                  <c:v>10.802782427702917</c:v>
                </c:pt>
                <c:pt idx="119">
                  <c:v>12.83591163160802</c:v>
                </c:pt>
                <c:pt idx="120">
                  <c:v>7.4287615583534858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C-874C-8CEC-628CDDDD8913}"/>
            </c:ext>
          </c:extLst>
        </c:ser>
        <c:ser>
          <c:idx val="0"/>
          <c:order val="1"/>
          <c:spPr>
            <a:solidFill>
              <a:srgbClr val="BFBFBF"/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Requirement'!$AA$7:$AA$161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1500.415111111113</c:v>
                </c:pt>
                <c:pt idx="36">
                  <c:v>1500.415111111113</c:v>
                </c:pt>
                <c:pt idx="37">
                  <c:v>1500.415111111113</c:v>
                </c:pt>
                <c:pt idx="38">
                  <c:v>1500.415111111113</c:v>
                </c:pt>
                <c:pt idx="39">
                  <c:v>1500.415111111113</c:v>
                </c:pt>
                <c:pt idx="40">
                  <c:v>1500.415111111113</c:v>
                </c:pt>
                <c:pt idx="41">
                  <c:v>1500.415111111113</c:v>
                </c:pt>
                <c:pt idx="42">
                  <c:v>1500.415111111113</c:v>
                </c:pt>
                <c:pt idx="43">
                  <c:v>1500.415111111113</c:v>
                </c:pt>
                <c:pt idx="44">
                  <c:v>1500.415111111113</c:v>
                </c:pt>
                <c:pt idx="45">
                  <c:v>1500.415111111113</c:v>
                </c:pt>
                <c:pt idx="46">
                  <c:v>1500.415111111113</c:v>
                </c:pt>
                <c:pt idx="47">
                  <c:v>1500.415111111113</c:v>
                </c:pt>
                <c:pt idx="48">
                  <c:v>1500.415111111113</c:v>
                </c:pt>
                <c:pt idx="49">
                  <c:v>1500.415111111113</c:v>
                </c:pt>
                <c:pt idx="50">
                  <c:v>1500.415111111113</c:v>
                </c:pt>
                <c:pt idx="51">
                  <c:v>1500.415111111113</c:v>
                </c:pt>
                <c:pt idx="52">
                  <c:v>1500.415111111113</c:v>
                </c:pt>
                <c:pt idx="53">
                  <c:v>1500.415111111113</c:v>
                </c:pt>
                <c:pt idx="54">
                  <c:v>1500.415111111113</c:v>
                </c:pt>
                <c:pt idx="55">
                  <c:v>1500.415111111113</c:v>
                </c:pt>
                <c:pt idx="56">
                  <c:v>1500.415111111113</c:v>
                </c:pt>
                <c:pt idx="57">
                  <c:v>1500.415111111113</c:v>
                </c:pt>
                <c:pt idx="58">
                  <c:v>1500.415111111113</c:v>
                </c:pt>
                <c:pt idx="59">
                  <c:v>1500.415111111113</c:v>
                </c:pt>
                <c:pt idx="60">
                  <c:v>1500.415111111113</c:v>
                </c:pt>
                <c:pt idx="61">
                  <c:v>1500.415111111113</c:v>
                </c:pt>
                <c:pt idx="62">
                  <c:v>1500.415111111113</c:v>
                </c:pt>
                <c:pt idx="63">
                  <c:v>1500.415111111113</c:v>
                </c:pt>
                <c:pt idx="64">
                  <c:v>1500.415111111113</c:v>
                </c:pt>
                <c:pt idx="65">
                  <c:v>1844.8586666666661</c:v>
                </c:pt>
                <c:pt idx="66">
                  <c:v>4992.0586666666659</c:v>
                </c:pt>
                <c:pt idx="67">
                  <c:v>4992.0586666666659</c:v>
                </c:pt>
                <c:pt idx="68">
                  <c:v>4992.0586666666659</c:v>
                </c:pt>
                <c:pt idx="69">
                  <c:v>4992.0586666666659</c:v>
                </c:pt>
                <c:pt idx="70">
                  <c:v>4992.0586666666659</c:v>
                </c:pt>
                <c:pt idx="71">
                  <c:v>4992.0586666666659</c:v>
                </c:pt>
                <c:pt idx="72">
                  <c:v>4992.0586666666659</c:v>
                </c:pt>
                <c:pt idx="73">
                  <c:v>4992.0586666666659</c:v>
                </c:pt>
                <c:pt idx="74">
                  <c:v>4992.0586666666659</c:v>
                </c:pt>
                <c:pt idx="75">
                  <c:v>4992.0586666666659</c:v>
                </c:pt>
                <c:pt idx="76">
                  <c:v>4992.0586666666659</c:v>
                </c:pt>
                <c:pt idx="77">
                  <c:v>4992.0586666666659</c:v>
                </c:pt>
                <c:pt idx="78">
                  <c:v>4992.0586666666659</c:v>
                </c:pt>
                <c:pt idx="79">
                  <c:v>4992.0586666666659</c:v>
                </c:pt>
                <c:pt idx="80">
                  <c:v>4992.0586666666659</c:v>
                </c:pt>
                <c:pt idx="81">
                  <c:v>4992.0586666666659</c:v>
                </c:pt>
                <c:pt idx="82">
                  <c:v>4992.0586666666659</c:v>
                </c:pt>
                <c:pt idx="83">
                  <c:v>4992.0586666666659</c:v>
                </c:pt>
                <c:pt idx="84">
                  <c:v>4992.0586666666659</c:v>
                </c:pt>
                <c:pt idx="85">
                  <c:v>4992.0586666666659</c:v>
                </c:pt>
                <c:pt idx="86">
                  <c:v>4992.0586666666659</c:v>
                </c:pt>
                <c:pt idx="87">
                  <c:v>4992.0586666666659</c:v>
                </c:pt>
                <c:pt idx="88">
                  <c:v>4992.0586666666659</c:v>
                </c:pt>
                <c:pt idx="89">
                  <c:v>4992.0586666666659</c:v>
                </c:pt>
                <c:pt idx="90">
                  <c:v>4992.0586666666659</c:v>
                </c:pt>
                <c:pt idx="91">
                  <c:v>4992.0586666666659</c:v>
                </c:pt>
                <c:pt idx="92">
                  <c:v>4992.0586666666659</c:v>
                </c:pt>
                <c:pt idx="93">
                  <c:v>4992.0586666666659</c:v>
                </c:pt>
                <c:pt idx="94">
                  <c:v>4992.0586666666659</c:v>
                </c:pt>
                <c:pt idx="95">
                  <c:v>6739.5039999999999</c:v>
                </c:pt>
                <c:pt idx="96">
                  <c:v>6739.5039999999999</c:v>
                </c:pt>
                <c:pt idx="97">
                  <c:v>6739.5039999999999</c:v>
                </c:pt>
                <c:pt idx="98">
                  <c:v>6739.5039999999999</c:v>
                </c:pt>
                <c:pt idx="99">
                  <c:v>6739.5039999999999</c:v>
                </c:pt>
                <c:pt idx="100">
                  <c:v>6739.5039999999999</c:v>
                </c:pt>
                <c:pt idx="101">
                  <c:v>6739.5039999999999</c:v>
                </c:pt>
                <c:pt idx="102">
                  <c:v>6739.5039999999999</c:v>
                </c:pt>
                <c:pt idx="103">
                  <c:v>6739.5039999999999</c:v>
                </c:pt>
                <c:pt idx="104">
                  <c:v>6739.5039999999999</c:v>
                </c:pt>
                <c:pt idx="105">
                  <c:v>6739.5039999999999</c:v>
                </c:pt>
                <c:pt idx="106">
                  <c:v>6739.5039999999999</c:v>
                </c:pt>
                <c:pt idx="107">
                  <c:v>6739.5039999999999</c:v>
                </c:pt>
                <c:pt idx="108">
                  <c:v>6739.5039999999999</c:v>
                </c:pt>
                <c:pt idx="109">
                  <c:v>6739.5039999999999</c:v>
                </c:pt>
                <c:pt idx="110">
                  <c:v>6739.5039999999999</c:v>
                </c:pt>
                <c:pt idx="111">
                  <c:v>6739.5039999999999</c:v>
                </c:pt>
                <c:pt idx="112">
                  <c:v>6739.5039999999999</c:v>
                </c:pt>
                <c:pt idx="113">
                  <c:v>6739.5039999999999</c:v>
                </c:pt>
                <c:pt idx="114">
                  <c:v>6739.5039999999999</c:v>
                </c:pt>
                <c:pt idx="115">
                  <c:v>6739.5039999999999</c:v>
                </c:pt>
                <c:pt idx="116">
                  <c:v>6739.5039999999999</c:v>
                </c:pt>
                <c:pt idx="117">
                  <c:v>6739.5039999999999</c:v>
                </c:pt>
                <c:pt idx="118">
                  <c:v>6739.5039999999999</c:v>
                </c:pt>
                <c:pt idx="119">
                  <c:v>6739.5039999999999</c:v>
                </c:pt>
                <c:pt idx="120">
                  <c:v>6739.5039999999999</c:v>
                </c:pt>
                <c:pt idx="121">
                  <c:v>6739.5039999999999</c:v>
                </c:pt>
                <c:pt idx="122">
                  <c:v>6739.5039999999999</c:v>
                </c:pt>
                <c:pt idx="123">
                  <c:v>6739.5039999999999</c:v>
                </c:pt>
                <c:pt idx="124">
                  <c:v>6739.5039999999999</c:v>
                </c:pt>
                <c:pt idx="125">
                  <c:v>1798.4</c:v>
                </c:pt>
                <c:pt idx="126">
                  <c:v>1798.4</c:v>
                </c:pt>
                <c:pt idx="127">
                  <c:v>1798.4</c:v>
                </c:pt>
                <c:pt idx="128">
                  <c:v>1798.4</c:v>
                </c:pt>
                <c:pt idx="129">
                  <c:v>1798.4</c:v>
                </c:pt>
                <c:pt idx="130">
                  <c:v>1798.4</c:v>
                </c:pt>
                <c:pt idx="131">
                  <c:v>1798.4</c:v>
                </c:pt>
                <c:pt idx="132">
                  <c:v>1798.4</c:v>
                </c:pt>
                <c:pt idx="133">
                  <c:v>1798.4</c:v>
                </c:pt>
                <c:pt idx="134">
                  <c:v>1798.4</c:v>
                </c:pt>
                <c:pt idx="135">
                  <c:v>1798.4</c:v>
                </c:pt>
                <c:pt idx="136">
                  <c:v>1798.4</c:v>
                </c:pt>
                <c:pt idx="137">
                  <c:v>1798.4</c:v>
                </c:pt>
                <c:pt idx="138">
                  <c:v>1798.4</c:v>
                </c:pt>
                <c:pt idx="139">
                  <c:v>1798.4</c:v>
                </c:pt>
                <c:pt idx="140">
                  <c:v>1798.4</c:v>
                </c:pt>
                <c:pt idx="141">
                  <c:v>1798.4</c:v>
                </c:pt>
                <c:pt idx="142">
                  <c:v>1798.4</c:v>
                </c:pt>
                <c:pt idx="143">
                  <c:v>1798.4</c:v>
                </c:pt>
                <c:pt idx="144">
                  <c:v>1798.4</c:v>
                </c:pt>
                <c:pt idx="145">
                  <c:v>1798.4</c:v>
                </c:pt>
                <c:pt idx="146">
                  <c:v>1798.4</c:v>
                </c:pt>
                <c:pt idx="147">
                  <c:v>1798.4</c:v>
                </c:pt>
                <c:pt idx="148">
                  <c:v>1798.4</c:v>
                </c:pt>
                <c:pt idx="149">
                  <c:v>1798.4</c:v>
                </c:pt>
                <c:pt idx="150">
                  <c:v>1798.4</c:v>
                </c:pt>
                <c:pt idx="151">
                  <c:v>1798.4</c:v>
                </c:pt>
                <c:pt idx="152">
                  <c:v>1798.4</c:v>
                </c:pt>
                <c:pt idx="153">
                  <c:v>1798.4</c:v>
                </c:pt>
                <c:pt idx="154">
                  <c:v>1798.4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5C-874C-8CEC-628CDDDD8913}"/>
            </c:ext>
          </c:extLst>
        </c:ser>
        <c:ser>
          <c:idx val="3"/>
          <c:order val="2"/>
          <c:spPr>
            <a:solidFill>
              <a:schemeClr val="accent2"/>
            </a:solidFill>
            <a:ln w="19050" cmpd="sng">
              <a:solidFill>
                <a:srgbClr val="000000"/>
              </a:solidFill>
            </a:ln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Requirement'!$AC$7:$AC$161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1500.415111111113</c:v>
                </c:pt>
                <c:pt idx="36">
                  <c:v>1500.415111111113</c:v>
                </c:pt>
                <c:pt idx="37">
                  <c:v>1500.415111111113</c:v>
                </c:pt>
                <c:pt idx="38">
                  <c:v>1500.415111111113</c:v>
                </c:pt>
                <c:pt idx="39">
                  <c:v>1500.415111111113</c:v>
                </c:pt>
                <c:pt idx="40">
                  <c:v>1500.415111111113</c:v>
                </c:pt>
                <c:pt idx="41">
                  <c:v>1500.415111111113</c:v>
                </c:pt>
                <c:pt idx="42">
                  <c:v>1500.415111111113</c:v>
                </c:pt>
                <c:pt idx="43">
                  <c:v>1500.415111111113</c:v>
                </c:pt>
                <c:pt idx="44">
                  <c:v>1500.415111111113</c:v>
                </c:pt>
                <c:pt idx="45">
                  <c:v>1500.415111111113</c:v>
                </c:pt>
                <c:pt idx="46">
                  <c:v>1500.415111111113</c:v>
                </c:pt>
                <c:pt idx="47">
                  <c:v>1500.415111111113</c:v>
                </c:pt>
                <c:pt idx="48">
                  <c:v>1500.415111111113</c:v>
                </c:pt>
                <c:pt idx="49">
                  <c:v>1500.415111111113</c:v>
                </c:pt>
                <c:pt idx="50">
                  <c:v>1500.415111111113</c:v>
                </c:pt>
                <c:pt idx="51">
                  <c:v>1500.415111111113</c:v>
                </c:pt>
                <c:pt idx="52">
                  <c:v>1500.415111111113</c:v>
                </c:pt>
                <c:pt idx="53">
                  <c:v>1500.415111111113</c:v>
                </c:pt>
                <c:pt idx="54">
                  <c:v>1500.415111111113</c:v>
                </c:pt>
                <c:pt idx="55">
                  <c:v>1500.415111111113</c:v>
                </c:pt>
                <c:pt idx="56">
                  <c:v>1500.415111111113</c:v>
                </c:pt>
                <c:pt idx="57">
                  <c:v>1500.415111111113</c:v>
                </c:pt>
                <c:pt idx="58">
                  <c:v>1500.415111111113</c:v>
                </c:pt>
                <c:pt idx="59">
                  <c:v>1500.415111111113</c:v>
                </c:pt>
                <c:pt idx="60">
                  <c:v>1500.415111111113</c:v>
                </c:pt>
                <c:pt idx="61">
                  <c:v>1500.415111111113</c:v>
                </c:pt>
                <c:pt idx="62">
                  <c:v>1500.415111111113</c:v>
                </c:pt>
                <c:pt idx="63">
                  <c:v>1500.415111111113</c:v>
                </c:pt>
                <c:pt idx="64">
                  <c:v>1500.415111111113</c:v>
                </c:pt>
                <c:pt idx="65">
                  <c:v>1742.9895402840298</c:v>
                </c:pt>
                <c:pt idx="66">
                  <c:v>2325.4910710803488</c:v>
                </c:pt>
                <c:pt idx="67">
                  <c:v>3049.8329255133167</c:v>
                </c:pt>
                <c:pt idx="68">
                  <c:v>2960.7844050745202</c:v>
                </c:pt>
                <c:pt idx="69">
                  <c:v>2866.0503351632065</c:v>
                </c:pt>
                <c:pt idx="70">
                  <c:v>2764.8384897572823</c:v>
                </c:pt>
                <c:pt idx="71">
                  <c:v>2657.2943356291585</c:v>
                </c:pt>
                <c:pt idx="72">
                  <c:v>2553.7203079699834</c:v>
                </c:pt>
                <c:pt idx="73">
                  <c:v>2451.5433044848096</c:v>
                </c:pt>
                <c:pt idx="74">
                  <c:v>2331.7195861137616</c:v>
                </c:pt>
                <c:pt idx="75">
                  <c:v>2198.659399082901</c:v>
                </c:pt>
                <c:pt idx="76">
                  <c:v>2064.128714678187</c:v>
                </c:pt>
                <c:pt idx="77">
                  <c:v>1941.4950550294113</c:v>
                </c:pt>
                <c:pt idx="78">
                  <c:v>1833.6789417887212</c:v>
                </c:pt>
                <c:pt idx="79">
                  <c:v>1718.8636460064611</c:v>
                </c:pt>
                <c:pt idx="80">
                  <c:v>1606.0392690988967</c:v>
                </c:pt>
                <c:pt idx="81">
                  <c:v>1555.3034361030429</c:v>
                </c:pt>
                <c:pt idx="82">
                  <c:v>1482.6902384214984</c:v>
                </c:pt>
                <c:pt idx="83">
                  <c:v>1362.9104831848367</c:v>
                </c:pt>
                <c:pt idx="84">
                  <c:v>1223.3933105147364</c:v>
                </c:pt>
                <c:pt idx="85">
                  <c:v>1051.3244830317165</c:v>
                </c:pt>
                <c:pt idx="86">
                  <c:v>883.40396133764955</c:v>
                </c:pt>
                <c:pt idx="87">
                  <c:v>719.36004060062578</c:v>
                </c:pt>
                <c:pt idx="88">
                  <c:v>548.63145132064733</c:v>
                </c:pt>
                <c:pt idx="89">
                  <c:v>362.05701599821708</c:v>
                </c:pt>
                <c:pt idx="90">
                  <c:v>182.16945316114902</c:v>
                </c:pt>
                <c:pt idx="91">
                  <c:v>173.58589741151874</c:v>
                </c:pt>
                <c:pt idx="92">
                  <c:v>274.77341195170089</c:v>
                </c:pt>
                <c:pt idx="93">
                  <c:v>179.55732791232967</c:v>
                </c:pt>
                <c:pt idx="94">
                  <c:v>174.48749410150222</c:v>
                </c:pt>
                <c:pt idx="95">
                  <c:v>169.9123032170456</c:v>
                </c:pt>
                <c:pt idx="96">
                  <c:v>165.34211031202943</c:v>
                </c:pt>
                <c:pt idx="97">
                  <c:v>159.63744479140561</c:v>
                </c:pt>
                <c:pt idx="98">
                  <c:v>152.74246233152755</c:v>
                </c:pt>
                <c:pt idx="99">
                  <c:v>145.08919798566018</c:v>
                </c:pt>
                <c:pt idx="100">
                  <c:v>138.61859617582357</c:v>
                </c:pt>
                <c:pt idx="101">
                  <c:v>131.24965887248084</c:v>
                </c:pt>
                <c:pt idx="102">
                  <c:v>122.411222251504</c:v>
                </c:pt>
                <c:pt idx="103">
                  <c:v>114.4863662576041</c:v>
                </c:pt>
                <c:pt idx="104">
                  <c:v>107.13873663351893</c:v>
                </c:pt>
                <c:pt idx="105">
                  <c:v>99.71587061565819</c:v>
                </c:pt>
                <c:pt idx="106">
                  <c:v>92.071154911264415</c:v>
                </c:pt>
                <c:pt idx="107">
                  <c:v>83.881869074811405</c:v>
                </c:pt>
                <c:pt idx="108">
                  <c:v>75.294719094595351</c:v>
                </c:pt>
                <c:pt idx="109">
                  <c:v>66.807136877129238</c:v>
                </c:pt>
                <c:pt idx="110">
                  <c:v>57.700630262765223</c:v>
                </c:pt>
                <c:pt idx="111">
                  <c:v>51.107444386361095</c:v>
                </c:pt>
                <c:pt idx="112">
                  <c:v>46.238528747807457</c:v>
                </c:pt>
                <c:pt idx="113">
                  <c:v>41.600780408308133</c:v>
                </c:pt>
                <c:pt idx="114">
                  <c:v>36.587066770863316</c:v>
                </c:pt>
                <c:pt idx="115">
                  <c:v>31.561235099952107</c:v>
                </c:pt>
                <c:pt idx="116">
                  <c:v>27.485774125229693</c:v>
                </c:pt>
                <c:pt idx="117">
                  <c:v>22.28213951572517</c:v>
                </c:pt>
                <c:pt idx="118">
                  <c:v>10.802782427702917</c:v>
                </c:pt>
                <c:pt idx="119">
                  <c:v>12.83591163160802</c:v>
                </c:pt>
                <c:pt idx="120">
                  <c:v>7.4287615583534858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5C-874C-8CEC-628CDDDD8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151504"/>
        <c:axId val="-2010148016"/>
      </c:areaChart>
      <c:dateAx>
        <c:axId val="-2010151504"/>
        <c:scaling>
          <c:orientation val="minMax"/>
          <c:min val="42294"/>
        </c:scaling>
        <c:delete val="0"/>
        <c:axPos val="b"/>
        <c:numFmt formatCode="m/d;@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10148016"/>
        <c:crosses val="autoZero"/>
        <c:auto val="1"/>
        <c:lblOffset val="100"/>
        <c:baseTimeUnit val="days"/>
        <c:majorUnit val="28"/>
        <c:majorTimeUnit val="days"/>
      </c:dateAx>
      <c:valAx>
        <c:axId val="-2010148016"/>
        <c:scaling>
          <c:orientation val="minMax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10151504"/>
        <c:crosses val="autoZero"/>
        <c:crossBetween val="midCat"/>
        <c:majorUnit val="2000"/>
        <c:dispUnits>
          <c:builtInUnit val="thousands"/>
        </c:dispUnits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ndard"/>
        <c:varyColors val="0"/>
        <c:ser>
          <c:idx val="2"/>
          <c:order val="0"/>
          <c:spPr>
            <a:solidFill>
              <a:schemeClr val="accent2">
                <a:lumMod val="60000"/>
                <a:lumOff val="40000"/>
              </a:schemeClr>
            </a:solidFill>
            <a:ln w="19050" cmpd="sng">
              <a:solidFill>
                <a:schemeClr val="tx1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Requirement'!$AE$7:$AE$161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840.94087824140513</c:v>
                </c:pt>
                <c:pt idx="33">
                  <c:v>840.94087824140513</c:v>
                </c:pt>
                <c:pt idx="34">
                  <c:v>838.5187365135389</c:v>
                </c:pt>
                <c:pt idx="35">
                  <c:v>968.53858483413126</c:v>
                </c:pt>
                <c:pt idx="36">
                  <c:v>1071.60900044353</c:v>
                </c:pt>
                <c:pt idx="37">
                  <c:v>1136.6747712541783</c:v>
                </c:pt>
                <c:pt idx="38">
                  <c:v>1279.1488958420289</c:v>
                </c:pt>
                <c:pt idx="39">
                  <c:v>1336.5014552460989</c:v>
                </c:pt>
                <c:pt idx="40">
                  <c:v>1318.1154379178486</c:v>
                </c:pt>
                <c:pt idx="41">
                  <c:v>1289.6247031589282</c:v>
                </c:pt>
                <c:pt idx="42">
                  <c:v>1260.8788481497606</c:v>
                </c:pt>
                <c:pt idx="43">
                  <c:v>1230.5291278751033</c:v>
                </c:pt>
                <c:pt idx="44">
                  <c:v>1199.742098119362</c:v>
                </c:pt>
                <c:pt idx="45">
                  <c:v>1177.1531102869649</c:v>
                </c:pt>
                <c:pt idx="46">
                  <c:v>1147.3230745577475</c:v>
                </c:pt>
                <c:pt idx="47">
                  <c:v>1121.1174283010139</c:v>
                </c:pt>
                <c:pt idx="48">
                  <c:v>1105.0805961063866</c:v>
                </c:pt>
                <c:pt idx="49">
                  <c:v>1079.2660665235267</c:v>
                </c:pt>
                <c:pt idx="50">
                  <c:v>1050.261239496901</c:v>
                </c:pt>
                <c:pt idx="51">
                  <c:v>1022.2897376215277</c:v>
                </c:pt>
                <c:pt idx="52">
                  <c:v>1003.6699218554547</c:v>
                </c:pt>
                <c:pt idx="53">
                  <c:v>985.92843304868461</c:v>
                </c:pt>
                <c:pt idx="54">
                  <c:v>983.18826998085694</c:v>
                </c:pt>
                <c:pt idx="55">
                  <c:v>969.06266100821915</c:v>
                </c:pt>
                <c:pt idx="56">
                  <c:v>949.49871292308046</c:v>
                </c:pt>
                <c:pt idx="57">
                  <c:v>927.61602090416545</c:v>
                </c:pt>
                <c:pt idx="58">
                  <c:v>904.68401464500926</c:v>
                </c:pt>
                <c:pt idx="59">
                  <c:v>882.46525304684178</c:v>
                </c:pt>
                <c:pt idx="60">
                  <c:v>859.2092254656917</c:v>
                </c:pt>
                <c:pt idx="61">
                  <c:v>836.235002572045</c:v>
                </c:pt>
                <c:pt idx="62">
                  <c:v>817.05545316792472</c:v>
                </c:pt>
                <c:pt idx="63">
                  <c:v>798.7779194050097</c:v>
                </c:pt>
                <c:pt idx="64">
                  <c:v>777.17763739554493</c:v>
                </c:pt>
                <c:pt idx="65">
                  <c:v>753.53289263946021</c:v>
                </c:pt>
                <c:pt idx="66">
                  <c:v>775.47859066175761</c:v>
                </c:pt>
                <c:pt idx="67">
                  <c:v>1175.7905485590015</c:v>
                </c:pt>
                <c:pt idx="68">
                  <c:v>1171.611576978526</c:v>
                </c:pt>
                <c:pt idx="69">
                  <c:v>1150.2812645337794</c:v>
                </c:pt>
                <c:pt idx="70">
                  <c:v>1127.5532403641052</c:v>
                </c:pt>
                <c:pt idx="71">
                  <c:v>1104.5270416330297</c:v>
                </c:pt>
                <c:pt idx="72">
                  <c:v>1082.9328951067107</c:v>
                </c:pt>
                <c:pt idx="73">
                  <c:v>1059.4166478280213</c:v>
                </c:pt>
                <c:pt idx="74">
                  <c:v>1036.3531236422546</c:v>
                </c:pt>
                <c:pt idx="75">
                  <c:v>1014.2153747600345</c:v>
                </c:pt>
                <c:pt idx="76">
                  <c:v>993.22456822779861</c:v>
                </c:pt>
                <c:pt idx="77">
                  <c:v>967.06793297848651</c:v>
                </c:pt>
                <c:pt idx="78">
                  <c:v>942.69295543441831</c:v>
                </c:pt>
                <c:pt idx="79">
                  <c:v>923.78421390581934</c:v>
                </c:pt>
                <c:pt idx="80">
                  <c:v>907.55891607385763</c:v>
                </c:pt>
                <c:pt idx="81">
                  <c:v>888.55074737384814</c:v>
                </c:pt>
                <c:pt idx="82">
                  <c:v>879.56498604449257</c:v>
                </c:pt>
                <c:pt idx="83">
                  <c:v>863.54839148812835</c:v>
                </c:pt>
                <c:pt idx="84">
                  <c:v>845.44158946504399</c:v>
                </c:pt>
                <c:pt idx="85">
                  <c:v>824.20109357422655</c:v>
                </c:pt>
                <c:pt idx="86">
                  <c:v>802.67508610903872</c:v>
                </c:pt>
                <c:pt idx="87">
                  <c:v>786.23032703289482</c:v>
                </c:pt>
                <c:pt idx="88">
                  <c:v>769.68899629312682</c:v>
                </c:pt>
                <c:pt idx="89">
                  <c:v>748.19797470494802</c:v>
                </c:pt>
                <c:pt idx="90">
                  <c:v>727.34304174103215</c:v>
                </c:pt>
                <c:pt idx="91">
                  <c:v>707.92831876944297</c:v>
                </c:pt>
                <c:pt idx="92">
                  <c:v>706.38221953899586</c:v>
                </c:pt>
                <c:pt idx="93">
                  <c:v>709.50500587755505</c:v>
                </c:pt>
                <c:pt idx="94">
                  <c:v>697.24539640340129</c:v>
                </c:pt>
                <c:pt idx="95">
                  <c:v>680.16059013594656</c:v>
                </c:pt>
                <c:pt idx="96">
                  <c:v>663.02209346341817</c:v>
                </c:pt>
                <c:pt idx="97">
                  <c:v>641.78150493198791</c:v>
                </c:pt>
                <c:pt idx="98">
                  <c:v>619.59290774496026</c:v>
                </c:pt>
                <c:pt idx="99">
                  <c:v>595.8260964440758</c:v>
                </c:pt>
                <c:pt idx="100">
                  <c:v>570.79063746923305</c:v>
                </c:pt>
                <c:pt idx="101">
                  <c:v>547.66281838858981</c:v>
                </c:pt>
                <c:pt idx="102">
                  <c:v>529.05478755220349</c:v>
                </c:pt>
                <c:pt idx="103">
                  <c:v>510.29233160193144</c:v>
                </c:pt>
                <c:pt idx="104">
                  <c:v>491.00306857507383</c:v>
                </c:pt>
                <c:pt idx="105">
                  <c:v>471.3068284910604</c:v>
                </c:pt>
                <c:pt idx="106">
                  <c:v>449.60787988775769</c:v>
                </c:pt>
                <c:pt idx="107">
                  <c:v>427.1975484418985</c:v>
                </c:pt>
                <c:pt idx="108">
                  <c:v>405.42838611791086</c:v>
                </c:pt>
                <c:pt idx="109">
                  <c:v>382.65452627123932</c:v>
                </c:pt>
                <c:pt idx="110">
                  <c:v>356.48041321214595</c:v>
                </c:pt>
                <c:pt idx="111">
                  <c:v>333.64285192943038</c:v>
                </c:pt>
                <c:pt idx="112">
                  <c:v>315.85025491995009</c:v>
                </c:pt>
                <c:pt idx="113">
                  <c:v>299.36363451151925</c:v>
                </c:pt>
                <c:pt idx="114">
                  <c:v>283.19848925070005</c:v>
                </c:pt>
                <c:pt idx="115">
                  <c:v>266.17575970019834</c:v>
                </c:pt>
                <c:pt idx="116">
                  <c:v>248.53110000653098</c:v>
                </c:pt>
                <c:pt idx="117">
                  <c:v>233.46191385348644</c:v>
                </c:pt>
                <c:pt idx="118">
                  <c:v>222.72872440224907</c:v>
                </c:pt>
                <c:pt idx="119">
                  <c:v>209.75669775616393</c:v>
                </c:pt>
                <c:pt idx="120">
                  <c:v>194.66491820623929</c:v>
                </c:pt>
                <c:pt idx="121">
                  <c:v>178.52342422478756</c:v>
                </c:pt>
                <c:pt idx="122">
                  <c:v>162.21616420427617</c:v>
                </c:pt>
                <c:pt idx="123">
                  <c:v>146.4719258965051</c:v>
                </c:pt>
                <c:pt idx="124">
                  <c:v>131.89837886308973</c:v>
                </c:pt>
                <c:pt idx="125">
                  <c:v>115.9765722542778</c:v>
                </c:pt>
                <c:pt idx="126">
                  <c:v>100.88961527494776</c:v>
                </c:pt>
                <c:pt idx="127">
                  <c:v>87.739530493714327</c:v>
                </c:pt>
                <c:pt idx="128">
                  <c:v>74.470454727955271</c:v>
                </c:pt>
                <c:pt idx="129">
                  <c:v>61.16203477000218</c:v>
                </c:pt>
                <c:pt idx="130">
                  <c:v>48.350404854606033</c:v>
                </c:pt>
                <c:pt idx="131">
                  <c:v>34.691581476796486</c:v>
                </c:pt>
                <c:pt idx="132">
                  <c:v>21.739134376347128</c:v>
                </c:pt>
                <c:pt idx="133">
                  <c:v>9.3614326135882315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E-1F4B-8B6F-CC3875078D51}"/>
            </c:ext>
          </c:extLst>
        </c:ser>
        <c:ser>
          <c:idx val="0"/>
          <c:order val="1"/>
          <c:spPr>
            <a:solidFill>
              <a:srgbClr val="BFBFBF"/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Requirement'!$AD$7:$AD$161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2000.833333333333</c:v>
                </c:pt>
                <c:pt idx="43">
                  <c:v>2000.833333333333</c:v>
                </c:pt>
                <c:pt idx="44">
                  <c:v>2000.833333333333</c:v>
                </c:pt>
                <c:pt idx="45">
                  <c:v>2000.833333333333</c:v>
                </c:pt>
                <c:pt idx="46">
                  <c:v>2000.833333333333</c:v>
                </c:pt>
                <c:pt idx="47">
                  <c:v>2000.833333333333</c:v>
                </c:pt>
                <c:pt idx="48">
                  <c:v>2000.833333333333</c:v>
                </c:pt>
                <c:pt idx="49">
                  <c:v>2000.833333333333</c:v>
                </c:pt>
                <c:pt idx="50">
                  <c:v>2000.833333333333</c:v>
                </c:pt>
                <c:pt idx="51">
                  <c:v>2000.833333333333</c:v>
                </c:pt>
                <c:pt idx="52">
                  <c:v>2000.833333333333</c:v>
                </c:pt>
                <c:pt idx="53">
                  <c:v>2000.833333333333</c:v>
                </c:pt>
                <c:pt idx="54">
                  <c:v>2000.833333333333</c:v>
                </c:pt>
                <c:pt idx="55">
                  <c:v>2000.833333333333</c:v>
                </c:pt>
                <c:pt idx="56">
                  <c:v>2000.833333333333</c:v>
                </c:pt>
                <c:pt idx="57">
                  <c:v>2000.833333333333</c:v>
                </c:pt>
                <c:pt idx="58">
                  <c:v>2000.833333333333</c:v>
                </c:pt>
                <c:pt idx="59">
                  <c:v>2000.833333333333</c:v>
                </c:pt>
                <c:pt idx="60">
                  <c:v>2000.833333333333</c:v>
                </c:pt>
                <c:pt idx="61">
                  <c:v>2000.833333333333</c:v>
                </c:pt>
                <c:pt idx="62">
                  <c:v>2000.833333333333</c:v>
                </c:pt>
                <c:pt idx="63">
                  <c:v>2000.833333333333</c:v>
                </c:pt>
                <c:pt idx="64">
                  <c:v>2000.833333333333</c:v>
                </c:pt>
                <c:pt idx="65">
                  <c:v>2000.833333333333</c:v>
                </c:pt>
                <c:pt idx="66">
                  <c:v>2000.833333333333</c:v>
                </c:pt>
                <c:pt idx="67">
                  <c:v>2000.833333333333</c:v>
                </c:pt>
                <c:pt idx="68">
                  <c:v>2000.833333333333</c:v>
                </c:pt>
                <c:pt idx="69">
                  <c:v>2000.833333333333</c:v>
                </c:pt>
                <c:pt idx="70">
                  <c:v>2000.833333333333</c:v>
                </c:pt>
                <c:pt idx="71">
                  <c:v>2000.833333333333</c:v>
                </c:pt>
                <c:pt idx="72">
                  <c:v>2702.109375</c:v>
                </c:pt>
                <c:pt idx="73">
                  <c:v>2702.109375</c:v>
                </c:pt>
                <c:pt idx="74">
                  <c:v>2702.109375</c:v>
                </c:pt>
                <c:pt idx="75">
                  <c:v>2702.109375</c:v>
                </c:pt>
                <c:pt idx="76">
                  <c:v>2702.109375</c:v>
                </c:pt>
                <c:pt idx="77">
                  <c:v>2702.109375</c:v>
                </c:pt>
                <c:pt idx="78">
                  <c:v>2702.109375</c:v>
                </c:pt>
                <c:pt idx="79">
                  <c:v>2702.109375</c:v>
                </c:pt>
                <c:pt idx="80">
                  <c:v>2702.109375</c:v>
                </c:pt>
                <c:pt idx="81">
                  <c:v>2702.109375</c:v>
                </c:pt>
                <c:pt idx="82">
                  <c:v>2702.109375</c:v>
                </c:pt>
                <c:pt idx="83">
                  <c:v>2702.109375</c:v>
                </c:pt>
                <c:pt idx="84">
                  <c:v>2702.109375</c:v>
                </c:pt>
                <c:pt idx="85">
                  <c:v>2702.109375</c:v>
                </c:pt>
                <c:pt idx="86">
                  <c:v>2702.109375</c:v>
                </c:pt>
                <c:pt idx="87">
                  <c:v>2702.109375</c:v>
                </c:pt>
                <c:pt idx="88">
                  <c:v>2702.109375</c:v>
                </c:pt>
                <c:pt idx="89">
                  <c:v>2702.109375</c:v>
                </c:pt>
                <c:pt idx="90">
                  <c:v>2702.109375</c:v>
                </c:pt>
                <c:pt idx="91">
                  <c:v>2702.109375</c:v>
                </c:pt>
                <c:pt idx="92">
                  <c:v>2702.109375</c:v>
                </c:pt>
                <c:pt idx="93">
                  <c:v>2702.109375</c:v>
                </c:pt>
                <c:pt idx="94">
                  <c:v>2702.109375</c:v>
                </c:pt>
                <c:pt idx="95">
                  <c:v>2702.109375</c:v>
                </c:pt>
                <c:pt idx="96">
                  <c:v>2702.109375</c:v>
                </c:pt>
                <c:pt idx="97">
                  <c:v>2702.109375</c:v>
                </c:pt>
                <c:pt idx="98">
                  <c:v>2702.109375</c:v>
                </c:pt>
                <c:pt idx="99">
                  <c:v>2702.109375</c:v>
                </c:pt>
                <c:pt idx="100">
                  <c:v>2702.109375</c:v>
                </c:pt>
                <c:pt idx="101">
                  <c:v>2702.109375</c:v>
                </c:pt>
                <c:pt idx="102">
                  <c:v>748.125</c:v>
                </c:pt>
                <c:pt idx="103">
                  <c:v>748.125</c:v>
                </c:pt>
                <c:pt idx="104">
                  <c:v>748.125</c:v>
                </c:pt>
                <c:pt idx="105">
                  <c:v>748.125</c:v>
                </c:pt>
                <c:pt idx="106">
                  <c:v>748.125</c:v>
                </c:pt>
                <c:pt idx="107">
                  <c:v>748.125</c:v>
                </c:pt>
                <c:pt idx="108">
                  <c:v>748.125</c:v>
                </c:pt>
                <c:pt idx="109">
                  <c:v>748.125</c:v>
                </c:pt>
                <c:pt idx="110">
                  <c:v>748.125</c:v>
                </c:pt>
                <c:pt idx="111">
                  <c:v>748.125</c:v>
                </c:pt>
                <c:pt idx="112">
                  <c:v>748.125</c:v>
                </c:pt>
                <c:pt idx="113">
                  <c:v>748.125</c:v>
                </c:pt>
                <c:pt idx="114">
                  <c:v>748.125</c:v>
                </c:pt>
                <c:pt idx="115">
                  <c:v>748.125</c:v>
                </c:pt>
                <c:pt idx="116">
                  <c:v>748.125</c:v>
                </c:pt>
                <c:pt idx="117">
                  <c:v>748.125</c:v>
                </c:pt>
                <c:pt idx="118">
                  <c:v>748.125</c:v>
                </c:pt>
                <c:pt idx="119">
                  <c:v>748.125</c:v>
                </c:pt>
                <c:pt idx="120">
                  <c:v>748.125</c:v>
                </c:pt>
                <c:pt idx="121">
                  <c:v>748.125</c:v>
                </c:pt>
                <c:pt idx="122">
                  <c:v>748.125</c:v>
                </c:pt>
                <c:pt idx="123">
                  <c:v>748.125</c:v>
                </c:pt>
                <c:pt idx="124">
                  <c:v>748.125</c:v>
                </c:pt>
                <c:pt idx="125">
                  <c:v>748.125</c:v>
                </c:pt>
                <c:pt idx="126">
                  <c:v>748.125</c:v>
                </c:pt>
                <c:pt idx="127">
                  <c:v>748.125</c:v>
                </c:pt>
                <c:pt idx="128">
                  <c:v>748.125</c:v>
                </c:pt>
                <c:pt idx="129">
                  <c:v>748.125</c:v>
                </c:pt>
                <c:pt idx="130">
                  <c:v>748.125</c:v>
                </c:pt>
                <c:pt idx="131">
                  <c:v>748.125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4E-1F4B-8B6F-CC3875078D51}"/>
            </c:ext>
          </c:extLst>
        </c:ser>
        <c:ser>
          <c:idx val="3"/>
          <c:order val="2"/>
          <c:spPr>
            <a:solidFill>
              <a:schemeClr val="accent2"/>
            </a:solidFill>
            <a:ln w="19050" cmpd="sng">
              <a:solidFill>
                <a:srgbClr val="000000"/>
              </a:solidFill>
            </a:ln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Requirement'!$AF$7:$AF$161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1260.8788481497606</c:v>
                </c:pt>
                <c:pt idx="43">
                  <c:v>1230.5291278751033</c:v>
                </c:pt>
                <c:pt idx="44">
                  <c:v>1199.742098119362</c:v>
                </c:pt>
                <c:pt idx="45">
                  <c:v>1177.1531102869649</c:v>
                </c:pt>
                <c:pt idx="46">
                  <c:v>1147.3230745577475</c:v>
                </c:pt>
                <c:pt idx="47">
                  <c:v>1121.1174283010139</c:v>
                </c:pt>
                <c:pt idx="48">
                  <c:v>1105.0805961063866</c:v>
                </c:pt>
                <c:pt idx="49">
                  <c:v>1079.2660665235267</c:v>
                </c:pt>
                <c:pt idx="50">
                  <c:v>1050.261239496901</c:v>
                </c:pt>
                <c:pt idx="51">
                  <c:v>1022.2897376215277</c:v>
                </c:pt>
                <c:pt idx="52">
                  <c:v>1003.6699218554547</c:v>
                </c:pt>
                <c:pt idx="53">
                  <c:v>985.92843304868461</c:v>
                </c:pt>
                <c:pt idx="54">
                  <c:v>983.18826998085694</c:v>
                </c:pt>
                <c:pt idx="55">
                  <c:v>969.06266100821915</c:v>
                </c:pt>
                <c:pt idx="56">
                  <c:v>949.49871292308046</c:v>
                </c:pt>
                <c:pt idx="57">
                  <c:v>927.61602090416545</c:v>
                </c:pt>
                <c:pt idx="58">
                  <c:v>904.68401464500926</c:v>
                </c:pt>
                <c:pt idx="59">
                  <c:v>882.46525304684178</c:v>
                </c:pt>
                <c:pt idx="60">
                  <c:v>859.2092254656917</c:v>
                </c:pt>
                <c:pt idx="61">
                  <c:v>836.235002572045</c:v>
                </c:pt>
                <c:pt idx="62">
                  <c:v>817.05545316792472</c:v>
                </c:pt>
                <c:pt idx="63">
                  <c:v>798.7779194050097</c:v>
                </c:pt>
                <c:pt idx="64">
                  <c:v>777.17763739554493</c:v>
                </c:pt>
                <c:pt idx="65">
                  <c:v>753.53289263946021</c:v>
                </c:pt>
                <c:pt idx="66">
                  <c:v>775.47859066175761</c:v>
                </c:pt>
                <c:pt idx="67">
                  <c:v>1175.7905485590015</c:v>
                </c:pt>
                <c:pt idx="68">
                  <c:v>1171.611576978526</c:v>
                </c:pt>
                <c:pt idx="69">
                  <c:v>1150.2812645337794</c:v>
                </c:pt>
                <c:pt idx="70">
                  <c:v>1127.5532403641052</c:v>
                </c:pt>
                <c:pt idx="71">
                  <c:v>1104.5270416330297</c:v>
                </c:pt>
                <c:pt idx="72">
                  <c:v>1082.9328951067107</c:v>
                </c:pt>
                <c:pt idx="73">
                  <c:v>1059.4166478280213</c:v>
                </c:pt>
                <c:pt idx="74">
                  <c:v>1036.3531236422546</c:v>
                </c:pt>
                <c:pt idx="75">
                  <c:v>1014.2153747600345</c:v>
                </c:pt>
                <c:pt idx="76">
                  <c:v>993.22456822779861</c:v>
                </c:pt>
                <c:pt idx="77">
                  <c:v>967.06793297848651</c:v>
                </c:pt>
                <c:pt idx="78">
                  <c:v>942.69295543441831</c:v>
                </c:pt>
                <c:pt idx="79">
                  <c:v>923.78421390581934</c:v>
                </c:pt>
                <c:pt idx="80">
                  <c:v>907.55891607385763</c:v>
                </c:pt>
                <c:pt idx="81">
                  <c:v>888.55074737384814</c:v>
                </c:pt>
                <c:pt idx="82">
                  <c:v>879.56498604449257</c:v>
                </c:pt>
                <c:pt idx="83">
                  <c:v>863.54839148812835</c:v>
                </c:pt>
                <c:pt idx="84">
                  <c:v>845.44158946504399</c:v>
                </c:pt>
                <c:pt idx="85">
                  <c:v>824.20109357422655</c:v>
                </c:pt>
                <c:pt idx="86">
                  <c:v>802.67508610903872</c:v>
                </c:pt>
                <c:pt idx="87">
                  <c:v>786.23032703289482</c:v>
                </c:pt>
                <c:pt idx="88">
                  <c:v>769.68899629312682</c:v>
                </c:pt>
                <c:pt idx="89">
                  <c:v>748.19797470494802</c:v>
                </c:pt>
                <c:pt idx="90">
                  <c:v>727.34304174103215</c:v>
                </c:pt>
                <c:pt idx="91">
                  <c:v>707.92831876944297</c:v>
                </c:pt>
                <c:pt idx="92">
                  <c:v>706.38221953899586</c:v>
                </c:pt>
                <c:pt idx="93">
                  <c:v>709.50500587755505</c:v>
                </c:pt>
                <c:pt idx="94">
                  <c:v>697.24539640340129</c:v>
                </c:pt>
                <c:pt idx="95">
                  <c:v>680.16059013594656</c:v>
                </c:pt>
                <c:pt idx="96">
                  <c:v>663.02209346341817</c:v>
                </c:pt>
                <c:pt idx="97">
                  <c:v>641.78150493198791</c:v>
                </c:pt>
                <c:pt idx="98">
                  <c:v>619.59290774496026</c:v>
                </c:pt>
                <c:pt idx="99">
                  <c:v>595.8260964440758</c:v>
                </c:pt>
                <c:pt idx="100">
                  <c:v>570.79063746923305</c:v>
                </c:pt>
                <c:pt idx="101">
                  <c:v>547.66281838858981</c:v>
                </c:pt>
                <c:pt idx="102">
                  <c:v>529.05478755220349</c:v>
                </c:pt>
                <c:pt idx="103">
                  <c:v>510.29233160193144</c:v>
                </c:pt>
                <c:pt idx="104">
                  <c:v>491.00306857507383</c:v>
                </c:pt>
                <c:pt idx="105">
                  <c:v>471.3068284910604</c:v>
                </c:pt>
                <c:pt idx="106">
                  <c:v>449.60787988775769</c:v>
                </c:pt>
                <c:pt idx="107">
                  <c:v>427.1975484418985</c:v>
                </c:pt>
                <c:pt idx="108">
                  <c:v>405.42838611791086</c:v>
                </c:pt>
                <c:pt idx="109">
                  <c:v>382.65452627123932</c:v>
                </c:pt>
                <c:pt idx="110">
                  <c:v>356.48041321214595</c:v>
                </c:pt>
                <c:pt idx="111">
                  <c:v>333.64285192943038</c:v>
                </c:pt>
                <c:pt idx="112">
                  <c:v>315.85025491995009</c:v>
                </c:pt>
                <c:pt idx="113">
                  <c:v>299.36363451151925</c:v>
                </c:pt>
                <c:pt idx="114">
                  <c:v>283.19848925070005</c:v>
                </c:pt>
                <c:pt idx="115">
                  <c:v>266.17575970019834</c:v>
                </c:pt>
                <c:pt idx="116">
                  <c:v>248.53110000653098</c:v>
                </c:pt>
                <c:pt idx="117">
                  <c:v>233.46191385348644</c:v>
                </c:pt>
                <c:pt idx="118">
                  <c:v>222.72872440224907</c:v>
                </c:pt>
                <c:pt idx="119">
                  <c:v>209.75669775616393</c:v>
                </c:pt>
                <c:pt idx="120">
                  <c:v>194.66491820623929</c:v>
                </c:pt>
                <c:pt idx="121">
                  <c:v>178.52342422478756</c:v>
                </c:pt>
                <c:pt idx="122">
                  <c:v>162.21616420427617</c:v>
                </c:pt>
                <c:pt idx="123">
                  <c:v>146.4719258965051</c:v>
                </c:pt>
                <c:pt idx="124">
                  <c:v>131.89837886308973</c:v>
                </c:pt>
                <c:pt idx="125">
                  <c:v>115.9765722542778</c:v>
                </c:pt>
                <c:pt idx="126">
                  <c:v>100.88961527494776</c:v>
                </c:pt>
                <c:pt idx="127">
                  <c:v>87.739530493714327</c:v>
                </c:pt>
                <c:pt idx="128">
                  <c:v>74.470454727955271</c:v>
                </c:pt>
                <c:pt idx="129">
                  <c:v>61.16203477000218</c:v>
                </c:pt>
                <c:pt idx="130">
                  <c:v>48.350404854606033</c:v>
                </c:pt>
                <c:pt idx="131">
                  <c:v>34.691581476796486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4E-1F4B-8B6F-CC3875078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8433408"/>
        <c:axId val="-2028430128"/>
      </c:areaChart>
      <c:dateAx>
        <c:axId val="-2028433408"/>
        <c:scaling>
          <c:orientation val="minMax"/>
          <c:min val="42294"/>
        </c:scaling>
        <c:delete val="0"/>
        <c:axPos val="b"/>
        <c:numFmt formatCode="m/d;@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8430128"/>
        <c:crosses val="autoZero"/>
        <c:auto val="1"/>
        <c:lblOffset val="100"/>
        <c:baseTimeUnit val="days"/>
        <c:majorUnit val="28"/>
        <c:majorTimeUnit val="days"/>
      </c:dateAx>
      <c:valAx>
        <c:axId val="-2028430128"/>
        <c:scaling>
          <c:orientation val="minMax"/>
          <c:max val="800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8433408"/>
        <c:crosses val="autoZero"/>
        <c:crossBetween val="midCat"/>
        <c:majorUnit val="2000"/>
        <c:dispUnits>
          <c:builtInUnit val="thousands"/>
        </c:dispUnits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ndard"/>
        <c:varyColors val="0"/>
        <c:ser>
          <c:idx val="2"/>
          <c:order val="0"/>
          <c:spPr>
            <a:solidFill>
              <a:schemeClr val="accent2">
                <a:lumMod val="60000"/>
                <a:lumOff val="40000"/>
              </a:schemeClr>
            </a:solidFill>
            <a:ln w="19050" cmpd="sng">
              <a:solidFill>
                <a:schemeClr val="tx1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Requirement'!$AH$7:$AH$161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3091.9074563698455</c:v>
                </c:pt>
                <c:pt idx="33">
                  <c:v>3091.9074563698455</c:v>
                </c:pt>
                <c:pt idx="34">
                  <c:v>3095.8415383058045</c:v>
                </c:pt>
                <c:pt idx="35">
                  <c:v>4083.3032493809778</c:v>
                </c:pt>
                <c:pt idx="36">
                  <c:v>4301.9801975394294</c:v>
                </c:pt>
                <c:pt idx="37">
                  <c:v>4518.558460502255</c:v>
                </c:pt>
                <c:pt idx="38">
                  <c:v>5248.7398675696213</c:v>
                </c:pt>
                <c:pt idx="39">
                  <c:v>4341.9067944897079</c:v>
                </c:pt>
                <c:pt idx="40">
                  <c:v>4399.2304683689517</c:v>
                </c:pt>
                <c:pt idx="41">
                  <c:v>4260.9192098710437</c:v>
                </c:pt>
                <c:pt idx="42">
                  <c:v>4133.4457925816832</c:v>
                </c:pt>
                <c:pt idx="43">
                  <c:v>4057.7138614478868</c:v>
                </c:pt>
                <c:pt idx="44">
                  <c:v>4021.4252107191401</c:v>
                </c:pt>
                <c:pt idx="45">
                  <c:v>3937.0175216630014</c:v>
                </c:pt>
                <c:pt idx="46">
                  <c:v>3843.4825260192674</c:v>
                </c:pt>
                <c:pt idx="47">
                  <c:v>3742.6911663351893</c:v>
                </c:pt>
                <c:pt idx="48">
                  <c:v>3672.7564587843285</c:v>
                </c:pt>
                <c:pt idx="49">
                  <c:v>3599.8733507759857</c:v>
                </c:pt>
                <c:pt idx="50">
                  <c:v>3529.3769870181677</c:v>
                </c:pt>
                <c:pt idx="51">
                  <c:v>3450.1747325478345</c:v>
                </c:pt>
                <c:pt idx="52">
                  <c:v>3380.5378188157074</c:v>
                </c:pt>
                <c:pt idx="53">
                  <c:v>3315.0380180869524</c:v>
                </c:pt>
                <c:pt idx="54">
                  <c:v>3359.1555797002125</c:v>
                </c:pt>
                <c:pt idx="55">
                  <c:v>3320.5689612282245</c:v>
                </c:pt>
                <c:pt idx="56">
                  <c:v>3236.2674164880573</c:v>
                </c:pt>
                <c:pt idx="57">
                  <c:v>3148.6892586688869</c:v>
                </c:pt>
                <c:pt idx="58">
                  <c:v>3053.5743139600786</c:v>
                </c:pt>
                <c:pt idx="59">
                  <c:v>2959.420334439531</c:v>
                </c:pt>
                <c:pt idx="60">
                  <c:v>2843.134144698457</c:v>
                </c:pt>
                <c:pt idx="61">
                  <c:v>2702.3350320258619</c:v>
                </c:pt>
                <c:pt idx="62">
                  <c:v>2617.6146145096814</c:v>
                </c:pt>
                <c:pt idx="63">
                  <c:v>2538.04430625331</c:v>
                </c:pt>
                <c:pt idx="64">
                  <c:v>2429.4551841308639</c:v>
                </c:pt>
                <c:pt idx="65">
                  <c:v>2283.1265935479892</c:v>
                </c:pt>
                <c:pt idx="66">
                  <c:v>2350.8597143819115</c:v>
                </c:pt>
                <c:pt idx="67">
                  <c:v>4174.9653923123306</c:v>
                </c:pt>
                <c:pt idx="68">
                  <c:v>4107.2020783738426</c:v>
                </c:pt>
                <c:pt idx="69">
                  <c:v>4017.0821246241862</c:v>
                </c:pt>
                <c:pt idx="70">
                  <c:v>3919.5325349555887</c:v>
                </c:pt>
                <c:pt idx="71">
                  <c:v>3819.6785123424115</c:v>
                </c:pt>
                <c:pt idx="72">
                  <c:v>3716.6737549081258</c:v>
                </c:pt>
                <c:pt idx="73">
                  <c:v>3615.7374560719768</c:v>
                </c:pt>
                <c:pt idx="74">
                  <c:v>3518.8564007464333</c:v>
                </c:pt>
                <c:pt idx="75">
                  <c:v>3422.05555585312</c:v>
                </c:pt>
                <c:pt idx="76">
                  <c:v>3321.9881650537286</c:v>
                </c:pt>
                <c:pt idx="77">
                  <c:v>3213.8200555576591</c:v>
                </c:pt>
                <c:pt idx="78">
                  <c:v>3109.1847722617513</c:v>
                </c:pt>
                <c:pt idx="79">
                  <c:v>3004.5064107636726</c:v>
                </c:pt>
                <c:pt idx="80">
                  <c:v>2902.5180120837294</c:v>
                </c:pt>
                <c:pt idx="81">
                  <c:v>2810.5544958734536</c:v>
                </c:pt>
                <c:pt idx="82">
                  <c:v>2762.2700163736563</c:v>
                </c:pt>
                <c:pt idx="83">
                  <c:v>2673.4819722117718</c:v>
                </c:pt>
                <c:pt idx="84">
                  <c:v>2568.2155192763039</c:v>
                </c:pt>
                <c:pt idx="85">
                  <c:v>2440.312088437674</c:v>
                </c:pt>
                <c:pt idx="86">
                  <c:v>2293.0681461570912</c:v>
                </c:pt>
                <c:pt idx="87">
                  <c:v>2151.621198652464</c:v>
                </c:pt>
                <c:pt idx="88">
                  <c:v>2009.9706469066653</c:v>
                </c:pt>
                <c:pt idx="89">
                  <c:v>1867.3264961794678</c:v>
                </c:pt>
                <c:pt idx="90">
                  <c:v>1718.7199611044221</c:v>
                </c:pt>
                <c:pt idx="91">
                  <c:v>1632.2855758539042</c:v>
                </c:pt>
                <c:pt idx="92">
                  <c:v>1665.6306940500435</c:v>
                </c:pt>
                <c:pt idx="93">
                  <c:v>1678.4804246385236</c:v>
                </c:pt>
                <c:pt idx="94">
                  <c:v>1585.4027458684479</c:v>
                </c:pt>
                <c:pt idx="95">
                  <c:v>1475.3100330463458</c:v>
                </c:pt>
                <c:pt idx="96">
                  <c:v>1337.4799161977746</c:v>
                </c:pt>
                <c:pt idx="97">
                  <c:v>1187.8375980649782</c:v>
                </c:pt>
                <c:pt idx="98">
                  <c:v>990.46376752173194</c:v>
                </c:pt>
                <c:pt idx="99">
                  <c:v>665.41544182256689</c:v>
                </c:pt>
                <c:pt idx="100">
                  <c:v>298.1740142125397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2-1F40-B28D-ADE7C75E1810}"/>
            </c:ext>
          </c:extLst>
        </c:ser>
        <c:ser>
          <c:idx val="0"/>
          <c:order val="1"/>
          <c:spPr>
            <a:solidFill>
              <a:srgbClr val="BFBFBF"/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Requirement'!$AG$7:$AG$161</c:f>
              <c:numCache>
                <c:formatCode>General</c:formatCode>
                <c:ptCount val="155"/>
                <c:pt idx="0">
                  <c:v>1589.9573333333335</c:v>
                </c:pt>
                <c:pt idx="1">
                  <c:v>1589.9573333333335</c:v>
                </c:pt>
                <c:pt idx="2">
                  <c:v>1589.9573333333335</c:v>
                </c:pt>
                <c:pt idx="3">
                  <c:v>1589.9573333333335</c:v>
                </c:pt>
                <c:pt idx="4">
                  <c:v>1589.9573333333335</c:v>
                </c:pt>
                <c:pt idx="5">
                  <c:v>1589.9573333333335</c:v>
                </c:pt>
                <c:pt idx="6">
                  <c:v>1589.9573333333335</c:v>
                </c:pt>
                <c:pt idx="7">
                  <c:v>1589.9573333333335</c:v>
                </c:pt>
                <c:pt idx="8">
                  <c:v>1589.9573333333335</c:v>
                </c:pt>
                <c:pt idx="9">
                  <c:v>1589.9573333333335</c:v>
                </c:pt>
                <c:pt idx="10">
                  <c:v>1589.9573333333335</c:v>
                </c:pt>
                <c:pt idx="11">
                  <c:v>1589.9573333333335</c:v>
                </c:pt>
                <c:pt idx="12">
                  <c:v>1589.9573333333335</c:v>
                </c:pt>
                <c:pt idx="13">
                  <c:v>1589.9573333333335</c:v>
                </c:pt>
                <c:pt idx="14">
                  <c:v>1589.9573333333335</c:v>
                </c:pt>
                <c:pt idx="15">
                  <c:v>1589.9573333333335</c:v>
                </c:pt>
                <c:pt idx="16">
                  <c:v>1589.9573333333335</c:v>
                </c:pt>
                <c:pt idx="17">
                  <c:v>1589.9573333333335</c:v>
                </c:pt>
                <c:pt idx="18">
                  <c:v>1589.9573333333335</c:v>
                </c:pt>
                <c:pt idx="19">
                  <c:v>1589.9573333333335</c:v>
                </c:pt>
                <c:pt idx="20">
                  <c:v>1589.9573333333335</c:v>
                </c:pt>
                <c:pt idx="21">
                  <c:v>1589.9573333333335</c:v>
                </c:pt>
                <c:pt idx="22">
                  <c:v>1589.9573333333335</c:v>
                </c:pt>
                <c:pt idx="23">
                  <c:v>1589.9573333333335</c:v>
                </c:pt>
                <c:pt idx="24">
                  <c:v>1589.9573333333335</c:v>
                </c:pt>
                <c:pt idx="25">
                  <c:v>1589.9573333333335</c:v>
                </c:pt>
                <c:pt idx="26">
                  <c:v>1589.9573333333335</c:v>
                </c:pt>
                <c:pt idx="27">
                  <c:v>1589.9573333333335</c:v>
                </c:pt>
                <c:pt idx="28">
                  <c:v>1589.9573333333335</c:v>
                </c:pt>
                <c:pt idx="29">
                  <c:v>1589.9573333333335</c:v>
                </c:pt>
                <c:pt idx="30">
                  <c:v>0</c:v>
                </c:pt>
                <c:pt idx="31">
                  <c:v>1255.8316091953866</c:v>
                </c:pt>
                <c:pt idx="32">
                  <c:v>1255.8316091953866</c:v>
                </c:pt>
                <c:pt idx="33">
                  <c:v>1255.8316091953866</c:v>
                </c:pt>
                <c:pt idx="34">
                  <c:v>1255.8316091953866</c:v>
                </c:pt>
                <c:pt idx="35">
                  <c:v>1255.8316091953866</c:v>
                </c:pt>
                <c:pt idx="36">
                  <c:v>1255.8316091953866</c:v>
                </c:pt>
                <c:pt idx="37">
                  <c:v>1255.8316091953866</c:v>
                </c:pt>
                <c:pt idx="38">
                  <c:v>1255.8316091953866</c:v>
                </c:pt>
                <c:pt idx="39">
                  <c:v>1255.8316091953866</c:v>
                </c:pt>
                <c:pt idx="40">
                  <c:v>1255.8316091953866</c:v>
                </c:pt>
                <c:pt idx="41">
                  <c:v>1255.8316091953866</c:v>
                </c:pt>
                <c:pt idx="42">
                  <c:v>1255.8316091953866</c:v>
                </c:pt>
                <c:pt idx="43">
                  <c:v>1255.8316091953866</c:v>
                </c:pt>
                <c:pt idx="44">
                  <c:v>1255.8316091953866</c:v>
                </c:pt>
                <c:pt idx="45">
                  <c:v>1255.8316091953866</c:v>
                </c:pt>
                <c:pt idx="46">
                  <c:v>1255.8316091953866</c:v>
                </c:pt>
                <c:pt idx="47">
                  <c:v>1255.8316091953866</c:v>
                </c:pt>
                <c:pt idx="48">
                  <c:v>1255.8316091953866</c:v>
                </c:pt>
                <c:pt idx="49">
                  <c:v>1255.8316091953866</c:v>
                </c:pt>
                <c:pt idx="50">
                  <c:v>1255.8316091953866</c:v>
                </c:pt>
                <c:pt idx="51">
                  <c:v>1255.8316091953866</c:v>
                </c:pt>
                <c:pt idx="52">
                  <c:v>1255.8316091953866</c:v>
                </c:pt>
                <c:pt idx="53">
                  <c:v>1255.8316091953866</c:v>
                </c:pt>
                <c:pt idx="54">
                  <c:v>1255.8316091953866</c:v>
                </c:pt>
                <c:pt idx="55">
                  <c:v>1255.8316091953866</c:v>
                </c:pt>
                <c:pt idx="56">
                  <c:v>1255.8316091953866</c:v>
                </c:pt>
                <c:pt idx="57">
                  <c:v>1255.8316091953866</c:v>
                </c:pt>
                <c:pt idx="58">
                  <c:v>1255.8316091953866</c:v>
                </c:pt>
                <c:pt idx="59">
                  <c:v>1255.8316091953866</c:v>
                </c:pt>
                <c:pt idx="60">
                  <c:v>2888.7866666666664</c:v>
                </c:pt>
                <c:pt idx="61">
                  <c:v>2888.7866666666664</c:v>
                </c:pt>
                <c:pt idx="62">
                  <c:v>2888.7866666666664</c:v>
                </c:pt>
                <c:pt idx="63">
                  <c:v>2888.7866666666664</c:v>
                </c:pt>
                <c:pt idx="64">
                  <c:v>2888.7866666666664</c:v>
                </c:pt>
                <c:pt idx="65">
                  <c:v>2888.7866666666664</c:v>
                </c:pt>
                <c:pt idx="66">
                  <c:v>2888.7866666666664</c:v>
                </c:pt>
                <c:pt idx="67">
                  <c:v>2888.7866666666664</c:v>
                </c:pt>
                <c:pt idx="68">
                  <c:v>2888.7866666666664</c:v>
                </c:pt>
                <c:pt idx="69">
                  <c:v>2888.7866666666664</c:v>
                </c:pt>
                <c:pt idx="70">
                  <c:v>2888.7866666666664</c:v>
                </c:pt>
                <c:pt idx="71">
                  <c:v>2888.7866666666664</c:v>
                </c:pt>
                <c:pt idx="72">
                  <c:v>2888.7866666666664</c:v>
                </c:pt>
                <c:pt idx="73">
                  <c:v>2888.7866666666664</c:v>
                </c:pt>
                <c:pt idx="74">
                  <c:v>2888.7866666666664</c:v>
                </c:pt>
                <c:pt idx="75">
                  <c:v>2888.7866666666664</c:v>
                </c:pt>
                <c:pt idx="76">
                  <c:v>2888.7866666666664</c:v>
                </c:pt>
                <c:pt idx="77">
                  <c:v>2888.7866666666664</c:v>
                </c:pt>
                <c:pt idx="78">
                  <c:v>2888.7866666666664</c:v>
                </c:pt>
                <c:pt idx="79">
                  <c:v>2888.7866666666664</c:v>
                </c:pt>
                <c:pt idx="80">
                  <c:v>2888.7866666666664</c:v>
                </c:pt>
                <c:pt idx="81">
                  <c:v>2888.7866666666664</c:v>
                </c:pt>
                <c:pt idx="82">
                  <c:v>2888.7866666666664</c:v>
                </c:pt>
                <c:pt idx="83">
                  <c:v>2888.7866666666664</c:v>
                </c:pt>
                <c:pt idx="84">
                  <c:v>2888.7866666666664</c:v>
                </c:pt>
                <c:pt idx="85">
                  <c:v>2888.7866666666664</c:v>
                </c:pt>
                <c:pt idx="86">
                  <c:v>2888.7866666666664</c:v>
                </c:pt>
                <c:pt idx="87">
                  <c:v>2888.7866666666664</c:v>
                </c:pt>
                <c:pt idx="88">
                  <c:v>2888.7866666666664</c:v>
                </c:pt>
                <c:pt idx="89">
                  <c:v>2888.7866666666664</c:v>
                </c:pt>
                <c:pt idx="90">
                  <c:v>957.57333333333338</c:v>
                </c:pt>
                <c:pt idx="91">
                  <c:v>957.57333333333338</c:v>
                </c:pt>
                <c:pt idx="92">
                  <c:v>957.57333333333338</c:v>
                </c:pt>
                <c:pt idx="93">
                  <c:v>957.57333333333338</c:v>
                </c:pt>
                <c:pt idx="94">
                  <c:v>957.57333333333338</c:v>
                </c:pt>
                <c:pt idx="95">
                  <c:v>957.57333333333338</c:v>
                </c:pt>
                <c:pt idx="96">
                  <c:v>957.57333333333338</c:v>
                </c:pt>
                <c:pt idx="97">
                  <c:v>957.57333333333338</c:v>
                </c:pt>
                <c:pt idx="98">
                  <c:v>957.57333333333338</c:v>
                </c:pt>
                <c:pt idx="99">
                  <c:v>957.57333333333338</c:v>
                </c:pt>
                <c:pt idx="100">
                  <c:v>957.57333333333338</c:v>
                </c:pt>
                <c:pt idx="101">
                  <c:v>957.57333333333338</c:v>
                </c:pt>
                <c:pt idx="102">
                  <c:v>957.57333333333338</c:v>
                </c:pt>
                <c:pt idx="103">
                  <c:v>957.57333333333338</c:v>
                </c:pt>
                <c:pt idx="104">
                  <c:v>957.57333333333338</c:v>
                </c:pt>
                <c:pt idx="105">
                  <c:v>957.57333333333338</c:v>
                </c:pt>
                <c:pt idx="106">
                  <c:v>957.57333333333338</c:v>
                </c:pt>
                <c:pt idx="107">
                  <c:v>957.57333333333338</c:v>
                </c:pt>
                <c:pt idx="108">
                  <c:v>957.57333333333338</c:v>
                </c:pt>
                <c:pt idx="109">
                  <c:v>957.57333333333338</c:v>
                </c:pt>
                <c:pt idx="110">
                  <c:v>957.57333333333338</c:v>
                </c:pt>
                <c:pt idx="111">
                  <c:v>957.57333333333338</c:v>
                </c:pt>
                <c:pt idx="112">
                  <c:v>957.57333333333338</c:v>
                </c:pt>
                <c:pt idx="113">
                  <c:v>957.57333333333338</c:v>
                </c:pt>
                <c:pt idx="114">
                  <c:v>957.57333333333338</c:v>
                </c:pt>
                <c:pt idx="115">
                  <c:v>957.57333333333338</c:v>
                </c:pt>
                <c:pt idx="116">
                  <c:v>957.57333333333338</c:v>
                </c:pt>
                <c:pt idx="117">
                  <c:v>957.57333333333338</c:v>
                </c:pt>
                <c:pt idx="118">
                  <c:v>957.57333333333338</c:v>
                </c:pt>
                <c:pt idx="119">
                  <c:v>957.57333333333338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2-1F40-B28D-ADE7C75E1810}"/>
            </c:ext>
          </c:extLst>
        </c:ser>
        <c:ser>
          <c:idx val="3"/>
          <c:order val="2"/>
          <c:spPr>
            <a:solidFill>
              <a:schemeClr val="accent2"/>
            </a:solidFill>
            <a:ln w="19050" cmpd="sng">
              <a:solidFill>
                <a:srgbClr val="000000"/>
              </a:solidFill>
            </a:ln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Requirement'!$AI$7:$AI$161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1255.8316091953866</c:v>
                </c:pt>
                <c:pt idx="33">
                  <c:v>1255.8316091953866</c:v>
                </c:pt>
                <c:pt idx="34">
                  <c:v>1255.8316091953866</c:v>
                </c:pt>
                <c:pt idx="35">
                  <c:v>1255.8316091953866</c:v>
                </c:pt>
                <c:pt idx="36">
                  <c:v>1255.8316091953866</c:v>
                </c:pt>
                <c:pt idx="37">
                  <c:v>1255.8316091953866</c:v>
                </c:pt>
                <c:pt idx="38">
                  <c:v>1255.8316091953866</c:v>
                </c:pt>
                <c:pt idx="39">
                  <c:v>1255.8316091953866</c:v>
                </c:pt>
                <c:pt idx="40">
                  <c:v>1255.8316091953866</c:v>
                </c:pt>
                <c:pt idx="41">
                  <c:v>1255.8316091953866</c:v>
                </c:pt>
                <c:pt idx="42">
                  <c:v>1255.8316091953866</c:v>
                </c:pt>
                <c:pt idx="43">
                  <c:v>1255.8316091953866</c:v>
                </c:pt>
                <c:pt idx="44">
                  <c:v>1255.8316091953866</c:v>
                </c:pt>
                <c:pt idx="45">
                  <c:v>1255.8316091953866</c:v>
                </c:pt>
                <c:pt idx="46">
                  <c:v>1255.8316091953866</c:v>
                </c:pt>
                <c:pt idx="47">
                  <c:v>1255.8316091953866</c:v>
                </c:pt>
                <c:pt idx="48">
                  <c:v>1255.8316091953866</c:v>
                </c:pt>
                <c:pt idx="49">
                  <c:v>1255.8316091953866</c:v>
                </c:pt>
                <c:pt idx="50">
                  <c:v>1255.8316091953866</c:v>
                </c:pt>
                <c:pt idx="51">
                  <c:v>1255.8316091953866</c:v>
                </c:pt>
                <c:pt idx="52">
                  <c:v>1255.8316091953866</c:v>
                </c:pt>
                <c:pt idx="53">
                  <c:v>1255.8316091953866</c:v>
                </c:pt>
                <c:pt idx="54">
                  <c:v>1255.8316091953866</c:v>
                </c:pt>
                <c:pt idx="55">
                  <c:v>1255.8316091953866</c:v>
                </c:pt>
                <c:pt idx="56">
                  <c:v>1255.8316091953866</c:v>
                </c:pt>
                <c:pt idx="57">
                  <c:v>1255.8316091953866</c:v>
                </c:pt>
                <c:pt idx="58">
                  <c:v>1255.8316091953866</c:v>
                </c:pt>
                <c:pt idx="59">
                  <c:v>1255.8316091953866</c:v>
                </c:pt>
                <c:pt idx="60">
                  <c:v>2843.134144698457</c:v>
                </c:pt>
                <c:pt idx="61">
                  <c:v>2702.3350320258619</c:v>
                </c:pt>
                <c:pt idx="62">
                  <c:v>2617.6146145096814</c:v>
                </c:pt>
                <c:pt idx="63">
                  <c:v>2538.04430625331</c:v>
                </c:pt>
                <c:pt idx="64">
                  <c:v>2429.4551841308639</c:v>
                </c:pt>
                <c:pt idx="65">
                  <c:v>2283.1265935479892</c:v>
                </c:pt>
                <c:pt idx="66">
                  <c:v>2350.8597143819115</c:v>
                </c:pt>
                <c:pt idx="67">
                  <c:v>2888.7866666666664</c:v>
                </c:pt>
                <c:pt idx="68">
                  <c:v>2888.7866666666664</c:v>
                </c:pt>
                <c:pt idx="69">
                  <c:v>2888.7866666666664</c:v>
                </c:pt>
                <c:pt idx="70">
                  <c:v>2888.7866666666664</c:v>
                </c:pt>
                <c:pt idx="71">
                  <c:v>2888.7866666666664</c:v>
                </c:pt>
                <c:pt idx="72">
                  <c:v>2888.7866666666664</c:v>
                </c:pt>
                <c:pt idx="73">
                  <c:v>2888.7866666666664</c:v>
                </c:pt>
                <c:pt idx="74">
                  <c:v>2888.7866666666664</c:v>
                </c:pt>
                <c:pt idx="75">
                  <c:v>2888.7866666666664</c:v>
                </c:pt>
                <c:pt idx="76">
                  <c:v>2888.7866666666664</c:v>
                </c:pt>
                <c:pt idx="77">
                  <c:v>2888.7866666666664</c:v>
                </c:pt>
                <c:pt idx="78">
                  <c:v>2888.7866666666664</c:v>
                </c:pt>
                <c:pt idx="79">
                  <c:v>2888.7866666666664</c:v>
                </c:pt>
                <c:pt idx="80">
                  <c:v>2888.7866666666664</c:v>
                </c:pt>
                <c:pt idx="81">
                  <c:v>2810.5544958734536</c:v>
                </c:pt>
                <c:pt idx="82">
                  <c:v>2762.2700163736563</c:v>
                </c:pt>
                <c:pt idx="83">
                  <c:v>2673.4819722117718</c:v>
                </c:pt>
                <c:pt idx="84">
                  <c:v>2568.2155192763039</c:v>
                </c:pt>
                <c:pt idx="85">
                  <c:v>2440.312088437674</c:v>
                </c:pt>
                <c:pt idx="86">
                  <c:v>2293.0681461570912</c:v>
                </c:pt>
                <c:pt idx="87">
                  <c:v>2151.621198652464</c:v>
                </c:pt>
                <c:pt idx="88">
                  <c:v>2009.9706469066653</c:v>
                </c:pt>
                <c:pt idx="89">
                  <c:v>1867.3264961794678</c:v>
                </c:pt>
                <c:pt idx="90">
                  <c:v>957.57333333333338</c:v>
                </c:pt>
                <c:pt idx="91">
                  <c:v>957.57333333333338</c:v>
                </c:pt>
                <c:pt idx="92">
                  <c:v>957.57333333333338</c:v>
                </c:pt>
                <c:pt idx="93">
                  <c:v>957.57333333333338</c:v>
                </c:pt>
                <c:pt idx="94">
                  <c:v>957.57333333333338</c:v>
                </c:pt>
                <c:pt idx="95">
                  <c:v>957.57333333333338</c:v>
                </c:pt>
                <c:pt idx="96">
                  <c:v>957.57333333333338</c:v>
                </c:pt>
                <c:pt idx="97">
                  <c:v>957.57333333333338</c:v>
                </c:pt>
                <c:pt idx="98">
                  <c:v>957.57333333333338</c:v>
                </c:pt>
                <c:pt idx="99">
                  <c:v>665.41544182256689</c:v>
                </c:pt>
                <c:pt idx="100">
                  <c:v>298.1740142125397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2-1F40-B28D-ADE7C75E1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4798224"/>
        <c:axId val="-2024794864"/>
      </c:areaChart>
      <c:dateAx>
        <c:axId val="-2024798224"/>
        <c:scaling>
          <c:orientation val="minMax"/>
          <c:min val="42294"/>
        </c:scaling>
        <c:delete val="0"/>
        <c:axPos val="b"/>
        <c:numFmt formatCode="m/d;@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4794864"/>
        <c:crosses val="autoZero"/>
        <c:auto val="1"/>
        <c:lblOffset val="100"/>
        <c:baseTimeUnit val="days"/>
        <c:majorUnit val="28"/>
        <c:majorTimeUnit val="days"/>
      </c:dateAx>
      <c:valAx>
        <c:axId val="-2024794864"/>
        <c:scaling>
          <c:orientation val="minMax"/>
          <c:max val="800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4798224"/>
        <c:crosses val="autoZero"/>
        <c:crossBetween val="midCat"/>
        <c:majorUnit val="2000"/>
        <c:dispUnits>
          <c:builtInUnit val="thousands"/>
        </c:dispUnits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959428737475696E-2"/>
          <c:y val="4.2765698983799803E-2"/>
          <c:w val="0.82215314206512302"/>
          <c:h val="0.91446860203239999"/>
        </c:manualLayout>
      </c:layout>
      <c:areaChart>
        <c:grouping val="standard"/>
        <c:varyColors val="0"/>
        <c:ser>
          <c:idx val="0"/>
          <c:order val="0"/>
          <c:spPr>
            <a:solidFill>
              <a:srgbClr val="BFBFBF"/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Requirement'!$AK$7:$AK$161</c:f>
              <c:numCache>
                <c:formatCode>0.000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3.3372222222222261</c:v>
                </c:pt>
                <c:pt idx="36">
                  <c:v>3.3372222222222261</c:v>
                </c:pt>
                <c:pt idx="37">
                  <c:v>3.3372222222222261</c:v>
                </c:pt>
                <c:pt idx="38">
                  <c:v>3.3372222222222261</c:v>
                </c:pt>
                <c:pt idx="39">
                  <c:v>3.3372222222222261</c:v>
                </c:pt>
                <c:pt idx="40">
                  <c:v>3.3372222222222261</c:v>
                </c:pt>
                <c:pt idx="41">
                  <c:v>3.3372222222222261</c:v>
                </c:pt>
                <c:pt idx="42">
                  <c:v>3.3372222222222261</c:v>
                </c:pt>
                <c:pt idx="43">
                  <c:v>3.3372222222222261</c:v>
                </c:pt>
                <c:pt idx="44">
                  <c:v>3.3372222222222261</c:v>
                </c:pt>
                <c:pt idx="45">
                  <c:v>3.3372222222222261</c:v>
                </c:pt>
                <c:pt idx="46">
                  <c:v>3.3372222222222261</c:v>
                </c:pt>
                <c:pt idx="47">
                  <c:v>3.3372222222222261</c:v>
                </c:pt>
                <c:pt idx="48">
                  <c:v>3.3372222222222261</c:v>
                </c:pt>
                <c:pt idx="49">
                  <c:v>3.3372222222222261</c:v>
                </c:pt>
                <c:pt idx="50">
                  <c:v>3.3372222222222261</c:v>
                </c:pt>
                <c:pt idx="51">
                  <c:v>3.3372222222222261</c:v>
                </c:pt>
                <c:pt idx="52">
                  <c:v>3.3372222222222261</c:v>
                </c:pt>
                <c:pt idx="53">
                  <c:v>3.3372222222222261</c:v>
                </c:pt>
                <c:pt idx="54">
                  <c:v>3.3372222222222261</c:v>
                </c:pt>
                <c:pt idx="55">
                  <c:v>3.3372222222222261</c:v>
                </c:pt>
                <c:pt idx="56">
                  <c:v>3.3372222222222261</c:v>
                </c:pt>
                <c:pt idx="57">
                  <c:v>3.3372222222222261</c:v>
                </c:pt>
                <c:pt idx="58">
                  <c:v>3.3372222222222261</c:v>
                </c:pt>
                <c:pt idx="59">
                  <c:v>3.3372222222222261</c:v>
                </c:pt>
                <c:pt idx="60">
                  <c:v>3.3372222222222261</c:v>
                </c:pt>
                <c:pt idx="61">
                  <c:v>3.3372222222222261</c:v>
                </c:pt>
                <c:pt idx="62">
                  <c:v>3.3372222222222261</c:v>
                </c:pt>
                <c:pt idx="63">
                  <c:v>3.3372222222222261</c:v>
                </c:pt>
                <c:pt idx="64">
                  <c:v>3.3372222222222261</c:v>
                </c:pt>
                <c:pt idx="65">
                  <c:v>4.1033333333333317</c:v>
                </c:pt>
                <c:pt idx="66">
                  <c:v>11.103333333333333</c:v>
                </c:pt>
                <c:pt idx="67">
                  <c:v>11.103333333333333</c:v>
                </c:pt>
                <c:pt idx="68">
                  <c:v>11.103333333333333</c:v>
                </c:pt>
                <c:pt idx="69">
                  <c:v>11.103333333333333</c:v>
                </c:pt>
                <c:pt idx="70">
                  <c:v>11.103333333333333</c:v>
                </c:pt>
                <c:pt idx="71">
                  <c:v>11.103333333333333</c:v>
                </c:pt>
                <c:pt idx="72">
                  <c:v>11.103333333333333</c:v>
                </c:pt>
                <c:pt idx="73">
                  <c:v>11.103333333333333</c:v>
                </c:pt>
                <c:pt idx="74">
                  <c:v>11.103333333333333</c:v>
                </c:pt>
                <c:pt idx="75">
                  <c:v>11.103333333333333</c:v>
                </c:pt>
                <c:pt idx="76">
                  <c:v>11.103333333333333</c:v>
                </c:pt>
                <c:pt idx="77">
                  <c:v>11.103333333333333</c:v>
                </c:pt>
                <c:pt idx="78">
                  <c:v>11.103333333333333</c:v>
                </c:pt>
                <c:pt idx="79">
                  <c:v>11.103333333333333</c:v>
                </c:pt>
                <c:pt idx="80">
                  <c:v>11.103333333333333</c:v>
                </c:pt>
                <c:pt idx="81">
                  <c:v>11.103333333333333</c:v>
                </c:pt>
                <c:pt idx="82">
                  <c:v>11.103333333333333</c:v>
                </c:pt>
                <c:pt idx="83">
                  <c:v>11.103333333333333</c:v>
                </c:pt>
                <c:pt idx="84">
                  <c:v>11.103333333333333</c:v>
                </c:pt>
                <c:pt idx="85">
                  <c:v>11.103333333333333</c:v>
                </c:pt>
                <c:pt idx="86">
                  <c:v>11.103333333333333</c:v>
                </c:pt>
                <c:pt idx="87">
                  <c:v>11.103333333333333</c:v>
                </c:pt>
                <c:pt idx="88">
                  <c:v>11.103333333333333</c:v>
                </c:pt>
                <c:pt idx="89">
                  <c:v>11.103333333333333</c:v>
                </c:pt>
                <c:pt idx="90">
                  <c:v>11.103333333333333</c:v>
                </c:pt>
                <c:pt idx="91">
                  <c:v>11.103333333333333</c:v>
                </c:pt>
                <c:pt idx="92">
                  <c:v>11.103333333333333</c:v>
                </c:pt>
                <c:pt idx="93">
                  <c:v>11.103333333333333</c:v>
                </c:pt>
                <c:pt idx="94">
                  <c:v>11.103333333333333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14.99</c:v>
                </c:pt>
                <c:pt idx="100">
                  <c:v>14.99</c:v>
                </c:pt>
                <c:pt idx="101">
                  <c:v>14.99</c:v>
                </c:pt>
                <c:pt idx="102">
                  <c:v>14.99</c:v>
                </c:pt>
                <c:pt idx="103">
                  <c:v>14.99</c:v>
                </c:pt>
                <c:pt idx="104">
                  <c:v>14.99</c:v>
                </c:pt>
                <c:pt idx="105">
                  <c:v>14.99</c:v>
                </c:pt>
                <c:pt idx="106">
                  <c:v>14.99</c:v>
                </c:pt>
                <c:pt idx="107">
                  <c:v>14.99</c:v>
                </c:pt>
                <c:pt idx="108">
                  <c:v>14.99</c:v>
                </c:pt>
                <c:pt idx="109">
                  <c:v>14.99</c:v>
                </c:pt>
                <c:pt idx="110">
                  <c:v>14.99</c:v>
                </c:pt>
                <c:pt idx="111">
                  <c:v>14.99</c:v>
                </c:pt>
                <c:pt idx="112">
                  <c:v>14.99</c:v>
                </c:pt>
                <c:pt idx="113">
                  <c:v>14.99</c:v>
                </c:pt>
                <c:pt idx="114">
                  <c:v>14.99</c:v>
                </c:pt>
                <c:pt idx="115">
                  <c:v>14.99</c:v>
                </c:pt>
                <c:pt idx="116">
                  <c:v>14.99</c:v>
                </c:pt>
                <c:pt idx="117">
                  <c:v>14.99</c:v>
                </c:pt>
                <c:pt idx="118">
                  <c:v>14.99</c:v>
                </c:pt>
                <c:pt idx="119">
                  <c:v>14.99</c:v>
                </c:pt>
                <c:pt idx="120">
                  <c:v>14.99</c:v>
                </c:pt>
                <c:pt idx="121">
                  <c:v>14.99</c:v>
                </c:pt>
                <c:pt idx="122">
                  <c:v>14.99</c:v>
                </c:pt>
                <c:pt idx="123">
                  <c:v>14.99</c:v>
                </c:pt>
                <c:pt idx="124">
                  <c:v>14.99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1-9B4B-80C3-28620A1CA6C0}"/>
            </c:ext>
          </c:extLst>
        </c:ser>
        <c:ser>
          <c:idx val="2"/>
          <c:order val="1"/>
          <c:spPr>
            <a:solidFill>
              <a:schemeClr val="accent2">
                <a:lumMod val="60000"/>
                <a:lumOff val="40000"/>
              </a:schemeClr>
            </a:solidFill>
            <a:ln w="19050" cmpd="sng">
              <a:solidFill>
                <a:schemeClr val="tx1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Requirement'!$AL$7:$AL$161</c:f>
              <c:numCache>
                <c:formatCode>0.000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10.240980278545907</c:v>
                </c:pt>
                <c:pt idx="33">
                  <c:v>10.240980278545907</c:v>
                </c:pt>
                <c:pt idx="34">
                  <c:v>10.258394708645724</c:v>
                </c:pt>
                <c:pt idx="35">
                  <c:v>13.511098218690874</c:v>
                </c:pt>
                <c:pt idx="36">
                  <c:v>13.855872469213566</c:v>
                </c:pt>
                <c:pt idx="37">
                  <c:v>14.620368347834994</c:v>
                </c:pt>
                <c:pt idx="38">
                  <c:v>14.507325540336909</c:v>
                </c:pt>
                <c:pt idx="39">
                  <c:v>14.240547301007375</c:v>
                </c:pt>
                <c:pt idx="40">
                  <c:v>13.95262320498289</c:v>
                </c:pt>
                <c:pt idx="41">
                  <c:v>13.669562133794694</c:v>
                </c:pt>
                <c:pt idx="42">
                  <c:v>13.402848933015653</c:v>
                </c:pt>
                <c:pt idx="43">
                  <c:v>13.144808325343488</c:v>
                </c:pt>
                <c:pt idx="44">
                  <c:v>12.865386413228276</c:v>
                </c:pt>
                <c:pt idx="45">
                  <c:v>12.623901421423355</c:v>
                </c:pt>
                <c:pt idx="46">
                  <c:v>12.377833951983805</c:v>
                </c:pt>
                <c:pt idx="47">
                  <c:v>12.119087166826604</c:v>
                </c:pt>
                <c:pt idx="48">
                  <c:v>11.874861662798793</c:v>
                </c:pt>
                <c:pt idx="49">
                  <c:v>11.651086892654321</c:v>
                </c:pt>
                <c:pt idx="50">
                  <c:v>11.461843728786642</c:v>
                </c:pt>
                <c:pt idx="51">
                  <c:v>11.228968388642814</c:v>
                </c:pt>
                <c:pt idx="52">
                  <c:v>11.009660901354856</c:v>
                </c:pt>
                <c:pt idx="53">
                  <c:v>10.886026862691343</c:v>
                </c:pt>
                <c:pt idx="54">
                  <c:v>10.962585596042247</c:v>
                </c:pt>
                <c:pt idx="55">
                  <c:v>10.858170944886703</c:v>
                </c:pt>
                <c:pt idx="56">
                  <c:v>10.63382725544394</c:v>
                </c:pt>
                <c:pt idx="57">
                  <c:v>10.419206865611159</c:v>
                </c:pt>
                <c:pt idx="58">
                  <c:v>10.203765107488017</c:v>
                </c:pt>
                <c:pt idx="59">
                  <c:v>9.9674942045655222</c:v>
                </c:pt>
                <c:pt idx="60">
                  <c:v>9.7239904945810629</c:v>
                </c:pt>
                <c:pt idx="61">
                  <c:v>9.4910356229588544</c:v>
                </c:pt>
                <c:pt idx="62">
                  <c:v>9.2781440683465046</c:v>
                </c:pt>
                <c:pt idx="63">
                  <c:v>9.0636688825099654</c:v>
                </c:pt>
                <c:pt idx="64">
                  <c:v>8.7911512333957411</c:v>
                </c:pt>
                <c:pt idx="65">
                  <c:v>8.5018013431776449</c:v>
                </c:pt>
                <c:pt idx="66">
                  <c:v>8.4475317601340283</c:v>
                </c:pt>
                <c:pt idx="67">
                  <c:v>8.6265786760137448</c:v>
                </c:pt>
                <c:pt idx="68">
                  <c:v>8.3486249897884939</c:v>
                </c:pt>
                <c:pt idx="69">
                  <c:v>8.0637649270480498</c:v>
                </c:pt>
                <c:pt idx="70">
                  <c:v>7.7554047067373233</c:v>
                </c:pt>
                <c:pt idx="71">
                  <c:v>7.4025100143394464</c:v>
                </c:pt>
                <c:pt idx="72">
                  <c:v>7.0655798412792077</c:v>
                </c:pt>
                <c:pt idx="73">
                  <c:v>6.7560789050717158</c:v>
                </c:pt>
                <c:pt idx="74">
                  <c:v>6.4532392596823396</c:v>
                </c:pt>
                <c:pt idx="75">
                  <c:v>6.1846867293641621</c:v>
                </c:pt>
                <c:pt idx="76">
                  <c:v>5.9447275212387183</c:v>
                </c:pt>
                <c:pt idx="77">
                  <c:v>5.7076295608853806</c:v>
                </c:pt>
                <c:pt idx="78">
                  <c:v>5.4372255940318324</c:v>
                </c:pt>
                <c:pt idx="79">
                  <c:v>5.1412630589282777</c:v>
                </c:pt>
                <c:pt idx="80">
                  <c:v>4.8946254331678816</c:v>
                </c:pt>
                <c:pt idx="81">
                  <c:v>4.7596437086648002</c:v>
                </c:pt>
                <c:pt idx="82">
                  <c:v>4.6278093991210527</c:v>
                </c:pt>
                <c:pt idx="83">
                  <c:v>4.4256965631286551</c:v>
                </c:pt>
                <c:pt idx="84">
                  <c:v>4.2224143985640712</c:v>
                </c:pt>
                <c:pt idx="85">
                  <c:v>4.0178199529444356</c:v>
                </c:pt>
                <c:pt idx="86">
                  <c:v>3.8291277572115447</c:v>
                </c:pt>
                <c:pt idx="87">
                  <c:v>3.6504602953247125</c:v>
                </c:pt>
                <c:pt idx="88">
                  <c:v>3.4747712878194057</c:v>
                </c:pt>
                <c:pt idx="89">
                  <c:v>3.3007394674040307</c:v>
                </c:pt>
                <c:pt idx="90">
                  <c:v>3.1394667428654324</c:v>
                </c:pt>
                <c:pt idx="91">
                  <c:v>3.066187054500511</c:v>
                </c:pt>
                <c:pt idx="92">
                  <c:v>3.0860874970349084</c:v>
                </c:pt>
                <c:pt idx="93">
                  <c:v>2.9914626408587011</c:v>
                </c:pt>
                <c:pt idx="94">
                  <c:v>2.8039440550243966</c:v>
                </c:pt>
                <c:pt idx="95">
                  <c:v>2.6150750963815672</c:v>
                </c:pt>
                <c:pt idx="96">
                  <c:v>2.432165805522184</c:v>
                </c:pt>
                <c:pt idx="97">
                  <c:v>2.2467323408166817</c:v>
                </c:pt>
                <c:pt idx="98">
                  <c:v>2.0760567110892096</c:v>
                </c:pt>
                <c:pt idx="99">
                  <c:v>1.9161847670838572</c:v>
                </c:pt>
                <c:pt idx="100">
                  <c:v>1.7855811452981691</c:v>
                </c:pt>
                <c:pt idx="101">
                  <c:v>1.6608630093178753</c:v>
                </c:pt>
                <c:pt idx="102">
                  <c:v>1.5336187254486062</c:v>
                </c:pt>
                <c:pt idx="103">
                  <c:v>1.4136194095198247</c:v>
                </c:pt>
                <c:pt idx="104">
                  <c:v>1.2876532859023468</c:v>
                </c:pt>
                <c:pt idx="105">
                  <c:v>1.1456558326311501</c:v>
                </c:pt>
                <c:pt idx="106">
                  <c:v>1.0053737279998043</c:v>
                </c:pt>
                <c:pt idx="107">
                  <c:v>0.87570355436255987</c:v>
                </c:pt>
                <c:pt idx="108">
                  <c:v>0.77761173665220329</c:v>
                </c:pt>
                <c:pt idx="109">
                  <c:v>0.68420227465122418</c:v>
                </c:pt>
                <c:pt idx="110">
                  <c:v>0.586859762259615</c:v>
                </c:pt>
                <c:pt idx="111">
                  <c:v>0.48694537685140565</c:v>
                </c:pt>
                <c:pt idx="112">
                  <c:v>0.34772839209835837</c:v>
                </c:pt>
                <c:pt idx="113">
                  <c:v>0.21062388632673354</c:v>
                </c:pt>
                <c:pt idx="114">
                  <c:v>4.6669331212746565E-2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1-9B4B-80C3-28620A1CA6C0}"/>
            </c:ext>
          </c:extLst>
        </c:ser>
        <c:ser>
          <c:idx val="3"/>
          <c:order val="2"/>
          <c:spPr>
            <a:solidFill>
              <a:srgbClr val="C0504D"/>
            </a:solidFill>
            <a:ln w="19050" cmpd="sng">
              <a:solidFill>
                <a:srgbClr val="000000"/>
              </a:solidFill>
            </a:ln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Requirement'!$AM$7:$AM$161</c:f>
              <c:numCache>
                <c:formatCode>0.000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3.3372222222222261</c:v>
                </c:pt>
                <c:pt idx="36">
                  <c:v>3.3372222222222261</c:v>
                </c:pt>
                <c:pt idx="37">
                  <c:v>3.3372222222222261</c:v>
                </c:pt>
                <c:pt idx="38">
                  <c:v>3.3372222222222261</c:v>
                </c:pt>
                <c:pt idx="39">
                  <c:v>3.3372222222222261</c:v>
                </c:pt>
                <c:pt idx="40">
                  <c:v>3.3372222222222261</c:v>
                </c:pt>
                <c:pt idx="41">
                  <c:v>3.3372222222222261</c:v>
                </c:pt>
                <c:pt idx="42">
                  <c:v>3.3372222222222261</c:v>
                </c:pt>
                <c:pt idx="43">
                  <c:v>3.3372222222222261</c:v>
                </c:pt>
                <c:pt idx="44">
                  <c:v>3.3372222222222261</c:v>
                </c:pt>
                <c:pt idx="45">
                  <c:v>3.3372222222222261</c:v>
                </c:pt>
                <c:pt idx="46">
                  <c:v>3.3372222222222261</c:v>
                </c:pt>
                <c:pt idx="47">
                  <c:v>3.3372222222222261</c:v>
                </c:pt>
                <c:pt idx="48">
                  <c:v>3.3372222222222261</c:v>
                </c:pt>
                <c:pt idx="49">
                  <c:v>3.3372222222222261</c:v>
                </c:pt>
                <c:pt idx="50">
                  <c:v>3.3372222222222261</c:v>
                </c:pt>
                <c:pt idx="51">
                  <c:v>3.3372222222222261</c:v>
                </c:pt>
                <c:pt idx="52">
                  <c:v>3.3372222222222261</c:v>
                </c:pt>
                <c:pt idx="53">
                  <c:v>3.3372222222222261</c:v>
                </c:pt>
                <c:pt idx="54">
                  <c:v>3.3372222222222261</c:v>
                </c:pt>
                <c:pt idx="55">
                  <c:v>3.3372222222222261</c:v>
                </c:pt>
                <c:pt idx="56">
                  <c:v>3.3372222222222261</c:v>
                </c:pt>
                <c:pt idx="57">
                  <c:v>3.3372222222222261</c:v>
                </c:pt>
                <c:pt idx="58">
                  <c:v>3.3372222222222261</c:v>
                </c:pt>
                <c:pt idx="59">
                  <c:v>3.3372222222222261</c:v>
                </c:pt>
                <c:pt idx="60">
                  <c:v>3.3372222222222261</c:v>
                </c:pt>
                <c:pt idx="61">
                  <c:v>3.3372222222222261</c:v>
                </c:pt>
                <c:pt idx="62">
                  <c:v>3.3372222222222261</c:v>
                </c:pt>
                <c:pt idx="63">
                  <c:v>3.3372222222222261</c:v>
                </c:pt>
                <c:pt idx="64">
                  <c:v>3.3372222222222261</c:v>
                </c:pt>
                <c:pt idx="65">
                  <c:v>4.1033333333333317</c:v>
                </c:pt>
                <c:pt idx="66">
                  <c:v>8.4475317601340283</c:v>
                </c:pt>
                <c:pt idx="67">
                  <c:v>8.6265786760137448</c:v>
                </c:pt>
                <c:pt idx="68">
                  <c:v>8.3486249897884939</c:v>
                </c:pt>
                <c:pt idx="69">
                  <c:v>8.0637649270480498</c:v>
                </c:pt>
                <c:pt idx="70">
                  <c:v>7.7554047067373233</c:v>
                </c:pt>
                <c:pt idx="71">
                  <c:v>7.4025100143394464</c:v>
                </c:pt>
                <c:pt idx="72">
                  <c:v>7.0655798412792077</c:v>
                </c:pt>
                <c:pt idx="73">
                  <c:v>6.7560789050717158</c:v>
                </c:pt>
                <c:pt idx="74">
                  <c:v>6.4532392596823396</c:v>
                </c:pt>
                <c:pt idx="75">
                  <c:v>6.1846867293641621</c:v>
                </c:pt>
                <c:pt idx="76">
                  <c:v>5.9447275212387183</c:v>
                </c:pt>
                <c:pt idx="77">
                  <c:v>5.7076295608853806</c:v>
                </c:pt>
                <c:pt idx="78">
                  <c:v>5.4372255940318324</c:v>
                </c:pt>
                <c:pt idx="79">
                  <c:v>5.1412630589282777</c:v>
                </c:pt>
                <c:pt idx="80">
                  <c:v>4.8946254331678816</c:v>
                </c:pt>
                <c:pt idx="81">
                  <c:v>4.7596437086648002</c:v>
                </c:pt>
                <c:pt idx="82">
                  <c:v>4.6278093991210527</c:v>
                </c:pt>
                <c:pt idx="83">
                  <c:v>4.4256965631286551</c:v>
                </c:pt>
                <c:pt idx="84">
                  <c:v>4.2224143985640712</c:v>
                </c:pt>
                <c:pt idx="85">
                  <c:v>4.0178199529444356</c:v>
                </c:pt>
                <c:pt idx="86">
                  <c:v>3.8291277572115447</c:v>
                </c:pt>
                <c:pt idx="87">
                  <c:v>3.6504602953247125</c:v>
                </c:pt>
                <c:pt idx="88">
                  <c:v>3.4747712878194057</c:v>
                </c:pt>
                <c:pt idx="89">
                  <c:v>3.3007394674040307</c:v>
                </c:pt>
                <c:pt idx="90">
                  <c:v>3.1394667428654324</c:v>
                </c:pt>
                <c:pt idx="91">
                  <c:v>3.066187054500511</c:v>
                </c:pt>
                <c:pt idx="92">
                  <c:v>3.0860874970349084</c:v>
                </c:pt>
                <c:pt idx="93">
                  <c:v>2.9914626408587011</c:v>
                </c:pt>
                <c:pt idx="94">
                  <c:v>2.8039440550243966</c:v>
                </c:pt>
                <c:pt idx="95">
                  <c:v>2.6150750963815672</c:v>
                </c:pt>
                <c:pt idx="96">
                  <c:v>2.432165805522184</c:v>
                </c:pt>
                <c:pt idx="97">
                  <c:v>2.2467323408166817</c:v>
                </c:pt>
                <c:pt idx="98">
                  <c:v>2.0760567110892096</c:v>
                </c:pt>
                <c:pt idx="99">
                  <c:v>1.9161847670838572</c:v>
                </c:pt>
                <c:pt idx="100">
                  <c:v>1.7855811452981691</c:v>
                </c:pt>
                <c:pt idx="101">
                  <c:v>1.6608630093178753</c:v>
                </c:pt>
                <c:pt idx="102">
                  <c:v>1.5336187254486062</c:v>
                </c:pt>
                <c:pt idx="103">
                  <c:v>1.4136194095198247</c:v>
                </c:pt>
                <c:pt idx="104">
                  <c:v>1.2876532859023468</c:v>
                </c:pt>
                <c:pt idx="105">
                  <c:v>1.1456558326311501</c:v>
                </c:pt>
                <c:pt idx="106">
                  <c:v>1.0053737279998043</c:v>
                </c:pt>
                <c:pt idx="107">
                  <c:v>0.87570355436255987</c:v>
                </c:pt>
                <c:pt idx="108">
                  <c:v>0.77761173665220329</c:v>
                </c:pt>
                <c:pt idx="109">
                  <c:v>0.68420227465122418</c:v>
                </c:pt>
                <c:pt idx="110">
                  <c:v>0.586859762259615</c:v>
                </c:pt>
                <c:pt idx="111">
                  <c:v>0.48694537685140565</c:v>
                </c:pt>
                <c:pt idx="112">
                  <c:v>0.34772839209835837</c:v>
                </c:pt>
                <c:pt idx="113">
                  <c:v>0.21062388632673354</c:v>
                </c:pt>
                <c:pt idx="114">
                  <c:v>4.6669331212746565E-2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1-9B4B-80C3-28620A1CA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09832400"/>
        <c:axId val="-2009829232"/>
      </c:areaChart>
      <c:dateAx>
        <c:axId val="-2009832400"/>
        <c:scaling>
          <c:orientation val="minMax"/>
          <c:min val="42294"/>
        </c:scaling>
        <c:delete val="1"/>
        <c:axPos val="b"/>
        <c:numFmt formatCode="m/d;@" sourceLinked="1"/>
        <c:majorTickMark val="in"/>
        <c:minorTickMark val="none"/>
        <c:tickLblPos val="nextTo"/>
        <c:crossAx val="-2009829232"/>
        <c:crosses val="autoZero"/>
        <c:auto val="1"/>
        <c:lblOffset val="100"/>
        <c:baseTimeUnit val="days"/>
        <c:majorUnit val="28"/>
        <c:majorTimeUnit val="days"/>
      </c:dateAx>
      <c:valAx>
        <c:axId val="-2009829232"/>
        <c:scaling>
          <c:orientation val="minMax"/>
          <c:max val="24"/>
          <c:min val="0"/>
        </c:scaling>
        <c:delete val="0"/>
        <c:axPos val="l"/>
        <c:majorGridlines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09832400"/>
        <c:crosses val="autoZero"/>
        <c:crossBetween val="midCat"/>
        <c:majorUnit val="6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ndard"/>
        <c:varyColors val="0"/>
        <c:ser>
          <c:idx val="2"/>
          <c:order val="0"/>
          <c:spPr>
            <a:solidFill>
              <a:schemeClr val="accent2">
                <a:lumMod val="60000"/>
                <a:lumOff val="40000"/>
              </a:schemeClr>
            </a:solidFill>
            <a:ln w="19050" cmpd="sng">
              <a:solidFill>
                <a:schemeClr val="tx1"/>
              </a:solidFill>
            </a:ln>
            <a:effectLst/>
          </c:spPr>
          <c:cat>
            <c:numRef>
              <c:f>'Crop Water Requirement'!$W$41:$W$161</c:f>
              <c:numCache>
                <c:formatCode>m/d;@</c:formatCode>
                <c:ptCount val="121"/>
                <c:pt idx="0">
                  <c:v>42294</c:v>
                </c:pt>
                <c:pt idx="1">
                  <c:v>42295</c:v>
                </c:pt>
                <c:pt idx="2">
                  <c:v>42296</c:v>
                </c:pt>
                <c:pt idx="3">
                  <c:v>42297</c:v>
                </c:pt>
                <c:pt idx="4">
                  <c:v>42298</c:v>
                </c:pt>
                <c:pt idx="5">
                  <c:v>42299</c:v>
                </c:pt>
                <c:pt idx="6">
                  <c:v>42300</c:v>
                </c:pt>
                <c:pt idx="7">
                  <c:v>42301</c:v>
                </c:pt>
                <c:pt idx="8">
                  <c:v>42302</c:v>
                </c:pt>
                <c:pt idx="9">
                  <c:v>42303</c:v>
                </c:pt>
                <c:pt idx="10">
                  <c:v>42304</c:v>
                </c:pt>
                <c:pt idx="11">
                  <c:v>42305</c:v>
                </c:pt>
                <c:pt idx="12">
                  <c:v>42306</c:v>
                </c:pt>
                <c:pt idx="13">
                  <c:v>42307</c:v>
                </c:pt>
                <c:pt idx="14">
                  <c:v>42308</c:v>
                </c:pt>
                <c:pt idx="15">
                  <c:v>42309</c:v>
                </c:pt>
                <c:pt idx="16">
                  <c:v>42310</c:v>
                </c:pt>
                <c:pt idx="17">
                  <c:v>42311</c:v>
                </c:pt>
                <c:pt idx="18">
                  <c:v>42312</c:v>
                </c:pt>
                <c:pt idx="19">
                  <c:v>42313</c:v>
                </c:pt>
                <c:pt idx="20">
                  <c:v>42314</c:v>
                </c:pt>
                <c:pt idx="21">
                  <c:v>42315</c:v>
                </c:pt>
                <c:pt idx="22">
                  <c:v>42316</c:v>
                </c:pt>
                <c:pt idx="23">
                  <c:v>42317</c:v>
                </c:pt>
                <c:pt idx="24">
                  <c:v>42318</c:v>
                </c:pt>
                <c:pt idx="25">
                  <c:v>42319</c:v>
                </c:pt>
                <c:pt idx="26">
                  <c:v>42320</c:v>
                </c:pt>
                <c:pt idx="27">
                  <c:v>42321</c:v>
                </c:pt>
                <c:pt idx="28">
                  <c:v>42322</c:v>
                </c:pt>
                <c:pt idx="29">
                  <c:v>42323</c:v>
                </c:pt>
                <c:pt idx="30">
                  <c:v>42324</c:v>
                </c:pt>
                <c:pt idx="31">
                  <c:v>42325</c:v>
                </c:pt>
                <c:pt idx="32">
                  <c:v>42326</c:v>
                </c:pt>
                <c:pt idx="33">
                  <c:v>42327</c:v>
                </c:pt>
                <c:pt idx="34">
                  <c:v>42328</c:v>
                </c:pt>
                <c:pt idx="35">
                  <c:v>42329</c:v>
                </c:pt>
                <c:pt idx="36">
                  <c:v>42330</c:v>
                </c:pt>
                <c:pt idx="37">
                  <c:v>42331</c:v>
                </c:pt>
                <c:pt idx="38">
                  <c:v>42332</c:v>
                </c:pt>
                <c:pt idx="39">
                  <c:v>42333</c:v>
                </c:pt>
                <c:pt idx="40">
                  <c:v>42334</c:v>
                </c:pt>
                <c:pt idx="41">
                  <c:v>42335</c:v>
                </c:pt>
                <c:pt idx="42">
                  <c:v>42336</c:v>
                </c:pt>
                <c:pt idx="43">
                  <c:v>42337</c:v>
                </c:pt>
                <c:pt idx="44">
                  <c:v>42338</c:v>
                </c:pt>
                <c:pt idx="45">
                  <c:v>42339</c:v>
                </c:pt>
                <c:pt idx="46">
                  <c:v>42340</c:v>
                </c:pt>
                <c:pt idx="47">
                  <c:v>42341</c:v>
                </c:pt>
                <c:pt idx="48">
                  <c:v>42342</c:v>
                </c:pt>
                <c:pt idx="49">
                  <c:v>42343</c:v>
                </c:pt>
                <c:pt idx="50">
                  <c:v>42344</c:v>
                </c:pt>
                <c:pt idx="51">
                  <c:v>42345</c:v>
                </c:pt>
                <c:pt idx="52">
                  <c:v>42346</c:v>
                </c:pt>
                <c:pt idx="53">
                  <c:v>42347</c:v>
                </c:pt>
                <c:pt idx="54">
                  <c:v>42348</c:v>
                </c:pt>
                <c:pt idx="55">
                  <c:v>42349</c:v>
                </c:pt>
                <c:pt idx="56">
                  <c:v>42350</c:v>
                </c:pt>
                <c:pt idx="57">
                  <c:v>42351</c:v>
                </c:pt>
                <c:pt idx="58">
                  <c:v>42352</c:v>
                </c:pt>
                <c:pt idx="59">
                  <c:v>42353</c:v>
                </c:pt>
                <c:pt idx="60">
                  <c:v>42354</c:v>
                </c:pt>
                <c:pt idx="61">
                  <c:v>42355</c:v>
                </c:pt>
                <c:pt idx="62">
                  <c:v>42356</c:v>
                </c:pt>
                <c:pt idx="63">
                  <c:v>42357</c:v>
                </c:pt>
                <c:pt idx="64">
                  <c:v>42358</c:v>
                </c:pt>
                <c:pt idx="65">
                  <c:v>42359</c:v>
                </c:pt>
                <c:pt idx="66">
                  <c:v>42360</c:v>
                </c:pt>
                <c:pt idx="67">
                  <c:v>42361</c:v>
                </c:pt>
                <c:pt idx="68">
                  <c:v>42362</c:v>
                </c:pt>
                <c:pt idx="69">
                  <c:v>42363</c:v>
                </c:pt>
                <c:pt idx="70">
                  <c:v>42364</c:v>
                </c:pt>
                <c:pt idx="71">
                  <c:v>42365</c:v>
                </c:pt>
                <c:pt idx="72">
                  <c:v>42366</c:v>
                </c:pt>
                <c:pt idx="73">
                  <c:v>42367</c:v>
                </c:pt>
                <c:pt idx="74">
                  <c:v>42368</c:v>
                </c:pt>
                <c:pt idx="75">
                  <c:v>42369</c:v>
                </c:pt>
                <c:pt idx="76">
                  <c:v>42370</c:v>
                </c:pt>
                <c:pt idx="77">
                  <c:v>42371</c:v>
                </c:pt>
                <c:pt idx="78">
                  <c:v>42372</c:v>
                </c:pt>
                <c:pt idx="79">
                  <c:v>42373</c:v>
                </c:pt>
                <c:pt idx="80">
                  <c:v>42374</c:v>
                </c:pt>
                <c:pt idx="81">
                  <c:v>42375</c:v>
                </c:pt>
                <c:pt idx="82">
                  <c:v>42376</c:v>
                </c:pt>
                <c:pt idx="83">
                  <c:v>42377</c:v>
                </c:pt>
                <c:pt idx="84">
                  <c:v>42378</c:v>
                </c:pt>
                <c:pt idx="85">
                  <c:v>42379</c:v>
                </c:pt>
                <c:pt idx="86">
                  <c:v>42380</c:v>
                </c:pt>
                <c:pt idx="87">
                  <c:v>42381</c:v>
                </c:pt>
                <c:pt idx="88">
                  <c:v>42382</c:v>
                </c:pt>
                <c:pt idx="89">
                  <c:v>42383</c:v>
                </c:pt>
                <c:pt idx="90">
                  <c:v>42384</c:v>
                </c:pt>
                <c:pt idx="91">
                  <c:v>42385</c:v>
                </c:pt>
                <c:pt idx="92">
                  <c:v>42386</c:v>
                </c:pt>
                <c:pt idx="93">
                  <c:v>42387</c:v>
                </c:pt>
                <c:pt idx="94">
                  <c:v>42388</c:v>
                </c:pt>
                <c:pt idx="95">
                  <c:v>42389</c:v>
                </c:pt>
                <c:pt idx="96">
                  <c:v>42390</c:v>
                </c:pt>
                <c:pt idx="97">
                  <c:v>42391</c:v>
                </c:pt>
                <c:pt idx="98">
                  <c:v>42392</c:v>
                </c:pt>
                <c:pt idx="99">
                  <c:v>42393</c:v>
                </c:pt>
                <c:pt idx="100">
                  <c:v>42394</c:v>
                </c:pt>
                <c:pt idx="101">
                  <c:v>42395</c:v>
                </c:pt>
                <c:pt idx="102">
                  <c:v>42396</c:v>
                </c:pt>
                <c:pt idx="103">
                  <c:v>42397</c:v>
                </c:pt>
                <c:pt idx="104">
                  <c:v>42398</c:v>
                </c:pt>
                <c:pt idx="105">
                  <c:v>42399</c:v>
                </c:pt>
                <c:pt idx="106">
                  <c:v>42400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42406</c:v>
                </c:pt>
                <c:pt idx="113">
                  <c:v>42407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42413</c:v>
                </c:pt>
                <c:pt idx="120">
                  <c:v>42414</c:v>
                </c:pt>
              </c:numCache>
            </c:numRef>
          </c:cat>
          <c:val>
            <c:numRef>
              <c:f>'Crop Water Requirement'!$AP$41:$AP$161</c:f>
              <c:numCache>
                <c:formatCode>0.000</c:formatCode>
                <c:ptCount val="121"/>
                <c:pt idx="0">
                  <c:v>5.1782519721243316</c:v>
                </c:pt>
                <c:pt idx="1">
                  <c:v>6.7245789680153374</c:v>
                </c:pt>
                <c:pt idx="2">
                  <c:v>7.5389044005521422</c:v>
                </c:pt>
                <c:pt idx="3">
                  <c:v>8.1331082527388467</c:v>
                </c:pt>
                <c:pt idx="4">
                  <c:v>8.678658631179875</c:v>
                </c:pt>
                <c:pt idx="5">
                  <c:v>8.7885213742277113</c:v>
                </c:pt>
                <c:pt idx="6">
                  <c:v>8.6340280200569488</c:v>
                </c:pt>
                <c:pt idx="7">
                  <c:v>8.4468187493921985</c:v>
                </c:pt>
                <c:pt idx="8">
                  <c:v>8.2395964459171172</c:v>
                </c:pt>
                <c:pt idx="9">
                  <c:v>8.0310824547599431</c:v>
                </c:pt>
                <c:pt idx="10">
                  <c:v>7.8349988113716549</c:v>
                </c:pt>
                <c:pt idx="11">
                  <c:v>7.6305688531727096</c:v>
                </c:pt>
                <c:pt idx="12">
                  <c:v>7.4184194384995914</c:v>
                </c:pt>
                <c:pt idx="13">
                  <c:v>7.2172233919723547</c:v>
                </c:pt>
                <c:pt idx="14">
                  <c:v>7.0140318975465821</c:v>
                </c:pt>
                <c:pt idx="15">
                  <c:v>6.8078844128019824</c:v>
                </c:pt>
                <c:pt idx="16">
                  <c:v>6.6057993493466389</c:v>
                </c:pt>
                <c:pt idx="17">
                  <c:v>6.4172839570807554</c:v>
                </c:pt>
                <c:pt idx="18">
                  <c:v>6.2370831247825365</c:v>
                </c:pt>
                <c:pt idx="19">
                  <c:v>6.1739683410781607</c:v>
                </c:pt>
                <c:pt idx="20">
                  <c:v>6.2261504990973933</c:v>
                </c:pt>
                <c:pt idx="21">
                  <c:v>6.1307996251390033</c:v>
                </c:pt>
                <c:pt idx="22">
                  <c:v>5.9295587188687797</c:v>
                </c:pt>
                <c:pt idx="23">
                  <c:v>5.7358528300894944</c:v>
                </c:pt>
                <c:pt idx="24">
                  <c:v>5.5347209328892584</c:v>
                </c:pt>
                <c:pt idx="25">
                  <c:v>5.3312503570359615</c:v>
                </c:pt>
                <c:pt idx="26">
                  <c:v>5.1139337957478865</c:v>
                </c:pt>
                <c:pt idx="27">
                  <c:v>4.8836237330648355</c:v>
                </c:pt>
                <c:pt idx="28">
                  <c:v>4.6582956203886905</c:v>
                </c:pt>
                <c:pt idx="29">
                  <c:v>4.4120836901476403</c:v>
                </c:pt>
                <c:pt idx="30">
                  <c:v>4.1499600258312874</c:v>
                </c:pt>
                <c:pt idx="31">
                  <c:v>3.8767560949377886</c:v>
                </c:pt>
                <c:pt idx="32">
                  <c:v>5.1723555851431238</c:v>
                </c:pt>
                <c:pt idx="33">
                  <c:v>6.7834362222271274</c:v>
                </c:pt>
                <c:pt idx="34">
                  <c:v>6.5853745664468866</c:v>
                </c:pt>
                <c:pt idx="35">
                  <c:v>6.3746671155765275</c:v>
                </c:pt>
                <c:pt idx="36">
                  <c:v>6.1495518010615706</c:v>
                </c:pt>
                <c:pt idx="37">
                  <c:v>5.9103521699936792</c:v>
                </c:pt>
                <c:pt idx="38">
                  <c:v>5.6799828913923118</c:v>
                </c:pt>
                <c:pt idx="39">
                  <c:v>5.4527208729644343</c:v>
                </c:pt>
                <c:pt idx="40">
                  <c:v>5.1862090438473345</c:v>
                </c:pt>
                <c:pt idx="41">
                  <c:v>4.8902566705580535</c:v>
                </c:pt>
                <c:pt idx="42">
                  <c:v>4.5910336180564659</c:v>
                </c:pt>
                <c:pt idx="43">
                  <c:v>4.3182719195494021</c:v>
                </c:pt>
                <c:pt idx="44">
                  <c:v>4.0784673972169063</c:v>
                </c:pt>
                <c:pt idx="45">
                  <c:v>3.8230952980570754</c:v>
                </c:pt>
                <c:pt idx="46">
                  <c:v>3.5721513992413185</c:v>
                </c:pt>
                <c:pt idx="47">
                  <c:v>3.4593047956028533</c:v>
                </c:pt>
                <c:pt idx="48">
                  <c:v>3.2977985730015535</c:v>
                </c:pt>
                <c:pt idx="49">
                  <c:v>3.031384526656665</c:v>
                </c:pt>
                <c:pt idx="50">
                  <c:v>2.7210705305043072</c:v>
                </c:pt>
                <c:pt idx="51">
                  <c:v>2.3383551668854907</c:v>
                </c:pt>
                <c:pt idx="52">
                  <c:v>1.9648664620499321</c:v>
                </c:pt>
                <c:pt idx="53">
                  <c:v>1.6000000903038829</c:v>
                </c:pt>
                <c:pt idx="54">
                  <c:v>1.2202656835423649</c:v>
                </c:pt>
                <c:pt idx="55">
                  <c:v>0.80528695729140809</c:v>
                </c:pt>
                <c:pt idx="56">
                  <c:v>0.40518116806305388</c:v>
                </c:pt>
                <c:pt idx="57">
                  <c:v>0.38608962947401854</c:v>
                </c:pt>
                <c:pt idx="58">
                  <c:v>0.61115082729470838</c:v>
                </c:pt>
                <c:pt idx="59">
                  <c:v>0.39937128094379376</c:v>
                </c:pt>
                <c:pt idx="60">
                  <c:v>0.38809496019017398</c:v>
                </c:pt>
                <c:pt idx="61">
                  <c:v>0.37791882388132919</c:v>
                </c:pt>
                <c:pt idx="62">
                  <c:v>0.36775380407479857</c:v>
                </c:pt>
                <c:pt idx="63">
                  <c:v>0.35506549108408725</c:v>
                </c:pt>
                <c:pt idx="64">
                  <c:v>0.33972967600428727</c:v>
                </c:pt>
                <c:pt idx="65">
                  <c:v>0.32270729089337225</c:v>
                </c:pt>
                <c:pt idx="66">
                  <c:v>0.30831538295334426</c:v>
                </c:pt>
                <c:pt idx="67">
                  <c:v>0.29192539784804455</c:v>
                </c:pt>
                <c:pt idx="68">
                  <c:v>0.27226695340637008</c:v>
                </c:pt>
                <c:pt idx="69">
                  <c:v>0.25464049434520486</c:v>
                </c:pt>
                <c:pt idx="70">
                  <c:v>0.23829790176494423</c:v>
                </c:pt>
                <c:pt idx="71">
                  <c:v>0.22178796845119703</c:v>
                </c:pt>
                <c:pt idx="72">
                  <c:v>0.20478459722256317</c:v>
                </c:pt>
                <c:pt idx="73">
                  <c:v>0.1865699934937976</c:v>
                </c:pt>
                <c:pt idx="74">
                  <c:v>0.16747046061965157</c:v>
                </c:pt>
                <c:pt idx="75">
                  <c:v>0.14859238629254723</c:v>
                </c:pt>
                <c:pt idx="76">
                  <c:v>0.12833770076237816</c:v>
                </c:pt>
                <c:pt idx="77">
                  <c:v>0.11367314142873909</c:v>
                </c:pt>
                <c:pt idx="78">
                  <c:v>0.10284370273088847</c:v>
                </c:pt>
                <c:pt idx="79">
                  <c:v>9.2528426175062573E-2</c:v>
                </c:pt>
                <c:pt idx="80">
                  <c:v>8.1376927871137261E-2</c:v>
                </c:pt>
                <c:pt idx="81">
                  <c:v>7.019847664580095E-2</c:v>
                </c:pt>
                <c:pt idx="82">
                  <c:v>6.1133839246507317E-2</c:v>
                </c:pt>
                <c:pt idx="83">
                  <c:v>4.9559918851701891E-2</c:v>
                </c:pt>
                <c:pt idx="84">
                  <c:v>2.4027540986883714E-2</c:v>
                </c:pt>
                <c:pt idx="85">
                  <c:v>2.8549625515142393E-2</c:v>
                </c:pt>
                <c:pt idx="86">
                  <c:v>1.6523046170715049E-2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C-3D4F-8888-92F0D24DBF47}"/>
            </c:ext>
          </c:extLst>
        </c:ser>
        <c:ser>
          <c:idx val="0"/>
          <c:order val="1"/>
          <c:spPr>
            <a:solidFill>
              <a:srgbClr val="BFBFBF"/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Requirement'!$W$41:$W$161</c:f>
              <c:numCache>
                <c:formatCode>m/d;@</c:formatCode>
                <c:ptCount val="121"/>
                <c:pt idx="0">
                  <c:v>42294</c:v>
                </c:pt>
                <c:pt idx="1">
                  <c:v>42295</c:v>
                </c:pt>
                <c:pt idx="2">
                  <c:v>42296</c:v>
                </c:pt>
                <c:pt idx="3">
                  <c:v>42297</c:v>
                </c:pt>
                <c:pt idx="4">
                  <c:v>42298</c:v>
                </c:pt>
                <c:pt idx="5">
                  <c:v>42299</c:v>
                </c:pt>
                <c:pt idx="6">
                  <c:v>42300</c:v>
                </c:pt>
                <c:pt idx="7">
                  <c:v>42301</c:v>
                </c:pt>
                <c:pt idx="8">
                  <c:v>42302</c:v>
                </c:pt>
                <c:pt idx="9">
                  <c:v>42303</c:v>
                </c:pt>
                <c:pt idx="10">
                  <c:v>42304</c:v>
                </c:pt>
                <c:pt idx="11">
                  <c:v>42305</c:v>
                </c:pt>
                <c:pt idx="12">
                  <c:v>42306</c:v>
                </c:pt>
                <c:pt idx="13">
                  <c:v>42307</c:v>
                </c:pt>
                <c:pt idx="14">
                  <c:v>42308</c:v>
                </c:pt>
                <c:pt idx="15">
                  <c:v>42309</c:v>
                </c:pt>
                <c:pt idx="16">
                  <c:v>42310</c:v>
                </c:pt>
                <c:pt idx="17">
                  <c:v>42311</c:v>
                </c:pt>
                <c:pt idx="18">
                  <c:v>42312</c:v>
                </c:pt>
                <c:pt idx="19">
                  <c:v>42313</c:v>
                </c:pt>
                <c:pt idx="20">
                  <c:v>42314</c:v>
                </c:pt>
                <c:pt idx="21">
                  <c:v>42315</c:v>
                </c:pt>
                <c:pt idx="22">
                  <c:v>42316</c:v>
                </c:pt>
                <c:pt idx="23">
                  <c:v>42317</c:v>
                </c:pt>
                <c:pt idx="24">
                  <c:v>42318</c:v>
                </c:pt>
                <c:pt idx="25">
                  <c:v>42319</c:v>
                </c:pt>
                <c:pt idx="26">
                  <c:v>42320</c:v>
                </c:pt>
                <c:pt idx="27">
                  <c:v>42321</c:v>
                </c:pt>
                <c:pt idx="28">
                  <c:v>42322</c:v>
                </c:pt>
                <c:pt idx="29">
                  <c:v>42323</c:v>
                </c:pt>
                <c:pt idx="30">
                  <c:v>42324</c:v>
                </c:pt>
                <c:pt idx="31">
                  <c:v>42325</c:v>
                </c:pt>
                <c:pt idx="32">
                  <c:v>42326</c:v>
                </c:pt>
                <c:pt idx="33">
                  <c:v>42327</c:v>
                </c:pt>
                <c:pt idx="34">
                  <c:v>42328</c:v>
                </c:pt>
                <c:pt idx="35">
                  <c:v>42329</c:v>
                </c:pt>
                <c:pt idx="36">
                  <c:v>42330</c:v>
                </c:pt>
                <c:pt idx="37">
                  <c:v>42331</c:v>
                </c:pt>
                <c:pt idx="38">
                  <c:v>42332</c:v>
                </c:pt>
                <c:pt idx="39">
                  <c:v>42333</c:v>
                </c:pt>
                <c:pt idx="40">
                  <c:v>42334</c:v>
                </c:pt>
                <c:pt idx="41">
                  <c:v>42335</c:v>
                </c:pt>
                <c:pt idx="42">
                  <c:v>42336</c:v>
                </c:pt>
                <c:pt idx="43">
                  <c:v>42337</c:v>
                </c:pt>
                <c:pt idx="44">
                  <c:v>42338</c:v>
                </c:pt>
                <c:pt idx="45">
                  <c:v>42339</c:v>
                </c:pt>
                <c:pt idx="46">
                  <c:v>42340</c:v>
                </c:pt>
                <c:pt idx="47">
                  <c:v>42341</c:v>
                </c:pt>
                <c:pt idx="48">
                  <c:v>42342</c:v>
                </c:pt>
                <c:pt idx="49">
                  <c:v>42343</c:v>
                </c:pt>
                <c:pt idx="50">
                  <c:v>42344</c:v>
                </c:pt>
                <c:pt idx="51">
                  <c:v>42345</c:v>
                </c:pt>
                <c:pt idx="52">
                  <c:v>42346</c:v>
                </c:pt>
                <c:pt idx="53">
                  <c:v>42347</c:v>
                </c:pt>
                <c:pt idx="54">
                  <c:v>42348</c:v>
                </c:pt>
                <c:pt idx="55">
                  <c:v>42349</c:v>
                </c:pt>
                <c:pt idx="56">
                  <c:v>42350</c:v>
                </c:pt>
                <c:pt idx="57">
                  <c:v>42351</c:v>
                </c:pt>
                <c:pt idx="58">
                  <c:v>42352</c:v>
                </c:pt>
                <c:pt idx="59">
                  <c:v>42353</c:v>
                </c:pt>
                <c:pt idx="60">
                  <c:v>42354</c:v>
                </c:pt>
                <c:pt idx="61">
                  <c:v>42355</c:v>
                </c:pt>
                <c:pt idx="62">
                  <c:v>42356</c:v>
                </c:pt>
                <c:pt idx="63">
                  <c:v>42357</c:v>
                </c:pt>
                <c:pt idx="64">
                  <c:v>42358</c:v>
                </c:pt>
                <c:pt idx="65">
                  <c:v>42359</c:v>
                </c:pt>
                <c:pt idx="66">
                  <c:v>42360</c:v>
                </c:pt>
                <c:pt idx="67">
                  <c:v>42361</c:v>
                </c:pt>
                <c:pt idx="68">
                  <c:v>42362</c:v>
                </c:pt>
                <c:pt idx="69">
                  <c:v>42363</c:v>
                </c:pt>
                <c:pt idx="70">
                  <c:v>42364</c:v>
                </c:pt>
                <c:pt idx="71">
                  <c:v>42365</c:v>
                </c:pt>
                <c:pt idx="72">
                  <c:v>42366</c:v>
                </c:pt>
                <c:pt idx="73">
                  <c:v>42367</c:v>
                </c:pt>
                <c:pt idx="74">
                  <c:v>42368</c:v>
                </c:pt>
                <c:pt idx="75">
                  <c:v>42369</c:v>
                </c:pt>
                <c:pt idx="76">
                  <c:v>42370</c:v>
                </c:pt>
                <c:pt idx="77">
                  <c:v>42371</c:v>
                </c:pt>
                <c:pt idx="78">
                  <c:v>42372</c:v>
                </c:pt>
                <c:pt idx="79">
                  <c:v>42373</c:v>
                </c:pt>
                <c:pt idx="80">
                  <c:v>42374</c:v>
                </c:pt>
                <c:pt idx="81">
                  <c:v>42375</c:v>
                </c:pt>
                <c:pt idx="82">
                  <c:v>42376</c:v>
                </c:pt>
                <c:pt idx="83">
                  <c:v>42377</c:v>
                </c:pt>
                <c:pt idx="84">
                  <c:v>42378</c:v>
                </c:pt>
                <c:pt idx="85">
                  <c:v>42379</c:v>
                </c:pt>
                <c:pt idx="86">
                  <c:v>42380</c:v>
                </c:pt>
                <c:pt idx="87">
                  <c:v>42381</c:v>
                </c:pt>
                <c:pt idx="88">
                  <c:v>42382</c:v>
                </c:pt>
                <c:pt idx="89">
                  <c:v>42383</c:v>
                </c:pt>
                <c:pt idx="90">
                  <c:v>42384</c:v>
                </c:pt>
                <c:pt idx="91">
                  <c:v>42385</c:v>
                </c:pt>
                <c:pt idx="92">
                  <c:v>42386</c:v>
                </c:pt>
                <c:pt idx="93">
                  <c:v>42387</c:v>
                </c:pt>
                <c:pt idx="94">
                  <c:v>42388</c:v>
                </c:pt>
                <c:pt idx="95">
                  <c:v>42389</c:v>
                </c:pt>
                <c:pt idx="96">
                  <c:v>42390</c:v>
                </c:pt>
                <c:pt idx="97">
                  <c:v>42391</c:v>
                </c:pt>
                <c:pt idx="98">
                  <c:v>42392</c:v>
                </c:pt>
                <c:pt idx="99">
                  <c:v>42393</c:v>
                </c:pt>
                <c:pt idx="100">
                  <c:v>42394</c:v>
                </c:pt>
                <c:pt idx="101">
                  <c:v>42395</c:v>
                </c:pt>
                <c:pt idx="102">
                  <c:v>42396</c:v>
                </c:pt>
                <c:pt idx="103">
                  <c:v>42397</c:v>
                </c:pt>
                <c:pt idx="104">
                  <c:v>42398</c:v>
                </c:pt>
                <c:pt idx="105">
                  <c:v>42399</c:v>
                </c:pt>
                <c:pt idx="106">
                  <c:v>42400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42406</c:v>
                </c:pt>
                <c:pt idx="113">
                  <c:v>42407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42413</c:v>
                </c:pt>
                <c:pt idx="120">
                  <c:v>42414</c:v>
                </c:pt>
              </c:numCache>
            </c:numRef>
          </c:cat>
          <c:val>
            <c:numRef>
              <c:f>'Crop Water Requirement'!$AO$41:$AO$161</c:f>
              <c:numCache>
                <c:formatCode>0.000</c:formatCode>
                <c:ptCount val="121"/>
                <c:pt idx="0">
                  <c:v>0</c:v>
                </c:pt>
                <c:pt idx="1">
                  <c:v>3.3372222222222261</c:v>
                </c:pt>
                <c:pt idx="2">
                  <c:v>3.3372222222222261</c:v>
                </c:pt>
                <c:pt idx="3">
                  <c:v>3.3372222222222261</c:v>
                </c:pt>
                <c:pt idx="4">
                  <c:v>3.3372222222222261</c:v>
                </c:pt>
                <c:pt idx="5">
                  <c:v>3.3372222222222261</c:v>
                </c:pt>
                <c:pt idx="6">
                  <c:v>3.3372222222222261</c:v>
                </c:pt>
                <c:pt idx="7">
                  <c:v>3.3372222222222261</c:v>
                </c:pt>
                <c:pt idx="8">
                  <c:v>3.3372222222222261</c:v>
                </c:pt>
                <c:pt idx="9">
                  <c:v>3.3372222222222261</c:v>
                </c:pt>
                <c:pt idx="10">
                  <c:v>3.3372222222222261</c:v>
                </c:pt>
                <c:pt idx="11">
                  <c:v>3.3372222222222261</c:v>
                </c:pt>
                <c:pt idx="12">
                  <c:v>3.3372222222222261</c:v>
                </c:pt>
                <c:pt idx="13">
                  <c:v>3.3372222222222261</c:v>
                </c:pt>
                <c:pt idx="14">
                  <c:v>3.3372222222222261</c:v>
                </c:pt>
                <c:pt idx="15">
                  <c:v>3.3372222222222261</c:v>
                </c:pt>
                <c:pt idx="16">
                  <c:v>3.3372222222222261</c:v>
                </c:pt>
                <c:pt idx="17">
                  <c:v>3.3372222222222261</c:v>
                </c:pt>
                <c:pt idx="18">
                  <c:v>3.3372222222222261</c:v>
                </c:pt>
                <c:pt idx="19">
                  <c:v>3.3372222222222261</c:v>
                </c:pt>
                <c:pt idx="20">
                  <c:v>3.3372222222222261</c:v>
                </c:pt>
                <c:pt idx="21">
                  <c:v>3.3372222222222261</c:v>
                </c:pt>
                <c:pt idx="22">
                  <c:v>3.3372222222222261</c:v>
                </c:pt>
                <c:pt idx="23">
                  <c:v>3.3372222222222261</c:v>
                </c:pt>
                <c:pt idx="24">
                  <c:v>3.3372222222222261</c:v>
                </c:pt>
                <c:pt idx="25">
                  <c:v>3.3372222222222261</c:v>
                </c:pt>
                <c:pt idx="26">
                  <c:v>3.3372222222222261</c:v>
                </c:pt>
                <c:pt idx="27">
                  <c:v>3.3372222222222261</c:v>
                </c:pt>
                <c:pt idx="28">
                  <c:v>3.3372222222222261</c:v>
                </c:pt>
                <c:pt idx="29">
                  <c:v>3.3372222222222261</c:v>
                </c:pt>
                <c:pt idx="30">
                  <c:v>3.3372222222222261</c:v>
                </c:pt>
                <c:pt idx="31">
                  <c:v>4.1033333333333317</c:v>
                </c:pt>
                <c:pt idx="32">
                  <c:v>11.103333333333332</c:v>
                </c:pt>
                <c:pt idx="33">
                  <c:v>11.103333333333332</c:v>
                </c:pt>
                <c:pt idx="34">
                  <c:v>11.103333333333332</c:v>
                </c:pt>
                <c:pt idx="35">
                  <c:v>11.103333333333332</c:v>
                </c:pt>
                <c:pt idx="36">
                  <c:v>11.103333333333332</c:v>
                </c:pt>
                <c:pt idx="37">
                  <c:v>11.103333333333332</c:v>
                </c:pt>
                <c:pt idx="38">
                  <c:v>11.103333333333332</c:v>
                </c:pt>
                <c:pt idx="39">
                  <c:v>11.103333333333332</c:v>
                </c:pt>
                <c:pt idx="40">
                  <c:v>11.103333333333332</c:v>
                </c:pt>
                <c:pt idx="41">
                  <c:v>11.103333333333332</c:v>
                </c:pt>
                <c:pt idx="42">
                  <c:v>11.103333333333332</c:v>
                </c:pt>
                <c:pt idx="43">
                  <c:v>11.103333333333332</c:v>
                </c:pt>
                <c:pt idx="44">
                  <c:v>11.103333333333332</c:v>
                </c:pt>
                <c:pt idx="45">
                  <c:v>11.103333333333332</c:v>
                </c:pt>
                <c:pt idx="46">
                  <c:v>11.103333333333332</c:v>
                </c:pt>
                <c:pt idx="47">
                  <c:v>11.103333333333332</c:v>
                </c:pt>
                <c:pt idx="48">
                  <c:v>11.103333333333332</c:v>
                </c:pt>
                <c:pt idx="49">
                  <c:v>11.103333333333332</c:v>
                </c:pt>
                <c:pt idx="50">
                  <c:v>11.103333333333332</c:v>
                </c:pt>
                <c:pt idx="51">
                  <c:v>11.103333333333332</c:v>
                </c:pt>
                <c:pt idx="52">
                  <c:v>11.103333333333332</c:v>
                </c:pt>
                <c:pt idx="53">
                  <c:v>11.103333333333332</c:v>
                </c:pt>
                <c:pt idx="54">
                  <c:v>11.103333333333332</c:v>
                </c:pt>
                <c:pt idx="55">
                  <c:v>11.103333333333332</c:v>
                </c:pt>
                <c:pt idx="56">
                  <c:v>11.103333333333332</c:v>
                </c:pt>
                <c:pt idx="57">
                  <c:v>11.103333333333332</c:v>
                </c:pt>
                <c:pt idx="58">
                  <c:v>11.103333333333332</c:v>
                </c:pt>
                <c:pt idx="59">
                  <c:v>11.103333333333332</c:v>
                </c:pt>
                <c:pt idx="60">
                  <c:v>11.103333333333332</c:v>
                </c:pt>
                <c:pt idx="61">
                  <c:v>14.99</c:v>
                </c:pt>
                <c:pt idx="62">
                  <c:v>14.99</c:v>
                </c:pt>
                <c:pt idx="63">
                  <c:v>14.99</c:v>
                </c:pt>
                <c:pt idx="64">
                  <c:v>14.99</c:v>
                </c:pt>
                <c:pt idx="65">
                  <c:v>14.99</c:v>
                </c:pt>
                <c:pt idx="66">
                  <c:v>14.99</c:v>
                </c:pt>
                <c:pt idx="67">
                  <c:v>14.99</c:v>
                </c:pt>
                <c:pt idx="68">
                  <c:v>14.99</c:v>
                </c:pt>
                <c:pt idx="69">
                  <c:v>14.99</c:v>
                </c:pt>
                <c:pt idx="70">
                  <c:v>14.99</c:v>
                </c:pt>
                <c:pt idx="71">
                  <c:v>14.99</c:v>
                </c:pt>
                <c:pt idx="72">
                  <c:v>14.99</c:v>
                </c:pt>
                <c:pt idx="73">
                  <c:v>14.99</c:v>
                </c:pt>
                <c:pt idx="74">
                  <c:v>14.99</c:v>
                </c:pt>
                <c:pt idx="75">
                  <c:v>14.99</c:v>
                </c:pt>
                <c:pt idx="76">
                  <c:v>14.99</c:v>
                </c:pt>
                <c:pt idx="77">
                  <c:v>14.99</c:v>
                </c:pt>
                <c:pt idx="78">
                  <c:v>14.99</c:v>
                </c:pt>
                <c:pt idx="79">
                  <c:v>14.99</c:v>
                </c:pt>
                <c:pt idx="80">
                  <c:v>14.99</c:v>
                </c:pt>
                <c:pt idx="81">
                  <c:v>14.99</c:v>
                </c:pt>
                <c:pt idx="82">
                  <c:v>14.99</c:v>
                </c:pt>
                <c:pt idx="83">
                  <c:v>14.99</c:v>
                </c:pt>
                <c:pt idx="84">
                  <c:v>14.99</c:v>
                </c:pt>
                <c:pt idx="85">
                  <c:v>14.99</c:v>
                </c:pt>
                <c:pt idx="86">
                  <c:v>14.99</c:v>
                </c:pt>
                <c:pt idx="87">
                  <c:v>14.99</c:v>
                </c:pt>
                <c:pt idx="88">
                  <c:v>14.99</c:v>
                </c:pt>
                <c:pt idx="89">
                  <c:v>14.99</c:v>
                </c:pt>
                <c:pt idx="90">
                  <c:v>14.99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3C-3D4F-8888-92F0D24DBF47}"/>
            </c:ext>
          </c:extLst>
        </c:ser>
        <c:ser>
          <c:idx val="3"/>
          <c:order val="2"/>
          <c:spPr>
            <a:solidFill>
              <a:schemeClr val="accent2"/>
            </a:solidFill>
            <a:ln w="19050" cmpd="sng">
              <a:solidFill>
                <a:srgbClr val="000000"/>
              </a:solidFill>
            </a:ln>
          </c:spPr>
          <c:cat>
            <c:numRef>
              <c:f>'Crop Water Requirement'!$W$41:$W$161</c:f>
              <c:numCache>
                <c:formatCode>m/d;@</c:formatCode>
                <c:ptCount val="121"/>
                <c:pt idx="0">
                  <c:v>42294</c:v>
                </c:pt>
                <c:pt idx="1">
                  <c:v>42295</c:v>
                </c:pt>
                <c:pt idx="2">
                  <c:v>42296</c:v>
                </c:pt>
                <c:pt idx="3">
                  <c:v>42297</c:v>
                </c:pt>
                <c:pt idx="4">
                  <c:v>42298</c:v>
                </c:pt>
                <c:pt idx="5">
                  <c:v>42299</c:v>
                </c:pt>
                <c:pt idx="6">
                  <c:v>42300</c:v>
                </c:pt>
                <c:pt idx="7">
                  <c:v>42301</c:v>
                </c:pt>
                <c:pt idx="8">
                  <c:v>42302</c:v>
                </c:pt>
                <c:pt idx="9">
                  <c:v>42303</c:v>
                </c:pt>
                <c:pt idx="10">
                  <c:v>42304</c:v>
                </c:pt>
                <c:pt idx="11">
                  <c:v>42305</c:v>
                </c:pt>
                <c:pt idx="12">
                  <c:v>42306</c:v>
                </c:pt>
                <c:pt idx="13">
                  <c:v>42307</c:v>
                </c:pt>
                <c:pt idx="14">
                  <c:v>42308</c:v>
                </c:pt>
                <c:pt idx="15">
                  <c:v>42309</c:v>
                </c:pt>
                <c:pt idx="16">
                  <c:v>42310</c:v>
                </c:pt>
                <c:pt idx="17">
                  <c:v>42311</c:v>
                </c:pt>
                <c:pt idx="18">
                  <c:v>42312</c:v>
                </c:pt>
                <c:pt idx="19">
                  <c:v>42313</c:v>
                </c:pt>
                <c:pt idx="20">
                  <c:v>42314</c:v>
                </c:pt>
                <c:pt idx="21">
                  <c:v>42315</c:v>
                </c:pt>
                <c:pt idx="22">
                  <c:v>42316</c:v>
                </c:pt>
                <c:pt idx="23">
                  <c:v>42317</c:v>
                </c:pt>
                <c:pt idx="24">
                  <c:v>42318</c:v>
                </c:pt>
                <c:pt idx="25">
                  <c:v>42319</c:v>
                </c:pt>
                <c:pt idx="26">
                  <c:v>42320</c:v>
                </c:pt>
                <c:pt idx="27">
                  <c:v>42321</c:v>
                </c:pt>
                <c:pt idx="28">
                  <c:v>42322</c:v>
                </c:pt>
                <c:pt idx="29">
                  <c:v>42323</c:v>
                </c:pt>
                <c:pt idx="30">
                  <c:v>42324</c:v>
                </c:pt>
                <c:pt idx="31">
                  <c:v>42325</c:v>
                </c:pt>
                <c:pt idx="32">
                  <c:v>42326</c:v>
                </c:pt>
                <c:pt idx="33">
                  <c:v>42327</c:v>
                </c:pt>
                <c:pt idx="34">
                  <c:v>42328</c:v>
                </c:pt>
                <c:pt idx="35">
                  <c:v>42329</c:v>
                </c:pt>
                <c:pt idx="36">
                  <c:v>42330</c:v>
                </c:pt>
                <c:pt idx="37">
                  <c:v>42331</c:v>
                </c:pt>
                <c:pt idx="38">
                  <c:v>42332</c:v>
                </c:pt>
                <c:pt idx="39">
                  <c:v>42333</c:v>
                </c:pt>
                <c:pt idx="40">
                  <c:v>42334</c:v>
                </c:pt>
                <c:pt idx="41">
                  <c:v>42335</c:v>
                </c:pt>
                <c:pt idx="42">
                  <c:v>42336</c:v>
                </c:pt>
                <c:pt idx="43">
                  <c:v>42337</c:v>
                </c:pt>
                <c:pt idx="44">
                  <c:v>42338</c:v>
                </c:pt>
                <c:pt idx="45">
                  <c:v>42339</c:v>
                </c:pt>
                <c:pt idx="46">
                  <c:v>42340</c:v>
                </c:pt>
                <c:pt idx="47">
                  <c:v>42341</c:v>
                </c:pt>
                <c:pt idx="48">
                  <c:v>42342</c:v>
                </c:pt>
                <c:pt idx="49">
                  <c:v>42343</c:v>
                </c:pt>
                <c:pt idx="50">
                  <c:v>42344</c:v>
                </c:pt>
                <c:pt idx="51">
                  <c:v>42345</c:v>
                </c:pt>
                <c:pt idx="52">
                  <c:v>42346</c:v>
                </c:pt>
                <c:pt idx="53">
                  <c:v>42347</c:v>
                </c:pt>
                <c:pt idx="54">
                  <c:v>42348</c:v>
                </c:pt>
                <c:pt idx="55">
                  <c:v>42349</c:v>
                </c:pt>
                <c:pt idx="56">
                  <c:v>42350</c:v>
                </c:pt>
                <c:pt idx="57">
                  <c:v>42351</c:v>
                </c:pt>
                <c:pt idx="58">
                  <c:v>42352</c:v>
                </c:pt>
                <c:pt idx="59">
                  <c:v>42353</c:v>
                </c:pt>
                <c:pt idx="60">
                  <c:v>42354</c:v>
                </c:pt>
                <c:pt idx="61">
                  <c:v>42355</c:v>
                </c:pt>
                <c:pt idx="62">
                  <c:v>42356</c:v>
                </c:pt>
                <c:pt idx="63">
                  <c:v>42357</c:v>
                </c:pt>
                <c:pt idx="64">
                  <c:v>42358</c:v>
                </c:pt>
                <c:pt idx="65">
                  <c:v>42359</c:v>
                </c:pt>
                <c:pt idx="66">
                  <c:v>42360</c:v>
                </c:pt>
                <c:pt idx="67">
                  <c:v>42361</c:v>
                </c:pt>
                <c:pt idx="68">
                  <c:v>42362</c:v>
                </c:pt>
                <c:pt idx="69">
                  <c:v>42363</c:v>
                </c:pt>
                <c:pt idx="70">
                  <c:v>42364</c:v>
                </c:pt>
                <c:pt idx="71">
                  <c:v>42365</c:v>
                </c:pt>
                <c:pt idx="72">
                  <c:v>42366</c:v>
                </c:pt>
                <c:pt idx="73">
                  <c:v>42367</c:v>
                </c:pt>
                <c:pt idx="74">
                  <c:v>42368</c:v>
                </c:pt>
                <c:pt idx="75">
                  <c:v>42369</c:v>
                </c:pt>
                <c:pt idx="76">
                  <c:v>42370</c:v>
                </c:pt>
                <c:pt idx="77">
                  <c:v>42371</c:v>
                </c:pt>
                <c:pt idx="78">
                  <c:v>42372</c:v>
                </c:pt>
                <c:pt idx="79">
                  <c:v>42373</c:v>
                </c:pt>
                <c:pt idx="80">
                  <c:v>42374</c:v>
                </c:pt>
                <c:pt idx="81">
                  <c:v>42375</c:v>
                </c:pt>
                <c:pt idx="82">
                  <c:v>42376</c:v>
                </c:pt>
                <c:pt idx="83">
                  <c:v>42377</c:v>
                </c:pt>
                <c:pt idx="84">
                  <c:v>42378</c:v>
                </c:pt>
                <c:pt idx="85">
                  <c:v>42379</c:v>
                </c:pt>
                <c:pt idx="86">
                  <c:v>42380</c:v>
                </c:pt>
                <c:pt idx="87">
                  <c:v>42381</c:v>
                </c:pt>
                <c:pt idx="88">
                  <c:v>42382</c:v>
                </c:pt>
                <c:pt idx="89">
                  <c:v>42383</c:v>
                </c:pt>
                <c:pt idx="90">
                  <c:v>42384</c:v>
                </c:pt>
                <c:pt idx="91">
                  <c:v>42385</c:v>
                </c:pt>
                <c:pt idx="92">
                  <c:v>42386</c:v>
                </c:pt>
                <c:pt idx="93">
                  <c:v>42387</c:v>
                </c:pt>
                <c:pt idx="94">
                  <c:v>42388</c:v>
                </c:pt>
                <c:pt idx="95">
                  <c:v>42389</c:v>
                </c:pt>
                <c:pt idx="96">
                  <c:v>42390</c:v>
                </c:pt>
                <c:pt idx="97">
                  <c:v>42391</c:v>
                </c:pt>
                <c:pt idx="98">
                  <c:v>42392</c:v>
                </c:pt>
                <c:pt idx="99">
                  <c:v>42393</c:v>
                </c:pt>
                <c:pt idx="100">
                  <c:v>42394</c:v>
                </c:pt>
                <c:pt idx="101">
                  <c:v>42395</c:v>
                </c:pt>
                <c:pt idx="102">
                  <c:v>42396</c:v>
                </c:pt>
                <c:pt idx="103">
                  <c:v>42397</c:v>
                </c:pt>
                <c:pt idx="104">
                  <c:v>42398</c:v>
                </c:pt>
                <c:pt idx="105">
                  <c:v>42399</c:v>
                </c:pt>
                <c:pt idx="106">
                  <c:v>42400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42406</c:v>
                </c:pt>
                <c:pt idx="113">
                  <c:v>42407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42413</c:v>
                </c:pt>
                <c:pt idx="120">
                  <c:v>42414</c:v>
                </c:pt>
              </c:numCache>
            </c:numRef>
          </c:cat>
          <c:val>
            <c:numRef>
              <c:f>'Crop Water Requirement'!$AQ$41:$AQ$161</c:f>
              <c:numCache>
                <c:formatCode>0.000</c:formatCode>
                <c:ptCount val="121"/>
                <c:pt idx="0">
                  <c:v>0</c:v>
                </c:pt>
                <c:pt idx="1">
                  <c:v>3.3372222222222261</c:v>
                </c:pt>
                <c:pt idx="2">
                  <c:v>3.3372222222222261</c:v>
                </c:pt>
                <c:pt idx="3">
                  <c:v>3.3372222222222261</c:v>
                </c:pt>
                <c:pt idx="4">
                  <c:v>3.3372222222222261</c:v>
                </c:pt>
                <c:pt idx="5">
                  <c:v>3.3372222222222261</c:v>
                </c:pt>
                <c:pt idx="6">
                  <c:v>3.3372222222222261</c:v>
                </c:pt>
                <c:pt idx="7">
                  <c:v>3.3372222222222261</c:v>
                </c:pt>
                <c:pt idx="8">
                  <c:v>3.3372222222222261</c:v>
                </c:pt>
                <c:pt idx="9">
                  <c:v>3.3372222222222261</c:v>
                </c:pt>
                <c:pt idx="10">
                  <c:v>3.3372222222222261</c:v>
                </c:pt>
                <c:pt idx="11">
                  <c:v>3.3372222222222261</c:v>
                </c:pt>
                <c:pt idx="12">
                  <c:v>3.3372222222222261</c:v>
                </c:pt>
                <c:pt idx="13">
                  <c:v>3.3372222222222261</c:v>
                </c:pt>
                <c:pt idx="14">
                  <c:v>3.3372222222222261</c:v>
                </c:pt>
                <c:pt idx="15">
                  <c:v>3.3372222222222261</c:v>
                </c:pt>
                <c:pt idx="16">
                  <c:v>3.3372222222222261</c:v>
                </c:pt>
                <c:pt idx="17">
                  <c:v>3.3372222222222261</c:v>
                </c:pt>
                <c:pt idx="18">
                  <c:v>3.3372222222222261</c:v>
                </c:pt>
                <c:pt idx="19">
                  <c:v>3.3372222222222261</c:v>
                </c:pt>
                <c:pt idx="20">
                  <c:v>3.3372222222222261</c:v>
                </c:pt>
                <c:pt idx="21">
                  <c:v>3.3372222222222261</c:v>
                </c:pt>
                <c:pt idx="22">
                  <c:v>3.3372222222222261</c:v>
                </c:pt>
                <c:pt idx="23">
                  <c:v>3.3372222222222261</c:v>
                </c:pt>
                <c:pt idx="24">
                  <c:v>3.3372222222222261</c:v>
                </c:pt>
                <c:pt idx="25">
                  <c:v>3.3372222222222261</c:v>
                </c:pt>
                <c:pt idx="26">
                  <c:v>3.3372222222222261</c:v>
                </c:pt>
                <c:pt idx="27">
                  <c:v>3.3372222222222261</c:v>
                </c:pt>
                <c:pt idx="28">
                  <c:v>3.3372222222222261</c:v>
                </c:pt>
                <c:pt idx="29">
                  <c:v>3.3372222222222261</c:v>
                </c:pt>
                <c:pt idx="30">
                  <c:v>3.3372222222222261</c:v>
                </c:pt>
                <c:pt idx="31">
                  <c:v>3.8767560949377886</c:v>
                </c:pt>
                <c:pt idx="32">
                  <c:v>5.1723555851431238</c:v>
                </c:pt>
                <c:pt idx="33">
                  <c:v>6.7834362222271274</c:v>
                </c:pt>
                <c:pt idx="34">
                  <c:v>6.5853745664468866</c:v>
                </c:pt>
                <c:pt idx="35">
                  <c:v>6.3746671155765275</c:v>
                </c:pt>
                <c:pt idx="36">
                  <c:v>6.1495518010615706</c:v>
                </c:pt>
                <c:pt idx="37">
                  <c:v>5.9103521699936792</c:v>
                </c:pt>
                <c:pt idx="38">
                  <c:v>5.6799828913923118</c:v>
                </c:pt>
                <c:pt idx="39">
                  <c:v>5.4527208729644343</c:v>
                </c:pt>
                <c:pt idx="40">
                  <c:v>5.1862090438473345</c:v>
                </c:pt>
                <c:pt idx="41">
                  <c:v>4.8902566705580535</c:v>
                </c:pt>
                <c:pt idx="42">
                  <c:v>4.5910336180564659</c:v>
                </c:pt>
                <c:pt idx="43">
                  <c:v>4.3182719195494021</c:v>
                </c:pt>
                <c:pt idx="44">
                  <c:v>4.0784673972169063</c:v>
                </c:pt>
                <c:pt idx="45">
                  <c:v>3.8230952980570754</c:v>
                </c:pt>
                <c:pt idx="46">
                  <c:v>3.5721513992413185</c:v>
                </c:pt>
                <c:pt idx="47">
                  <c:v>3.4593047956028533</c:v>
                </c:pt>
                <c:pt idx="48">
                  <c:v>3.2977985730015535</c:v>
                </c:pt>
                <c:pt idx="49">
                  <c:v>3.031384526656665</c:v>
                </c:pt>
                <c:pt idx="50">
                  <c:v>2.7210705305043072</c:v>
                </c:pt>
                <c:pt idx="51">
                  <c:v>2.3383551668854907</c:v>
                </c:pt>
                <c:pt idx="52">
                  <c:v>1.9648664620499321</c:v>
                </c:pt>
                <c:pt idx="53">
                  <c:v>1.6000000903038829</c:v>
                </c:pt>
                <c:pt idx="54">
                  <c:v>1.2202656835423649</c:v>
                </c:pt>
                <c:pt idx="55">
                  <c:v>0.80528695729140809</c:v>
                </c:pt>
                <c:pt idx="56">
                  <c:v>0.40518116806305388</c:v>
                </c:pt>
                <c:pt idx="57">
                  <c:v>0.38608962947401854</c:v>
                </c:pt>
                <c:pt idx="58">
                  <c:v>0.61115082729470838</c:v>
                </c:pt>
                <c:pt idx="59">
                  <c:v>0.39937128094379376</c:v>
                </c:pt>
                <c:pt idx="60">
                  <c:v>0.38809496019017398</c:v>
                </c:pt>
                <c:pt idx="61">
                  <c:v>0.37791882388132919</c:v>
                </c:pt>
                <c:pt idx="62">
                  <c:v>0.36775380407479857</c:v>
                </c:pt>
                <c:pt idx="63">
                  <c:v>0.35506549108408725</c:v>
                </c:pt>
                <c:pt idx="64">
                  <c:v>0.33972967600428727</c:v>
                </c:pt>
                <c:pt idx="65">
                  <c:v>0.32270729089337225</c:v>
                </c:pt>
                <c:pt idx="66">
                  <c:v>0.30831538295334426</c:v>
                </c:pt>
                <c:pt idx="67">
                  <c:v>0.29192539784804455</c:v>
                </c:pt>
                <c:pt idx="68">
                  <c:v>0.27226695340637008</c:v>
                </c:pt>
                <c:pt idx="69">
                  <c:v>0.25464049434520486</c:v>
                </c:pt>
                <c:pt idx="70">
                  <c:v>0.23829790176494423</c:v>
                </c:pt>
                <c:pt idx="71">
                  <c:v>0.22178796845119703</c:v>
                </c:pt>
                <c:pt idx="72">
                  <c:v>0.20478459722256317</c:v>
                </c:pt>
                <c:pt idx="73">
                  <c:v>0.1865699934937976</c:v>
                </c:pt>
                <c:pt idx="74">
                  <c:v>0.16747046061965157</c:v>
                </c:pt>
                <c:pt idx="75">
                  <c:v>0.14859238629254723</c:v>
                </c:pt>
                <c:pt idx="76">
                  <c:v>0.12833770076237816</c:v>
                </c:pt>
                <c:pt idx="77">
                  <c:v>0.11367314142873909</c:v>
                </c:pt>
                <c:pt idx="78">
                  <c:v>0.10284370273088847</c:v>
                </c:pt>
                <c:pt idx="79">
                  <c:v>9.2528426175062573E-2</c:v>
                </c:pt>
                <c:pt idx="80">
                  <c:v>8.1376927871137261E-2</c:v>
                </c:pt>
                <c:pt idx="81">
                  <c:v>7.019847664580095E-2</c:v>
                </c:pt>
                <c:pt idx="82">
                  <c:v>6.1133839246507317E-2</c:v>
                </c:pt>
                <c:pt idx="83">
                  <c:v>4.9559918851701891E-2</c:v>
                </c:pt>
                <c:pt idx="84">
                  <c:v>2.4027540986883714E-2</c:v>
                </c:pt>
                <c:pt idx="85">
                  <c:v>2.8549625515142393E-2</c:v>
                </c:pt>
                <c:pt idx="86">
                  <c:v>1.6523046170715049E-2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3C-3D4F-8888-92F0D24D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976928"/>
        <c:axId val="-2010980112"/>
      </c:areaChart>
      <c:dateAx>
        <c:axId val="-2010976928"/>
        <c:scaling>
          <c:orientation val="minMax"/>
          <c:min val="42294"/>
        </c:scaling>
        <c:delete val="1"/>
        <c:axPos val="b"/>
        <c:numFmt formatCode="m/d;@" sourceLinked="1"/>
        <c:majorTickMark val="in"/>
        <c:minorTickMark val="none"/>
        <c:tickLblPos val="nextTo"/>
        <c:crossAx val="-2010980112"/>
        <c:crosses val="autoZero"/>
        <c:auto val="1"/>
        <c:lblOffset val="100"/>
        <c:baseTimeUnit val="days"/>
        <c:majorUnit val="28"/>
        <c:majorTimeUnit val="days"/>
      </c:dateAx>
      <c:valAx>
        <c:axId val="-2010980112"/>
        <c:scaling>
          <c:orientation val="minMax"/>
          <c:max val="24"/>
          <c:min val="0"/>
        </c:scaling>
        <c:delete val="1"/>
        <c:axPos val="l"/>
        <c:majorGridlines/>
        <c:numFmt formatCode="0" sourceLinked="0"/>
        <c:majorTickMark val="in"/>
        <c:minorTickMark val="none"/>
        <c:tickLblPos val="nextTo"/>
        <c:crossAx val="-2010976928"/>
        <c:crosses val="autoZero"/>
        <c:crossBetween val="midCat"/>
        <c:majorUnit val="6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ndard"/>
        <c:varyColors val="0"/>
        <c:ser>
          <c:idx val="2"/>
          <c:order val="0"/>
          <c:spPr>
            <a:solidFill>
              <a:schemeClr val="accent2">
                <a:lumMod val="60000"/>
                <a:lumOff val="40000"/>
              </a:schemeClr>
            </a:solidFill>
            <a:ln w="19050" cmpd="sng">
              <a:solidFill>
                <a:schemeClr val="tx1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Requirement'!$AT$7:$AT$161</c:f>
              <c:numCache>
                <c:formatCode>0.000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4.4850180172874934</c:v>
                </c:pt>
                <c:pt idx="33">
                  <c:v>4.4850180172874934</c:v>
                </c:pt>
                <c:pt idx="34">
                  <c:v>4.4720999280722076</c:v>
                </c:pt>
                <c:pt idx="35">
                  <c:v>5.1655391191153672</c:v>
                </c:pt>
                <c:pt idx="36">
                  <c:v>5.7152480023654935</c:v>
                </c:pt>
                <c:pt idx="37">
                  <c:v>6.0622654466889507</c:v>
                </c:pt>
                <c:pt idx="38">
                  <c:v>6.8221274444908211</c:v>
                </c:pt>
                <c:pt idx="39">
                  <c:v>7.128007761312527</c:v>
                </c:pt>
                <c:pt idx="40">
                  <c:v>7.0299490022285251</c:v>
                </c:pt>
                <c:pt idx="41">
                  <c:v>6.8779984168476167</c:v>
                </c:pt>
                <c:pt idx="42">
                  <c:v>6.7246871901320571</c:v>
                </c:pt>
                <c:pt idx="43">
                  <c:v>6.562822015333885</c:v>
                </c:pt>
                <c:pt idx="44">
                  <c:v>6.3986245233032637</c:v>
                </c:pt>
                <c:pt idx="45">
                  <c:v>6.2781499215304795</c:v>
                </c:pt>
                <c:pt idx="46">
                  <c:v>6.1190563976413204</c:v>
                </c:pt>
                <c:pt idx="47">
                  <c:v>5.9792929509387411</c:v>
                </c:pt>
                <c:pt idx="48">
                  <c:v>5.8937631792340612</c:v>
                </c:pt>
                <c:pt idx="49">
                  <c:v>5.7560856881254754</c:v>
                </c:pt>
                <c:pt idx="50">
                  <c:v>5.6013932773168058</c:v>
                </c:pt>
                <c:pt idx="51">
                  <c:v>5.4522119339814807</c:v>
                </c:pt>
                <c:pt idx="52">
                  <c:v>5.3529062498957591</c:v>
                </c:pt>
                <c:pt idx="53">
                  <c:v>5.2582849762596515</c:v>
                </c:pt>
                <c:pt idx="54">
                  <c:v>5.2436707732312362</c:v>
                </c:pt>
                <c:pt idx="55">
                  <c:v>5.1683341920438357</c:v>
                </c:pt>
                <c:pt idx="56">
                  <c:v>5.0639931355897625</c:v>
                </c:pt>
                <c:pt idx="57">
                  <c:v>4.9472854448222154</c:v>
                </c:pt>
                <c:pt idx="58">
                  <c:v>4.8249814114400493</c:v>
                </c:pt>
                <c:pt idx="59">
                  <c:v>4.7064813495831563</c:v>
                </c:pt>
                <c:pt idx="60">
                  <c:v>4.5824492024836889</c:v>
                </c:pt>
                <c:pt idx="61">
                  <c:v>4.4599200137175732</c:v>
                </c:pt>
                <c:pt idx="62">
                  <c:v>4.3576290835622657</c:v>
                </c:pt>
                <c:pt idx="63">
                  <c:v>4.260148903493385</c:v>
                </c:pt>
                <c:pt idx="64">
                  <c:v>4.1449473994429065</c:v>
                </c:pt>
                <c:pt idx="65">
                  <c:v>4.0188420940771206</c:v>
                </c:pt>
                <c:pt idx="66">
                  <c:v>4.1358858168627073</c:v>
                </c:pt>
                <c:pt idx="67">
                  <c:v>6.2708829256480083</c:v>
                </c:pt>
                <c:pt idx="68">
                  <c:v>6.2485950772188055</c:v>
                </c:pt>
                <c:pt idx="69">
                  <c:v>6.1348334108468237</c:v>
                </c:pt>
                <c:pt idx="70">
                  <c:v>6.0136172819418947</c:v>
                </c:pt>
                <c:pt idx="71">
                  <c:v>5.8908108887094919</c:v>
                </c:pt>
                <c:pt idx="72">
                  <c:v>5.7756421072357904</c:v>
                </c:pt>
                <c:pt idx="73">
                  <c:v>5.6502221217494464</c:v>
                </c:pt>
                <c:pt idx="74">
                  <c:v>5.527216659425358</c:v>
                </c:pt>
                <c:pt idx="75">
                  <c:v>5.4091486653868506</c:v>
                </c:pt>
                <c:pt idx="76">
                  <c:v>5.2971976972149255</c:v>
                </c:pt>
                <c:pt idx="77">
                  <c:v>5.1576956425519276</c:v>
                </c:pt>
                <c:pt idx="78">
                  <c:v>5.0276957623168972</c:v>
                </c:pt>
                <c:pt idx="79">
                  <c:v>4.9268491408310364</c:v>
                </c:pt>
                <c:pt idx="80">
                  <c:v>4.8403142190605744</c:v>
                </c:pt>
                <c:pt idx="81">
                  <c:v>4.7389373193271904</c:v>
                </c:pt>
                <c:pt idx="82">
                  <c:v>4.6910132589039604</c:v>
                </c:pt>
                <c:pt idx="83">
                  <c:v>4.6055914212700184</c:v>
                </c:pt>
                <c:pt idx="84">
                  <c:v>4.5090218104802346</c:v>
                </c:pt>
                <c:pt idx="85">
                  <c:v>4.395739165729208</c:v>
                </c:pt>
                <c:pt idx="86">
                  <c:v>4.2809337925815401</c:v>
                </c:pt>
                <c:pt idx="87">
                  <c:v>4.1932284108421056</c:v>
                </c:pt>
                <c:pt idx="88">
                  <c:v>4.1050079802300097</c:v>
                </c:pt>
                <c:pt idx="89">
                  <c:v>3.9903891984263895</c:v>
                </c:pt>
                <c:pt idx="90">
                  <c:v>3.8791628892855048</c:v>
                </c:pt>
                <c:pt idx="91">
                  <c:v>3.7756177001036959</c:v>
                </c:pt>
                <c:pt idx="92">
                  <c:v>3.7673718375413112</c:v>
                </c:pt>
                <c:pt idx="93">
                  <c:v>3.7840266980136268</c:v>
                </c:pt>
                <c:pt idx="94">
                  <c:v>3.7186421141514736</c:v>
                </c:pt>
                <c:pt idx="95">
                  <c:v>3.6275231473917149</c:v>
                </c:pt>
                <c:pt idx="96">
                  <c:v>3.5361178318048969</c:v>
                </c:pt>
                <c:pt idx="97">
                  <c:v>3.4228346929706022</c:v>
                </c:pt>
                <c:pt idx="98">
                  <c:v>3.3044955079731211</c:v>
                </c:pt>
                <c:pt idx="99">
                  <c:v>3.1777391810350708</c:v>
                </c:pt>
                <c:pt idx="100">
                  <c:v>3.0442167331692431</c:v>
                </c:pt>
                <c:pt idx="101">
                  <c:v>2.9208683647391456</c:v>
                </c:pt>
                <c:pt idx="102">
                  <c:v>2.8216255336117517</c:v>
                </c:pt>
                <c:pt idx="103">
                  <c:v>2.7215591018769674</c:v>
                </c:pt>
                <c:pt idx="104">
                  <c:v>2.6186830324003938</c:v>
                </c:pt>
                <c:pt idx="105">
                  <c:v>2.5136364186189888</c:v>
                </c:pt>
                <c:pt idx="106">
                  <c:v>2.3979086927347075</c:v>
                </c:pt>
                <c:pt idx="107">
                  <c:v>2.2783869250234585</c:v>
                </c:pt>
                <c:pt idx="108">
                  <c:v>2.1622847259621913</c:v>
                </c:pt>
                <c:pt idx="109">
                  <c:v>2.0408241401132767</c:v>
                </c:pt>
                <c:pt idx="110">
                  <c:v>1.9012288704647784</c:v>
                </c:pt>
                <c:pt idx="111">
                  <c:v>1.7794285436236288</c:v>
                </c:pt>
                <c:pt idx="112">
                  <c:v>1.6845346929064005</c:v>
                </c:pt>
                <c:pt idx="113">
                  <c:v>1.5966060507281026</c:v>
                </c:pt>
                <c:pt idx="114">
                  <c:v>1.5103919426704002</c:v>
                </c:pt>
                <c:pt idx="115">
                  <c:v>1.4196040517343911</c:v>
                </c:pt>
                <c:pt idx="116">
                  <c:v>1.325499200034832</c:v>
                </c:pt>
                <c:pt idx="117">
                  <c:v>1.2451302072185944</c:v>
                </c:pt>
                <c:pt idx="118">
                  <c:v>1.1878865301453285</c:v>
                </c:pt>
                <c:pt idx="119">
                  <c:v>1.1187023880328744</c:v>
                </c:pt>
                <c:pt idx="120">
                  <c:v>1.0382128970999429</c:v>
                </c:pt>
                <c:pt idx="121">
                  <c:v>0.95212492919886693</c:v>
                </c:pt>
                <c:pt idx="122">
                  <c:v>0.86515287575613964</c:v>
                </c:pt>
                <c:pt idx="123">
                  <c:v>0.78118360478136051</c:v>
                </c:pt>
                <c:pt idx="124">
                  <c:v>0.70345802060314533</c:v>
                </c:pt>
                <c:pt idx="125">
                  <c:v>0.6185417186894816</c:v>
                </c:pt>
                <c:pt idx="126">
                  <c:v>0.53807794813305465</c:v>
                </c:pt>
                <c:pt idx="127">
                  <c:v>0.46794416263314309</c:v>
                </c:pt>
                <c:pt idx="128">
                  <c:v>0.39717575854909476</c:v>
                </c:pt>
                <c:pt idx="129">
                  <c:v>0.32619751877334496</c:v>
                </c:pt>
                <c:pt idx="130">
                  <c:v>0.25786882589123217</c:v>
                </c:pt>
                <c:pt idx="131">
                  <c:v>0.18502176787624791</c:v>
                </c:pt>
                <c:pt idx="132">
                  <c:v>0.11594205000718469</c:v>
                </c:pt>
                <c:pt idx="133">
                  <c:v>4.9927640605803902E-2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3-3649-8178-93F9FFDE070B}"/>
            </c:ext>
          </c:extLst>
        </c:ser>
        <c:ser>
          <c:idx val="0"/>
          <c:order val="1"/>
          <c:spPr>
            <a:solidFill>
              <a:schemeClr val="bg1">
                <a:lumMod val="75000"/>
              </a:schemeClr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Requirement'!$AS$7:$AS$161</c:f>
              <c:numCache>
                <c:formatCode>0.000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10.671111111111109</c:v>
                </c:pt>
                <c:pt idx="43">
                  <c:v>10.671111111111109</c:v>
                </c:pt>
                <c:pt idx="44">
                  <c:v>10.671111111111109</c:v>
                </c:pt>
                <c:pt idx="45">
                  <c:v>10.671111111111109</c:v>
                </c:pt>
                <c:pt idx="46">
                  <c:v>10.671111111111109</c:v>
                </c:pt>
                <c:pt idx="47">
                  <c:v>10.671111111111109</c:v>
                </c:pt>
                <c:pt idx="48">
                  <c:v>10.671111111111109</c:v>
                </c:pt>
                <c:pt idx="49">
                  <c:v>10.671111111111109</c:v>
                </c:pt>
                <c:pt idx="50">
                  <c:v>10.671111111111109</c:v>
                </c:pt>
                <c:pt idx="51">
                  <c:v>10.671111111111109</c:v>
                </c:pt>
                <c:pt idx="52">
                  <c:v>10.671111111111109</c:v>
                </c:pt>
                <c:pt idx="53">
                  <c:v>10.671111111111109</c:v>
                </c:pt>
                <c:pt idx="54">
                  <c:v>10.671111111111109</c:v>
                </c:pt>
                <c:pt idx="55">
                  <c:v>10.671111111111109</c:v>
                </c:pt>
                <c:pt idx="56">
                  <c:v>10.671111111111109</c:v>
                </c:pt>
                <c:pt idx="57">
                  <c:v>10.671111111111109</c:v>
                </c:pt>
                <c:pt idx="58">
                  <c:v>10.671111111111109</c:v>
                </c:pt>
                <c:pt idx="59">
                  <c:v>10.671111111111109</c:v>
                </c:pt>
                <c:pt idx="60">
                  <c:v>10.671111111111109</c:v>
                </c:pt>
                <c:pt idx="61">
                  <c:v>10.671111111111109</c:v>
                </c:pt>
                <c:pt idx="62">
                  <c:v>10.671111111111109</c:v>
                </c:pt>
                <c:pt idx="63">
                  <c:v>10.671111111111109</c:v>
                </c:pt>
                <c:pt idx="64">
                  <c:v>10.671111111111109</c:v>
                </c:pt>
                <c:pt idx="65">
                  <c:v>10.671111111111109</c:v>
                </c:pt>
                <c:pt idx="66">
                  <c:v>10.671111111111109</c:v>
                </c:pt>
                <c:pt idx="67">
                  <c:v>10.671111111111109</c:v>
                </c:pt>
                <c:pt idx="68">
                  <c:v>10.671111111111109</c:v>
                </c:pt>
                <c:pt idx="69">
                  <c:v>10.671111111111109</c:v>
                </c:pt>
                <c:pt idx="70">
                  <c:v>10.671111111111109</c:v>
                </c:pt>
                <c:pt idx="71">
                  <c:v>10.671111111111109</c:v>
                </c:pt>
                <c:pt idx="72">
                  <c:v>14.411250000000001</c:v>
                </c:pt>
                <c:pt idx="73">
                  <c:v>14.411250000000001</c:v>
                </c:pt>
                <c:pt idx="74">
                  <c:v>14.411250000000001</c:v>
                </c:pt>
                <c:pt idx="75">
                  <c:v>14.411250000000001</c:v>
                </c:pt>
                <c:pt idx="76">
                  <c:v>14.411250000000001</c:v>
                </c:pt>
                <c:pt idx="77">
                  <c:v>14.411250000000001</c:v>
                </c:pt>
                <c:pt idx="78">
                  <c:v>14.411250000000001</c:v>
                </c:pt>
                <c:pt idx="79">
                  <c:v>14.411250000000001</c:v>
                </c:pt>
                <c:pt idx="80">
                  <c:v>14.411250000000001</c:v>
                </c:pt>
                <c:pt idx="81">
                  <c:v>14.411250000000001</c:v>
                </c:pt>
                <c:pt idx="82">
                  <c:v>14.411250000000001</c:v>
                </c:pt>
                <c:pt idx="83">
                  <c:v>14.411250000000001</c:v>
                </c:pt>
                <c:pt idx="84">
                  <c:v>14.411250000000001</c:v>
                </c:pt>
                <c:pt idx="85">
                  <c:v>14.411250000000001</c:v>
                </c:pt>
                <c:pt idx="86">
                  <c:v>14.411250000000001</c:v>
                </c:pt>
                <c:pt idx="87">
                  <c:v>14.411250000000001</c:v>
                </c:pt>
                <c:pt idx="88">
                  <c:v>14.411250000000001</c:v>
                </c:pt>
                <c:pt idx="89">
                  <c:v>14.411250000000001</c:v>
                </c:pt>
                <c:pt idx="90">
                  <c:v>14.411250000000001</c:v>
                </c:pt>
                <c:pt idx="91">
                  <c:v>14.411250000000001</c:v>
                </c:pt>
                <c:pt idx="92">
                  <c:v>14.411250000000001</c:v>
                </c:pt>
                <c:pt idx="93">
                  <c:v>14.411250000000001</c:v>
                </c:pt>
                <c:pt idx="94">
                  <c:v>14.411250000000001</c:v>
                </c:pt>
                <c:pt idx="95">
                  <c:v>14.411250000000001</c:v>
                </c:pt>
                <c:pt idx="96">
                  <c:v>14.411250000000001</c:v>
                </c:pt>
                <c:pt idx="97">
                  <c:v>14.411250000000001</c:v>
                </c:pt>
                <c:pt idx="98">
                  <c:v>14.411250000000001</c:v>
                </c:pt>
                <c:pt idx="99">
                  <c:v>14.411250000000001</c:v>
                </c:pt>
                <c:pt idx="100">
                  <c:v>14.411250000000001</c:v>
                </c:pt>
                <c:pt idx="101">
                  <c:v>14.411250000000001</c:v>
                </c:pt>
                <c:pt idx="102">
                  <c:v>3.9899999999999998</c:v>
                </c:pt>
                <c:pt idx="103">
                  <c:v>3.9899999999999998</c:v>
                </c:pt>
                <c:pt idx="104">
                  <c:v>3.9899999999999998</c:v>
                </c:pt>
                <c:pt idx="105">
                  <c:v>3.9899999999999998</c:v>
                </c:pt>
                <c:pt idx="106">
                  <c:v>3.9899999999999998</c:v>
                </c:pt>
                <c:pt idx="107">
                  <c:v>3.9899999999999998</c:v>
                </c:pt>
                <c:pt idx="108">
                  <c:v>3.9899999999999998</c:v>
                </c:pt>
                <c:pt idx="109">
                  <c:v>3.9899999999999998</c:v>
                </c:pt>
                <c:pt idx="110">
                  <c:v>3.9899999999999998</c:v>
                </c:pt>
                <c:pt idx="111">
                  <c:v>3.9899999999999998</c:v>
                </c:pt>
                <c:pt idx="112">
                  <c:v>3.9899999999999998</c:v>
                </c:pt>
                <c:pt idx="113">
                  <c:v>3.9899999999999998</c:v>
                </c:pt>
                <c:pt idx="114">
                  <c:v>3.9899999999999998</c:v>
                </c:pt>
                <c:pt idx="115">
                  <c:v>3.9899999999999998</c:v>
                </c:pt>
                <c:pt idx="116">
                  <c:v>3.9899999999999998</c:v>
                </c:pt>
                <c:pt idx="117">
                  <c:v>3.9899999999999998</c:v>
                </c:pt>
                <c:pt idx="118">
                  <c:v>3.9899999999999998</c:v>
                </c:pt>
                <c:pt idx="119">
                  <c:v>3.9899999999999998</c:v>
                </c:pt>
                <c:pt idx="120">
                  <c:v>3.9899999999999998</c:v>
                </c:pt>
                <c:pt idx="121">
                  <c:v>3.9899999999999998</c:v>
                </c:pt>
                <c:pt idx="122">
                  <c:v>3.9899999999999998</c:v>
                </c:pt>
                <c:pt idx="123">
                  <c:v>3.9899999999999998</c:v>
                </c:pt>
                <c:pt idx="124">
                  <c:v>3.9899999999999998</c:v>
                </c:pt>
                <c:pt idx="125">
                  <c:v>3.9899999999999998</c:v>
                </c:pt>
                <c:pt idx="126">
                  <c:v>3.9899999999999998</c:v>
                </c:pt>
                <c:pt idx="127">
                  <c:v>3.9899999999999998</c:v>
                </c:pt>
                <c:pt idx="128">
                  <c:v>3.9899999999999998</c:v>
                </c:pt>
                <c:pt idx="129">
                  <c:v>3.9899999999999998</c:v>
                </c:pt>
                <c:pt idx="130">
                  <c:v>3.9899999999999998</c:v>
                </c:pt>
                <c:pt idx="131">
                  <c:v>3.9899999999999998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3-3649-8178-93F9FFDE070B}"/>
            </c:ext>
          </c:extLst>
        </c:ser>
        <c:ser>
          <c:idx val="3"/>
          <c:order val="2"/>
          <c:spPr>
            <a:solidFill>
              <a:schemeClr val="accent2"/>
            </a:solidFill>
            <a:ln w="19050" cmpd="sng">
              <a:solidFill>
                <a:srgbClr val="000000"/>
              </a:solidFill>
            </a:ln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Requirement'!$AU$7:$AU$161</c:f>
              <c:numCache>
                <c:formatCode>0.000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6.7246871901320571</c:v>
                </c:pt>
                <c:pt idx="43">
                  <c:v>6.562822015333885</c:v>
                </c:pt>
                <c:pt idx="44">
                  <c:v>6.3986245233032637</c:v>
                </c:pt>
                <c:pt idx="45">
                  <c:v>6.2781499215304795</c:v>
                </c:pt>
                <c:pt idx="46">
                  <c:v>6.1190563976413204</c:v>
                </c:pt>
                <c:pt idx="47">
                  <c:v>5.9792929509387411</c:v>
                </c:pt>
                <c:pt idx="48">
                  <c:v>5.8937631792340612</c:v>
                </c:pt>
                <c:pt idx="49">
                  <c:v>5.7560856881254754</c:v>
                </c:pt>
                <c:pt idx="50">
                  <c:v>5.6013932773168058</c:v>
                </c:pt>
                <c:pt idx="51">
                  <c:v>5.4522119339814807</c:v>
                </c:pt>
                <c:pt idx="52">
                  <c:v>5.3529062498957591</c:v>
                </c:pt>
                <c:pt idx="53">
                  <c:v>5.2582849762596515</c:v>
                </c:pt>
                <c:pt idx="54">
                  <c:v>5.2436707732312362</c:v>
                </c:pt>
                <c:pt idx="55">
                  <c:v>5.1683341920438357</c:v>
                </c:pt>
                <c:pt idx="56">
                  <c:v>5.0639931355897625</c:v>
                </c:pt>
                <c:pt idx="57">
                  <c:v>4.9472854448222154</c:v>
                </c:pt>
                <c:pt idx="58">
                  <c:v>4.8249814114400493</c:v>
                </c:pt>
                <c:pt idx="59">
                  <c:v>4.7064813495831563</c:v>
                </c:pt>
                <c:pt idx="60">
                  <c:v>4.5824492024836889</c:v>
                </c:pt>
                <c:pt idx="61">
                  <c:v>4.4599200137175732</c:v>
                </c:pt>
                <c:pt idx="62">
                  <c:v>4.3576290835622657</c:v>
                </c:pt>
                <c:pt idx="63">
                  <c:v>4.260148903493385</c:v>
                </c:pt>
                <c:pt idx="64">
                  <c:v>4.1449473994429065</c:v>
                </c:pt>
                <c:pt idx="65">
                  <c:v>4.0188420940771206</c:v>
                </c:pt>
                <c:pt idx="66">
                  <c:v>4.1358858168627073</c:v>
                </c:pt>
                <c:pt idx="67">
                  <c:v>6.2708829256480083</c:v>
                </c:pt>
                <c:pt idx="68">
                  <c:v>6.2485950772188055</c:v>
                </c:pt>
                <c:pt idx="69">
                  <c:v>6.1348334108468237</c:v>
                </c:pt>
                <c:pt idx="70">
                  <c:v>6.0136172819418947</c:v>
                </c:pt>
                <c:pt idx="71">
                  <c:v>5.8908108887094919</c:v>
                </c:pt>
                <c:pt idx="72">
                  <c:v>5.7756421072357904</c:v>
                </c:pt>
                <c:pt idx="73">
                  <c:v>5.6502221217494464</c:v>
                </c:pt>
                <c:pt idx="74">
                  <c:v>5.527216659425358</c:v>
                </c:pt>
                <c:pt idx="75">
                  <c:v>5.4091486653868506</c:v>
                </c:pt>
                <c:pt idx="76">
                  <c:v>5.2971976972149255</c:v>
                </c:pt>
                <c:pt idx="77">
                  <c:v>5.1576956425519276</c:v>
                </c:pt>
                <c:pt idx="78">
                  <c:v>5.0276957623168972</c:v>
                </c:pt>
                <c:pt idx="79">
                  <c:v>4.9268491408310364</c:v>
                </c:pt>
                <c:pt idx="80">
                  <c:v>4.8403142190605744</c:v>
                </c:pt>
                <c:pt idx="81">
                  <c:v>4.7389373193271904</c:v>
                </c:pt>
                <c:pt idx="82">
                  <c:v>4.6910132589039604</c:v>
                </c:pt>
                <c:pt idx="83">
                  <c:v>4.6055914212700184</c:v>
                </c:pt>
                <c:pt idx="84">
                  <c:v>4.5090218104802346</c:v>
                </c:pt>
                <c:pt idx="85">
                  <c:v>4.395739165729208</c:v>
                </c:pt>
                <c:pt idx="86">
                  <c:v>4.2809337925815401</c:v>
                </c:pt>
                <c:pt idx="87">
                  <c:v>4.1932284108421056</c:v>
                </c:pt>
                <c:pt idx="88">
                  <c:v>4.1050079802300097</c:v>
                </c:pt>
                <c:pt idx="89">
                  <c:v>3.9903891984263895</c:v>
                </c:pt>
                <c:pt idx="90">
                  <c:v>3.8791628892855048</c:v>
                </c:pt>
                <c:pt idx="91">
                  <c:v>3.7756177001036959</c:v>
                </c:pt>
                <c:pt idx="92">
                  <c:v>3.7673718375413112</c:v>
                </c:pt>
                <c:pt idx="93">
                  <c:v>3.7840266980136268</c:v>
                </c:pt>
                <c:pt idx="94">
                  <c:v>3.7186421141514736</c:v>
                </c:pt>
                <c:pt idx="95">
                  <c:v>3.6275231473917149</c:v>
                </c:pt>
                <c:pt idx="96">
                  <c:v>3.5361178318048969</c:v>
                </c:pt>
                <c:pt idx="97">
                  <c:v>3.4228346929706022</c:v>
                </c:pt>
                <c:pt idx="98">
                  <c:v>3.3044955079731211</c:v>
                </c:pt>
                <c:pt idx="99">
                  <c:v>3.1777391810350708</c:v>
                </c:pt>
                <c:pt idx="100">
                  <c:v>3.0442167331692431</c:v>
                </c:pt>
                <c:pt idx="101">
                  <c:v>2.9208683647391456</c:v>
                </c:pt>
                <c:pt idx="102">
                  <c:v>2.8216255336117517</c:v>
                </c:pt>
                <c:pt idx="103">
                  <c:v>2.7215591018769674</c:v>
                </c:pt>
                <c:pt idx="104">
                  <c:v>2.6186830324003938</c:v>
                </c:pt>
                <c:pt idx="105">
                  <c:v>2.5136364186189888</c:v>
                </c:pt>
                <c:pt idx="106">
                  <c:v>2.3979086927347075</c:v>
                </c:pt>
                <c:pt idx="107">
                  <c:v>2.2783869250234585</c:v>
                </c:pt>
                <c:pt idx="108">
                  <c:v>2.1622847259621913</c:v>
                </c:pt>
                <c:pt idx="109">
                  <c:v>2.0408241401132767</c:v>
                </c:pt>
                <c:pt idx="110">
                  <c:v>1.9012288704647784</c:v>
                </c:pt>
                <c:pt idx="111">
                  <c:v>1.7794285436236288</c:v>
                </c:pt>
                <c:pt idx="112">
                  <c:v>1.6845346929064005</c:v>
                </c:pt>
                <c:pt idx="113">
                  <c:v>1.5966060507281026</c:v>
                </c:pt>
                <c:pt idx="114">
                  <c:v>1.5103919426704002</c:v>
                </c:pt>
                <c:pt idx="115">
                  <c:v>1.4196040517343911</c:v>
                </c:pt>
                <c:pt idx="116">
                  <c:v>1.325499200034832</c:v>
                </c:pt>
                <c:pt idx="117">
                  <c:v>1.2451302072185944</c:v>
                </c:pt>
                <c:pt idx="118">
                  <c:v>1.1878865301453285</c:v>
                </c:pt>
                <c:pt idx="119">
                  <c:v>1.1187023880328744</c:v>
                </c:pt>
                <c:pt idx="120">
                  <c:v>1.0382128970999429</c:v>
                </c:pt>
                <c:pt idx="121">
                  <c:v>0.95212492919886693</c:v>
                </c:pt>
                <c:pt idx="122">
                  <c:v>0.86515287575613964</c:v>
                </c:pt>
                <c:pt idx="123">
                  <c:v>0.78118360478136051</c:v>
                </c:pt>
                <c:pt idx="124">
                  <c:v>0.70345802060314533</c:v>
                </c:pt>
                <c:pt idx="125">
                  <c:v>0.6185417186894816</c:v>
                </c:pt>
                <c:pt idx="126">
                  <c:v>0.53807794813305465</c:v>
                </c:pt>
                <c:pt idx="127">
                  <c:v>0.46794416263314309</c:v>
                </c:pt>
                <c:pt idx="128">
                  <c:v>0.39717575854909476</c:v>
                </c:pt>
                <c:pt idx="129">
                  <c:v>0.32619751877334496</c:v>
                </c:pt>
                <c:pt idx="130">
                  <c:v>0.25786882589123217</c:v>
                </c:pt>
                <c:pt idx="131">
                  <c:v>0.18502176787624791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3-3649-8178-93F9FFDE0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2903264"/>
        <c:axId val="-2042710720"/>
      </c:areaChart>
      <c:dateAx>
        <c:axId val="-2042903264"/>
        <c:scaling>
          <c:orientation val="minMax"/>
          <c:min val="42294"/>
        </c:scaling>
        <c:delete val="0"/>
        <c:axPos val="b"/>
        <c:numFmt formatCode="m/d;@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42710720"/>
        <c:crosses val="autoZero"/>
        <c:auto val="1"/>
        <c:lblOffset val="100"/>
        <c:baseTimeUnit val="days"/>
        <c:majorUnit val="28"/>
        <c:majorTimeUnit val="days"/>
      </c:dateAx>
      <c:valAx>
        <c:axId val="-2042710720"/>
        <c:scaling>
          <c:orientation val="minMax"/>
          <c:max val="24"/>
        </c:scaling>
        <c:delete val="0"/>
        <c:axPos val="l"/>
        <c:majorGridlines/>
        <c:numFmt formatCode="0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42903264"/>
        <c:crosses val="autoZero"/>
        <c:crossBetween val="midCat"/>
        <c:majorUnit val="6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ndard"/>
        <c:varyColors val="0"/>
        <c:ser>
          <c:idx val="2"/>
          <c:order val="0"/>
          <c:spPr>
            <a:solidFill>
              <a:schemeClr val="accent2">
                <a:lumMod val="60000"/>
                <a:lumOff val="40000"/>
              </a:schemeClr>
            </a:solidFill>
            <a:ln w="19050" cmpd="sng">
              <a:solidFill>
                <a:schemeClr val="tx1"/>
              </a:solidFill>
            </a:ln>
            <a:effectLst/>
          </c:spPr>
          <c:cat>
            <c:numRef>
              <c:f>'Crop Water Requirement'!$W$41:$W$161</c:f>
              <c:numCache>
                <c:formatCode>m/d;@</c:formatCode>
                <c:ptCount val="121"/>
                <c:pt idx="0">
                  <c:v>42294</c:v>
                </c:pt>
                <c:pt idx="1">
                  <c:v>42295</c:v>
                </c:pt>
                <c:pt idx="2">
                  <c:v>42296</c:v>
                </c:pt>
                <c:pt idx="3">
                  <c:v>42297</c:v>
                </c:pt>
                <c:pt idx="4">
                  <c:v>42298</c:v>
                </c:pt>
                <c:pt idx="5">
                  <c:v>42299</c:v>
                </c:pt>
                <c:pt idx="6">
                  <c:v>42300</c:v>
                </c:pt>
                <c:pt idx="7">
                  <c:v>42301</c:v>
                </c:pt>
                <c:pt idx="8">
                  <c:v>42302</c:v>
                </c:pt>
                <c:pt idx="9">
                  <c:v>42303</c:v>
                </c:pt>
                <c:pt idx="10">
                  <c:v>42304</c:v>
                </c:pt>
                <c:pt idx="11">
                  <c:v>42305</c:v>
                </c:pt>
                <c:pt idx="12">
                  <c:v>42306</c:v>
                </c:pt>
                <c:pt idx="13">
                  <c:v>42307</c:v>
                </c:pt>
                <c:pt idx="14">
                  <c:v>42308</c:v>
                </c:pt>
                <c:pt idx="15">
                  <c:v>42309</c:v>
                </c:pt>
                <c:pt idx="16">
                  <c:v>42310</c:v>
                </c:pt>
                <c:pt idx="17">
                  <c:v>42311</c:v>
                </c:pt>
                <c:pt idx="18">
                  <c:v>42312</c:v>
                </c:pt>
                <c:pt idx="19">
                  <c:v>42313</c:v>
                </c:pt>
                <c:pt idx="20">
                  <c:v>42314</c:v>
                </c:pt>
                <c:pt idx="21">
                  <c:v>42315</c:v>
                </c:pt>
                <c:pt idx="22">
                  <c:v>42316</c:v>
                </c:pt>
                <c:pt idx="23">
                  <c:v>42317</c:v>
                </c:pt>
                <c:pt idx="24">
                  <c:v>42318</c:v>
                </c:pt>
                <c:pt idx="25">
                  <c:v>42319</c:v>
                </c:pt>
                <c:pt idx="26">
                  <c:v>42320</c:v>
                </c:pt>
                <c:pt idx="27">
                  <c:v>42321</c:v>
                </c:pt>
                <c:pt idx="28">
                  <c:v>42322</c:v>
                </c:pt>
                <c:pt idx="29">
                  <c:v>42323</c:v>
                </c:pt>
                <c:pt idx="30">
                  <c:v>42324</c:v>
                </c:pt>
                <c:pt idx="31">
                  <c:v>42325</c:v>
                </c:pt>
                <c:pt idx="32">
                  <c:v>42326</c:v>
                </c:pt>
                <c:pt idx="33">
                  <c:v>42327</c:v>
                </c:pt>
                <c:pt idx="34">
                  <c:v>42328</c:v>
                </c:pt>
                <c:pt idx="35">
                  <c:v>42329</c:v>
                </c:pt>
                <c:pt idx="36">
                  <c:v>42330</c:v>
                </c:pt>
                <c:pt idx="37">
                  <c:v>42331</c:v>
                </c:pt>
                <c:pt idx="38">
                  <c:v>42332</c:v>
                </c:pt>
                <c:pt idx="39">
                  <c:v>42333</c:v>
                </c:pt>
                <c:pt idx="40">
                  <c:v>42334</c:v>
                </c:pt>
                <c:pt idx="41">
                  <c:v>42335</c:v>
                </c:pt>
                <c:pt idx="42">
                  <c:v>42336</c:v>
                </c:pt>
                <c:pt idx="43">
                  <c:v>42337</c:v>
                </c:pt>
                <c:pt idx="44">
                  <c:v>42338</c:v>
                </c:pt>
                <c:pt idx="45">
                  <c:v>42339</c:v>
                </c:pt>
                <c:pt idx="46">
                  <c:v>42340</c:v>
                </c:pt>
                <c:pt idx="47">
                  <c:v>42341</c:v>
                </c:pt>
                <c:pt idx="48">
                  <c:v>42342</c:v>
                </c:pt>
                <c:pt idx="49">
                  <c:v>42343</c:v>
                </c:pt>
                <c:pt idx="50">
                  <c:v>42344</c:v>
                </c:pt>
                <c:pt idx="51">
                  <c:v>42345</c:v>
                </c:pt>
                <c:pt idx="52">
                  <c:v>42346</c:v>
                </c:pt>
                <c:pt idx="53">
                  <c:v>42347</c:v>
                </c:pt>
                <c:pt idx="54">
                  <c:v>42348</c:v>
                </c:pt>
                <c:pt idx="55">
                  <c:v>42349</c:v>
                </c:pt>
                <c:pt idx="56">
                  <c:v>42350</c:v>
                </c:pt>
                <c:pt idx="57">
                  <c:v>42351</c:v>
                </c:pt>
                <c:pt idx="58">
                  <c:v>42352</c:v>
                </c:pt>
                <c:pt idx="59">
                  <c:v>42353</c:v>
                </c:pt>
                <c:pt idx="60">
                  <c:v>42354</c:v>
                </c:pt>
                <c:pt idx="61">
                  <c:v>42355</c:v>
                </c:pt>
                <c:pt idx="62">
                  <c:v>42356</c:v>
                </c:pt>
                <c:pt idx="63">
                  <c:v>42357</c:v>
                </c:pt>
                <c:pt idx="64">
                  <c:v>42358</c:v>
                </c:pt>
                <c:pt idx="65">
                  <c:v>42359</c:v>
                </c:pt>
                <c:pt idx="66">
                  <c:v>42360</c:v>
                </c:pt>
                <c:pt idx="67">
                  <c:v>42361</c:v>
                </c:pt>
                <c:pt idx="68">
                  <c:v>42362</c:v>
                </c:pt>
                <c:pt idx="69">
                  <c:v>42363</c:v>
                </c:pt>
                <c:pt idx="70">
                  <c:v>42364</c:v>
                </c:pt>
                <c:pt idx="71">
                  <c:v>42365</c:v>
                </c:pt>
                <c:pt idx="72">
                  <c:v>42366</c:v>
                </c:pt>
                <c:pt idx="73">
                  <c:v>42367</c:v>
                </c:pt>
                <c:pt idx="74">
                  <c:v>42368</c:v>
                </c:pt>
                <c:pt idx="75">
                  <c:v>42369</c:v>
                </c:pt>
                <c:pt idx="76">
                  <c:v>42370</c:v>
                </c:pt>
                <c:pt idx="77">
                  <c:v>42371</c:v>
                </c:pt>
                <c:pt idx="78">
                  <c:v>42372</c:v>
                </c:pt>
                <c:pt idx="79">
                  <c:v>42373</c:v>
                </c:pt>
                <c:pt idx="80">
                  <c:v>42374</c:v>
                </c:pt>
                <c:pt idx="81">
                  <c:v>42375</c:v>
                </c:pt>
                <c:pt idx="82">
                  <c:v>42376</c:v>
                </c:pt>
                <c:pt idx="83">
                  <c:v>42377</c:v>
                </c:pt>
                <c:pt idx="84">
                  <c:v>42378</c:v>
                </c:pt>
                <c:pt idx="85">
                  <c:v>42379</c:v>
                </c:pt>
                <c:pt idx="86">
                  <c:v>42380</c:v>
                </c:pt>
                <c:pt idx="87">
                  <c:v>42381</c:v>
                </c:pt>
                <c:pt idx="88">
                  <c:v>42382</c:v>
                </c:pt>
                <c:pt idx="89">
                  <c:v>42383</c:v>
                </c:pt>
                <c:pt idx="90">
                  <c:v>42384</c:v>
                </c:pt>
                <c:pt idx="91">
                  <c:v>42385</c:v>
                </c:pt>
                <c:pt idx="92">
                  <c:v>42386</c:v>
                </c:pt>
                <c:pt idx="93">
                  <c:v>42387</c:v>
                </c:pt>
                <c:pt idx="94">
                  <c:v>42388</c:v>
                </c:pt>
                <c:pt idx="95">
                  <c:v>42389</c:v>
                </c:pt>
                <c:pt idx="96">
                  <c:v>42390</c:v>
                </c:pt>
                <c:pt idx="97">
                  <c:v>42391</c:v>
                </c:pt>
                <c:pt idx="98">
                  <c:v>42392</c:v>
                </c:pt>
                <c:pt idx="99">
                  <c:v>42393</c:v>
                </c:pt>
                <c:pt idx="100">
                  <c:v>42394</c:v>
                </c:pt>
                <c:pt idx="101">
                  <c:v>42395</c:v>
                </c:pt>
                <c:pt idx="102">
                  <c:v>42396</c:v>
                </c:pt>
                <c:pt idx="103">
                  <c:v>42397</c:v>
                </c:pt>
                <c:pt idx="104">
                  <c:v>42398</c:v>
                </c:pt>
                <c:pt idx="105">
                  <c:v>42399</c:v>
                </c:pt>
                <c:pt idx="106">
                  <c:v>42400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42406</c:v>
                </c:pt>
                <c:pt idx="113">
                  <c:v>42407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42413</c:v>
                </c:pt>
                <c:pt idx="120">
                  <c:v>42414</c:v>
                </c:pt>
              </c:numCache>
            </c:numRef>
          </c:cat>
          <c:val>
            <c:numRef>
              <c:f>'Crop Water Requirement'!$AX$41:$AX$161</c:f>
              <c:numCache>
                <c:formatCode>0.000</c:formatCode>
                <c:ptCount val="121"/>
                <c:pt idx="0">
                  <c:v>12.845815511642343</c:v>
                </c:pt>
                <c:pt idx="1">
                  <c:v>16.943167009879573</c:v>
                </c:pt>
                <c:pt idx="2">
                  <c:v>17.850540238752817</c:v>
                </c:pt>
                <c:pt idx="3">
                  <c:v>18.749205230299811</c:v>
                </c:pt>
                <c:pt idx="4">
                  <c:v>21.779003599873946</c:v>
                </c:pt>
                <c:pt idx="5">
                  <c:v>18.01621076551746</c:v>
                </c:pt>
                <c:pt idx="6">
                  <c:v>18.254068333481126</c:v>
                </c:pt>
                <c:pt idx="7">
                  <c:v>17.680162696560348</c:v>
                </c:pt>
                <c:pt idx="8">
                  <c:v>17.15122735511072</c:v>
                </c:pt>
                <c:pt idx="9">
                  <c:v>16.836986976962187</c:v>
                </c:pt>
                <c:pt idx="10">
                  <c:v>16.686411662735022</c:v>
                </c:pt>
                <c:pt idx="11">
                  <c:v>16.336172289058098</c:v>
                </c:pt>
                <c:pt idx="12">
                  <c:v>15.948060273938868</c:v>
                </c:pt>
                <c:pt idx="13">
                  <c:v>15.529838864461366</c:v>
                </c:pt>
                <c:pt idx="14">
                  <c:v>15.239653355951571</c:v>
                </c:pt>
                <c:pt idx="15">
                  <c:v>14.937233820647243</c:v>
                </c:pt>
                <c:pt idx="16">
                  <c:v>14.644717788457127</c:v>
                </c:pt>
                <c:pt idx="17">
                  <c:v>14.316077728414252</c:v>
                </c:pt>
                <c:pt idx="18">
                  <c:v>14.02712787890335</c:v>
                </c:pt>
                <c:pt idx="19">
                  <c:v>13.755344473389844</c:v>
                </c:pt>
                <c:pt idx="20">
                  <c:v>13.938404895021627</c:v>
                </c:pt>
                <c:pt idx="21">
                  <c:v>13.778294444930392</c:v>
                </c:pt>
                <c:pt idx="22">
                  <c:v>13.428495504099823</c:v>
                </c:pt>
                <c:pt idx="23">
                  <c:v>13.065100658377123</c:v>
                </c:pt>
                <c:pt idx="24">
                  <c:v>12.670432838008624</c:v>
                </c:pt>
                <c:pt idx="25">
                  <c:v>12.279752425060295</c:v>
                </c:pt>
                <c:pt idx="26">
                  <c:v>11.797237114931356</c:v>
                </c:pt>
                <c:pt idx="27">
                  <c:v>11.213008431642582</c:v>
                </c:pt>
                <c:pt idx="28">
                  <c:v>10.861471429500751</c:v>
                </c:pt>
                <c:pt idx="29">
                  <c:v>10.531304175324937</c:v>
                </c:pt>
                <c:pt idx="30">
                  <c:v>10.080726905107319</c:v>
                </c:pt>
                <c:pt idx="31">
                  <c:v>9.4735543300746432</c:v>
                </c:pt>
                <c:pt idx="32">
                  <c:v>9.7546046239913338</c:v>
                </c:pt>
                <c:pt idx="33">
                  <c:v>17.323507851918386</c:v>
                </c:pt>
                <c:pt idx="34">
                  <c:v>17.042332275410136</c:v>
                </c:pt>
                <c:pt idx="35">
                  <c:v>16.668390558606582</c:v>
                </c:pt>
                <c:pt idx="36">
                  <c:v>16.263620476994145</c:v>
                </c:pt>
                <c:pt idx="37">
                  <c:v>15.849288432956063</c:v>
                </c:pt>
                <c:pt idx="38">
                  <c:v>15.421882800448655</c:v>
                </c:pt>
                <c:pt idx="39">
                  <c:v>15.003059983701149</c:v>
                </c:pt>
                <c:pt idx="40">
                  <c:v>14.601063903512172</c:v>
                </c:pt>
                <c:pt idx="41">
                  <c:v>14.199400646693444</c:v>
                </c:pt>
                <c:pt idx="42">
                  <c:v>13.784183257484353</c:v>
                </c:pt>
                <c:pt idx="43">
                  <c:v>13.335352927625141</c:v>
                </c:pt>
                <c:pt idx="44">
                  <c:v>12.901181627642123</c:v>
                </c:pt>
                <c:pt idx="45">
                  <c:v>12.466831579932251</c:v>
                </c:pt>
                <c:pt idx="46">
                  <c:v>12.043643203666926</c:v>
                </c:pt>
                <c:pt idx="47">
                  <c:v>11.662051850097317</c:v>
                </c:pt>
                <c:pt idx="48">
                  <c:v>11.46170131275376</c:v>
                </c:pt>
                <c:pt idx="49">
                  <c:v>11.09328619175009</c:v>
                </c:pt>
                <c:pt idx="50">
                  <c:v>10.65649593060707</c:v>
                </c:pt>
                <c:pt idx="51">
                  <c:v>10.125776300571262</c:v>
                </c:pt>
                <c:pt idx="52">
                  <c:v>9.5148055857140701</c:v>
                </c:pt>
                <c:pt idx="53">
                  <c:v>8.9278887910890621</c:v>
                </c:pt>
                <c:pt idx="54">
                  <c:v>8.3401271655878215</c:v>
                </c:pt>
                <c:pt idx="55">
                  <c:v>7.7482427227363813</c:v>
                </c:pt>
                <c:pt idx="56">
                  <c:v>7.131618095868971</c:v>
                </c:pt>
                <c:pt idx="57">
                  <c:v>6.7729691944145403</c:v>
                </c:pt>
                <c:pt idx="58">
                  <c:v>6.911330680705575</c:v>
                </c:pt>
                <c:pt idx="59">
                  <c:v>6.9646490648901391</c:v>
                </c:pt>
                <c:pt idx="60">
                  <c:v>6.5784346301595349</c:v>
                </c:pt>
                <c:pt idx="61">
                  <c:v>6.1216183943831775</c:v>
                </c:pt>
                <c:pt idx="62">
                  <c:v>5.5497091958413884</c:v>
                </c:pt>
                <c:pt idx="63">
                  <c:v>4.9287867139625652</c:v>
                </c:pt>
                <c:pt idx="64">
                  <c:v>4.1098081639905892</c:v>
                </c:pt>
                <c:pt idx="65">
                  <c:v>2.7610599245749663</c:v>
                </c:pt>
                <c:pt idx="66">
                  <c:v>1.2372365734960153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0-1E4B-9515-9C4E1CC6DC85}"/>
            </c:ext>
          </c:extLst>
        </c:ser>
        <c:ser>
          <c:idx val="0"/>
          <c:order val="1"/>
          <c:spPr>
            <a:solidFill>
              <a:srgbClr val="BFBFBF"/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Requirement'!$W$41:$W$161</c:f>
              <c:numCache>
                <c:formatCode>m/d;@</c:formatCode>
                <c:ptCount val="121"/>
                <c:pt idx="0">
                  <c:v>42294</c:v>
                </c:pt>
                <c:pt idx="1">
                  <c:v>42295</c:v>
                </c:pt>
                <c:pt idx="2">
                  <c:v>42296</c:v>
                </c:pt>
                <c:pt idx="3">
                  <c:v>42297</c:v>
                </c:pt>
                <c:pt idx="4">
                  <c:v>42298</c:v>
                </c:pt>
                <c:pt idx="5">
                  <c:v>42299</c:v>
                </c:pt>
                <c:pt idx="6">
                  <c:v>42300</c:v>
                </c:pt>
                <c:pt idx="7">
                  <c:v>42301</c:v>
                </c:pt>
                <c:pt idx="8">
                  <c:v>42302</c:v>
                </c:pt>
                <c:pt idx="9">
                  <c:v>42303</c:v>
                </c:pt>
                <c:pt idx="10">
                  <c:v>42304</c:v>
                </c:pt>
                <c:pt idx="11">
                  <c:v>42305</c:v>
                </c:pt>
                <c:pt idx="12">
                  <c:v>42306</c:v>
                </c:pt>
                <c:pt idx="13">
                  <c:v>42307</c:v>
                </c:pt>
                <c:pt idx="14">
                  <c:v>42308</c:v>
                </c:pt>
                <c:pt idx="15">
                  <c:v>42309</c:v>
                </c:pt>
                <c:pt idx="16">
                  <c:v>42310</c:v>
                </c:pt>
                <c:pt idx="17">
                  <c:v>42311</c:v>
                </c:pt>
                <c:pt idx="18">
                  <c:v>42312</c:v>
                </c:pt>
                <c:pt idx="19">
                  <c:v>42313</c:v>
                </c:pt>
                <c:pt idx="20">
                  <c:v>42314</c:v>
                </c:pt>
                <c:pt idx="21">
                  <c:v>42315</c:v>
                </c:pt>
                <c:pt idx="22">
                  <c:v>42316</c:v>
                </c:pt>
                <c:pt idx="23">
                  <c:v>42317</c:v>
                </c:pt>
                <c:pt idx="24">
                  <c:v>42318</c:v>
                </c:pt>
                <c:pt idx="25">
                  <c:v>42319</c:v>
                </c:pt>
                <c:pt idx="26">
                  <c:v>42320</c:v>
                </c:pt>
                <c:pt idx="27">
                  <c:v>42321</c:v>
                </c:pt>
                <c:pt idx="28">
                  <c:v>42322</c:v>
                </c:pt>
                <c:pt idx="29">
                  <c:v>42323</c:v>
                </c:pt>
                <c:pt idx="30">
                  <c:v>42324</c:v>
                </c:pt>
                <c:pt idx="31">
                  <c:v>42325</c:v>
                </c:pt>
                <c:pt idx="32">
                  <c:v>42326</c:v>
                </c:pt>
                <c:pt idx="33">
                  <c:v>42327</c:v>
                </c:pt>
                <c:pt idx="34">
                  <c:v>42328</c:v>
                </c:pt>
                <c:pt idx="35">
                  <c:v>42329</c:v>
                </c:pt>
                <c:pt idx="36">
                  <c:v>42330</c:v>
                </c:pt>
                <c:pt idx="37">
                  <c:v>42331</c:v>
                </c:pt>
                <c:pt idx="38">
                  <c:v>42332</c:v>
                </c:pt>
                <c:pt idx="39">
                  <c:v>42333</c:v>
                </c:pt>
                <c:pt idx="40">
                  <c:v>42334</c:v>
                </c:pt>
                <c:pt idx="41">
                  <c:v>42335</c:v>
                </c:pt>
                <c:pt idx="42">
                  <c:v>42336</c:v>
                </c:pt>
                <c:pt idx="43">
                  <c:v>42337</c:v>
                </c:pt>
                <c:pt idx="44">
                  <c:v>42338</c:v>
                </c:pt>
                <c:pt idx="45">
                  <c:v>42339</c:v>
                </c:pt>
                <c:pt idx="46">
                  <c:v>42340</c:v>
                </c:pt>
                <c:pt idx="47">
                  <c:v>42341</c:v>
                </c:pt>
                <c:pt idx="48">
                  <c:v>42342</c:v>
                </c:pt>
                <c:pt idx="49">
                  <c:v>42343</c:v>
                </c:pt>
                <c:pt idx="50">
                  <c:v>42344</c:v>
                </c:pt>
                <c:pt idx="51">
                  <c:v>42345</c:v>
                </c:pt>
                <c:pt idx="52">
                  <c:v>42346</c:v>
                </c:pt>
                <c:pt idx="53">
                  <c:v>42347</c:v>
                </c:pt>
                <c:pt idx="54">
                  <c:v>42348</c:v>
                </c:pt>
                <c:pt idx="55">
                  <c:v>42349</c:v>
                </c:pt>
                <c:pt idx="56">
                  <c:v>42350</c:v>
                </c:pt>
                <c:pt idx="57">
                  <c:v>42351</c:v>
                </c:pt>
                <c:pt idx="58">
                  <c:v>42352</c:v>
                </c:pt>
                <c:pt idx="59">
                  <c:v>42353</c:v>
                </c:pt>
                <c:pt idx="60">
                  <c:v>42354</c:v>
                </c:pt>
                <c:pt idx="61">
                  <c:v>42355</c:v>
                </c:pt>
                <c:pt idx="62">
                  <c:v>42356</c:v>
                </c:pt>
                <c:pt idx="63">
                  <c:v>42357</c:v>
                </c:pt>
                <c:pt idx="64">
                  <c:v>42358</c:v>
                </c:pt>
                <c:pt idx="65">
                  <c:v>42359</c:v>
                </c:pt>
                <c:pt idx="66">
                  <c:v>42360</c:v>
                </c:pt>
                <c:pt idx="67">
                  <c:v>42361</c:v>
                </c:pt>
                <c:pt idx="68">
                  <c:v>42362</c:v>
                </c:pt>
                <c:pt idx="69">
                  <c:v>42363</c:v>
                </c:pt>
                <c:pt idx="70">
                  <c:v>42364</c:v>
                </c:pt>
                <c:pt idx="71">
                  <c:v>42365</c:v>
                </c:pt>
                <c:pt idx="72">
                  <c:v>42366</c:v>
                </c:pt>
                <c:pt idx="73">
                  <c:v>42367</c:v>
                </c:pt>
                <c:pt idx="74">
                  <c:v>42368</c:v>
                </c:pt>
                <c:pt idx="75">
                  <c:v>42369</c:v>
                </c:pt>
                <c:pt idx="76">
                  <c:v>42370</c:v>
                </c:pt>
                <c:pt idx="77">
                  <c:v>42371</c:v>
                </c:pt>
                <c:pt idx="78">
                  <c:v>42372</c:v>
                </c:pt>
                <c:pt idx="79">
                  <c:v>42373</c:v>
                </c:pt>
                <c:pt idx="80">
                  <c:v>42374</c:v>
                </c:pt>
                <c:pt idx="81">
                  <c:v>42375</c:v>
                </c:pt>
                <c:pt idx="82">
                  <c:v>42376</c:v>
                </c:pt>
                <c:pt idx="83">
                  <c:v>42377</c:v>
                </c:pt>
                <c:pt idx="84">
                  <c:v>42378</c:v>
                </c:pt>
                <c:pt idx="85">
                  <c:v>42379</c:v>
                </c:pt>
                <c:pt idx="86">
                  <c:v>42380</c:v>
                </c:pt>
                <c:pt idx="87">
                  <c:v>42381</c:v>
                </c:pt>
                <c:pt idx="88">
                  <c:v>42382</c:v>
                </c:pt>
                <c:pt idx="89">
                  <c:v>42383</c:v>
                </c:pt>
                <c:pt idx="90">
                  <c:v>42384</c:v>
                </c:pt>
                <c:pt idx="91">
                  <c:v>42385</c:v>
                </c:pt>
                <c:pt idx="92">
                  <c:v>42386</c:v>
                </c:pt>
                <c:pt idx="93">
                  <c:v>42387</c:v>
                </c:pt>
                <c:pt idx="94">
                  <c:v>42388</c:v>
                </c:pt>
                <c:pt idx="95">
                  <c:v>42389</c:v>
                </c:pt>
                <c:pt idx="96">
                  <c:v>42390</c:v>
                </c:pt>
                <c:pt idx="97">
                  <c:v>42391</c:v>
                </c:pt>
                <c:pt idx="98">
                  <c:v>42392</c:v>
                </c:pt>
                <c:pt idx="99">
                  <c:v>42393</c:v>
                </c:pt>
                <c:pt idx="100">
                  <c:v>42394</c:v>
                </c:pt>
                <c:pt idx="101">
                  <c:v>42395</c:v>
                </c:pt>
                <c:pt idx="102">
                  <c:v>42396</c:v>
                </c:pt>
                <c:pt idx="103">
                  <c:v>42397</c:v>
                </c:pt>
                <c:pt idx="104">
                  <c:v>42398</c:v>
                </c:pt>
                <c:pt idx="105">
                  <c:v>42399</c:v>
                </c:pt>
                <c:pt idx="106">
                  <c:v>42400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42406</c:v>
                </c:pt>
                <c:pt idx="113">
                  <c:v>42407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42413</c:v>
                </c:pt>
                <c:pt idx="120">
                  <c:v>42414</c:v>
                </c:pt>
              </c:numCache>
            </c:numRef>
          </c:cat>
          <c:val>
            <c:numRef>
              <c:f>'Crop Water Requirement'!$AW$41:$AW$161</c:f>
              <c:numCache>
                <c:formatCode>0.000</c:formatCode>
                <c:ptCount val="121"/>
                <c:pt idx="0">
                  <c:v>5.2109195402298196</c:v>
                </c:pt>
                <c:pt idx="1">
                  <c:v>5.2109195402298196</c:v>
                </c:pt>
                <c:pt idx="2">
                  <c:v>5.2109195402298196</c:v>
                </c:pt>
                <c:pt idx="3">
                  <c:v>5.2109195402298196</c:v>
                </c:pt>
                <c:pt idx="4">
                  <c:v>5.2109195402298196</c:v>
                </c:pt>
                <c:pt idx="5">
                  <c:v>5.2109195402298196</c:v>
                </c:pt>
                <c:pt idx="6">
                  <c:v>5.2109195402298196</c:v>
                </c:pt>
                <c:pt idx="7">
                  <c:v>5.2109195402298196</c:v>
                </c:pt>
                <c:pt idx="8">
                  <c:v>5.2109195402298196</c:v>
                </c:pt>
                <c:pt idx="9">
                  <c:v>5.2109195402298196</c:v>
                </c:pt>
                <c:pt idx="10">
                  <c:v>5.2109195402298196</c:v>
                </c:pt>
                <c:pt idx="11">
                  <c:v>5.2109195402298196</c:v>
                </c:pt>
                <c:pt idx="12">
                  <c:v>5.2109195402298196</c:v>
                </c:pt>
                <c:pt idx="13">
                  <c:v>5.2109195402298196</c:v>
                </c:pt>
                <c:pt idx="14">
                  <c:v>5.2109195402298196</c:v>
                </c:pt>
                <c:pt idx="15">
                  <c:v>5.2109195402298196</c:v>
                </c:pt>
                <c:pt idx="16">
                  <c:v>5.2109195402298196</c:v>
                </c:pt>
                <c:pt idx="17">
                  <c:v>5.2109195402298196</c:v>
                </c:pt>
                <c:pt idx="18">
                  <c:v>5.2109195402298196</c:v>
                </c:pt>
                <c:pt idx="19">
                  <c:v>5.2109195402298196</c:v>
                </c:pt>
                <c:pt idx="20">
                  <c:v>5.2109195402298196</c:v>
                </c:pt>
                <c:pt idx="21">
                  <c:v>5.2109195402298196</c:v>
                </c:pt>
                <c:pt idx="22">
                  <c:v>5.2109195402298196</c:v>
                </c:pt>
                <c:pt idx="23">
                  <c:v>5.2109195402298196</c:v>
                </c:pt>
                <c:pt idx="24">
                  <c:v>5.2109195402298196</c:v>
                </c:pt>
                <c:pt idx="25">
                  <c:v>5.2109195402298196</c:v>
                </c:pt>
                <c:pt idx="26">
                  <c:v>11.986666666666666</c:v>
                </c:pt>
                <c:pt idx="27">
                  <c:v>11.986666666666666</c:v>
                </c:pt>
                <c:pt idx="28">
                  <c:v>11.986666666666666</c:v>
                </c:pt>
                <c:pt idx="29">
                  <c:v>11.986666666666666</c:v>
                </c:pt>
                <c:pt idx="30">
                  <c:v>11.986666666666666</c:v>
                </c:pt>
                <c:pt idx="31">
                  <c:v>11.986666666666666</c:v>
                </c:pt>
                <c:pt idx="32">
                  <c:v>11.986666666666666</c:v>
                </c:pt>
                <c:pt idx="33">
                  <c:v>11.986666666666666</c:v>
                </c:pt>
                <c:pt idx="34">
                  <c:v>11.986666666666666</c:v>
                </c:pt>
                <c:pt idx="35">
                  <c:v>11.986666666666666</c:v>
                </c:pt>
                <c:pt idx="36">
                  <c:v>11.986666666666666</c:v>
                </c:pt>
                <c:pt idx="37">
                  <c:v>11.986666666666666</c:v>
                </c:pt>
                <c:pt idx="38">
                  <c:v>11.986666666666666</c:v>
                </c:pt>
                <c:pt idx="39">
                  <c:v>11.986666666666666</c:v>
                </c:pt>
                <c:pt idx="40">
                  <c:v>11.986666666666666</c:v>
                </c:pt>
                <c:pt idx="41">
                  <c:v>11.986666666666666</c:v>
                </c:pt>
                <c:pt idx="42">
                  <c:v>11.986666666666666</c:v>
                </c:pt>
                <c:pt idx="43">
                  <c:v>11.986666666666666</c:v>
                </c:pt>
                <c:pt idx="44">
                  <c:v>11.986666666666666</c:v>
                </c:pt>
                <c:pt idx="45">
                  <c:v>11.986666666666666</c:v>
                </c:pt>
                <c:pt idx="46">
                  <c:v>11.986666666666666</c:v>
                </c:pt>
                <c:pt idx="47">
                  <c:v>11.986666666666666</c:v>
                </c:pt>
                <c:pt idx="48">
                  <c:v>11.986666666666666</c:v>
                </c:pt>
                <c:pt idx="49">
                  <c:v>11.986666666666666</c:v>
                </c:pt>
                <c:pt idx="50">
                  <c:v>11.986666666666666</c:v>
                </c:pt>
                <c:pt idx="51">
                  <c:v>11.986666666666666</c:v>
                </c:pt>
                <c:pt idx="52">
                  <c:v>11.986666666666666</c:v>
                </c:pt>
                <c:pt idx="53">
                  <c:v>11.986666666666666</c:v>
                </c:pt>
                <c:pt idx="54">
                  <c:v>11.986666666666666</c:v>
                </c:pt>
                <c:pt idx="55">
                  <c:v>11.986666666666666</c:v>
                </c:pt>
                <c:pt idx="56">
                  <c:v>3.973333333333334</c:v>
                </c:pt>
                <c:pt idx="57">
                  <c:v>3.973333333333334</c:v>
                </c:pt>
                <c:pt idx="58">
                  <c:v>3.973333333333334</c:v>
                </c:pt>
                <c:pt idx="59">
                  <c:v>3.973333333333334</c:v>
                </c:pt>
                <c:pt idx="60">
                  <c:v>3.973333333333334</c:v>
                </c:pt>
                <c:pt idx="61">
                  <c:v>3.973333333333334</c:v>
                </c:pt>
                <c:pt idx="62">
                  <c:v>3.973333333333334</c:v>
                </c:pt>
                <c:pt idx="63">
                  <c:v>3.973333333333334</c:v>
                </c:pt>
                <c:pt idx="64">
                  <c:v>3.973333333333334</c:v>
                </c:pt>
                <c:pt idx="65">
                  <c:v>3.973333333333334</c:v>
                </c:pt>
                <c:pt idx="66">
                  <c:v>3.973333333333334</c:v>
                </c:pt>
                <c:pt idx="67" formatCode="General">
                  <c:v>0</c:v>
                </c:pt>
                <c:pt idx="68" formatCode="General">
                  <c:v>0</c:v>
                </c:pt>
                <c:pt idx="69" formatCode="General">
                  <c:v>0</c:v>
                </c:pt>
                <c:pt idx="70" formatCode="General">
                  <c:v>0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 formatCode="General">
                  <c:v>0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0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0</c:v>
                </c:pt>
                <c:pt idx="120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90-1E4B-9515-9C4E1CC6DC85}"/>
            </c:ext>
          </c:extLst>
        </c:ser>
        <c:ser>
          <c:idx val="3"/>
          <c:order val="2"/>
          <c:spPr>
            <a:solidFill>
              <a:schemeClr val="accent2"/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Requirement'!$W$41:$W$161</c:f>
              <c:numCache>
                <c:formatCode>m/d;@</c:formatCode>
                <c:ptCount val="121"/>
                <c:pt idx="0">
                  <c:v>42294</c:v>
                </c:pt>
                <c:pt idx="1">
                  <c:v>42295</c:v>
                </c:pt>
                <c:pt idx="2">
                  <c:v>42296</c:v>
                </c:pt>
                <c:pt idx="3">
                  <c:v>42297</c:v>
                </c:pt>
                <c:pt idx="4">
                  <c:v>42298</c:v>
                </c:pt>
                <c:pt idx="5">
                  <c:v>42299</c:v>
                </c:pt>
                <c:pt idx="6">
                  <c:v>42300</c:v>
                </c:pt>
                <c:pt idx="7">
                  <c:v>42301</c:v>
                </c:pt>
                <c:pt idx="8">
                  <c:v>42302</c:v>
                </c:pt>
                <c:pt idx="9">
                  <c:v>42303</c:v>
                </c:pt>
                <c:pt idx="10">
                  <c:v>42304</c:v>
                </c:pt>
                <c:pt idx="11">
                  <c:v>42305</c:v>
                </c:pt>
                <c:pt idx="12">
                  <c:v>42306</c:v>
                </c:pt>
                <c:pt idx="13">
                  <c:v>42307</c:v>
                </c:pt>
                <c:pt idx="14">
                  <c:v>42308</c:v>
                </c:pt>
                <c:pt idx="15">
                  <c:v>42309</c:v>
                </c:pt>
                <c:pt idx="16">
                  <c:v>42310</c:v>
                </c:pt>
                <c:pt idx="17">
                  <c:v>42311</c:v>
                </c:pt>
                <c:pt idx="18">
                  <c:v>42312</c:v>
                </c:pt>
                <c:pt idx="19">
                  <c:v>42313</c:v>
                </c:pt>
                <c:pt idx="20">
                  <c:v>42314</c:v>
                </c:pt>
                <c:pt idx="21">
                  <c:v>42315</c:v>
                </c:pt>
                <c:pt idx="22">
                  <c:v>42316</c:v>
                </c:pt>
                <c:pt idx="23">
                  <c:v>42317</c:v>
                </c:pt>
                <c:pt idx="24">
                  <c:v>42318</c:v>
                </c:pt>
                <c:pt idx="25">
                  <c:v>42319</c:v>
                </c:pt>
                <c:pt idx="26">
                  <c:v>42320</c:v>
                </c:pt>
                <c:pt idx="27">
                  <c:v>42321</c:v>
                </c:pt>
                <c:pt idx="28">
                  <c:v>42322</c:v>
                </c:pt>
                <c:pt idx="29">
                  <c:v>42323</c:v>
                </c:pt>
                <c:pt idx="30">
                  <c:v>42324</c:v>
                </c:pt>
                <c:pt idx="31">
                  <c:v>42325</c:v>
                </c:pt>
                <c:pt idx="32">
                  <c:v>42326</c:v>
                </c:pt>
                <c:pt idx="33">
                  <c:v>42327</c:v>
                </c:pt>
                <c:pt idx="34">
                  <c:v>42328</c:v>
                </c:pt>
                <c:pt idx="35">
                  <c:v>42329</c:v>
                </c:pt>
                <c:pt idx="36">
                  <c:v>42330</c:v>
                </c:pt>
                <c:pt idx="37">
                  <c:v>42331</c:v>
                </c:pt>
                <c:pt idx="38">
                  <c:v>42332</c:v>
                </c:pt>
                <c:pt idx="39">
                  <c:v>42333</c:v>
                </c:pt>
                <c:pt idx="40">
                  <c:v>42334</c:v>
                </c:pt>
                <c:pt idx="41">
                  <c:v>42335</c:v>
                </c:pt>
                <c:pt idx="42">
                  <c:v>42336</c:v>
                </c:pt>
                <c:pt idx="43">
                  <c:v>42337</c:v>
                </c:pt>
                <c:pt idx="44">
                  <c:v>42338</c:v>
                </c:pt>
                <c:pt idx="45">
                  <c:v>42339</c:v>
                </c:pt>
                <c:pt idx="46">
                  <c:v>42340</c:v>
                </c:pt>
                <c:pt idx="47">
                  <c:v>42341</c:v>
                </c:pt>
                <c:pt idx="48">
                  <c:v>42342</c:v>
                </c:pt>
                <c:pt idx="49">
                  <c:v>42343</c:v>
                </c:pt>
                <c:pt idx="50">
                  <c:v>42344</c:v>
                </c:pt>
                <c:pt idx="51">
                  <c:v>42345</c:v>
                </c:pt>
                <c:pt idx="52">
                  <c:v>42346</c:v>
                </c:pt>
                <c:pt idx="53">
                  <c:v>42347</c:v>
                </c:pt>
                <c:pt idx="54">
                  <c:v>42348</c:v>
                </c:pt>
                <c:pt idx="55">
                  <c:v>42349</c:v>
                </c:pt>
                <c:pt idx="56">
                  <c:v>42350</c:v>
                </c:pt>
                <c:pt idx="57">
                  <c:v>42351</c:v>
                </c:pt>
                <c:pt idx="58">
                  <c:v>42352</c:v>
                </c:pt>
                <c:pt idx="59">
                  <c:v>42353</c:v>
                </c:pt>
                <c:pt idx="60">
                  <c:v>42354</c:v>
                </c:pt>
                <c:pt idx="61">
                  <c:v>42355</c:v>
                </c:pt>
                <c:pt idx="62">
                  <c:v>42356</c:v>
                </c:pt>
                <c:pt idx="63">
                  <c:v>42357</c:v>
                </c:pt>
                <c:pt idx="64">
                  <c:v>42358</c:v>
                </c:pt>
                <c:pt idx="65">
                  <c:v>42359</c:v>
                </c:pt>
                <c:pt idx="66">
                  <c:v>42360</c:v>
                </c:pt>
                <c:pt idx="67">
                  <c:v>42361</c:v>
                </c:pt>
                <c:pt idx="68">
                  <c:v>42362</c:v>
                </c:pt>
                <c:pt idx="69">
                  <c:v>42363</c:v>
                </c:pt>
                <c:pt idx="70">
                  <c:v>42364</c:v>
                </c:pt>
                <c:pt idx="71">
                  <c:v>42365</c:v>
                </c:pt>
                <c:pt idx="72">
                  <c:v>42366</c:v>
                </c:pt>
                <c:pt idx="73">
                  <c:v>42367</c:v>
                </c:pt>
                <c:pt idx="74">
                  <c:v>42368</c:v>
                </c:pt>
                <c:pt idx="75">
                  <c:v>42369</c:v>
                </c:pt>
                <c:pt idx="76">
                  <c:v>42370</c:v>
                </c:pt>
                <c:pt idx="77">
                  <c:v>42371</c:v>
                </c:pt>
                <c:pt idx="78">
                  <c:v>42372</c:v>
                </c:pt>
                <c:pt idx="79">
                  <c:v>42373</c:v>
                </c:pt>
                <c:pt idx="80">
                  <c:v>42374</c:v>
                </c:pt>
                <c:pt idx="81">
                  <c:v>42375</c:v>
                </c:pt>
                <c:pt idx="82">
                  <c:v>42376</c:v>
                </c:pt>
                <c:pt idx="83">
                  <c:v>42377</c:v>
                </c:pt>
                <c:pt idx="84">
                  <c:v>42378</c:v>
                </c:pt>
                <c:pt idx="85">
                  <c:v>42379</c:v>
                </c:pt>
                <c:pt idx="86">
                  <c:v>42380</c:v>
                </c:pt>
                <c:pt idx="87">
                  <c:v>42381</c:v>
                </c:pt>
                <c:pt idx="88">
                  <c:v>42382</c:v>
                </c:pt>
                <c:pt idx="89">
                  <c:v>42383</c:v>
                </c:pt>
                <c:pt idx="90">
                  <c:v>42384</c:v>
                </c:pt>
                <c:pt idx="91">
                  <c:v>42385</c:v>
                </c:pt>
                <c:pt idx="92">
                  <c:v>42386</c:v>
                </c:pt>
                <c:pt idx="93">
                  <c:v>42387</c:v>
                </c:pt>
                <c:pt idx="94">
                  <c:v>42388</c:v>
                </c:pt>
                <c:pt idx="95">
                  <c:v>42389</c:v>
                </c:pt>
                <c:pt idx="96">
                  <c:v>42390</c:v>
                </c:pt>
                <c:pt idx="97">
                  <c:v>42391</c:v>
                </c:pt>
                <c:pt idx="98">
                  <c:v>42392</c:v>
                </c:pt>
                <c:pt idx="99">
                  <c:v>42393</c:v>
                </c:pt>
                <c:pt idx="100">
                  <c:v>42394</c:v>
                </c:pt>
                <c:pt idx="101">
                  <c:v>42395</c:v>
                </c:pt>
                <c:pt idx="102">
                  <c:v>42396</c:v>
                </c:pt>
                <c:pt idx="103">
                  <c:v>42397</c:v>
                </c:pt>
                <c:pt idx="104">
                  <c:v>42398</c:v>
                </c:pt>
                <c:pt idx="105">
                  <c:v>42399</c:v>
                </c:pt>
                <c:pt idx="106">
                  <c:v>42400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42406</c:v>
                </c:pt>
                <c:pt idx="113">
                  <c:v>42407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42413</c:v>
                </c:pt>
                <c:pt idx="120">
                  <c:v>42414</c:v>
                </c:pt>
              </c:numCache>
            </c:numRef>
          </c:cat>
          <c:val>
            <c:numRef>
              <c:f>'Crop Water Requirement'!$AY$41:$AY$161</c:f>
              <c:numCache>
                <c:formatCode>0.000</c:formatCode>
                <c:ptCount val="121"/>
                <c:pt idx="0">
                  <c:v>5.2109195402298196</c:v>
                </c:pt>
                <c:pt idx="1">
                  <c:v>5.2109195402298196</c:v>
                </c:pt>
                <c:pt idx="2">
                  <c:v>5.2109195402298196</c:v>
                </c:pt>
                <c:pt idx="3">
                  <c:v>5.2109195402298196</c:v>
                </c:pt>
                <c:pt idx="4">
                  <c:v>5.2109195402298196</c:v>
                </c:pt>
                <c:pt idx="5">
                  <c:v>5.2109195402298196</c:v>
                </c:pt>
                <c:pt idx="6">
                  <c:v>5.2109195402298196</c:v>
                </c:pt>
                <c:pt idx="7">
                  <c:v>5.2109195402298196</c:v>
                </c:pt>
                <c:pt idx="8">
                  <c:v>5.2109195402298196</c:v>
                </c:pt>
                <c:pt idx="9">
                  <c:v>5.2109195402298196</c:v>
                </c:pt>
                <c:pt idx="10">
                  <c:v>5.2109195402298196</c:v>
                </c:pt>
                <c:pt idx="11">
                  <c:v>5.2109195402298196</c:v>
                </c:pt>
                <c:pt idx="12">
                  <c:v>5.2109195402298196</c:v>
                </c:pt>
                <c:pt idx="13">
                  <c:v>5.2109195402298196</c:v>
                </c:pt>
                <c:pt idx="14">
                  <c:v>5.2109195402298196</c:v>
                </c:pt>
                <c:pt idx="15">
                  <c:v>5.2109195402298196</c:v>
                </c:pt>
                <c:pt idx="16">
                  <c:v>5.2109195402298196</c:v>
                </c:pt>
                <c:pt idx="17">
                  <c:v>5.2109195402298196</c:v>
                </c:pt>
                <c:pt idx="18">
                  <c:v>5.2109195402298196</c:v>
                </c:pt>
                <c:pt idx="19">
                  <c:v>5.2109195402298196</c:v>
                </c:pt>
                <c:pt idx="20">
                  <c:v>5.2109195402298196</c:v>
                </c:pt>
                <c:pt idx="21">
                  <c:v>5.2109195402298196</c:v>
                </c:pt>
                <c:pt idx="22">
                  <c:v>5.2109195402298196</c:v>
                </c:pt>
                <c:pt idx="23">
                  <c:v>5.2109195402298196</c:v>
                </c:pt>
                <c:pt idx="24">
                  <c:v>5.2109195402298196</c:v>
                </c:pt>
                <c:pt idx="25">
                  <c:v>5.2109195402298196</c:v>
                </c:pt>
                <c:pt idx="26">
                  <c:v>11.797237114931356</c:v>
                </c:pt>
                <c:pt idx="27">
                  <c:v>11.213008431642582</c:v>
                </c:pt>
                <c:pt idx="28">
                  <c:v>10.861471429500751</c:v>
                </c:pt>
                <c:pt idx="29">
                  <c:v>10.531304175324937</c:v>
                </c:pt>
                <c:pt idx="30">
                  <c:v>10.080726905107319</c:v>
                </c:pt>
                <c:pt idx="31">
                  <c:v>9.4735543300746432</c:v>
                </c:pt>
                <c:pt idx="32">
                  <c:v>9.7546046239913338</c:v>
                </c:pt>
                <c:pt idx="33">
                  <c:v>11.986666666666666</c:v>
                </c:pt>
                <c:pt idx="34">
                  <c:v>11.986666666666666</c:v>
                </c:pt>
                <c:pt idx="35">
                  <c:v>11.986666666666666</c:v>
                </c:pt>
                <c:pt idx="36">
                  <c:v>11.986666666666666</c:v>
                </c:pt>
                <c:pt idx="37">
                  <c:v>11.986666666666666</c:v>
                </c:pt>
                <c:pt idx="38">
                  <c:v>11.986666666666666</c:v>
                </c:pt>
                <c:pt idx="39">
                  <c:v>11.986666666666666</c:v>
                </c:pt>
                <c:pt idx="40">
                  <c:v>11.986666666666666</c:v>
                </c:pt>
                <c:pt idx="41">
                  <c:v>11.986666666666666</c:v>
                </c:pt>
                <c:pt idx="42">
                  <c:v>11.986666666666666</c:v>
                </c:pt>
                <c:pt idx="43">
                  <c:v>11.986666666666666</c:v>
                </c:pt>
                <c:pt idx="44">
                  <c:v>11.986666666666666</c:v>
                </c:pt>
                <c:pt idx="45">
                  <c:v>11.986666666666666</c:v>
                </c:pt>
                <c:pt idx="46">
                  <c:v>11.986666666666666</c:v>
                </c:pt>
                <c:pt idx="47">
                  <c:v>11.662051850097317</c:v>
                </c:pt>
                <c:pt idx="48">
                  <c:v>11.46170131275376</c:v>
                </c:pt>
                <c:pt idx="49">
                  <c:v>11.09328619175009</c:v>
                </c:pt>
                <c:pt idx="50">
                  <c:v>10.65649593060707</c:v>
                </c:pt>
                <c:pt idx="51">
                  <c:v>10.125776300571262</c:v>
                </c:pt>
                <c:pt idx="52">
                  <c:v>9.5148055857140701</c:v>
                </c:pt>
                <c:pt idx="53">
                  <c:v>8.9278887910890621</c:v>
                </c:pt>
                <c:pt idx="54">
                  <c:v>8.3401271655878215</c:v>
                </c:pt>
                <c:pt idx="55">
                  <c:v>7.7482427227363813</c:v>
                </c:pt>
                <c:pt idx="56">
                  <c:v>3.973333333333334</c:v>
                </c:pt>
                <c:pt idx="57">
                  <c:v>3.973333333333334</c:v>
                </c:pt>
                <c:pt idx="58">
                  <c:v>3.973333333333334</c:v>
                </c:pt>
                <c:pt idx="59">
                  <c:v>3.973333333333334</c:v>
                </c:pt>
                <c:pt idx="60">
                  <c:v>3.973333333333334</c:v>
                </c:pt>
                <c:pt idx="61">
                  <c:v>3.973333333333334</c:v>
                </c:pt>
                <c:pt idx="62">
                  <c:v>3.973333333333334</c:v>
                </c:pt>
                <c:pt idx="63">
                  <c:v>3.973333333333334</c:v>
                </c:pt>
                <c:pt idx="64">
                  <c:v>3.973333333333334</c:v>
                </c:pt>
                <c:pt idx="65">
                  <c:v>2.7610599245749663</c:v>
                </c:pt>
                <c:pt idx="66">
                  <c:v>1.2372365734960153</c:v>
                </c:pt>
                <c:pt idx="67" formatCode="General">
                  <c:v>0</c:v>
                </c:pt>
                <c:pt idx="68" formatCode="General">
                  <c:v>0</c:v>
                </c:pt>
                <c:pt idx="69" formatCode="General">
                  <c:v>0</c:v>
                </c:pt>
                <c:pt idx="70" formatCode="General">
                  <c:v>0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 formatCode="General">
                  <c:v>0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0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0</c:v>
                </c:pt>
                <c:pt idx="120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90-1E4B-9515-9C4E1CC6D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8177984"/>
        <c:axId val="-2028156192"/>
      </c:areaChart>
      <c:dateAx>
        <c:axId val="-2028177984"/>
        <c:scaling>
          <c:orientation val="minMax"/>
          <c:min val="42294"/>
        </c:scaling>
        <c:delete val="0"/>
        <c:axPos val="b"/>
        <c:numFmt formatCode="m/d;@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8156192"/>
        <c:crosses val="autoZero"/>
        <c:auto val="1"/>
        <c:lblOffset val="100"/>
        <c:baseTimeUnit val="days"/>
        <c:majorUnit val="28"/>
        <c:majorTimeUnit val="days"/>
      </c:dateAx>
      <c:valAx>
        <c:axId val="-2028156192"/>
        <c:scaling>
          <c:orientation val="minMax"/>
          <c:max val="24"/>
        </c:scaling>
        <c:delete val="1"/>
        <c:axPos val="l"/>
        <c:majorGridlines/>
        <c:numFmt formatCode="0" sourceLinked="0"/>
        <c:majorTickMark val="in"/>
        <c:minorTickMark val="none"/>
        <c:tickLblPos val="nextTo"/>
        <c:crossAx val="-2028177984"/>
        <c:crosses val="autoZero"/>
        <c:crossBetween val="midCat"/>
        <c:majorUnit val="6"/>
      </c:valAx>
      <c:spPr>
        <a:ln w="19050" cmpd="sng"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959428737475696E-2"/>
          <c:y val="4.2765698983799803E-2"/>
          <c:w val="0.82215314206512302"/>
          <c:h val="0.91446860203239999"/>
        </c:manualLayout>
      </c:layout>
      <c:areaChart>
        <c:grouping val="standard"/>
        <c:varyColors val="0"/>
        <c:ser>
          <c:idx val="0"/>
          <c:order val="0"/>
          <c:spPr>
            <a:solidFill>
              <a:srgbClr val="BFBFBF"/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Requirement'!$G$7:$G$161</c:f>
              <c:numCache>
                <c:formatCode>0.00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-3.6627777777777744</c:v>
                </c:pt>
                <c:pt idx="36">
                  <c:v>-3.6627777777777744</c:v>
                </c:pt>
                <c:pt idx="37">
                  <c:v>-3.6627777777777744</c:v>
                </c:pt>
                <c:pt idx="38">
                  <c:v>-3.6627777777777744</c:v>
                </c:pt>
                <c:pt idx="39">
                  <c:v>-3.6627777777777744</c:v>
                </c:pt>
                <c:pt idx="40">
                  <c:v>-3.6627777777777744</c:v>
                </c:pt>
                <c:pt idx="41">
                  <c:v>-3.6627777777777744</c:v>
                </c:pt>
                <c:pt idx="42">
                  <c:v>-3.6627777777777744</c:v>
                </c:pt>
                <c:pt idx="43">
                  <c:v>-3.6627777777777744</c:v>
                </c:pt>
                <c:pt idx="44">
                  <c:v>-3.6627777777777744</c:v>
                </c:pt>
                <c:pt idx="45">
                  <c:v>-3.6627777777777744</c:v>
                </c:pt>
                <c:pt idx="46">
                  <c:v>-3.6627777777777744</c:v>
                </c:pt>
                <c:pt idx="47">
                  <c:v>-3.6627777777777744</c:v>
                </c:pt>
                <c:pt idx="48">
                  <c:v>-3.6627777777777744</c:v>
                </c:pt>
                <c:pt idx="49">
                  <c:v>-3.6627777777777744</c:v>
                </c:pt>
                <c:pt idx="50">
                  <c:v>-3.6627777777777744</c:v>
                </c:pt>
                <c:pt idx="51">
                  <c:v>-3.6627777777777744</c:v>
                </c:pt>
                <c:pt idx="52">
                  <c:v>-3.6627777777777744</c:v>
                </c:pt>
                <c:pt idx="53">
                  <c:v>-3.6627777777777744</c:v>
                </c:pt>
                <c:pt idx="54">
                  <c:v>-3.6627777777777744</c:v>
                </c:pt>
                <c:pt idx="55">
                  <c:v>-3.6627777777777744</c:v>
                </c:pt>
                <c:pt idx="56">
                  <c:v>-3.6627777777777744</c:v>
                </c:pt>
                <c:pt idx="57">
                  <c:v>-3.6627777777777744</c:v>
                </c:pt>
                <c:pt idx="58">
                  <c:v>-3.6627777777777744</c:v>
                </c:pt>
                <c:pt idx="59">
                  <c:v>-3.6627777777777744</c:v>
                </c:pt>
                <c:pt idx="60">
                  <c:v>-3.6627777777777744</c:v>
                </c:pt>
                <c:pt idx="61">
                  <c:v>-3.6627777777777744</c:v>
                </c:pt>
                <c:pt idx="62">
                  <c:v>-3.6627777777777744</c:v>
                </c:pt>
                <c:pt idx="63">
                  <c:v>-3.6627777777777744</c:v>
                </c:pt>
                <c:pt idx="64">
                  <c:v>-3.6627777777777744</c:v>
                </c:pt>
                <c:pt idx="65">
                  <c:v>-2.8966666666666683</c:v>
                </c:pt>
                <c:pt idx="66">
                  <c:v>-2.8966666666666683</c:v>
                </c:pt>
                <c:pt idx="67">
                  <c:v>-2.8966666666666683</c:v>
                </c:pt>
                <c:pt idx="68">
                  <c:v>-2.8966666666666683</c:v>
                </c:pt>
                <c:pt idx="69">
                  <c:v>-2.8966666666666683</c:v>
                </c:pt>
                <c:pt idx="70">
                  <c:v>-2.8966666666666683</c:v>
                </c:pt>
                <c:pt idx="71">
                  <c:v>-2.8966666666666683</c:v>
                </c:pt>
                <c:pt idx="72">
                  <c:v>-2.8966666666666683</c:v>
                </c:pt>
                <c:pt idx="73">
                  <c:v>-2.8966666666666683</c:v>
                </c:pt>
                <c:pt idx="74">
                  <c:v>-2.8966666666666683</c:v>
                </c:pt>
                <c:pt idx="75">
                  <c:v>-2.8966666666666683</c:v>
                </c:pt>
                <c:pt idx="76">
                  <c:v>-2.8966666666666683</c:v>
                </c:pt>
                <c:pt idx="77">
                  <c:v>-2.8966666666666683</c:v>
                </c:pt>
                <c:pt idx="78">
                  <c:v>-2.8966666666666683</c:v>
                </c:pt>
                <c:pt idx="79">
                  <c:v>-2.8966666666666683</c:v>
                </c:pt>
                <c:pt idx="80">
                  <c:v>-2.8966666666666683</c:v>
                </c:pt>
                <c:pt idx="81">
                  <c:v>-2.8966666666666683</c:v>
                </c:pt>
                <c:pt idx="82">
                  <c:v>-2.8966666666666683</c:v>
                </c:pt>
                <c:pt idx="83">
                  <c:v>-2.8966666666666683</c:v>
                </c:pt>
                <c:pt idx="84">
                  <c:v>-2.8966666666666683</c:v>
                </c:pt>
                <c:pt idx="85">
                  <c:v>-2.8966666666666683</c:v>
                </c:pt>
                <c:pt idx="86">
                  <c:v>-2.8966666666666683</c:v>
                </c:pt>
                <c:pt idx="87">
                  <c:v>-2.8966666666666683</c:v>
                </c:pt>
                <c:pt idx="88">
                  <c:v>-2.8966666666666683</c:v>
                </c:pt>
                <c:pt idx="89">
                  <c:v>-2.8966666666666683</c:v>
                </c:pt>
                <c:pt idx="90">
                  <c:v>-2.8966666666666683</c:v>
                </c:pt>
                <c:pt idx="91">
                  <c:v>-2.8966666666666683</c:v>
                </c:pt>
                <c:pt idx="92">
                  <c:v>-2.8966666666666683</c:v>
                </c:pt>
                <c:pt idx="93">
                  <c:v>-2.8966666666666683</c:v>
                </c:pt>
                <c:pt idx="94">
                  <c:v>-2.8966666666666683</c:v>
                </c:pt>
                <c:pt idx="95">
                  <c:v>-0.01</c:v>
                </c:pt>
                <c:pt idx="96">
                  <c:v>-0.01</c:v>
                </c:pt>
                <c:pt idx="97">
                  <c:v>-0.01</c:v>
                </c:pt>
                <c:pt idx="98">
                  <c:v>-0.01</c:v>
                </c:pt>
                <c:pt idx="99">
                  <c:v>-0.01</c:v>
                </c:pt>
                <c:pt idx="100">
                  <c:v>-0.01</c:v>
                </c:pt>
                <c:pt idx="101">
                  <c:v>-0.01</c:v>
                </c:pt>
                <c:pt idx="102">
                  <c:v>-0.01</c:v>
                </c:pt>
                <c:pt idx="103">
                  <c:v>-0.01</c:v>
                </c:pt>
                <c:pt idx="104">
                  <c:v>-0.01</c:v>
                </c:pt>
                <c:pt idx="105">
                  <c:v>-0.01</c:v>
                </c:pt>
                <c:pt idx="106">
                  <c:v>-0.01</c:v>
                </c:pt>
                <c:pt idx="107">
                  <c:v>-0.01</c:v>
                </c:pt>
                <c:pt idx="108">
                  <c:v>-0.01</c:v>
                </c:pt>
                <c:pt idx="109">
                  <c:v>-0.01</c:v>
                </c:pt>
                <c:pt idx="110">
                  <c:v>-0.01</c:v>
                </c:pt>
                <c:pt idx="111">
                  <c:v>-0.01</c:v>
                </c:pt>
                <c:pt idx="112">
                  <c:v>-0.01</c:v>
                </c:pt>
                <c:pt idx="113">
                  <c:v>-0.01</c:v>
                </c:pt>
                <c:pt idx="114">
                  <c:v>-0.01</c:v>
                </c:pt>
                <c:pt idx="115">
                  <c:v>-0.01</c:v>
                </c:pt>
                <c:pt idx="116">
                  <c:v>-0.01</c:v>
                </c:pt>
                <c:pt idx="117">
                  <c:v>-0.01</c:v>
                </c:pt>
                <c:pt idx="118">
                  <c:v>-0.01</c:v>
                </c:pt>
                <c:pt idx="119">
                  <c:v>-0.01</c:v>
                </c:pt>
                <c:pt idx="120">
                  <c:v>-0.01</c:v>
                </c:pt>
                <c:pt idx="121">
                  <c:v>-0.01</c:v>
                </c:pt>
                <c:pt idx="122">
                  <c:v>-0.01</c:v>
                </c:pt>
                <c:pt idx="123">
                  <c:v>-0.01</c:v>
                </c:pt>
                <c:pt idx="124">
                  <c:v>-0.01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B-AC4C-B2DE-172299EF4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8233504"/>
        <c:axId val="-2028288320"/>
      </c:areaChart>
      <c:dateAx>
        <c:axId val="-2028233504"/>
        <c:scaling>
          <c:orientation val="minMax"/>
          <c:min val="42294"/>
        </c:scaling>
        <c:delete val="1"/>
        <c:axPos val="b"/>
        <c:numFmt formatCode="m/d;@" sourceLinked="1"/>
        <c:majorTickMark val="in"/>
        <c:minorTickMark val="none"/>
        <c:tickLblPos val="nextTo"/>
        <c:crossAx val="-2028288320"/>
        <c:crosses val="autoZero"/>
        <c:auto val="1"/>
        <c:lblOffset val="100"/>
        <c:baseTimeUnit val="days"/>
        <c:majorUnit val="28"/>
        <c:majorTimeUnit val="days"/>
      </c:dateAx>
      <c:valAx>
        <c:axId val="-2028288320"/>
        <c:scaling>
          <c:orientation val="minMax"/>
          <c:max val="24"/>
          <c:min val="-4"/>
        </c:scaling>
        <c:delete val="0"/>
        <c:axPos val="l"/>
        <c:majorGridlines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8233504"/>
        <c:crosses val="autoZero"/>
        <c:crossBetween val="midCat"/>
        <c:majorUnit val="6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959428737475696E-2"/>
          <c:y val="4.2765698983799803E-2"/>
          <c:w val="0.82215314206512302"/>
          <c:h val="0.91446860203239999"/>
        </c:manualLayout>
      </c:layout>
      <c:areaChart>
        <c:grouping val="standard"/>
        <c:varyColors val="0"/>
        <c:ser>
          <c:idx val="1"/>
          <c:order val="1"/>
          <c:spPr>
            <a:solidFill>
              <a:srgbClr val="BFBFBF"/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Requirement'!$AK$7:$AK$161</c:f>
              <c:numCache>
                <c:formatCode>0.000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3.3372222222222261</c:v>
                </c:pt>
                <c:pt idx="36">
                  <c:v>3.3372222222222261</c:v>
                </c:pt>
                <c:pt idx="37">
                  <c:v>3.3372222222222261</c:v>
                </c:pt>
                <c:pt idx="38">
                  <c:v>3.3372222222222261</c:v>
                </c:pt>
                <c:pt idx="39">
                  <c:v>3.3372222222222261</c:v>
                </c:pt>
                <c:pt idx="40">
                  <c:v>3.3372222222222261</c:v>
                </c:pt>
                <c:pt idx="41">
                  <c:v>3.3372222222222261</c:v>
                </c:pt>
                <c:pt idx="42">
                  <c:v>3.3372222222222261</c:v>
                </c:pt>
                <c:pt idx="43">
                  <c:v>3.3372222222222261</c:v>
                </c:pt>
                <c:pt idx="44">
                  <c:v>3.3372222222222261</c:v>
                </c:pt>
                <c:pt idx="45">
                  <c:v>3.3372222222222261</c:v>
                </c:pt>
                <c:pt idx="46">
                  <c:v>3.3372222222222261</c:v>
                </c:pt>
                <c:pt idx="47">
                  <c:v>3.3372222222222261</c:v>
                </c:pt>
                <c:pt idx="48">
                  <c:v>3.3372222222222261</c:v>
                </c:pt>
                <c:pt idx="49">
                  <c:v>3.3372222222222261</c:v>
                </c:pt>
                <c:pt idx="50">
                  <c:v>3.3372222222222261</c:v>
                </c:pt>
                <c:pt idx="51">
                  <c:v>3.3372222222222261</c:v>
                </c:pt>
                <c:pt idx="52">
                  <c:v>3.3372222222222261</c:v>
                </c:pt>
                <c:pt idx="53">
                  <c:v>3.3372222222222261</c:v>
                </c:pt>
                <c:pt idx="54">
                  <c:v>3.3372222222222261</c:v>
                </c:pt>
                <c:pt idx="55">
                  <c:v>3.3372222222222261</c:v>
                </c:pt>
                <c:pt idx="56">
                  <c:v>3.3372222222222261</c:v>
                </c:pt>
                <c:pt idx="57">
                  <c:v>3.3372222222222261</c:v>
                </c:pt>
                <c:pt idx="58">
                  <c:v>3.3372222222222261</c:v>
                </c:pt>
                <c:pt idx="59">
                  <c:v>3.3372222222222261</c:v>
                </c:pt>
                <c:pt idx="60">
                  <c:v>3.3372222222222261</c:v>
                </c:pt>
                <c:pt idx="61">
                  <c:v>3.3372222222222261</c:v>
                </c:pt>
                <c:pt idx="62">
                  <c:v>3.3372222222222261</c:v>
                </c:pt>
                <c:pt idx="63">
                  <c:v>3.3372222222222261</c:v>
                </c:pt>
                <c:pt idx="64">
                  <c:v>3.3372222222222261</c:v>
                </c:pt>
                <c:pt idx="65">
                  <c:v>4.1033333333333317</c:v>
                </c:pt>
                <c:pt idx="66">
                  <c:v>11.103333333333333</c:v>
                </c:pt>
                <c:pt idx="67">
                  <c:v>11.103333333333333</c:v>
                </c:pt>
                <c:pt idx="68">
                  <c:v>11.103333333333333</c:v>
                </c:pt>
                <c:pt idx="69">
                  <c:v>11.103333333333333</c:v>
                </c:pt>
                <c:pt idx="70">
                  <c:v>11.103333333333333</c:v>
                </c:pt>
                <c:pt idx="71">
                  <c:v>11.103333333333333</c:v>
                </c:pt>
                <c:pt idx="72">
                  <c:v>11.103333333333333</c:v>
                </c:pt>
                <c:pt idx="73">
                  <c:v>11.103333333333333</c:v>
                </c:pt>
                <c:pt idx="74">
                  <c:v>11.103333333333333</c:v>
                </c:pt>
                <c:pt idx="75">
                  <c:v>11.103333333333333</c:v>
                </c:pt>
                <c:pt idx="76">
                  <c:v>11.103333333333333</c:v>
                </c:pt>
                <c:pt idx="77">
                  <c:v>11.103333333333333</c:v>
                </c:pt>
                <c:pt idx="78">
                  <c:v>11.103333333333333</c:v>
                </c:pt>
                <c:pt idx="79">
                  <c:v>11.103333333333333</c:v>
                </c:pt>
                <c:pt idx="80">
                  <c:v>11.103333333333333</c:v>
                </c:pt>
                <c:pt idx="81">
                  <c:v>11.103333333333333</c:v>
                </c:pt>
                <c:pt idx="82">
                  <c:v>11.103333333333333</c:v>
                </c:pt>
                <c:pt idx="83">
                  <c:v>11.103333333333333</c:v>
                </c:pt>
                <c:pt idx="84">
                  <c:v>11.103333333333333</c:v>
                </c:pt>
                <c:pt idx="85">
                  <c:v>11.103333333333333</c:v>
                </c:pt>
                <c:pt idx="86">
                  <c:v>11.103333333333333</c:v>
                </c:pt>
                <c:pt idx="87">
                  <c:v>11.103333333333333</c:v>
                </c:pt>
                <c:pt idx="88">
                  <c:v>11.103333333333333</c:v>
                </c:pt>
                <c:pt idx="89">
                  <c:v>11.103333333333333</c:v>
                </c:pt>
                <c:pt idx="90">
                  <c:v>11.103333333333333</c:v>
                </c:pt>
                <c:pt idx="91">
                  <c:v>11.103333333333333</c:v>
                </c:pt>
                <c:pt idx="92">
                  <c:v>11.103333333333333</c:v>
                </c:pt>
                <c:pt idx="93">
                  <c:v>11.103333333333333</c:v>
                </c:pt>
                <c:pt idx="94">
                  <c:v>11.103333333333333</c:v>
                </c:pt>
                <c:pt idx="95">
                  <c:v>14.99</c:v>
                </c:pt>
                <c:pt idx="96">
                  <c:v>14.99</c:v>
                </c:pt>
                <c:pt idx="97">
                  <c:v>14.99</c:v>
                </c:pt>
                <c:pt idx="98">
                  <c:v>14.99</c:v>
                </c:pt>
                <c:pt idx="99">
                  <c:v>14.99</c:v>
                </c:pt>
                <c:pt idx="100">
                  <c:v>14.99</c:v>
                </c:pt>
                <c:pt idx="101">
                  <c:v>14.99</c:v>
                </c:pt>
                <c:pt idx="102">
                  <c:v>14.99</c:v>
                </c:pt>
                <c:pt idx="103">
                  <c:v>14.99</c:v>
                </c:pt>
                <c:pt idx="104">
                  <c:v>14.99</c:v>
                </c:pt>
                <c:pt idx="105">
                  <c:v>14.99</c:v>
                </c:pt>
                <c:pt idx="106">
                  <c:v>14.99</c:v>
                </c:pt>
                <c:pt idx="107">
                  <c:v>14.99</c:v>
                </c:pt>
                <c:pt idx="108">
                  <c:v>14.99</c:v>
                </c:pt>
                <c:pt idx="109">
                  <c:v>14.99</c:v>
                </c:pt>
                <c:pt idx="110">
                  <c:v>14.99</c:v>
                </c:pt>
                <c:pt idx="111">
                  <c:v>14.99</c:v>
                </c:pt>
                <c:pt idx="112">
                  <c:v>14.99</c:v>
                </c:pt>
                <c:pt idx="113">
                  <c:v>14.99</c:v>
                </c:pt>
                <c:pt idx="114">
                  <c:v>14.99</c:v>
                </c:pt>
                <c:pt idx="115">
                  <c:v>14.99</c:v>
                </c:pt>
                <c:pt idx="116">
                  <c:v>14.99</c:v>
                </c:pt>
                <c:pt idx="117">
                  <c:v>14.99</c:v>
                </c:pt>
                <c:pt idx="118">
                  <c:v>14.99</c:v>
                </c:pt>
                <c:pt idx="119">
                  <c:v>14.99</c:v>
                </c:pt>
                <c:pt idx="120">
                  <c:v>14.99</c:v>
                </c:pt>
                <c:pt idx="121">
                  <c:v>14.99</c:v>
                </c:pt>
                <c:pt idx="122">
                  <c:v>14.99</c:v>
                </c:pt>
                <c:pt idx="123">
                  <c:v>14.99</c:v>
                </c:pt>
                <c:pt idx="124">
                  <c:v>14.99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D-F347-8EEA-907F77EE0633}"/>
            </c:ext>
          </c:extLst>
        </c:ser>
        <c:ser>
          <c:idx val="2"/>
          <c:order val="2"/>
          <c:spPr>
            <a:solidFill>
              <a:schemeClr val="accent2">
                <a:lumMod val="60000"/>
                <a:lumOff val="40000"/>
              </a:schemeClr>
            </a:solidFill>
            <a:ln w="19050" cmpd="sng">
              <a:solidFill>
                <a:schemeClr val="tx1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Requirement'!$AL$7:$AL$161</c:f>
              <c:numCache>
                <c:formatCode>0.000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10.240980278545907</c:v>
                </c:pt>
                <c:pt idx="33">
                  <c:v>10.240980278545907</c:v>
                </c:pt>
                <c:pt idx="34">
                  <c:v>10.258394708645724</c:v>
                </c:pt>
                <c:pt idx="35">
                  <c:v>13.511098218690874</c:v>
                </c:pt>
                <c:pt idx="36">
                  <c:v>13.855872469213566</c:v>
                </c:pt>
                <c:pt idx="37">
                  <c:v>14.620368347834994</c:v>
                </c:pt>
                <c:pt idx="38">
                  <c:v>14.507325540336909</c:v>
                </c:pt>
                <c:pt idx="39">
                  <c:v>14.240547301007375</c:v>
                </c:pt>
                <c:pt idx="40">
                  <c:v>13.95262320498289</c:v>
                </c:pt>
                <c:pt idx="41">
                  <c:v>13.669562133794694</c:v>
                </c:pt>
                <c:pt idx="42">
                  <c:v>13.402848933015653</c:v>
                </c:pt>
                <c:pt idx="43">
                  <c:v>13.144808325343488</c:v>
                </c:pt>
                <c:pt idx="44">
                  <c:v>12.865386413228276</c:v>
                </c:pt>
                <c:pt idx="45">
                  <c:v>12.623901421423355</c:v>
                </c:pt>
                <c:pt idx="46">
                  <c:v>12.377833951983805</c:v>
                </c:pt>
                <c:pt idx="47">
                  <c:v>12.119087166826604</c:v>
                </c:pt>
                <c:pt idx="48">
                  <c:v>11.874861662798793</c:v>
                </c:pt>
                <c:pt idx="49">
                  <c:v>11.651086892654321</c:v>
                </c:pt>
                <c:pt idx="50">
                  <c:v>11.461843728786642</c:v>
                </c:pt>
                <c:pt idx="51">
                  <c:v>11.228968388642814</c:v>
                </c:pt>
                <c:pt idx="52">
                  <c:v>11.009660901354856</c:v>
                </c:pt>
                <c:pt idx="53">
                  <c:v>10.886026862691343</c:v>
                </c:pt>
                <c:pt idx="54">
                  <c:v>10.962585596042247</c:v>
                </c:pt>
                <c:pt idx="55">
                  <c:v>10.858170944886703</c:v>
                </c:pt>
                <c:pt idx="56">
                  <c:v>10.63382725544394</c:v>
                </c:pt>
                <c:pt idx="57">
                  <c:v>10.419206865611159</c:v>
                </c:pt>
                <c:pt idx="58">
                  <c:v>10.203765107488017</c:v>
                </c:pt>
                <c:pt idx="59">
                  <c:v>9.9674942045655222</c:v>
                </c:pt>
                <c:pt idx="60">
                  <c:v>9.7239904945810629</c:v>
                </c:pt>
                <c:pt idx="61">
                  <c:v>9.4910356229588544</c:v>
                </c:pt>
                <c:pt idx="62">
                  <c:v>9.2781440683465046</c:v>
                </c:pt>
                <c:pt idx="63">
                  <c:v>9.0636688825099654</c:v>
                </c:pt>
                <c:pt idx="64">
                  <c:v>8.7911512333957411</c:v>
                </c:pt>
                <c:pt idx="65">
                  <c:v>8.5018013431776449</c:v>
                </c:pt>
                <c:pt idx="66">
                  <c:v>8.4475317601340283</c:v>
                </c:pt>
                <c:pt idx="67">
                  <c:v>8.6265786760137448</c:v>
                </c:pt>
                <c:pt idx="68">
                  <c:v>8.3486249897884939</c:v>
                </c:pt>
                <c:pt idx="69">
                  <c:v>8.0637649270480498</c:v>
                </c:pt>
                <c:pt idx="70">
                  <c:v>7.7554047067373233</c:v>
                </c:pt>
                <c:pt idx="71">
                  <c:v>7.4025100143394464</c:v>
                </c:pt>
                <c:pt idx="72">
                  <c:v>7.0655798412792077</c:v>
                </c:pt>
                <c:pt idx="73">
                  <c:v>6.7560789050717158</c:v>
                </c:pt>
                <c:pt idx="74">
                  <c:v>6.4532392596823396</c:v>
                </c:pt>
                <c:pt idx="75">
                  <c:v>6.1846867293641621</c:v>
                </c:pt>
                <c:pt idx="76">
                  <c:v>5.9447275212387183</c:v>
                </c:pt>
                <c:pt idx="77">
                  <c:v>5.7076295608853806</c:v>
                </c:pt>
                <c:pt idx="78">
                  <c:v>5.4372255940318324</c:v>
                </c:pt>
                <c:pt idx="79">
                  <c:v>5.1412630589282777</c:v>
                </c:pt>
                <c:pt idx="80">
                  <c:v>4.8946254331678816</c:v>
                </c:pt>
                <c:pt idx="81">
                  <c:v>4.7596437086648002</c:v>
                </c:pt>
                <c:pt idx="82">
                  <c:v>4.6278093991210527</c:v>
                </c:pt>
                <c:pt idx="83">
                  <c:v>4.4256965631286551</c:v>
                </c:pt>
                <c:pt idx="84">
                  <c:v>4.2224143985640712</c:v>
                </c:pt>
                <c:pt idx="85">
                  <c:v>4.0178199529444356</c:v>
                </c:pt>
                <c:pt idx="86">
                  <c:v>3.8291277572115447</c:v>
                </c:pt>
                <c:pt idx="87">
                  <c:v>3.6504602953247125</c:v>
                </c:pt>
                <c:pt idx="88">
                  <c:v>3.4747712878194057</c:v>
                </c:pt>
                <c:pt idx="89">
                  <c:v>3.3007394674040307</c:v>
                </c:pt>
                <c:pt idx="90">
                  <c:v>3.1394667428654324</c:v>
                </c:pt>
                <c:pt idx="91">
                  <c:v>3.066187054500511</c:v>
                </c:pt>
                <c:pt idx="92">
                  <c:v>3.0860874970349084</c:v>
                </c:pt>
                <c:pt idx="93">
                  <c:v>2.9914626408587011</c:v>
                </c:pt>
                <c:pt idx="94">
                  <c:v>2.8039440550243966</c:v>
                </c:pt>
                <c:pt idx="95">
                  <c:v>2.6150750963815672</c:v>
                </c:pt>
                <c:pt idx="96">
                  <c:v>2.432165805522184</c:v>
                </c:pt>
                <c:pt idx="97">
                  <c:v>2.2467323408166817</c:v>
                </c:pt>
                <c:pt idx="98">
                  <c:v>2.0760567110892096</c:v>
                </c:pt>
                <c:pt idx="99">
                  <c:v>1.9161847670838572</c:v>
                </c:pt>
                <c:pt idx="100">
                  <c:v>1.7855811452981691</c:v>
                </c:pt>
                <c:pt idx="101">
                  <c:v>1.6608630093178753</c:v>
                </c:pt>
                <c:pt idx="102">
                  <c:v>1.5336187254486062</c:v>
                </c:pt>
                <c:pt idx="103">
                  <c:v>1.4136194095198247</c:v>
                </c:pt>
                <c:pt idx="104">
                  <c:v>1.2876532859023468</c:v>
                </c:pt>
                <c:pt idx="105">
                  <c:v>1.1456558326311501</c:v>
                </c:pt>
                <c:pt idx="106">
                  <c:v>1.0053737279998043</c:v>
                </c:pt>
                <c:pt idx="107">
                  <c:v>0.87570355436255987</c:v>
                </c:pt>
                <c:pt idx="108">
                  <c:v>0.77761173665220329</c:v>
                </c:pt>
                <c:pt idx="109">
                  <c:v>0.68420227465122418</c:v>
                </c:pt>
                <c:pt idx="110">
                  <c:v>0.586859762259615</c:v>
                </c:pt>
                <c:pt idx="111">
                  <c:v>0.48694537685140565</c:v>
                </c:pt>
                <c:pt idx="112">
                  <c:v>0.34772839209835837</c:v>
                </c:pt>
                <c:pt idx="113">
                  <c:v>0.21062388632673354</c:v>
                </c:pt>
                <c:pt idx="114">
                  <c:v>4.6669331212746565E-2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4D-F347-8EEA-907F77EE0633}"/>
            </c:ext>
          </c:extLst>
        </c:ser>
        <c:ser>
          <c:idx val="3"/>
          <c:order val="3"/>
          <c:spPr>
            <a:solidFill>
              <a:srgbClr val="C0504D"/>
            </a:solidFill>
            <a:ln w="19050" cmpd="sng">
              <a:solidFill>
                <a:srgbClr val="000000"/>
              </a:solidFill>
            </a:ln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Requirement'!$AM$7:$AM$161</c:f>
              <c:numCache>
                <c:formatCode>0.000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3.3372222222222261</c:v>
                </c:pt>
                <c:pt idx="36">
                  <c:v>3.3372222222222261</c:v>
                </c:pt>
                <c:pt idx="37">
                  <c:v>3.3372222222222261</c:v>
                </c:pt>
                <c:pt idx="38">
                  <c:v>3.3372222222222261</c:v>
                </c:pt>
                <c:pt idx="39">
                  <c:v>3.3372222222222261</c:v>
                </c:pt>
                <c:pt idx="40">
                  <c:v>3.3372222222222261</c:v>
                </c:pt>
                <c:pt idx="41">
                  <c:v>3.3372222222222261</c:v>
                </c:pt>
                <c:pt idx="42">
                  <c:v>3.3372222222222261</c:v>
                </c:pt>
                <c:pt idx="43">
                  <c:v>3.3372222222222261</c:v>
                </c:pt>
                <c:pt idx="44">
                  <c:v>3.3372222222222261</c:v>
                </c:pt>
                <c:pt idx="45">
                  <c:v>3.3372222222222261</c:v>
                </c:pt>
                <c:pt idx="46">
                  <c:v>3.3372222222222261</c:v>
                </c:pt>
                <c:pt idx="47">
                  <c:v>3.3372222222222261</c:v>
                </c:pt>
                <c:pt idx="48">
                  <c:v>3.3372222222222261</c:v>
                </c:pt>
                <c:pt idx="49">
                  <c:v>3.3372222222222261</c:v>
                </c:pt>
                <c:pt idx="50">
                  <c:v>3.3372222222222261</c:v>
                </c:pt>
                <c:pt idx="51">
                  <c:v>3.3372222222222261</c:v>
                </c:pt>
                <c:pt idx="52">
                  <c:v>3.3372222222222261</c:v>
                </c:pt>
                <c:pt idx="53">
                  <c:v>3.3372222222222261</c:v>
                </c:pt>
                <c:pt idx="54">
                  <c:v>3.3372222222222261</c:v>
                </c:pt>
                <c:pt idx="55">
                  <c:v>3.3372222222222261</c:v>
                </c:pt>
                <c:pt idx="56">
                  <c:v>3.3372222222222261</c:v>
                </c:pt>
                <c:pt idx="57">
                  <c:v>3.3372222222222261</c:v>
                </c:pt>
                <c:pt idx="58">
                  <c:v>3.3372222222222261</c:v>
                </c:pt>
                <c:pt idx="59">
                  <c:v>3.3372222222222261</c:v>
                </c:pt>
                <c:pt idx="60">
                  <c:v>3.3372222222222261</c:v>
                </c:pt>
                <c:pt idx="61">
                  <c:v>3.3372222222222261</c:v>
                </c:pt>
                <c:pt idx="62">
                  <c:v>3.3372222222222261</c:v>
                </c:pt>
                <c:pt idx="63">
                  <c:v>3.3372222222222261</c:v>
                </c:pt>
                <c:pt idx="64">
                  <c:v>3.3372222222222261</c:v>
                </c:pt>
                <c:pt idx="65">
                  <c:v>4.1033333333333317</c:v>
                </c:pt>
                <c:pt idx="66">
                  <c:v>8.4475317601340283</c:v>
                </c:pt>
                <c:pt idx="67">
                  <c:v>8.6265786760137448</c:v>
                </c:pt>
                <c:pt idx="68">
                  <c:v>8.3486249897884939</c:v>
                </c:pt>
                <c:pt idx="69">
                  <c:v>8.0637649270480498</c:v>
                </c:pt>
                <c:pt idx="70">
                  <c:v>7.7554047067373233</c:v>
                </c:pt>
                <c:pt idx="71">
                  <c:v>7.4025100143394464</c:v>
                </c:pt>
                <c:pt idx="72">
                  <c:v>7.0655798412792077</c:v>
                </c:pt>
                <c:pt idx="73">
                  <c:v>6.7560789050717158</c:v>
                </c:pt>
                <c:pt idx="74">
                  <c:v>6.4532392596823396</c:v>
                </c:pt>
                <c:pt idx="75">
                  <c:v>6.1846867293641621</c:v>
                </c:pt>
                <c:pt idx="76">
                  <c:v>5.9447275212387183</c:v>
                </c:pt>
                <c:pt idx="77">
                  <c:v>5.7076295608853806</c:v>
                </c:pt>
                <c:pt idx="78">
                  <c:v>5.4372255940318324</c:v>
                </c:pt>
                <c:pt idx="79">
                  <c:v>5.1412630589282777</c:v>
                </c:pt>
                <c:pt idx="80">
                  <c:v>4.8946254331678816</c:v>
                </c:pt>
                <c:pt idx="81">
                  <c:v>4.7596437086648002</c:v>
                </c:pt>
                <c:pt idx="82">
                  <c:v>4.6278093991210527</c:v>
                </c:pt>
                <c:pt idx="83">
                  <c:v>4.4256965631286551</c:v>
                </c:pt>
                <c:pt idx="84">
                  <c:v>4.2224143985640712</c:v>
                </c:pt>
                <c:pt idx="85">
                  <c:v>4.0178199529444356</c:v>
                </c:pt>
                <c:pt idx="86">
                  <c:v>3.8291277572115447</c:v>
                </c:pt>
                <c:pt idx="87">
                  <c:v>3.6504602953247125</c:v>
                </c:pt>
                <c:pt idx="88">
                  <c:v>3.4747712878194057</c:v>
                </c:pt>
                <c:pt idx="89">
                  <c:v>3.3007394674040307</c:v>
                </c:pt>
                <c:pt idx="90">
                  <c:v>3.1394667428654324</c:v>
                </c:pt>
                <c:pt idx="91">
                  <c:v>3.066187054500511</c:v>
                </c:pt>
                <c:pt idx="92">
                  <c:v>3.0860874970349084</c:v>
                </c:pt>
                <c:pt idx="93">
                  <c:v>2.9914626408587011</c:v>
                </c:pt>
                <c:pt idx="94">
                  <c:v>2.8039440550243966</c:v>
                </c:pt>
                <c:pt idx="95">
                  <c:v>2.6150750963815672</c:v>
                </c:pt>
                <c:pt idx="96">
                  <c:v>2.432165805522184</c:v>
                </c:pt>
                <c:pt idx="97">
                  <c:v>2.2467323408166817</c:v>
                </c:pt>
                <c:pt idx="98">
                  <c:v>2.0760567110892096</c:v>
                </c:pt>
                <c:pt idx="99">
                  <c:v>1.9161847670838572</c:v>
                </c:pt>
                <c:pt idx="100">
                  <c:v>1.7855811452981691</c:v>
                </c:pt>
                <c:pt idx="101">
                  <c:v>1.6608630093178753</c:v>
                </c:pt>
                <c:pt idx="102">
                  <c:v>1.5336187254486062</c:v>
                </c:pt>
                <c:pt idx="103">
                  <c:v>1.4136194095198247</c:v>
                </c:pt>
                <c:pt idx="104">
                  <c:v>1.2876532859023468</c:v>
                </c:pt>
                <c:pt idx="105">
                  <c:v>1.1456558326311501</c:v>
                </c:pt>
                <c:pt idx="106">
                  <c:v>1.0053737279998043</c:v>
                </c:pt>
                <c:pt idx="107">
                  <c:v>0.87570355436255987</c:v>
                </c:pt>
                <c:pt idx="108">
                  <c:v>0.77761173665220329</c:v>
                </c:pt>
                <c:pt idx="109">
                  <c:v>0.68420227465122418</c:v>
                </c:pt>
                <c:pt idx="110">
                  <c:v>0.586859762259615</c:v>
                </c:pt>
                <c:pt idx="111">
                  <c:v>0.48694537685140565</c:v>
                </c:pt>
                <c:pt idx="112">
                  <c:v>0.34772839209835837</c:v>
                </c:pt>
                <c:pt idx="113">
                  <c:v>0.21062388632673354</c:v>
                </c:pt>
                <c:pt idx="114">
                  <c:v>4.6669331212746565E-2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4D-F347-8EEA-907F77EE0633}"/>
            </c:ext>
          </c:extLst>
        </c:ser>
        <c:ser>
          <c:idx val="0"/>
          <c:order val="0"/>
          <c:spPr>
            <a:solidFill>
              <a:schemeClr val="accent5">
                <a:lumMod val="60000"/>
                <a:lumOff val="40000"/>
              </a:schemeClr>
            </a:solidFill>
            <a:ln w="19050" cmpd="sng">
              <a:solidFill>
                <a:srgbClr val="000000"/>
              </a:solidFill>
            </a:ln>
            <a:effectLst/>
          </c:spPr>
          <c:cat>
            <c:numRef>
              <c:f>'Crop Water Requirement'!$W$7:$W$161</c:f>
              <c:numCache>
                <c:formatCode>m/d;@</c:formatCode>
                <c:ptCount val="155"/>
                <c:pt idx="0">
                  <c:v>42260</c:v>
                </c:pt>
                <c:pt idx="1">
                  <c:v>42261</c:v>
                </c:pt>
                <c:pt idx="2">
                  <c:v>42262</c:v>
                </c:pt>
                <c:pt idx="3">
                  <c:v>42263</c:v>
                </c:pt>
                <c:pt idx="4">
                  <c:v>42264</c:v>
                </c:pt>
                <c:pt idx="5">
                  <c:v>42265</c:v>
                </c:pt>
                <c:pt idx="6">
                  <c:v>42266</c:v>
                </c:pt>
                <c:pt idx="7">
                  <c:v>42267</c:v>
                </c:pt>
                <c:pt idx="8">
                  <c:v>42268</c:v>
                </c:pt>
                <c:pt idx="9">
                  <c:v>42269</c:v>
                </c:pt>
                <c:pt idx="10">
                  <c:v>42270</c:v>
                </c:pt>
                <c:pt idx="11">
                  <c:v>42271</c:v>
                </c:pt>
                <c:pt idx="12">
                  <c:v>42272</c:v>
                </c:pt>
                <c:pt idx="13">
                  <c:v>42273</c:v>
                </c:pt>
                <c:pt idx="14">
                  <c:v>42274</c:v>
                </c:pt>
                <c:pt idx="15">
                  <c:v>42275</c:v>
                </c:pt>
                <c:pt idx="16">
                  <c:v>42276</c:v>
                </c:pt>
                <c:pt idx="17">
                  <c:v>42277</c:v>
                </c:pt>
                <c:pt idx="18">
                  <c:v>42278</c:v>
                </c:pt>
                <c:pt idx="19">
                  <c:v>42279</c:v>
                </c:pt>
                <c:pt idx="20">
                  <c:v>42280</c:v>
                </c:pt>
                <c:pt idx="21">
                  <c:v>42281</c:v>
                </c:pt>
                <c:pt idx="22">
                  <c:v>42282</c:v>
                </c:pt>
                <c:pt idx="23">
                  <c:v>42283</c:v>
                </c:pt>
                <c:pt idx="24">
                  <c:v>42284</c:v>
                </c:pt>
                <c:pt idx="25">
                  <c:v>42285</c:v>
                </c:pt>
                <c:pt idx="26">
                  <c:v>42286</c:v>
                </c:pt>
                <c:pt idx="27">
                  <c:v>42287</c:v>
                </c:pt>
                <c:pt idx="28">
                  <c:v>42288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42294</c:v>
                </c:pt>
                <c:pt idx="35">
                  <c:v>42295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42301</c:v>
                </c:pt>
                <c:pt idx="42">
                  <c:v>42302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42308</c:v>
                </c:pt>
                <c:pt idx="49">
                  <c:v>42309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42316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42322</c:v>
                </c:pt>
                <c:pt idx="63">
                  <c:v>42323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42329</c:v>
                </c:pt>
                <c:pt idx="70">
                  <c:v>42330</c:v>
                </c:pt>
                <c:pt idx="71">
                  <c:v>42331</c:v>
                </c:pt>
                <c:pt idx="72">
                  <c:v>42332</c:v>
                </c:pt>
                <c:pt idx="73">
                  <c:v>42333</c:v>
                </c:pt>
                <c:pt idx="74">
                  <c:v>42334</c:v>
                </c:pt>
                <c:pt idx="75">
                  <c:v>42335</c:v>
                </c:pt>
                <c:pt idx="76">
                  <c:v>42336</c:v>
                </c:pt>
                <c:pt idx="77">
                  <c:v>42337</c:v>
                </c:pt>
                <c:pt idx="78">
                  <c:v>42338</c:v>
                </c:pt>
                <c:pt idx="79">
                  <c:v>42339</c:v>
                </c:pt>
                <c:pt idx="80">
                  <c:v>42340</c:v>
                </c:pt>
                <c:pt idx="81">
                  <c:v>42341</c:v>
                </c:pt>
                <c:pt idx="82">
                  <c:v>42342</c:v>
                </c:pt>
                <c:pt idx="83">
                  <c:v>42343</c:v>
                </c:pt>
                <c:pt idx="84">
                  <c:v>42344</c:v>
                </c:pt>
                <c:pt idx="85">
                  <c:v>42345</c:v>
                </c:pt>
                <c:pt idx="86">
                  <c:v>42346</c:v>
                </c:pt>
                <c:pt idx="87">
                  <c:v>42347</c:v>
                </c:pt>
                <c:pt idx="88">
                  <c:v>42348</c:v>
                </c:pt>
                <c:pt idx="89">
                  <c:v>42349</c:v>
                </c:pt>
                <c:pt idx="90">
                  <c:v>42350</c:v>
                </c:pt>
                <c:pt idx="91">
                  <c:v>42351</c:v>
                </c:pt>
                <c:pt idx="92">
                  <c:v>42352</c:v>
                </c:pt>
                <c:pt idx="93">
                  <c:v>42353</c:v>
                </c:pt>
                <c:pt idx="94">
                  <c:v>42354</c:v>
                </c:pt>
                <c:pt idx="95">
                  <c:v>42355</c:v>
                </c:pt>
                <c:pt idx="96">
                  <c:v>42356</c:v>
                </c:pt>
                <c:pt idx="97">
                  <c:v>42357</c:v>
                </c:pt>
                <c:pt idx="98">
                  <c:v>42358</c:v>
                </c:pt>
                <c:pt idx="99">
                  <c:v>42359</c:v>
                </c:pt>
                <c:pt idx="100">
                  <c:v>42360</c:v>
                </c:pt>
                <c:pt idx="101">
                  <c:v>42361</c:v>
                </c:pt>
                <c:pt idx="102">
                  <c:v>42362</c:v>
                </c:pt>
                <c:pt idx="103">
                  <c:v>42363</c:v>
                </c:pt>
                <c:pt idx="104">
                  <c:v>42364</c:v>
                </c:pt>
                <c:pt idx="105">
                  <c:v>42365</c:v>
                </c:pt>
                <c:pt idx="106">
                  <c:v>42366</c:v>
                </c:pt>
                <c:pt idx="107">
                  <c:v>42367</c:v>
                </c:pt>
                <c:pt idx="108">
                  <c:v>42368</c:v>
                </c:pt>
                <c:pt idx="109">
                  <c:v>42369</c:v>
                </c:pt>
                <c:pt idx="110">
                  <c:v>42370</c:v>
                </c:pt>
                <c:pt idx="111">
                  <c:v>42371</c:v>
                </c:pt>
                <c:pt idx="112">
                  <c:v>42372</c:v>
                </c:pt>
                <c:pt idx="113">
                  <c:v>42373</c:v>
                </c:pt>
                <c:pt idx="114">
                  <c:v>42374</c:v>
                </c:pt>
                <c:pt idx="115">
                  <c:v>42375</c:v>
                </c:pt>
                <c:pt idx="116">
                  <c:v>42376</c:v>
                </c:pt>
                <c:pt idx="117">
                  <c:v>42377</c:v>
                </c:pt>
                <c:pt idx="118">
                  <c:v>42378</c:v>
                </c:pt>
                <c:pt idx="119">
                  <c:v>42379</c:v>
                </c:pt>
                <c:pt idx="120">
                  <c:v>42380</c:v>
                </c:pt>
                <c:pt idx="121">
                  <c:v>42381</c:v>
                </c:pt>
                <c:pt idx="122">
                  <c:v>42382</c:v>
                </c:pt>
                <c:pt idx="123">
                  <c:v>42383</c:v>
                </c:pt>
                <c:pt idx="124">
                  <c:v>42384</c:v>
                </c:pt>
                <c:pt idx="125">
                  <c:v>42385</c:v>
                </c:pt>
                <c:pt idx="126">
                  <c:v>42386</c:v>
                </c:pt>
                <c:pt idx="127">
                  <c:v>42387</c:v>
                </c:pt>
                <c:pt idx="128">
                  <c:v>42388</c:v>
                </c:pt>
                <c:pt idx="129">
                  <c:v>42389</c:v>
                </c:pt>
                <c:pt idx="130">
                  <c:v>42390</c:v>
                </c:pt>
                <c:pt idx="131">
                  <c:v>42391</c:v>
                </c:pt>
                <c:pt idx="132">
                  <c:v>42392</c:v>
                </c:pt>
                <c:pt idx="133">
                  <c:v>42393</c:v>
                </c:pt>
                <c:pt idx="134">
                  <c:v>42394</c:v>
                </c:pt>
                <c:pt idx="135">
                  <c:v>42395</c:v>
                </c:pt>
                <c:pt idx="136">
                  <c:v>42396</c:v>
                </c:pt>
                <c:pt idx="137">
                  <c:v>42397</c:v>
                </c:pt>
                <c:pt idx="138">
                  <c:v>42398</c:v>
                </c:pt>
                <c:pt idx="139">
                  <c:v>42399</c:v>
                </c:pt>
                <c:pt idx="140">
                  <c:v>42400</c:v>
                </c:pt>
                <c:pt idx="141">
                  <c:v>42401</c:v>
                </c:pt>
                <c:pt idx="142">
                  <c:v>42402</c:v>
                </c:pt>
                <c:pt idx="143">
                  <c:v>42403</c:v>
                </c:pt>
                <c:pt idx="144">
                  <c:v>42404</c:v>
                </c:pt>
                <c:pt idx="145">
                  <c:v>42405</c:v>
                </c:pt>
                <c:pt idx="146">
                  <c:v>42406</c:v>
                </c:pt>
                <c:pt idx="147">
                  <c:v>42407</c:v>
                </c:pt>
                <c:pt idx="148">
                  <c:v>42408</c:v>
                </c:pt>
                <c:pt idx="149">
                  <c:v>42409</c:v>
                </c:pt>
                <c:pt idx="150">
                  <c:v>42410</c:v>
                </c:pt>
                <c:pt idx="151">
                  <c:v>42411</c:v>
                </c:pt>
                <c:pt idx="152">
                  <c:v>42412</c:v>
                </c:pt>
                <c:pt idx="153">
                  <c:v>42413</c:v>
                </c:pt>
                <c:pt idx="154">
                  <c:v>42414</c:v>
                </c:pt>
              </c:numCache>
            </c:numRef>
          </c:cat>
          <c:val>
            <c:numRef>
              <c:f>'Crop Water Requirement'!$G$7:$G$161</c:f>
              <c:numCache>
                <c:formatCode>0.00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-3.6627777777777744</c:v>
                </c:pt>
                <c:pt idx="36">
                  <c:v>-3.6627777777777744</c:v>
                </c:pt>
                <c:pt idx="37">
                  <c:v>-3.6627777777777744</c:v>
                </c:pt>
                <c:pt idx="38">
                  <c:v>-3.6627777777777744</c:v>
                </c:pt>
                <c:pt idx="39">
                  <c:v>-3.6627777777777744</c:v>
                </c:pt>
                <c:pt idx="40">
                  <c:v>-3.6627777777777744</c:v>
                </c:pt>
                <c:pt idx="41">
                  <c:v>-3.6627777777777744</c:v>
                </c:pt>
                <c:pt idx="42">
                  <c:v>-3.6627777777777744</c:v>
                </c:pt>
                <c:pt idx="43">
                  <c:v>-3.6627777777777744</c:v>
                </c:pt>
                <c:pt idx="44">
                  <c:v>-3.6627777777777744</c:v>
                </c:pt>
                <c:pt idx="45">
                  <c:v>-3.6627777777777744</c:v>
                </c:pt>
                <c:pt idx="46">
                  <c:v>-3.6627777777777744</c:v>
                </c:pt>
                <c:pt idx="47">
                  <c:v>-3.6627777777777744</c:v>
                </c:pt>
                <c:pt idx="48">
                  <c:v>-3.6627777777777744</c:v>
                </c:pt>
                <c:pt idx="49">
                  <c:v>-3.6627777777777744</c:v>
                </c:pt>
                <c:pt idx="50">
                  <c:v>-3.6627777777777744</c:v>
                </c:pt>
                <c:pt idx="51">
                  <c:v>-3.6627777777777744</c:v>
                </c:pt>
                <c:pt idx="52">
                  <c:v>-3.6627777777777744</c:v>
                </c:pt>
                <c:pt idx="53">
                  <c:v>-3.6627777777777744</c:v>
                </c:pt>
                <c:pt idx="54">
                  <c:v>-3.6627777777777744</c:v>
                </c:pt>
                <c:pt idx="55">
                  <c:v>-3.6627777777777744</c:v>
                </c:pt>
                <c:pt idx="56">
                  <c:v>-3.6627777777777744</c:v>
                </c:pt>
                <c:pt idx="57">
                  <c:v>-3.6627777777777744</c:v>
                </c:pt>
                <c:pt idx="58">
                  <c:v>-3.6627777777777744</c:v>
                </c:pt>
                <c:pt idx="59">
                  <c:v>-3.6627777777777744</c:v>
                </c:pt>
                <c:pt idx="60">
                  <c:v>-3.6627777777777744</c:v>
                </c:pt>
                <c:pt idx="61">
                  <c:v>-3.6627777777777744</c:v>
                </c:pt>
                <c:pt idx="62">
                  <c:v>-3.6627777777777744</c:v>
                </c:pt>
                <c:pt idx="63">
                  <c:v>-3.6627777777777744</c:v>
                </c:pt>
                <c:pt idx="64">
                  <c:v>-3.6627777777777744</c:v>
                </c:pt>
                <c:pt idx="65">
                  <c:v>-2.8966666666666683</c:v>
                </c:pt>
                <c:pt idx="66">
                  <c:v>-2.8966666666666683</c:v>
                </c:pt>
                <c:pt idx="67">
                  <c:v>-2.8966666666666683</c:v>
                </c:pt>
                <c:pt idx="68">
                  <c:v>-2.8966666666666683</c:v>
                </c:pt>
                <c:pt idx="69">
                  <c:v>-2.8966666666666683</c:v>
                </c:pt>
                <c:pt idx="70">
                  <c:v>-2.8966666666666683</c:v>
                </c:pt>
                <c:pt idx="71">
                  <c:v>-2.8966666666666683</c:v>
                </c:pt>
                <c:pt idx="72">
                  <c:v>-2.8966666666666683</c:v>
                </c:pt>
                <c:pt idx="73">
                  <c:v>-2.8966666666666683</c:v>
                </c:pt>
                <c:pt idx="74">
                  <c:v>-2.8966666666666683</c:v>
                </c:pt>
                <c:pt idx="75">
                  <c:v>-2.8966666666666683</c:v>
                </c:pt>
                <c:pt idx="76">
                  <c:v>-2.8966666666666683</c:v>
                </c:pt>
                <c:pt idx="77">
                  <c:v>-2.8966666666666683</c:v>
                </c:pt>
                <c:pt idx="78">
                  <c:v>-2.8966666666666683</c:v>
                </c:pt>
                <c:pt idx="79">
                  <c:v>-2.8966666666666683</c:v>
                </c:pt>
                <c:pt idx="80">
                  <c:v>-2.8966666666666683</c:v>
                </c:pt>
                <c:pt idx="81">
                  <c:v>-2.8966666666666683</c:v>
                </c:pt>
                <c:pt idx="82">
                  <c:v>-2.8966666666666683</c:v>
                </c:pt>
                <c:pt idx="83">
                  <c:v>-2.8966666666666683</c:v>
                </c:pt>
                <c:pt idx="84">
                  <c:v>-2.8966666666666683</c:v>
                </c:pt>
                <c:pt idx="85">
                  <c:v>-2.8966666666666683</c:v>
                </c:pt>
                <c:pt idx="86">
                  <c:v>-2.8966666666666683</c:v>
                </c:pt>
                <c:pt idx="87">
                  <c:v>-2.8966666666666683</c:v>
                </c:pt>
                <c:pt idx="88">
                  <c:v>-2.8966666666666683</c:v>
                </c:pt>
                <c:pt idx="89">
                  <c:v>-2.8966666666666683</c:v>
                </c:pt>
                <c:pt idx="90">
                  <c:v>-2.8966666666666683</c:v>
                </c:pt>
                <c:pt idx="91">
                  <c:v>-2.8966666666666683</c:v>
                </c:pt>
                <c:pt idx="92">
                  <c:v>-2.8966666666666683</c:v>
                </c:pt>
                <c:pt idx="93">
                  <c:v>-2.8966666666666683</c:v>
                </c:pt>
                <c:pt idx="94">
                  <c:v>-2.8966666666666683</c:v>
                </c:pt>
                <c:pt idx="95">
                  <c:v>-0.01</c:v>
                </c:pt>
                <c:pt idx="96">
                  <c:v>-0.01</c:v>
                </c:pt>
                <c:pt idx="97">
                  <c:v>-0.01</c:v>
                </c:pt>
                <c:pt idx="98">
                  <c:v>-0.01</c:v>
                </c:pt>
                <c:pt idx="99">
                  <c:v>-0.01</c:v>
                </c:pt>
                <c:pt idx="100">
                  <c:v>-0.01</c:v>
                </c:pt>
                <c:pt idx="101">
                  <c:v>-0.01</c:v>
                </c:pt>
                <c:pt idx="102">
                  <c:v>-0.01</c:v>
                </c:pt>
                <c:pt idx="103">
                  <c:v>-0.01</c:v>
                </c:pt>
                <c:pt idx="104">
                  <c:v>-0.01</c:v>
                </c:pt>
                <c:pt idx="105">
                  <c:v>-0.01</c:v>
                </c:pt>
                <c:pt idx="106">
                  <c:v>-0.01</c:v>
                </c:pt>
                <c:pt idx="107">
                  <c:v>-0.01</c:v>
                </c:pt>
                <c:pt idx="108">
                  <c:v>-0.01</c:v>
                </c:pt>
                <c:pt idx="109">
                  <c:v>-0.01</c:v>
                </c:pt>
                <c:pt idx="110">
                  <c:v>-0.01</c:v>
                </c:pt>
                <c:pt idx="111">
                  <c:v>-0.01</c:v>
                </c:pt>
                <c:pt idx="112">
                  <c:v>-0.01</c:v>
                </c:pt>
                <c:pt idx="113">
                  <c:v>-0.01</c:v>
                </c:pt>
                <c:pt idx="114">
                  <c:v>-0.01</c:v>
                </c:pt>
                <c:pt idx="115">
                  <c:v>-0.01</c:v>
                </c:pt>
                <c:pt idx="116">
                  <c:v>-0.01</c:v>
                </c:pt>
                <c:pt idx="117">
                  <c:v>-0.01</c:v>
                </c:pt>
                <c:pt idx="118">
                  <c:v>-0.01</c:v>
                </c:pt>
                <c:pt idx="119">
                  <c:v>-0.01</c:v>
                </c:pt>
                <c:pt idx="120">
                  <c:v>-0.01</c:v>
                </c:pt>
                <c:pt idx="121">
                  <c:v>-0.01</c:v>
                </c:pt>
                <c:pt idx="122">
                  <c:v>-0.01</c:v>
                </c:pt>
                <c:pt idx="123">
                  <c:v>-0.01</c:v>
                </c:pt>
                <c:pt idx="124">
                  <c:v>-0.01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4D-F347-8EEA-907F77EE0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722112"/>
        <c:axId val="-2025719088"/>
      </c:areaChart>
      <c:dateAx>
        <c:axId val="-2025722112"/>
        <c:scaling>
          <c:orientation val="minMax"/>
          <c:min val="42294"/>
        </c:scaling>
        <c:delete val="1"/>
        <c:axPos val="b"/>
        <c:numFmt formatCode="m/d;@" sourceLinked="1"/>
        <c:majorTickMark val="in"/>
        <c:minorTickMark val="none"/>
        <c:tickLblPos val="nextTo"/>
        <c:crossAx val="-2025719088"/>
        <c:crosses val="autoZero"/>
        <c:auto val="1"/>
        <c:lblOffset val="100"/>
        <c:baseTimeUnit val="days"/>
        <c:majorUnit val="28"/>
        <c:majorTimeUnit val="days"/>
      </c:dateAx>
      <c:valAx>
        <c:axId val="-2025719088"/>
        <c:scaling>
          <c:orientation val="minMax"/>
          <c:max val="24"/>
          <c:min val="-4"/>
        </c:scaling>
        <c:delete val="0"/>
        <c:axPos val="l"/>
        <c:majorGridlines/>
        <c:numFmt formatCode="General" sourceLinked="0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025722112"/>
        <c:crosses val="autoZero"/>
        <c:crossBetween val="midCat"/>
        <c:majorUnit val="6"/>
      </c:valAx>
      <c:spPr>
        <a:ln w="19050" cmpd="sng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18" Type="http://schemas.openxmlformats.org/officeDocument/2006/relationships/chart" Target="../charts/chart2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image" Target="../media/image8.png"/><Relationship Id="rId3" Type="http://schemas.openxmlformats.org/officeDocument/2006/relationships/image" Target="../media/image5.png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2" Type="http://schemas.openxmlformats.org/officeDocument/2006/relationships/image" Target="../media/image4.png"/><Relationship Id="rId1" Type="http://schemas.openxmlformats.org/officeDocument/2006/relationships/image" Target="../media/image3.emf"/><Relationship Id="rId6" Type="http://schemas.openxmlformats.org/officeDocument/2006/relationships/image" Target="../media/image7.png"/><Relationship Id="rId11" Type="http://schemas.openxmlformats.org/officeDocument/2006/relationships/chart" Target="../charts/chart58.xml"/><Relationship Id="rId5" Type="http://schemas.openxmlformats.org/officeDocument/2006/relationships/chart" Target="../charts/chart53.xml"/><Relationship Id="rId15" Type="http://schemas.openxmlformats.org/officeDocument/2006/relationships/chart" Target="../charts/chart61.xml"/><Relationship Id="rId10" Type="http://schemas.openxmlformats.org/officeDocument/2006/relationships/chart" Target="../charts/chart57.xml"/><Relationship Id="rId4" Type="http://schemas.openxmlformats.org/officeDocument/2006/relationships/image" Target="../media/image6.png"/><Relationship Id="rId9" Type="http://schemas.openxmlformats.org/officeDocument/2006/relationships/chart" Target="../charts/chart56.xml"/><Relationship Id="rId14" Type="http://schemas.openxmlformats.org/officeDocument/2006/relationships/chart" Target="../charts/chart60.xml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4.xml"/><Relationship Id="rId18" Type="http://schemas.openxmlformats.org/officeDocument/2006/relationships/chart" Target="../charts/chart79.xml"/><Relationship Id="rId26" Type="http://schemas.openxmlformats.org/officeDocument/2006/relationships/chart" Target="../charts/chart87.xml"/><Relationship Id="rId39" Type="http://schemas.openxmlformats.org/officeDocument/2006/relationships/chart" Target="../charts/chart100.xml"/><Relationship Id="rId21" Type="http://schemas.openxmlformats.org/officeDocument/2006/relationships/chart" Target="../charts/chart82.xml"/><Relationship Id="rId34" Type="http://schemas.openxmlformats.org/officeDocument/2006/relationships/chart" Target="../charts/chart95.xml"/><Relationship Id="rId42" Type="http://schemas.openxmlformats.org/officeDocument/2006/relationships/chart" Target="../charts/chart103.xml"/><Relationship Id="rId7" Type="http://schemas.openxmlformats.org/officeDocument/2006/relationships/chart" Target="../charts/chart6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20" Type="http://schemas.openxmlformats.org/officeDocument/2006/relationships/chart" Target="../charts/chart81.xml"/><Relationship Id="rId29" Type="http://schemas.openxmlformats.org/officeDocument/2006/relationships/chart" Target="../charts/chart90.xml"/><Relationship Id="rId41" Type="http://schemas.openxmlformats.org/officeDocument/2006/relationships/chart" Target="../charts/chart102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24" Type="http://schemas.openxmlformats.org/officeDocument/2006/relationships/chart" Target="../charts/chart85.xml"/><Relationship Id="rId32" Type="http://schemas.openxmlformats.org/officeDocument/2006/relationships/chart" Target="../charts/chart93.xml"/><Relationship Id="rId37" Type="http://schemas.openxmlformats.org/officeDocument/2006/relationships/chart" Target="../charts/chart98.xml"/><Relationship Id="rId40" Type="http://schemas.openxmlformats.org/officeDocument/2006/relationships/chart" Target="../charts/chart101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23" Type="http://schemas.openxmlformats.org/officeDocument/2006/relationships/chart" Target="../charts/chart84.xml"/><Relationship Id="rId28" Type="http://schemas.openxmlformats.org/officeDocument/2006/relationships/chart" Target="../charts/chart89.xml"/><Relationship Id="rId36" Type="http://schemas.openxmlformats.org/officeDocument/2006/relationships/chart" Target="../charts/chart97.xml"/><Relationship Id="rId10" Type="http://schemas.openxmlformats.org/officeDocument/2006/relationships/chart" Target="../charts/chart71.xml"/><Relationship Id="rId19" Type="http://schemas.openxmlformats.org/officeDocument/2006/relationships/chart" Target="../charts/chart80.xml"/><Relationship Id="rId31" Type="http://schemas.openxmlformats.org/officeDocument/2006/relationships/chart" Target="../charts/chart92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Relationship Id="rId22" Type="http://schemas.openxmlformats.org/officeDocument/2006/relationships/chart" Target="../charts/chart83.xml"/><Relationship Id="rId27" Type="http://schemas.openxmlformats.org/officeDocument/2006/relationships/chart" Target="../charts/chart88.xml"/><Relationship Id="rId30" Type="http://schemas.openxmlformats.org/officeDocument/2006/relationships/chart" Target="../charts/chart91.xml"/><Relationship Id="rId35" Type="http://schemas.openxmlformats.org/officeDocument/2006/relationships/chart" Target="../charts/chart96.xml"/><Relationship Id="rId8" Type="http://schemas.openxmlformats.org/officeDocument/2006/relationships/chart" Target="../charts/chart69.xml"/><Relationship Id="rId3" Type="http://schemas.openxmlformats.org/officeDocument/2006/relationships/chart" Target="../charts/chart64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5" Type="http://schemas.openxmlformats.org/officeDocument/2006/relationships/chart" Target="../charts/chart86.xml"/><Relationship Id="rId33" Type="http://schemas.openxmlformats.org/officeDocument/2006/relationships/chart" Target="../charts/chart94.xml"/><Relationship Id="rId38" Type="http://schemas.openxmlformats.org/officeDocument/2006/relationships/chart" Target="../charts/chart9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1.xml"/><Relationship Id="rId3" Type="http://schemas.openxmlformats.org/officeDocument/2006/relationships/chart" Target="../charts/chart106.xml"/><Relationship Id="rId7" Type="http://schemas.openxmlformats.org/officeDocument/2006/relationships/chart" Target="../charts/chart110.xml"/><Relationship Id="rId12" Type="http://schemas.openxmlformats.org/officeDocument/2006/relationships/chart" Target="../charts/chart115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6" Type="http://schemas.openxmlformats.org/officeDocument/2006/relationships/chart" Target="../charts/chart109.xml"/><Relationship Id="rId11" Type="http://schemas.openxmlformats.org/officeDocument/2006/relationships/chart" Target="../charts/chart114.xml"/><Relationship Id="rId5" Type="http://schemas.openxmlformats.org/officeDocument/2006/relationships/chart" Target="../charts/chart108.xml"/><Relationship Id="rId10" Type="http://schemas.openxmlformats.org/officeDocument/2006/relationships/chart" Target="../charts/chart113.xml"/><Relationship Id="rId4" Type="http://schemas.openxmlformats.org/officeDocument/2006/relationships/chart" Target="../charts/chart107.xml"/><Relationship Id="rId9" Type="http://schemas.openxmlformats.org/officeDocument/2006/relationships/chart" Target="../charts/chart112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3.xml"/><Relationship Id="rId3" Type="http://schemas.openxmlformats.org/officeDocument/2006/relationships/chart" Target="../charts/chart118.xml"/><Relationship Id="rId7" Type="http://schemas.openxmlformats.org/officeDocument/2006/relationships/chart" Target="../charts/chart122.xml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Relationship Id="rId6" Type="http://schemas.openxmlformats.org/officeDocument/2006/relationships/chart" Target="../charts/chart121.xml"/><Relationship Id="rId5" Type="http://schemas.openxmlformats.org/officeDocument/2006/relationships/chart" Target="../charts/chart120.xml"/><Relationship Id="rId10" Type="http://schemas.openxmlformats.org/officeDocument/2006/relationships/chart" Target="../charts/chart125.xml"/><Relationship Id="rId4" Type="http://schemas.openxmlformats.org/officeDocument/2006/relationships/chart" Target="../charts/chart119.xml"/><Relationship Id="rId9" Type="http://schemas.openxmlformats.org/officeDocument/2006/relationships/chart" Target="../charts/chart1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393700</xdr:colOff>
      <xdr:row>6</xdr:row>
      <xdr:rowOff>127000</xdr:rowOff>
    </xdr:from>
    <xdr:to>
      <xdr:col>45</xdr:col>
      <xdr:colOff>609600</xdr:colOff>
      <xdr:row>46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381000</xdr:colOff>
      <xdr:row>49</xdr:row>
      <xdr:rowOff>76200</xdr:rowOff>
    </xdr:from>
    <xdr:to>
      <xdr:col>56</xdr:col>
      <xdr:colOff>25400</xdr:colOff>
      <xdr:row>85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177800</xdr:colOff>
      <xdr:row>17</xdr:row>
      <xdr:rowOff>12700</xdr:rowOff>
    </xdr:from>
    <xdr:to>
      <xdr:col>82</xdr:col>
      <xdr:colOff>774700</xdr:colOff>
      <xdr:row>30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241300</xdr:colOff>
      <xdr:row>30</xdr:row>
      <xdr:rowOff>25400</xdr:rowOff>
    </xdr:from>
    <xdr:to>
      <xdr:col>82</xdr:col>
      <xdr:colOff>266700</xdr:colOff>
      <xdr:row>44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70</xdr:col>
      <xdr:colOff>279400</xdr:colOff>
      <xdr:row>43</xdr:row>
      <xdr:rowOff>177800</xdr:rowOff>
    </xdr:from>
    <xdr:to>
      <xdr:col>82</xdr:col>
      <xdr:colOff>152400</xdr:colOff>
      <xdr:row>64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6</xdr:row>
      <xdr:rowOff>139700</xdr:rowOff>
    </xdr:from>
    <xdr:to>
      <xdr:col>55</xdr:col>
      <xdr:colOff>215900</xdr:colOff>
      <xdr:row>47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393700</xdr:colOff>
      <xdr:row>49</xdr:row>
      <xdr:rowOff>0</xdr:rowOff>
    </xdr:from>
    <xdr:to>
      <xdr:col>45</xdr:col>
      <xdr:colOff>609600</xdr:colOff>
      <xdr:row>89</xdr:row>
      <xdr:rowOff>50800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57</xdr:col>
      <xdr:colOff>203200</xdr:colOff>
      <xdr:row>65</xdr:row>
      <xdr:rowOff>127000</xdr:rowOff>
    </xdr:from>
    <xdr:to>
      <xdr:col>62</xdr:col>
      <xdr:colOff>647700</xdr:colOff>
      <xdr:row>80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431800</xdr:colOff>
      <xdr:row>141</xdr:row>
      <xdr:rowOff>63500</xdr:rowOff>
    </xdr:from>
    <xdr:to>
      <xdr:col>31</xdr:col>
      <xdr:colOff>546100</xdr:colOff>
      <xdr:row>165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673100</xdr:colOff>
      <xdr:row>174</xdr:row>
      <xdr:rowOff>114300</xdr:rowOff>
    </xdr:from>
    <xdr:to>
      <xdr:col>31</xdr:col>
      <xdr:colOff>787400</xdr:colOff>
      <xdr:row>198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43</xdr:row>
      <xdr:rowOff>0</xdr:rowOff>
    </xdr:from>
    <xdr:to>
      <xdr:col>33</xdr:col>
      <xdr:colOff>0</xdr:colOff>
      <xdr:row>67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33</xdr:col>
      <xdr:colOff>0</xdr:colOff>
      <xdr:row>93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660400</xdr:colOff>
      <xdr:row>2</xdr:row>
      <xdr:rowOff>114300</xdr:rowOff>
    </xdr:from>
    <xdr:to>
      <xdr:col>59</xdr:col>
      <xdr:colOff>774700</xdr:colOff>
      <xdr:row>31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61</xdr:col>
      <xdr:colOff>114300</xdr:colOff>
      <xdr:row>72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81</xdr:col>
      <xdr:colOff>368300</xdr:colOff>
      <xdr:row>2</xdr:row>
      <xdr:rowOff>177800</xdr:rowOff>
    </xdr:from>
    <xdr:to>
      <xdr:col>89</xdr:col>
      <xdr:colOff>482600</xdr:colOff>
      <xdr:row>29</xdr:row>
      <xdr:rowOff>127000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66</xdr:col>
      <xdr:colOff>685800</xdr:colOff>
      <xdr:row>8</xdr:row>
      <xdr:rowOff>63500</xdr:rowOff>
    </xdr:from>
    <xdr:to>
      <xdr:col>74</xdr:col>
      <xdr:colOff>800100</xdr:colOff>
      <xdr:row>37</xdr:row>
      <xdr:rowOff>25400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50800</xdr:colOff>
      <xdr:row>98</xdr:row>
      <xdr:rowOff>50800</xdr:rowOff>
    </xdr:from>
    <xdr:to>
      <xdr:col>33</xdr:col>
      <xdr:colOff>0</xdr:colOff>
      <xdr:row>122</xdr:row>
      <xdr:rowOff>69850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571500</xdr:colOff>
      <xdr:row>1</xdr:row>
      <xdr:rowOff>76200</xdr:rowOff>
    </xdr:from>
    <xdr:to>
      <xdr:col>45</xdr:col>
      <xdr:colOff>685800</xdr:colOff>
      <xdr:row>30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0</xdr:colOff>
      <xdr:row>35</xdr:row>
      <xdr:rowOff>0</xdr:rowOff>
    </xdr:from>
    <xdr:to>
      <xdr:col>46</xdr:col>
      <xdr:colOff>114300</xdr:colOff>
      <xdr:row>63</xdr:row>
      <xdr:rowOff>165100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52</xdr:col>
      <xdr:colOff>0</xdr:colOff>
      <xdr:row>76</xdr:row>
      <xdr:rowOff>0</xdr:rowOff>
    </xdr:from>
    <xdr:to>
      <xdr:col>60</xdr:col>
      <xdr:colOff>114300</xdr:colOff>
      <xdr:row>104</xdr:row>
      <xdr:rowOff>165100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0</xdr:colOff>
      <xdr:row>40</xdr:row>
      <xdr:rowOff>0</xdr:rowOff>
    </xdr:from>
    <xdr:to>
      <xdr:col>75</xdr:col>
      <xdr:colOff>114300</xdr:colOff>
      <xdr:row>68</xdr:row>
      <xdr:rowOff>152400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100</xdr:col>
      <xdr:colOff>508000</xdr:colOff>
      <xdr:row>2</xdr:row>
      <xdr:rowOff>88900</xdr:rowOff>
    </xdr:from>
    <xdr:to>
      <xdr:col>111</xdr:col>
      <xdr:colOff>152400</xdr:colOff>
      <xdr:row>31</xdr:row>
      <xdr:rowOff>12700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52</xdr:col>
      <xdr:colOff>0</xdr:colOff>
      <xdr:row>107</xdr:row>
      <xdr:rowOff>0</xdr:rowOff>
    </xdr:from>
    <xdr:to>
      <xdr:col>60</xdr:col>
      <xdr:colOff>114300</xdr:colOff>
      <xdr:row>135</xdr:row>
      <xdr:rowOff>165100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117</xdr:col>
      <xdr:colOff>241300</xdr:colOff>
      <xdr:row>2</xdr:row>
      <xdr:rowOff>114300</xdr:rowOff>
    </xdr:from>
    <xdr:to>
      <xdr:col>127</xdr:col>
      <xdr:colOff>711200</xdr:colOff>
      <xdr:row>31</xdr:row>
      <xdr:rowOff>38100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0</xdr:colOff>
      <xdr:row>72</xdr:row>
      <xdr:rowOff>0</xdr:rowOff>
    </xdr:from>
    <xdr:to>
      <xdr:col>76</xdr:col>
      <xdr:colOff>114300</xdr:colOff>
      <xdr:row>100</xdr:row>
      <xdr:rowOff>165100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82</xdr:col>
      <xdr:colOff>0</xdr:colOff>
      <xdr:row>35</xdr:row>
      <xdr:rowOff>0</xdr:rowOff>
    </xdr:from>
    <xdr:to>
      <xdr:col>90</xdr:col>
      <xdr:colOff>114300</xdr:colOff>
      <xdr:row>63</xdr:row>
      <xdr:rowOff>165100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38100</xdr:rowOff>
    </xdr:from>
    <xdr:to>
      <xdr:col>13</xdr:col>
      <xdr:colOff>203200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711200</xdr:colOff>
      <xdr:row>11</xdr:row>
      <xdr:rowOff>139700</xdr:rowOff>
    </xdr:from>
    <xdr:to>
      <xdr:col>42</xdr:col>
      <xdr:colOff>508000</xdr:colOff>
      <xdr:row>45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47</xdr:row>
      <xdr:rowOff>0</xdr:rowOff>
    </xdr:from>
    <xdr:to>
      <xdr:col>42</xdr:col>
      <xdr:colOff>622300</xdr:colOff>
      <xdr:row>80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152400</xdr:colOff>
      <xdr:row>2</xdr:row>
      <xdr:rowOff>171450</xdr:rowOff>
    </xdr:from>
    <xdr:to>
      <xdr:col>53</xdr:col>
      <xdr:colOff>939800</xdr:colOff>
      <xdr:row>25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50800</xdr:colOff>
      <xdr:row>27</xdr:row>
      <xdr:rowOff>114300</xdr:rowOff>
    </xdr:from>
    <xdr:to>
      <xdr:col>54</xdr:col>
      <xdr:colOff>355600</xdr:colOff>
      <xdr:row>49</xdr:row>
      <xdr:rowOff>120650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914400</xdr:colOff>
      <xdr:row>55</xdr:row>
      <xdr:rowOff>139700</xdr:rowOff>
    </xdr:from>
    <xdr:to>
      <xdr:col>54</xdr:col>
      <xdr:colOff>266700</xdr:colOff>
      <xdr:row>77</xdr:row>
      <xdr:rowOff>158750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76200</xdr:colOff>
      <xdr:row>79</xdr:row>
      <xdr:rowOff>139700</xdr:rowOff>
    </xdr:from>
    <xdr:to>
      <xdr:col>55</xdr:col>
      <xdr:colOff>914400</xdr:colOff>
      <xdr:row>113</xdr:row>
      <xdr:rowOff>25400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774700</xdr:colOff>
      <xdr:row>56</xdr:row>
      <xdr:rowOff>0</xdr:rowOff>
    </xdr:from>
    <xdr:to>
      <xdr:col>60</xdr:col>
      <xdr:colOff>787400</xdr:colOff>
      <xdr:row>78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12700</xdr:colOff>
      <xdr:row>30</xdr:row>
      <xdr:rowOff>88900</xdr:rowOff>
    </xdr:from>
    <xdr:to>
      <xdr:col>60</xdr:col>
      <xdr:colOff>800100</xdr:colOff>
      <xdr:row>52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194</xdr:col>
      <xdr:colOff>741680</xdr:colOff>
      <xdr:row>2</xdr:row>
      <xdr:rowOff>91440</xdr:rowOff>
    </xdr:from>
    <xdr:to>
      <xdr:col>200</xdr:col>
      <xdr:colOff>254000</xdr:colOff>
      <xdr:row>22</xdr:row>
      <xdr:rowOff>182880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3</xdr:row>
      <xdr:rowOff>0</xdr:rowOff>
    </xdr:from>
    <xdr:to>
      <xdr:col>40</xdr:col>
      <xdr:colOff>698500</xdr:colOff>
      <xdr:row>29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342900</xdr:colOff>
      <xdr:row>1</xdr:row>
      <xdr:rowOff>165100</xdr:rowOff>
    </xdr:from>
    <xdr:to>
      <xdr:col>52</xdr:col>
      <xdr:colOff>76200</xdr:colOff>
      <xdr:row>27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0</xdr:colOff>
      <xdr:row>4</xdr:row>
      <xdr:rowOff>0</xdr:rowOff>
    </xdr:from>
    <xdr:to>
      <xdr:col>63</xdr:col>
      <xdr:colOff>685800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6</xdr:row>
      <xdr:rowOff>0</xdr:rowOff>
    </xdr:from>
    <xdr:to>
      <xdr:col>29</xdr:col>
      <xdr:colOff>685800</xdr:colOff>
      <xdr:row>32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352</xdr:row>
      <xdr:rowOff>25400</xdr:rowOff>
    </xdr:from>
    <xdr:to>
      <xdr:col>16</xdr:col>
      <xdr:colOff>228600</xdr:colOff>
      <xdr:row>375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0</xdr:colOff>
      <xdr:row>3</xdr:row>
      <xdr:rowOff>139700</xdr:rowOff>
    </xdr:from>
    <xdr:to>
      <xdr:col>46</xdr:col>
      <xdr:colOff>266700</xdr:colOff>
      <xdr:row>24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0</xdr:colOff>
      <xdr:row>27</xdr:row>
      <xdr:rowOff>0</xdr:rowOff>
    </xdr:from>
    <xdr:to>
      <xdr:col>51</xdr:col>
      <xdr:colOff>762000</xdr:colOff>
      <xdr:row>53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393700</xdr:colOff>
      <xdr:row>6</xdr:row>
      <xdr:rowOff>127000</xdr:rowOff>
    </xdr:from>
    <xdr:to>
      <xdr:col>45</xdr:col>
      <xdr:colOff>609600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70</xdr:col>
      <xdr:colOff>177800</xdr:colOff>
      <xdr:row>17</xdr:row>
      <xdr:rowOff>12700</xdr:rowOff>
    </xdr:from>
    <xdr:to>
      <xdr:col>82</xdr:col>
      <xdr:colOff>774700</xdr:colOff>
      <xdr:row>30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241300</xdr:colOff>
      <xdr:row>30</xdr:row>
      <xdr:rowOff>25400</xdr:rowOff>
    </xdr:from>
    <xdr:to>
      <xdr:col>82</xdr:col>
      <xdr:colOff>266700</xdr:colOff>
      <xdr:row>44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279400</xdr:colOff>
      <xdr:row>43</xdr:row>
      <xdr:rowOff>177800</xdr:rowOff>
    </xdr:from>
    <xdr:to>
      <xdr:col>82</xdr:col>
      <xdr:colOff>152400</xdr:colOff>
      <xdr:row>64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0</xdr:colOff>
      <xdr:row>6</xdr:row>
      <xdr:rowOff>139700</xdr:rowOff>
    </xdr:from>
    <xdr:to>
      <xdr:col>55</xdr:col>
      <xdr:colOff>215900</xdr:colOff>
      <xdr:row>47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203200</xdr:colOff>
      <xdr:row>65</xdr:row>
      <xdr:rowOff>127000</xdr:rowOff>
    </xdr:from>
    <xdr:to>
      <xdr:col>62</xdr:col>
      <xdr:colOff>647700</xdr:colOff>
      <xdr:row>80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0</xdr:colOff>
      <xdr:row>48</xdr:row>
      <xdr:rowOff>0</xdr:rowOff>
    </xdr:from>
    <xdr:to>
      <xdr:col>45</xdr:col>
      <xdr:colOff>215900</xdr:colOff>
      <xdr:row>88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48</xdr:row>
      <xdr:rowOff>0</xdr:rowOff>
    </xdr:from>
    <xdr:to>
      <xdr:col>55</xdr:col>
      <xdr:colOff>215900</xdr:colOff>
      <xdr:row>88</xdr:row>
      <xdr:rowOff>50800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508000</xdr:colOff>
      <xdr:row>3</xdr:row>
      <xdr:rowOff>101600</xdr:rowOff>
    </xdr:from>
    <xdr:to>
      <xdr:col>22</xdr:col>
      <xdr:colOff>762000</xdr:colOff>
      <xdr:row>35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90500" y="698500"/>
          <a:ext cx="8826500" cy="6108700"/>
        </a:xfrm>
        <a:prstGeom prst="rect">
          <a:avLst/>
        </a:prstGeom>
      </xdr:spPr>
    </xdr:pic>
    <xdr:clientData/>
  </xdr:twoCellAnchor>
  <xdr:twoCellAnchor>
    <xdr:from>
      <xdr:col>6</xdr:col>
      <xdr:colOff>546100</xdr:colOff>
      <xdr:row>2</xdr:row>
      <xdr:rowOff>38100</xdr:rowOff>
    </xdr:from>
    <xdr:to>
      <xdr:col>15</xdr:col>
      <xdr:colOff>317500</xdr:colOff>
      <xdr:row>34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50799</xdr:colOff>
      <xdr:row>80</xdr:row>
      <xdr:rowOff>160867</xdr:rowOff>
    </xdr:from>
    <xdr:to>
      <xdr:col>17</xdr:col>
      <xdr:colOff>694265</xdr:colOff>
      <xdr:row>105</xdr:row>
      <xdr:rowOff>100679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2899" y="15692967"/>
          <a:ext cx="7399866" cy="4173146"/>
        </a:xfrm>
        <a:prstGeom prst="rect">
          <a:avLst/>
        </a:prstGeom>
      </xdr:spPr>
    </xdr:pic>
    <xdr:clientData/>
  </xdr:twoCellAnchor>
  <xdr:twoCellAnchor editAs="oneCell">
    <xdr:from>
      <xdr:col>21</xdr:col>
      <xdr:colOff>25401</xdr:colOff>
      <xdr:row>0</xdr:row>
      <xdr:rowOff>347133</xdr:rowOff>
    </xdr:from>
    <xdr:to>
      <xdr:col>23</xdr:col>
      <xdr:colOff>1147234</xdr:colOff>
      <xdr:row>9</xdr:row>
      <xdr:rowOff>8466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89901" y="347133"/>
          <a:ext cx="4525433" cy="1566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13</xdr:col>
      <xdr:colOff>423334</xdr:colOff>
      <xdr:row>83</xdr:row>
      <xdr:rowOff>158315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9300" y="13754100"/>
          <a:ext cx="6824134" cy="2359648"/>
        </a:xfrm>
        <a:prstGeom prst="rect">
          <a:avLst/>
        </a:prstGeom>
      </xdr:spPr>
    </xdr:pic>
    <xdr:clientData/>
  </xdr:twoCellAnchor>
  <xdr:twoCellAnchor editAs="oneCell">
    <xdr:from>
      <xdr:col>7</xdr:col>
      <xdr:colOff>160866</xdr:colOff>
      <xdr:row>61</xdr:row>
      <xdr:rowOff>152400</xdr:rowOff>
    </xdr:from>
    <xdr:to>
      <xdr:col>11</xdr:col>
      <xdr:colOff>84666</xdr:colOff>
      <xdr:row>65</xdr:row>
      <xdr:rowOff>153188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41066" y="12306300"/>
          <a:ext cx="2425700" cy="779721"/>
        </a:xfrm>
        <a:prstGeom prst="rect">
          <a:avLst/>
        </a:prstGeom>
      </xdr:spPr>
    </xdr:pic>
    <xdr:clientData/>
  </xdr:twoCellAnchor>
  <xdr:twoCellAnchor>
    <xdr:from>
      <xdr:col>28</xdr:col>
      <xdr:colOff>685800</xdr:colOff>
      <xdr:row>50</xdr:row>
      <xdr:rowOff>59268</xdr:rowOff>
    </xdr:from>
    <xdr:to>
      <xdr:col>38</xdr:col>
      <xdr:colOff>211666</xdr:colOff>
      <xdr:row>74</xdr:row>
      <xdr:rowOff>42334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39</xdr:col>
      <xdr:colOff>42333</xdr:colOff>
      <xdr:row>35</xdr:row>
      <xdr:rowOff>16933</xdr:rowOff>
    </xdr:from>
    <xdr:to>
      <xdr:col>42</xdr:col>
      <xdr:colOff>143933</xdr:colOff>
      <xdr:row>59</xdr:row>
      <xdr:rowOff>84667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62933" y="7255933"/>
          <a:ext cx="2120900" cy="4982633"/>
        </a:xfrm>
        <a:prstGeom prst="rect">
          <a:avLst/>
        </a:prstGeom>
      </xdr:spPr>
    </xdr:pic>
    <xdr:clientData/>
  </xdr:twoCellAnchor>
  <xdr:twoCellAnchor>
    <xdr:from>
      <xdr:col>44</xdr:col>
      <xdr:colOff>25398</xdr:colOff>
      <xdr:row>50</xdr:row>
      <xdr:rowOff>143932</xdr:rowOff>
    </xdr:from>
    <xdr:to>
      <xdr:col>52</xdr:col>
      <xdr:colOff>457199</xdr:colOff>
      <xdr:row>71</xdr:row>
      <xdr:rowOff>177799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668867</xdr:colOff>
      <xdr:row>57</xdr:row>
      <xdr:rowOff>25400</xdr:rowOff>
    </xdr:from>
    <xdr:to>
      <xdr:col>61</xdr:col>
      <xdr:colOff>423334</xdr:colOff>
      <xdr:row>78</xdr:row>
      <xdr:rowOff>59267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62</xdr:col>
      <xdr:colOff>304800</xdr:colOff>
      <xdr:row>53</xdr:row>
      <xdr:rowOff>50800</xdr:rowOff>
    </xdr:from>
    <xdr:to>
      <xdr:col>69</xdr:col>
      <xdr:colOff>135467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69</xdr:col>
      <xdr:colOff>440267</xdr:colOff>
      <xdr:row>54</xdr:row>
      <xdr:rowOff>93134</xdr:rowOff>
    </xdr:from>
    <xdr:to>
      <xdr:col>76</xdr:col>
      <xdr:colOff>270934</xdr:colOff>
      <xdr:row>69</xdr:row>
      <xdr:rowOff>169334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62</xdr:col>
      <xdr:colOff>296333</xdr:colOff>
      <xdr:row>69</xdr:row>
      <xdr:rowOff>143934</xdr:rowOff>
    </xdr:from>
    <xdr:to>
      <xdr:col>69</xdr:col>
      <xdr:colOff>127000</xdr:colOff>
      <xdr:row>85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414866</xdr:colOff>
      <xdr:row>70</xdr:row>
      <xdr:rowOff>160867</xdr:rowOff>
    </xdr:from>
    <xdr:to>
      <xdr:col>76</xdr:col>
      <xdr:colOff>245533</xdr:colOff>
      <xdr:row>86</xdr:row>
      <xdr:rowOff>59267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68</xdr:col>
      <xdr:colOff>0</xdr:colOff>
      <xdr:row>40</xdr:row>
      <xdr:rowOff>0</xdr:rowOff>
    </xdr:from>
    <xdr:to>
      <xdr:col>77</xdr:col>
      <xdr:colOff>558800</xdr:colOff>
      <xdr:row>50</xdr:row>
      <xdr:rowOff>97367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264300" y="8178800"/>
          <a:ext cx="6769100" cy="2243666"/>
        </a:xfrm>
        <a:prstGeom prst="rect">
          <a:avLst/>
        </a:prstGeom>
      </xdr:spPr>
    </xdr:pic>
    <xdr:clientData/>
  </xdr:twoCellAnchor>
  <xdr:twoCellAnchor>
    <xdr:from>
      <xdr:col>79</xdr:col>
      <xdr:colOff>431801</xdr:colOff>
      <xdr:row>56</xdr:row>
      <xdr:rowOff>1</xdr:rowOff>
    </xdr:from>
    <xdr:to>
      <xdr:col>88</xdr:col>
      <xdr:colOff>660400</xdr:colOff>
      <xdr:row>73</xdr:row>
      <xdr:rowOff>135467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79</xdr:col>
      <xdr:colOff>0</xdr:colOff>
      <xdr:row>77</xdr:row>
      <xdr:rowOff>0</xdr:rowOff>
    </xdr:from>
    <xdr:to>
      <xdr:col>88</xdr:col>
      <xdr:colOff>228599</xdr:colOff>
      <xdr:row>95</xdr:row>
      <xdr:rowOff>143933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11</xdr:row>
      <xdr:rowOff>88900</xdr:rowOff>
    </xdr:from>
    <xdr:to>
      <xdr:col>8</xdr:col>
      <xdr:colOff>444500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0</xdr:rowOff>
    </xdr:from>
    <xdr:to>
      <xdr:col>7</xdr:col>
      <xdr:colOff>206375</xdr:colOff>
      <xdr:row>42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42</xdr:row>
      <xdr:rowOff>146050</xdr:rowOff>
    </xdr:from>
    <xdr:to>
      <xdr:col>7</xdr:col>
      <xdr:colOff>206375</xdr:colOff>
      <xdr:row>57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7</xdr:col>
      <xdr:colOff>206375</xdr:colOff>
      <xdr:row>72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7</xdr:col>
      <xdr:colOff>206375</xdr:colOff>
      <xdr:row>87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88</xdr:row>
      <xdr:rowOff>0</xdr:rowOff>
    </xdr:from>
    <xdr:to>
      <xdr:col>7</xdr:col>
      <xdr:colOff>206375</xdr:colOff>
      <xdr:row>102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103</xdr:row>
      <xdr:rowOff>0</xdr:rowOff>
    </xdr:from>
    <xdr:to>
      <xdr:col>7</xdr:col>
      <xdr:colOff>206375</xdr:colOff>
      <xdr:row>117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71437</xdr:colOff>
      <xdr:row>163</xdr:row>
      <xdr:rowOff>23811</xdr:rowOff>
    </xdr:from>
    <xdr:to>
      <xdr:col>7</xdr:col>
      <xdr:colOff>277812</xdr:colOff>
      <xdr:row>177</xdr:row>
      <xdr:rowOff>100011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71437</xdr:colOff>
      <xdr:row>178</xdr:row>
      <xdr:rowOff>23811</xdr:rowOff>
    </xdr:from>
    <xdr:to>
      <xdr:col>7</xdr:col>
      <xdr:colOff>277812</xdr:colOff>
      <xdr:row>192</xdr:row>
      <xdr:rowOff>100011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71437</xdr:colOff>
      <xdr:row>193</xdr:row>
      <xdr:rowOff>23811</xdr:rowOff>
    </xdr:from>
    <xdr:to>
      <xdr:col>7</xdr:col>
      <xdr:colOff>277812</xdr:colOff>
      <xdr:row>207</xdr:row>
      <xdr:rowOff>100011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133</xdr:row>
      <xdr:rowOff>0</xdr:rowOff>
    </xdr:from>
    <xdr:to>
      <xdr:col>7</xdr:col>
      <xdr:colOff>206375</xdr:colOff>
      <xdr:row>147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148</xdr:row>
      <xdr:rowOff>0</xdr:rowOff>
    </xdr:from>
    <xdr:to>
      <xdr:col>7</xdr:col>
      <xdr:colOff>206375</xdr:colOff>
      <xdr:row>162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53</xdr:row>
      <xdr:rowOff>166687</xdr:rowOff>
    </xdr:from>
    <xdr:to>
      <xdr:col>12</xdr:col>
      <xdr:colOff>404812</xdr:colOff>
      <xdr:row>77</xdr:row>
      <xdr:rowOff>154781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48</xdr:col>
      <xdr:colOff>0</xdr:colOff>
      <xdr:row>26</xdr:row>
      <xdr:rowOff>150233</xdr:rowOff>
    </xdr:from>
    <xdr:to>
      <xdr:col>53</xdr:col>
      <xdr:colOff>582094</xdr:colOff>
      <xdr:row>40</xdr:row>
      <xdr:rowOff>43871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48</xdr:col>
      <xdr:colOff>0</xdr:colOff>
      <xdr:row>32</xdr:row>
      <xdr:rowOff>87028</xdr:rowOff>
    </xdr:from>
    <xdr:to>
      <xdr:col>53</xdr:col>
      <xdr:colOff>268174</xdr:colOff>
      <xdr:row>45</xdr:row>
      <xdr:rowOff>189308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65</xdr:col>
      <xdr:colOff>276929</xdr:colOff>
      <xdr:row>75</xdr:row>
      <xdr:rowOff>63700</xdr:rowOff>
    </xdr:from>
    <xdr:to>
      <xdr:col>71</xdr:col>
      <xdr:colOff>539932</xdr:colOff>
      <xdr:row>88</xdr:row>
      <xdr:rowOff>157759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58</xdr:col>
      <xdr:colOff>177248</xdr:colOff>
      <xdr:row>75</xdr:row>
      <xdr:rowOff>65725</xdr:rowOff>
    </xdr:from>
    <xdr:to>
      <xdr:col>65</xdr:col>
      <xdr:colOff>292403</xdr:colOff>
      <xdr:row>88</xdr:row>
      <xdr:rowOff>153366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65</xdr:col>
      <xdr:colOff>272977</xdr:colOff>
      <xdr:row>61</xdr:row>
      <xdr:rowOff>179939</xdr:rowOff>
    </xdr:from>
    <xdr:to>
      <xdr:col>71</xdr:col>
      <xdr:colOff>535980</xdr:colOff>
      <xdr:row>75</xdr:row>
      <xdr:rowOff>66671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58</xdr:col>
      <xdr:colOff>165720</xdr:colOff>
      <xdr:row>61</xdr:row>
      <xdr:rowOff>195002</xdr:rowOff>
    </xdr:from>
    <xdr:to>
      <xdr:col>65</xdr:col>
      <xdr:colOff>289584</xdr:colOff>
      <xdr:row>75</xdr:row>
      <xdr:rowOff>76071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152</xdr:col>
      <xdr:colOff>77680</xdr:colOff>
      <xdr:row>106</xdr:row>
      <xdr:rowOff>88635</xdr:rowOff>
    </xdr:from>
    <xdr:to>
      <xdr:col>160</xdr:col>
      <xdr:colOff>605114</xdr:colOff>
      <xdr:row>126</xdr:row>
      <xdr:rowOff>50093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117369</xdr:colOff>
      <xdr:row>106</xdr:row>
      <xdr:rowOff>124355</xdr:rowOff>
    </xdr:from>
    <xdr:to>
      <xdr:col>169</xdr:col>
      <xdr:colOff>644802</xdr:colOff>
      <xdr:row>126</xdr:row>
      <xdr:rowOff>84490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581978</xdr:colOff>
      <xdr:row>23</xdr:row>
      <xdr:rowOff>141180</xdr:rowOff>
    </xdr:from>
    <xdr:to>
      <xdr:col>50</xdr:col>
      <xdr:colOff>440741</xdr:colOff>
      <xdr:row>41</xdr:row>
      <xdr:rowOff>33764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662030</xdr:colOff>
      <xdr:row>3</xdr:row>
      <xdr:rowOff>154629</xdr:rowOff>
    </xdr:from>
    <xdr:to>
      <xdr:col>157</xdr:col>
      <xdr:colOff>518904</xdr:colOff>
      <xdr:row>23</xdr:row>
      <xdr:rowOff>176413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157</xdr:col>
      <xdr:colOff>589280</xdr:colOff>
      <xdr:row>3</xdr:row>
      <xdr:rowOff>101600</xdr:rowOff>
    </xdr:from>
    <xdr:to>
      <xdr:col>166</xdr:col>
      <xdr:colOff>446154</xdr:colOff>
      <xdr:row>23</xdr:row>
      <xdr:rowOff>123384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149</xdr:col>
      <xdr:colOff>0</xdr:colOff>
      <xdr:row>24</xdr:row>
      <xdr:rowOff>113989</xdr:rowOff>
    </xdr:from>
    <xdr:to>
      <xdr:col>157</xdr:col>
      <xdr:colOff>527434</xdr:colOff>
      <xdr:row>44</xdr:row>
      <xdr:rowOff>64653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157</xdr:col>
      <xdr:colOff>597810</xdr:colOff>
      <xdr:row>24</xdr:row>
      <xdr:rowOff>60960</xdr:rowOff>
    </xdr:from>
    <xdr:to>
      <xdr:col>166</xdr:col>
      <xdr:colOff>454684</xdr:colOff>
      <xdr:row>44</xdr:row>
      <xdr:rowOff>11624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150</xdr:col>
      <xdr:colOff>72750</xdr:colOff>
      <xdr:row>48</xdr:row>
      <xdr:rowOff>53029</xdr:rowOff>
    </xdr:from>
    <xdr:to>
      <xdr:col>158</xdr:col>
      <xdr:colOff>600184</xdr:colOff>
      <xdr:row>68</xdr:row>
      <xdr:rowOff>13853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159</xdr:col>
      <xdr:colOff>0</xdr:colOff>
      <xdr:row>48</xdr:row>
      <xdr:rowOff>0</xdr:rowOff>
    </xdr:from>
    <xdr:to>
      <xdr:col>167</xdr:col>
      <xdr:colOff>527434</xdr:colOff>
      <xdr:row>67</xdr:row>
      <xdr:rowOff>153864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150</xdr:col>
      <xdr:colOff>0</xdr:colOff>
      <xdr:row>69</xdr:row>
      <xdr:rowOff>42869</xdr:rowOff>
    </xdr:from>
    <xdr:to>
      <xdr:col>158</xdr:col>
      <xdr:colOff>527434</xdr:colOff>
      <xdr:row>89</xdr:row>
      <xdr:rowOff>3693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158</xdr:col>
      <xdr:colOff>597810</xdr:colOff>
      <xdr:row>68</xdr:row>
      <xdr:rowOff>193040</xdr:rowOff>
    </xdr:from>
    <xdr:to>
      <xdr:col>167</xdr:col>
      <xdr:colOff>454684</xdr:colOff>
      <xdr:row>88</xdr:row>
      <xdr:rowOff>143704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168</xdr:col>
      <xdr:colOff>193040</xdr:colOff>
      <xdr:row>3</xdr:row>
      <xdr:rowOff>96883</xdr:rowOff>
    </xdr:from>
    <xdr:to>
      <xdr:col>175</xdr:col>
      <xdr:colOff>580395</xdr:colOff>
      <xdr:row>21</xdr:row>
      <xdr:rowOff>6505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176</xdr:col>
      <xdr:colOff>0</xdr:colOff>
      <xdr:row>3</xdr:row>
      <xdr:rowOff>0</xdr:rowOff>
    </xdr:from>
    <xdr:to>
      <xdr:col>183</xdr:col>
      <xdr:colOff>387355</xdr:colOff>
      <xdr:row>20</xdr:row>
      <xdr:rowOff>102662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175</xdr:col>
      <xdr:colOff>477520</xdr:colOff>
      <xdr:row>22</xdr:row>
      <xdr:rowOff>0</xdr:rowOff>
    </xdr:from>
    <xdr:to>
      <xdr:col>183</xdr:col>
      <xdr:colOff>194315</xdr:colOff>
      <xdr:row>39</xdr:row>
      <xdr:rowOff>31542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168</xdr:col>
      <xdr:colOff>0</xdr:colOff>
      <xdr:row>22</xdr:row>
      <xdr:rowOff>0</xdr:rowOff>
    </xdr:from>
    <xdr:to>
      <xdr:col>175</xdr:col>
      <xdr:colOff>387355</xdr:colOff>
      <xdr:row>39</xdr:row>
      <xdr:rowOff>31542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168</xdr:col>
      <xdr:colOff>193040</xdr:colOff>
      <xdr:row>41</xdr:row>
      <xdr:rowOff>96883</xdr:rowOff>
    </xdr:from>
    <xdr:to>
      <xdr:col>175</xdr:col>
      <xdr:colOff>580395</xdr:colOff>
      <xdr:row>58</xdr:row>
      <xdr:rowOff>138585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175</xdr:col>
      <xdr:colOff>650240</xdr:colOff>
      <xdr:row>41</xdr:row>
      <xdr:rowOff>132080</xdr:rowOff>
    </xdr:from>
    <xdr:to>
      <xdr:col>183</xdr:col>
      <xdr:colOff>367035</xdr:colOff>
      <xdr:row>58</xdr:row>
      <xdr:rowOff>173782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175</xdr:col>
      <xdr:colOff>477520</xdr:colOff>
      <xdr:row>59</xdr:row>
      <xdr:rowOff>132080</xdr:rowOff>
    </xdr:from>
    <xdr:to>
      <xdr:col>183</xdr:col>
      <xdr:colOff>194315</xdr:colOff>
      <xdr:row>76</xdr:row>
      <xdr:rowOff>163622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168</xdr:col>
      <xdr:colOff>0</xdr:colOff>
      <xdr:row>59</xdr:row>
      <xdr:rowOff>132080</xdr:rowOff>
    </xdr:from>
    <xdr:to>
      <xdr:col>175</xdr:col>
      <xdr:colOff>387355</xdr:colOff>
      <xdr:row>76</xdr:row>
      <xdr:rowOff>163622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00000000-0008-0000-0B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185</xdr:col>
      <xdr:colOff>193040</xdr:colOff>
      <xdr:row>41</xdr:row>
      <xdr:rowOff>0</xdr:rowOff>
    </xdr:from>
    <xdr:to>
      <xdr:col>192</xdr:col>
      <xdr:colOff>580395</xdr:colOff>
      <xdr:row>58</xdr:row>
      <xdr:rowOff>41702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193</xdr:col>
      <xdr:colOff>406400</xdr:colOff>
      <xdr:row>40</xdr:row>
      <xdr:rowOff>157117</xdr:rowOff>
    </xdr:from>
    <xdr:to>
      <xdr:col>202</xdr:col>
      <xdr:colOff>71120</xdr:colOff>
      <xdr:row>58</xdr:row>
      <xdr:rowOff>5779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192</xdr:col>
      <xdr:colOff>121920</xdr:colOff>
      <xdr:row>58</xdr:row>
      <xdr:rowOff>35197</xdr:rowOff>
    </xdr:from>
    <xdr:to>
      <xdr:col>201</xdr:col>
      <xdr:colOff>162560</xdr:colOff>
      <xdr:row>75</xdr:row>
      <xdr:rowOff>66739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184</xdr:col>
      <xdr:colOff>640080</xdr:colOff>
      <xdr:row>58</xdr:row>
      <xdr:rowOff>14877</xdr:rowOff>
    </xdr:from>
    <xdr:to>
      <xdr:col>192</xdr:col>
      <xdr:colOff>356875</xdr:colOff>
      <xdr:row>75</xdr:row>
      <xdr:rowOff>46419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0.91557</cdr:x>
      <cdr:y>0.20642</cdr:y>
    </cdr:from>
    <cdr:to>
      <cdr:x>1</cdr:x>
      <cdr:y>0.54439</cdr:y>
    </cdr:to>
    <cdr:sp macro="" textlink="">
      <cdr:nvSpPr>
        <cdr:cNvPr id="2" name="TextBox 1"/>
        <cdr:cNvSpPr txBox="1"/>
      </cdr:nvSpPr>
      <cdr:spPr>
        <a:xfrm xmlns:a="http://schemas.openxmlformats.org/drawingml/2006/main" rot="5400000">
          <a:off x="4473894" y="1278321"/>
          <a:ext cx="1355262" cy="454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CA" sz="1400" b="1"/>
            <a:t>Relative Humidity (%)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20320</xdr:colOff>
      <xdr:row>1</xdr:row>
      <xdr:rowOff>10160</xdr:rowOff>
    </xdr:from>
    <xdr:to>
      <xdr:col>68</xdr:col>
      <xdr:colOff>183727</xdr:colOff>
      <xdr:row>26</xdr:row>
      <xdr:rowOff>71120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68</xdr:col>
      <xdr:colOff>0</xdr:colOff>
      <xdr:row>1</xdr:row>
      <xdr:rowOff>0</xdr:rowOff>
    </xdr:from>
    <xdr:to>
      <xdr:col>73</xdr:col>
      <xdr:colOff>163407</xdr:colOff>
      <xdr:row>26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0</xdr:colOff>
      <xdr:row>28</xdr:row>
      <xdr:rowOff>0</xdr:rowOff>
    </xdr:from>
    <xdr:to>
      <xdr:col>68</xdr:col>
      <xdr:colOff>163407</xdr:colOff>
      <xdr:row>53</xdr:row>
      <xdr:rowOff>60960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345440</xdr:colOff>
      <xdr:row>28</xdr:row>
      <xdr:rowOff>0</xdr:rowOff>
    </xdr:from>
    <xdr:to>
      <xdr:col>73</xdr:col>
      <xdr:colOff>508847</xdr:colOff>
      <xdr:row>53</xdr:row>
      <xdr:rowOff>60960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20320</xdr:colOff>
      <xdr:row>0</xdr:row>
      <xdr:rowOff>1066800</xdr:rowOff>
    </xdr:from>
    <xdr:to>
      <xdr:col>80</xdr:col>
      <xdr:colOff>183727</xdr:colOff>
      <xdr:row>25</xdr:row>
      <xdr:rowOff>172720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80</xdr:col>
      <xdr:colOff>335280</xdr:colOff>
      <xdr:row>0</xdr:row>
      <xdr:rowOff>1117600</xdr:rowOff>
    </xdr:from>
    <xdr:to>
      <xdr:col>85</xdr:col>
      <xdr:colOff>650240</xdr:colOff>
      <xdr:row>26</xdr:row>
      <xdr:rowOff>40640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28</xdr:row>
      <xdr:rowOff>0</xdr:rowOff>
    </xdr:from>
    <xdr:to>
      <xdr:col>80</xdr:col>
      <xdr:colOff>163407</xdr:colOff>
      <xdr:row>53</xdr:row>
      <xdr:rowOff>60960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345440</xdr:colOff>
      <xdr:row>28</xdr:row>
      <xdr:rowOff>0</xdr:rowOff>
    </xdr:from>
    <xdr:to>
      <xdr:col>85</xdr:col>
      <xdr:colOff>508847</xdr:colOff>
      <xdr:row>53</xdr:row>
      <xdr:rowOff>60960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20320</xdr:colOff>
      <xdr:row>2</xdr:row>
      <xdr:rowOff>0</xdr:rowOff>
    </xdr:from>
    <xdr:to>
      <xdr:col>92</xdr:col>
      <xdr:colOff>183727</xdr:colOff>
      <xdr:row>27</xdr:row>
      <xdr:rowOff>60960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91</xdr:col>
      <xdr:colOff>833120</xdr:colOff>
      <xdr:row>2</xdr:row>
      <xdr:rowOff>20320</xdr:rowOff>
    </xdr:from>
    <xdr:to>
      <xdr:col>97</xdr:col>
      <xdr:colOff>193040</xdr:colOff>
      <xdr:row>27</xdr:row>
      <xdr:rowOff>91440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87</xdr:col>
      <xdr:colOff>0</xdr:colOff>
      <xdr:row>29</xdr:row>
      <xdr:rowOff>81280</xdr:rowOff>
    </xdr:from>
    <xdr:to>
      <xdr:col>92</xdr:col>
      <xdr:colOff>163407</xdr:colOff>
      <xdr:row>54</xdr:row>
      <xdr:rowOff>142240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92</xdr:col>
      <xdr:colOff>345440</xdr:colOff>
      <xdr:row>29</xdr:row>
      <xdr:rowOff>81280</xdr:rowOff>
    </xdr:from>
    <xdr:to>
      <xdr:col>97</xdr:col>
      <xdr:colOff>508847</xdr:colOff>
      <xdr:row>54</xdr:row>
      <xdr:rowOff>142240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457200</xdr:colOff>
      <xdr:row>163</xdr:row>
      <xdr:rowOff>160866</xdr:rowOff>
    </xdr:from>
    <xdr:to>
      <xdr:col>25</xdr:col>
      <xdr:colOff>423333</xdr:colOff>
      <xdr:row>184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8467</xdr:colOff>
      <xdr:row>163</xdr:row>
      <xdr:rowOff>152401</xdr:rowOff>
    </xdr:from>
    <xdr:to>
      <xdr:col>34</xdr:col>
      <xdr:colOff>931333</xdr:colOff>
      <xdr:row>184</xdr:row>
      <xdr:rowOff>42335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186</xdr:row>
      <xdr:rowOff>0</xdr:rowOff>
    </xdr:from>
    <xdr:to>
      <xdr:col>25</xdr:col>
      <xdr:colOff>220133</xdr:colOff>
      <xdr:row>206</xdr:row>
      <xdr:rowOff>84667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186</xdr:row>
      <xdr:rowOff>0</xdr:rowOff>
    </xdr:from>
    <xdr:to>
      <xdr:col>34</xdr:col>
      <xdr:colOff>228599</xdr:colOff>
      <xdr:row>206</xdr:row>
      <xdr:rowOff>84667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50800</xdr:colOff>
      <xdr:row>166</xdr:row>
      <xdr:rowOff>50800</xdr:rowOff>
    </xdr:from>
    <xdr:to>
      <xdr:col>45</xdr:col>
      <xdr:colOff>296331</xdr:colOff>
      <xdr:row>185</xdr:row>
      <xdr:rowOff>59266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499169</xdr:colOff>
      <xdr:row>166</xdr:row>
      <xdr:rowOff>67735</xdr:rowOff>
    </xdr:from>
    <xdr:to>
      <xdr:col>52</xdr:col>
      <xdr:colOff>220132</xdr:colOff>
      <xdr:row>185</xdr:row>
      <xdr:rowOff>76201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25400</xdr:colOff>
      <xdr:row>185</xdr:row>
      <xdr:rowOff>42332</xdr:rowOff>
    </xdr:from>
    <xdr:to>
      <xdr:col>45</xdr:col>
      <xdr:colOff>126999</xdr:colOff>
      <xdr:row>205</xdr:row>
      <xdr:rowOff>127000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253999</xdr:colOff>
      <xdr:row>185</xdr:row>
      <xdr:rowOff>42331</xdr:rowOff>
    </xdr:from>
    <xdr:to>
      <xdr:col>52</xdr:col>
      <xdr:colOff>355599</xdr:colOff>
      <xdr:row>205</xdr:row>
      <xdr:rowOff>126999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53</xdr:col>
      <xdr:colOff>0</xdr:colOff>
      <xdr:row>168</xdr:row>
      <xdr:rowOff>0</xdr:rowOff>
    </xdr:from>
    <xdr:to>
      <xdr:col>58</xdr:col>
      <xdr:colOff>245532</xdr:colOff>
      <xdr:row>187</xdr:row>
      <xdr:rowOff>8467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0</xdr:colOff>
      <xdr:row>168</xdr:row>
      <xdr:rowOff>0</xdr:rowOff>
    </xdr:from>
    <xdr:to>
      <xdr:col>63</xdr:col>
      <xdr:colOff>245531</xdr:colOff>
      <xdr:row>187</xdr:row>
      <xdr:rowOff>8467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ofwaterloo-my.sharepoint.com/Users/vanmeterk4/Dropbox/Research/Daily%20Work/2014%20December/2014-12-20%20Tank%20Calcul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ofwaterloo-my.sharepoint.com/Users/vanmeterk4/Dropbox/Research/Daily%20Work/2015%20July/2015-05-13%20CascadeWaterBalance%20KV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ofwaterloo-my.sharepoint.com/Users/msteiff/Dropbox/India%20Working%20Files/Analysis%20-%20All%20Data/05_Recharge%20Related/Recharge%20Estimates/Recharge%20After%20Sluice%20Outflow%20MS_Feb_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H1" t="str">
            <v>T4_WL</v>
          </cell>
        </row>
        <row r="44">
          <cell r="G44">
            <v>-0.21</v>
          </cell>
          <cell r="H44">
            <v>2.8968487199818074</v>
          </cell>
          <cell r="I44">
            <v>1</v>
          </cell>
        </row>
        <row r="45">
          <cell r="G45">
            <v>0.28899999999999998</v>
          </cell>
          <cell r="H45">
            <v>2.8724953411213714</v>
          </cell>
          <cell r="I45">
            <v>2</v>
          </cell>
        </row>
        <row r="46">
          <cell r="G46">
            <v>1.0900000000000001</v>
          </cell>
          <cell r="H46">
            <v>2.8491184455944807</v>
          </cell>
          <cell r="I46">
            <v>3</v>
          </cell>
        </row>
        <row r="47">
          <cell r="G47">
            <v>0.80600000000000005</v>
          </cell>
          <cell r="H47">
            <v>2.8217004524185607</v>
          </cell>
          <cell r="I47">
            <v>4</v>
          </cell>
        </row>
        <row r="48">
          <cell r="G48">
            <v>1.46</v>
          </cell>
          <cell r="H48">
            <v>2.7828161938040874</v>
          </cell>
          <cell r="I48">
            <v>5</v>
          </cell>
        </row>
        <row r="49">
          <cell r="G49">
            <v>-1.68</v>
          </cell>
          <cell r="H49">
            <v>2.7604955413438126</v>
          </cell>
          <cell r="I49">
            <v>6</v>
          </cell>
        </row>
        <row r="50">
          <cell r="G50">
            <v>0.86899999999999999</v>
          </cell>
          <cell r="H50">
            <v>2.7414748912332292</v>
          </cell>
          <cell r="I50">
            <v>7</v>
          </cell>
        </row>
        <row r="51">
          <cell r="G51">
            <v>0.60299999999999998</v>
          </cell>
          <cell r="H51">
            <v>2.7170939113679728</v>
          </cell>
          <cell r="I51">
            <v>8</v>
          </cell>
        </row>
        <row r="52">
          <cell r="G52">
            <v>0.64700000000000002</v>
          </cell>
          <cell r="H52">
            <v>2.681026623669982</v>
          </cell>
          <cell r="I52">
            <v>0</v>
          </cell>
        </row>
        <row r="53">
          <cell r="G53">
            <v>-88.2</v>
          </cell>
          <cell r="H53">
            <v>2.6427783584564284</v>
          </cell>
          <cell r="I53">
            <v>1</v>
          </cell>
        </row>
        <row r="54">
          <cell r="G54">
            <v>-1.43</v>
          </cell>
          <cell r="H54">
            <v>3.1592730516361818</v>
          </cell>
          <cell r="I54">
            <v>0</v>
          </cell>
        </row>
        <row r="55">
          <cell r="G55">
            <v>-0.63200000000000001</v>
          </cell>
          <cell r="H55">
            <v>3.1414814440322778</v>
          </cell>
          <cell r="I55">
            <v>0</v>
          </cell>
        </row>
        <row r="56">
          <cell r="G56">
            <v>-0.19</v>
          </cell>
          <cell r="H56">
            <v>3.1183401297129616</v>
          </cell>
          <cell r="I56">
            <v>1</v>
          </cell>
        </row>
        <row r="57">
          <cell r="G57">
            <v>0.11</v>
          </cell>
          <cell r="H57">
            <v>3.0934155743392249</v>
          </cell>
          <cell r="I57">
            <v>2</v>
          </cell>
        </row>
        <row r="58">
          <cell r="G58">
            <v>-9.2700000000000005E-2</v>
          </cell>
          <cell r="H58">
            <v>3.0679272337360763</v>
          </cell>
          <cell r="I58">
            <v>3</v>
          </cell>
        </row>
        <row r="59">
          <cell r="G59">
            <v>-6.3100000000000003E-2</v>
          </cell>
          <cell r="H59">
            <v>3.0416720246773585</v>
          </cell>
          <cell r="I59">
            <v>4</v>
          </cell>
        </row>
        <row r="60">
          <cell r="G60">
            <v>-0.30599999999999999</v>
          </cell>
          <cell r="H60">
            <v>3.0159231540970928</v>
          </cell>
          <cell r="I60">
            <v>0</v>
          </cell>
        </row>
        <row r="61">
          <cell r="G61">
            <v>-0.318</v>
          </cell>
          <cell r="H61">
            <v>2.9912139537621534</v>
          </cell>
          <cell r="I61">
            <v>1</v>
          </cell>
        </row>
        <row r="62">
          <cell r="G62">
            <v>-6.9000000000000006E-2</v>
          </cell>
          <cell r="H62">
            <v>2.9665722295991848</v>
          </cell>
          <cell r="I62">
            <v>2</v>
          </cell>
        </row>
        <row r="63">
          <cell r="G63">
            <v>-0.14899999999999999</v>
          </cell>
          <cell r="H63">
            <v>2.9412587306052838</v>
          </cell>
          <cell r="I63">
            <v>3</v>
          </cell>
        </row>
        <row r="64">
          <cell r="G64">
            <v>-5.3100000000000001E-2</v>
          </cell>
          <cell r="H64">
            <v>2.9136634391078959</v>
          </cell>
          <cell r="I64">
            <v>4</v>
          </cell>
        </row>
        <row r="65">
          <cell r="G65">
            <v>0.23100000000000001</v>
          </cell>
          <cell r="H65">
            <v>2.8870726488416056</v>
          </cell>
          <cell r="I65">
            <v>5</v>
          </cell>
        </row>
        <row r="66">
          <cell r="G66">
            <v>0.129</v>
          </cell>
          <cell r="H66">
            <v>2.8603452480592284</v>
          </cell>
          <cell r="I66">
            <v>6</v>
          </cell>
        </row>
        <row r="67">
          <cell r="G67">
            <v>-1.2</v>
          </cell>
          <cell r="H67">
            <v>2.8344742858665231</v>
          </cell>
          <cell r="I67">
            <v>0</v>
          </cell>
        </row>
        <row r="68">
          <cell r="G68">
            <v>0</v>
          </cell>
          <cell r="H68">
            <v>2.808250769200066</v>
          </cell>
          <cell r="I68">
            <v>0</v>
          </cell>
        </row>
        <row r="69">
          <cell r="G69">
            <v>-1.1499999999999999</v>
          </cell>
          <cell r="H69">
            <v>2.797992491013344</v>
          </cell>
          <cell r="I69">
            <v>0</v>
          </cell>
        </row>
        <row r="70">
          <cell r="G70">
            <v>0.46</v>
          </cell>
          <cell r="H70">
            <v>2.7761663033140755</v>
          </cell>
          <cell r="I70">
            <v>0</v>
          </cell>
        </row>
        <row r="71">
          <cell r="G71">
            <v>-8.0399999999999999E-2</v>
          </cell>
          <cell r="H71">
            <v>2.7505693677426968</v>
          </cell>
          <cell r="I71">
            <v>1</v>
          </cell>
        </row>
        <row r="72">
          <cell r="G72">
            <v>1.0900000000000001</v>
          </cell>
          <cell r="H72">
            <v>2.7202550443621063</v>
          </cell>
          <cell r="I72">
            <v>2</v>
          </cell>
        </row>
        <row r="73">
          <cell r="G73">
            <v>1.42</v>
          </cell>
          <cell r="H73">
            <v>2.6826257992832949</v>
          </cell>
          <cell r="I73">
            <v>3</v>
          </cell>
        </row>
        <row r="74">
          <cell r="G74">
            <v>1.35</v>
          </cell>
          <cell r="H74">
            <v>2.6472350043176198</v>
          </cell>
          <cell r="I74">
            <v>4</v>
          </cell>
        </row>
        <row r="75">
          <cell r="G75">
            <v>1.18</v>
          </cell>
          <cell r="H75">
            <v>2.6114703853027499</v>
          </cell>
          <cell r="I75">
            <v>5</v>
          </cell>
        </row>
        <row r="76">
          <cell r="G76">
            <v>1.24</v>
          </cell>
          <cell r="H76">
            <v>2.5763358193055388</v>
          </cell>
          <cell r="I76">
            <v>6</v>
          </cell>
        </row>
        <row r="77">
          <cell r="G77">
            <v>2.34</v>
          </cell>
          <cell r="H77">
            <v>2.539699628031872</v>
          </cell>
          <cell r="I77">
            <v>7</v>
          </cell>
        </row>
        <row r="78">
          <cell r="G78">
            <v>1.57</v>
          </cell>
          <cell r="H78">
            <v>2.5019202734430688</v>
          </cell>
          <cell r="I78">
            <v>8</v>
          </cell>
        </row>
        <row r="79">
          <cell r="G79">
            <v>-20.2</v>
          </cell>
          <cell r="H79">
            <v>2.4986572820543489</v>
          </cell>
          <cell r="I79">
            <v>0</v>
          </cell>
        </row>
        <row r="80">
          <cell r="G80">
            <v>-0.29099999999999998</v>
          </cell>
          <cell r="H80">
            <v>2.5224521919043883</v>
          </cell>
          <cell r="I80">
            <v>0</v>
          </cell>
        </row>
        <row r="81">
          <cell r="G81">
            <v>0.307</v>
          </cell>
          <cell r="H81">
            <v>2.500216203202855</v>
          </cell>
          <cell r="I81">
            <v>1</v>
          </cell>
        </row>
        <row r="82">
          <cell r="G82">
            <v>0.81799999999999995</v>
          </cell>
          <cell r="H82">
            <v>2.4751452457095353</v>
          </cell>
          <cell r="I82">
            <v>2</v>
          </cell>
        </row>
        <row r="83">
          <cell r="G83">
            <v>0.68600000000000005</v>
          </cell>
          <cell r="H83">
            <v>2.4447566978348667</v>
          </cell>
          <cell r="I83">
            <v>3</v>
          </cell>
        </row>
        <row r="84">
          <cell r="G84">
            <v>1.76</v>
          </cell>
          <cell r="H84">
            <v>2.4068575104730967</v>
          </cell>
          <cell r="I84">
            <v>4</v>
          </cell>
        </row>
        <row r="85">
          <cell r="G85">
            <v>2.15</v>
          </cell>
          <cell r="H85">
            <v>2.3701082253497936</v>
          </cell>
          <cell r="I85">
            <v>5</v>
          </cell>
        </row>
        <row r="86">
          <cell r="H86">
            <v>2.3149875728895206</v>
          </cell>
          <cell r="I86">
            <v>6</v>
          </cell>
        </row>
        <row r="87">
          <cell r="H87">
            <v>2.2296288895585294</v>
          </cell>
          <cell r="I87">
            <v>7</v>
          </cell>
        </row>
        <row r="88">
          <cell r="H88">
            <v>2.1447933107006487</v>
          </cell>
          <cell r="I88">
            <v>8</v>
          </cell>
        </row>
        <row r="89">
          <cell r="G89">
            <v>4.97</v>
          </cell>
          <cell r="H89">
            <v>2.076373885421638</v>
          </cell>
          <cell r="I89">
            <v>9</v>
          </cell>
        </row>
        <row r="90">
          <cell r="G90">
            <v>3.54</v>
          </cell>
          <cell r="H90">
            <v>2.0227156048852222</v>
          </cell>
          <cell r="I90">
            <v>10</v>
          </cell>
        </row>
        <row r="91">
          <cell r="G91">
            <v>3.44</v>
          </cell>
          <cell r="H91">
            <v>1.9766434202106367</v>
          </cell>
          <cell r="I91">
            <v>11</v>
          </cell>
        </row>
        <row r="92">
          <cell r="G92">
            <v>1.68</v>
          </cell>
          <cell r="H92">
            <v>1.9459010906809602</v>
          </cell>
          <cell r="I92">
            <v>12</v>
          </cell>
        </row>
        <row r="93">
          <cell r="G93">
            <v>0.91900000000000004</v>
          </cell>
          <cell r="H93">
            <v>1.9260965847504816</v>
          </cell>
          <cell r="I93">
            <v>13</v>
          </cell>
        </row>
        <row r="94">
          <cell r="G94">
            <v>0.97099999999999997</v>
          </cell>
          <cell r="H94">
            <v>1.9073867673003693</v>
          </cell>
          <cell r="I94">
            <v>14</v>
          </cell>
        </row>
        <row r="95">
          <cell r="G95">
            <v>0.998</v>
          </cell>
          <cell r="H95">
            <v>1.8889540455995912</v>
          </cell>
          <cell r="I95">
            <v>15</v>
          </cell>
        </row>
        <row r="96">
          <cell r="G96">
            <v>3.53</v>
          </cell>
          <cell r="H96">
            <v>1.8552609988435225</v>
          </cell>
          <cell r="I96">
            <v>16</v>
          </cell>
        </row>
        <row r="97">
          <cell r="G97">
            <v>2.85</v>
          </cell>
          <cell r="H97">
            <v>1.8162505713273176</v>
          </cell>
          <cell r="I97">
            <v>17</v>
          </cell>
        </row>
        <row r="98">
          <cell r="G98">
            <v>2.58</v>
          </cell>
          <cell r="H98">
            <v>1.7785331858677984</v>
          </cell>
          <cell r="I98">
            <v>18</v>
          </cell>
        </row>
        <row r="99">
          <cell r="G99">
            <v>1.76</v>
          </cell>
          <cell r="H99">
            <v>1.744879811706745</v>
          </cell>
          <cell r="I99">
            <v>19</v>
          </cell>
        </row>
        <row r="100">
          <cell r="G100">
            <v>1.89</v>
          </cell>
          <cell r="H100">
            <v>1.7175538406777657</v>
          </cell>
          <cell r="I100">
            <v>20</v>
          </cell>
        </row>
        <row r="101">
          <cell r="G101">
            <v>1.43</v>
          </cell>
          <cell r="H101">
            <v>1.6927980098044944</v>
          </cell>
          <cell r="I101">
            <v>21</v>
          </cell>
        </row>
        <row r="102">
          <cell r="G102">
            <v>1.23</v>
          </cell>
          <cell r="H102">
            <v>1.6738853257985116</v>
          </cell>
          <cell r="I102">
            <v>22</v>
          </cell>
        </row>
        <row r="103">
          <cell r="G103">
            <v>0.755</v>
          </cell>
          <cell r="H103">
            <v>1.6540399177420588</v>
          </cell>
          <cell r="I103">
            <v>23</v>
          </cell>
        </row>
        <row r="104">
          <cell r="G104">
            <v>0.995</v>
          </cell>
          <cell r="H104">
            <v>1.6342223344097913</v>
          </cell>
          <cell r="I104">
            <v>24</v>
          </cell>
        </row>
        <row r="105">
          <cell r="G105">
            <v>0</v>
          </cell>
          <cell r="H105">
            <v>1.6170466778126253</v>
          </cell>
          <cell r="I105">
            <v>25</v>
          </cell>
        </row>
        <row r="106">
          <cell r="G106">
            <v>1.39</v>
          </cell>
          <cell r="H106">
            <v>1.6136663127128439</v>
          </cell>
          <cell r="I106">
            <v>26</v>
          </cell>
        </row>
        <row r="107">
          <cell r="G107">
            <v>0.98599999999999999</v>
          </cell>
          <cell r="H107">
            <v>1.5972505666279342</v>
          </cell>
          <cell r="I107">
            <v>27</v>
          </cell>
        </row>
        <row r="108">
          <cell r="G108">
            <v>0.63600000000000001</v>
          </cell>
          <cell r="H108">
            <v>1.5800470923556609</v>
          </cell>
          <cell r="I108">
            <v>28</v>
          </cell>
        </row>
        <row r="109">
          <cell r="G109">
            <v>0.58599999999999997</v>
          </cell>
          <cell r="H109">
            <v>1.5642311436986165</v>
          </cell>
          <cell r="I109">
            <v>29</v>
          </cell>
        </row>
        <row r="110">
          <cell r="G110">
            <v>0.78300000000000003</v>
          </cell>
          <cell r="H110">
            <v>1.5474288942579135</v>
          </cell>
          <cell r="I110">
            <v>30</v>
          </cell>
        </row>
        <row r="111">
          <cell r="G111">
            <v>0.628</v>
          </cell>
          <cell r="H111">
            <v>1.5286434131615603</v>
          </cell>
          <cell r="I111">
            <v>31</v>
          </cell>
        </row>
        <row r="112">
          <cell r="G112">
            <v>0.54100000000000004</v>
          </cell>
          <cell r="H112">
            <v>1.5106092617073847</v>
          </cell>
          <cell r="I112">
            <v>32</v>
          </cell>
        </row>
        <row r="113">
          <cell r="G113">
            <v>0.64500000000000002</v>
          </cell>
          <cell r="H113">
            <v>1.4923460747956052</v>
          </cell>
          <cell r="I113">
            <v>33</v>
          </cell>
        </row>
        <row r="114">
          <cell r="G114">
            <v>1.1100000000000001</v>
          </cell>
          <cell r="H114">
            <v>1.4737438253549064</v>
          </cell>
          <cell r="I114">
            <v>34</v>
          </cell>
        </row>
        <row r="115">
          <cell r="G115">
            <v>0.93</v>
          </cell>
          <cell r="H115">
            <v>1.4548272572329988</v>
          </cell>
          <cell r="I115">
            <v>35</v>
          </cell>
        </row>
        <row r="116">
          <cell r="G116">
            <v>0.71</v>
          </cell>
          <cell r="H116">
            <v>1.434738718757099</v>
          </cell>
          <cell r="I116">
            <v>36</v>
          </cell>
        </row>
        <row r="117">
          <cell r="G117">
            <v>0.60599999999999998</v>
          </cell>
          <cell r="H117">
            <v>1.4139307456034245</v>
          </cell>
          <cell r="I117">
            <v>37</v>
          </cell>
        </row>
        <row r="118">
          <cell r="G118">
            <v>0.48499999999999999</v>
          </cell>
          <cell r="H118">
            <v>1.3935712355360539</v>
          </cell>
          <cell r="I118">
            <v>38</v>
          </cell>
        </row>
        <row r="119">
          <cell r="G119">
            <v>0.36099999999999999</v>
          </cell>
          <cell r="H119">
            <v>1.3718448476143439</v>
          </cell>
          <cell r="I119">
            <v>39</v>
          </cell>
        </row>
        <row r="120">
          <cell r="G120">
            <v>6.3100000000000003E-2</v>
          </cell>
          <cell r="H120">
            <v>1.3499583466082465</v>
          </cell>
          <cell r="I120">
            <v>40</v>
          </cell>
        </row>
        <row r="121">
          <cell r="G121">
            <v>0.42599999999999999</v>
          </cell>
          <cell r="H121">
            <v>1.3276139702099985</v>
          </cell>
          <cell r="I121">
            <v>41</v>
          </cell>
        </row>
        <row r="122">
          <cell r="G122">
            <v>1.04</v>
          </cell>
          <cell r="H122">
            <v>1.305385945263374</v>
          </cell>
          <cell r="I122">
            <v>42</v>
          </cell>
        </row>
        <row r="123">
          <cell r="G123">
            <v>-2.6800000000000001E-2</v>
          </cell>
          <cell r="H123">
            <v>1.2829575198718639</v>
          </cell>
          <cell r="I123">
            <v>43</v>
          </cell>
        </row>
        <row r="124">
          <cell r="G124">
            <v>-1.2800000000000001E-2</v>
          </cell>
          <cell r="H124">
            <v>1.2593783796036564</v>
          </cell>
          <cell r="I124">
            <v>44</v>
          </cell>
        </row>
        <row r="125">
          <cell r="G125">
            <v>9.6199999999999994E-2</v>
          </cell>
          <cell r="H125">
            <v>1.2354814463819692</v>
          </cell>
          <cell r="I125">
            <v>45</v>
          </cell>
        </row>
        <row r="126">
          <cell r="G126">
            <v>0.184</v>
          </cell>
          <cell r="H126">
            <v>1.2124260277020418</v>
          </cell>
          <cell r="I126">
            <v>46</v>
          </cell>
        </row>
        <row r="127">
          <cell r="G127">
            <v>-3.8699999999999998E-2</v>
          </cell>
          <cell r="H127">
            <v>1.1877430056676022</v>
          </cell>
          <cell r="I127">
            <v>47</v>
          </cell>
        </row>
        <row r="128">
          <cell r="G128">
            <v>0.112</v>
          </cell>
          <cell r="H128">
            <v>1.1624562973899848</v>
          </cell>
          <cell r="I128">
            <v>48</v>
          </cell>
        </row>
        <row r="129">
          <cell r="G129">
            <v>0.30499999999999999</v>
          </cell>
          <cell r="H129">
            <v>1.1376661054413257</v>
          </cell>
          <cell r="I129">
            <v>49</v>
          </cell>
        </row>
        <row r="130">
          <cell r="G130">
            <v>-0.17699999999999999</v>
          </cell>
          <cell r="H130">
            <v>1.112165702646752</v>
          </cell>
          <cell r="I130">
            <v>50</v>
          </cell>
        </row>
        <row r="131">
          <cell r="G131">
            <v>-4.8500000000000001E-2</v>
          </cell>
          <cell r="H131">
            <v>1.08927653295753</v>
          </cell>
          <cell r="I131">
            <v>51</v>
          </cell>
        </row>
        <row r="132">
          <cell r="G132">
            <v>0.128</v>
          </cell>
          <cell r="H132">
            <v>1.0646573055512696</v>
          </cell>
          <cell r="I132">
            <v>52</v>
          </cell>
        </row>
        <row r="133">
          <cell r="G133">
            <v>-0.223</v>
          </cell>
          <cell r="H133">
            <v>1.0399552539833183</v>
          </cell>
          <cell r="I133">
            <v>53</v>
          </cell>
        </row>
        <row r="134">
          <cell r="G134">
            <v>-0.97799999999999998</v>
          </cell>
          <cell r="H134">
            <v>1.0165198800472619</v>
          </cell>
          <cell r="I134">
            <v>54</v>
          </cell>
        </row>
        <row r="135">
          <cell r="G135">
            <v>-0.54600000000000004</v>
          </cell>
          <cell r="H135">
            <v>0.99477406919623368</v>
          </cell>
          <cell r="I135">
            <v>55</v>
          </cell>
        </row>
        <row r="136">
          <cell r="G136">
            <v>-0.30499999999999999</v>
          </cell>
          <cell r="H136">
            <v>0.97102928765371876</v>
          </cell>
          <cell r="I136">
            <v>56</v>
          </cell>
        </row>
        <row r="137">
          <cell r="G137">
            <v>-0.45400000000000001</v>
          </cell>
          <cell r="H137">
            <v>0.94512253463223272</v>
          </cell>
          <cell r="I137">
            <v>57</v>
          </cell>
        </row>
        <row r="138">
          <cell r="G138">
            <v>-0.61199999999999999</v>
          </cell>
          <cell r="H138">
            <v>0.92076568619890642</v>
          </cell>
          <cell r="I138">
            <v>58</v>
          </cell>
        </row>
        <row r="139">
          <cell r="G139">
            <v>-0.93500000000000005</v>
          </cell>
          <cell r="H139">
            <v>0.89365014268613008</v>
          </cell>
          <cell r="I139">
            <v>59</v>
          </cell>
        </row>
        <row r="140">
          <cell r="G140">
            <v>-0.121</v>
          </cell>
          <cell r="H140">
            <v>0.86809103541333377</v>
          </cell>
          <cell r="I140">
            <v>60</v>
          </cell>
        </row>
        <row r="141">
          <cell r="G141">
            <v>0.30399999999999999</v>
          </cell>
          <cell r="H141">
            <v>0.84340679089701309</v>
          </cell>
          <cell r="I141">
            <v>61</v>
          </cell>
        </row>
        <row r="142">
          <cell r="G142">
            <v>1.7</v>
          </cell>
          <cell r="H142">
            <v>0.81532704526209576</v>
          </cell>
          <cell r="I142">
            <v>62</v>
          </cell>
        </row>
        <row r="143">
          <cell r="G143">
            <v>-0.30199999999999999</v>
          </cell>
          <cell r="H143">
            <v>0.78949329895218723</v>
          </cell>
          <cell r="I143">
            <v>63</v>
          </cell>
        </row>
        <row r="144">
          <cell r="G144">
            <v>-0.26500000000000001</v>
          </cell>
          <cell r="H144">
            <v>0.76517836315581134</v>
          </cell>
          <cell r="I144">
            <v>64</v>
          </cell>
        </row>
        <row r="145">
          <cell r="G145">
            <v>0.71699999999999997</v>
          </cell>
          <cell r="H145">
            <v>0.74098941248656969</v>
          </cell>
          <cell r="I145">
            <v>65</v>
          </cell>
        </row>
        <row r="146">
          <cell r="G146">
            <v>0.28199999999999997</v>
          </cell>
          <cell r="H146">
            <v>0.71552950432400797</v>
          </cell>
          <cell r="I146">
            <v>66</v>
          </cell>
        </row>
        <row r="147">
          <cell r="G147">
            <v>-1.17</v>
          </cell>
          <cell r="H147">
            <v>0.69674443542099906</v>
          </cell>
          <cell r="I147">
            <v>67</v>
          </cell>
        </row>
        <row r="148">
          <cell r="G148">
            <v>-6.6100000000000006E-2</v>
          </cell>
          <cell r="H148">
            <v>0.67210271125803045</v>
          </cell>
          <cell r="I148">
            <v>68</v>
          </cell>
        </row>
        <row r="149">
          <cell r="G149">
            <v>-1.07</v>
          </cell>
          <cell r="H149">
            <v>0.52862664481721344</v>
          </cell>
          <cell r="I149">
            <v>69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unoff_Accuweather"/>
      <sheetName val="Rain Gauge Data"/>
      <sheetName val="Runoff_Rain Gauge"/>
      <sheetName val="Runoff_Rain Gauge_corrected"/>
      <sheetName val="Return Flow Calculations"/>
      <sheetName val="Command Area P"/>
      <sheetName val="Catchment Area Calculations"/>
    </sheetNames>
    <sheetDataSet>
      <sheetData sheetId="0">
        <row r="45">
          <cell r="AS45" t="str">
            <v>Total Outflows</v>
          </cell>
        </row>
      </sheetData>
      <sheetData sheetId="1">
        <row r="247">
          <cell r="G247">
            <v>307.10000000000002</v>
          </cell>
          <cell r="I247">
            <v>123.53399999999999</v>
          </cell>
        </row>
      </sheetData>
      <sheetData sheetId="2"/>
      <sheetData sheetId="3"/>
      <sheetData sheetId="4">
        <row r="22">
          <cell r="J22">
            <v>57.236000000001241</v>
          </cell>
        </row>
        <row r="23">
          <cell r="J23">
            <v>0.95399999999999996</v>
          </cell>
        </row>
        <row r="24">
          <cell r="J24">
            <v>0.42749999999999999</v>
          </cell>
        </row>
        <row r="25">
          <cell r="J25">
            <v>4.3289999999999953</v>
          </cell>
        </row>
        <row r="26">
          <cell r="J26">
            <v>5.1499999999999853</v>
          </cell>
        </row>
        <row r="27">
          <cell r="J27">
            <v>0.10850000000000001</v>
          </cell>
        </row>
        <row r="28">
          <cell r="J28">
            <v>1.1775</v>
          </cell>
        </row>
        <row r="55">
          <cell r="J55">
            <v>7.0480000000000089</v>
          </cell>
        </row>
        <row r="113">
          <cell r="G113">
            <v>271.70000000000198</v>
          </cell>
          <cell r="H113">
            <v>271.70000000000198</v>
          </cell>
          <cell r="J113">
            <v>77.560000000001253</v>
          </cell>
        </row>
      </sheetData>
      <sheetData sheetId="5"/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k4QA_KVM"/>
      <sheetName val="Plots R2&gt;.75 - UPDATED"/>
      <sheetName val="Tank Water Budgets"/>
      <sheetName val="Dan Paper Figures_R+So"/>
      <sheetName val="Sheet1"/>
      <sheetName val="RvsDaysSince"/>
      <sheetName val="sluice days"/>
      <sheetName val="Rainfall"/>
      <sheetName val="So Record"/>
    </sheetNames>
    <sheetDataSet>
      <sheetData sheetId="0" refreshError="1"/>
      <sheetData sheetId="1" refreshError="1">
        <row r="3">
          <cell r="R3" t="str">
            <v>Date</v>
          </cell>
          <cell r="S3" t="str">
            <v>t1</v>
          </cell>
          <cell r="T3" t="str">
            <v>t2</v>
          </cell>
          <cell r="U3" t="str">
            <v>t3</v>
          </cell>
          <cell r="V3" t="str">
            <v>t4</v>
          </cell>
        </row>
        <row r="5">
          <cell r="R5">
            <v>41564</v>
          </cell>
          <cell r="S5">
            <v>3.001481022440164</v>
          </cell>
          <cell r="T5">
            <v>3.1793810224401646</v>
          </cell>
          <cell r="U5">
            <v>3.402581022440164</v>
          </cell>
          <cell r="V5">
            <v>3.1435810224401641</v>
          </cell>
        </row>
        <row r="6">
          <cell r="R6">
            <v>41565</v>
          </cell>
          <cell r="S6">
            <v>3.0295143565567302</v>
          </cell>
          <cell r="T6">
            <v>3.2773143565567313</v>
          </cell>
          <cell r="U6">
            <v>3.5956143565567311</v>
          </cell>
          <cell r="V6">
            <v>3.2043143565567305</v>
          </cell>
        </row>
        <row r="7">
          <cell r="R7">
            <v>41566</v>
          </cell>
          <cell r="S7">
            <v>3.1842159959313361</v>
          </cell>
          <cell r="T7">
            <v>3.3345159959313371</v>
          </cell>
          <cell r="U7">
            <v>3.7167159959313372</v>
          </cell>
          <cell r="V7">
            <v>3.2750159959313367</v>
          </cell>
        </row>
        <row r="8">
          <cell r="R8">
            <v>41567</v>
          </cell>
          <cell r="S8">
            <v>3.1727063881024375</v>
          </cell>
          <cell r="T8">
            <v>3.4026063881024378</v>
          </cell>
          <cell r="U8">
            <v>3.9735063881024368</v>
          </cell>
          <cell r="V8">
            <v>3.3996063881024372</v>
          </cell>
        </row>
        <row r="9">
          <cell r="R9">
            <v>41568</v>
          </cell>
          <cell r="S9">
            <v>3.1319503382091853</v>
          </cell>
          <cell r="T9">
            <v>3.4228503382091855</v>
          </cell>
          <cell r="U9">
            <v>4.0705503382091868</v>
          </cell>
          <cell r="V9">
            <v>3.2055503382091852</v>
          </cell>
        </row>
        <row r="10">
          <cell r="R10">
            <v>41569</v>
          </cell>
          <cell r="S10">
            <v>3.0868947052086626</v>
          </cell>
          <cell r="T10">
            <v>3.4088947052086631</v>
          </cell>
          <cell r="U10">
            <v>4.0373947052086629</v>
          </cell>
          <cell r="V10">
            <v>3.2147947052086621</v>
          </cell>
        </row>
        <row r="11">
          <cell r="R11">
            <v>41570</v>
          </cell>
          <cell r="S11">
            <v>3.0421924557679625</v>
          </cell>
          <cell r="T11">
            <v>3.3914924557679615</v>
          </cell>
          <cell r="U11">
            <v>3.9870924557679617</v>
          </cell>
          <cell r="V11">
            <v>3.179992455767962</v>
          </cell>
        </row>
        <row r="12">
          <cell r="R12">
            <v>41571</v>
          </cell>
          <cell r="S12">
            <v>2.9996337677375871</v>
          </cell>
          <cell r="T12">
            <v>3.371833767737586</v>
          </cell>
          <cell r="U12">
            <v>3.9363337677375876</v>
          </cell>
          <cell r="V12">
            <v>3.1485337677375855</v>
          </cell>
        </row>
        <row r="13">
          <cell r="R13">
            <v>41572</v>
          </cell>
          <cell r="S13">
            <v>2.9609229280280371</v>
          </cell>
          <cell r="T13">
            <v>3.3511229280280386</v>
          </cell>
          <cell r="U13">
            <v>3.8828229280280384</v>
          </cell>
          <cell r="V13">
            <v>3.1297229280280372</v>
          </cell>
        </row>
        <row r="14">
          <cell r="R14">
            <v>41573</v>
          </cell>
          <cell r="S14">
            <v>2.9154341775812385</v>
          </cell>
          <cell r="T14">
            <v>3.3322341775812401</v>
          </cell>
          <cell r="U14">
            <v>3.8284341775812392</v>
          </cell>
          <cell r="V14">
            <v>3.1196341775812395</v>
          </cell>
        </row>
        <row r="15">
          <cell r="R15">
            <v>41574</v>
          </cell>
          <cell r="S15">
            <v>2.8776409376518033</v>
          </cell>
          <cell r="T15">
            <v>3.3132409376518037</v>
          </cell>
          <cell r="U15">
            <v>3.7887409376518049</v>
          </cell>
          <cell r="V15">
            <v>3.0979409376518041</v>
          </cell>
        </row>
        <row r="16">
          <cell r="R16">
            <v>41575</v>
          </cell>
          <cell r="S16">
            <v>2.8401098576753268</v>
          </cell>
          <cell r="T16">
            <v>3.292209857675326</v>
          </cell>
          <cell r="U16">
            <v>3.7360098576753265</v>
          </cell>
          <cell r="V16">
            <v>3.0740098576753261</v>
          </cell>
        </row>
        <row r="17">
          <cell r="R17">
            <v>41576</v>
          </cell>
          <cell r="S17">
            <v>2.7989624191981517</v>
          </cell>
          <cell r="T17">
            <v>3.2727624191981519</v>
          </cell>
          <cell r="U17">
            <v>3.6890624191981507</v>
          </cell>
          <cell r="V17">
            <v>3.0483624191981504</v>
          </cell>
        </row>
        <row r="18">
          <cell r="R18">
            <v>41577</v>
          </cell>
          <cell r="S18">
            <v>2.7607329762465871</v>
          </cell>
          <cell r="T18">
            <v>3.2534329762465877</v>
          </cell>
          <cell r="U18">
            <v>3.661432976246588</v>
          </cell>
          <cell r="V18">
            <v>3.0304329762465883</v>
          </cell>
        </row>
        <row r="19">
          <cell r="R19">
            <v>41578</v>
          </cell>
          <cell r="S19">
            <v>2.7228466778126248</v>
          </cell>
          <cell r="T19">
            <v>3.2334466778126245</v>
          </cell>
          <cell r="U19">
            <v>3.616246677812625</v>
          </cell>
          <cell r="V19">
            <v>3.0117466778126238</v>
          </cell>
        </row>
        <row r="20">
          <cell r="R20">
            <v>41579</v>
          </cell>
          <cell r="S20">
            <v>2.6960524038752909</v>
          </cell>
          <cell r="T20">
            <v>3.2137524038752918</v>
          </cell>
          <cell r="U20">
            <v>3.5651524038752909</v>
          </cell>
          <cell r="V20">
            <v>2.9937524038752907</v>
          </cell>
        </row>
        <row r="21">
          <cell r="R21">
            <v>41580</v>
          </cell>
          <cell r="S21">
            <v>2.6588710094669961</v>
          </cell>
          <cell r="T21">
            <v>3.1945710094669977</v>
          </cell>
          <cell r="U21">
            <v>3.5144710094669973</v>
          </cell>
          <cell r="V21">
            <v>2.9733710094669976</v>
          </cell>
        </row>
        <row r="22">
          <cell r="R22">
            <v>41581</v>
          </cell>
          <cell r="S22">
            <v>2.6246802121516297</v>
          </cell>
          <cell r="T22">
            <v>3.1776802121516301</v>
          </cell>
          <cell r="U22">
            <v>3.4816802121516313</v>
          </cell>
          <cell r="V22">
            <v>2.9555802121516304</v>
          </cell>
        </row>
        <row r="23">
          <cell r="R23">
            <v>41582</v>
          </cell>
          <cell r="S23">
            <v>2.5902771477230098</v>
          </cell>
          <cell r="T23">
            <v>3.1596771477230092</v>
          </cell>
          <cell r="U23">
            <v>3.4474771477230091</v>
          </cell>
          <cell r="V23">
            <v>2.9368771477230093</v>
          </cell>
        </row>
        <row r="24">
          <cell r="R24">
            <v>41583</v>
          </cell>
          <cell r="S24">
            <v>2.6102194843017643</v>
          </cell>
          <cell r="T24">
            <v>3.1680194843017642</v>
          </cell>
          <cell r="U24">
            <v>3.4445194843017637</v>
          </cell>
          <cell r="V24">
            <v>2.9495194843017631</v>
          </cell>
        </row>
        <row r="25">
          <cell r="R25">
            <v>41584</v>
          </cell>
          <cell r="S25">
            <v>2.6013288895585291</v>
          </cell>
          <cell r="T25">
            <v>3.1691288895585306</v>
          </cell>
          <cell r="U25">
            <v>3.42052888955853</v>
          </cell>
          <cell r="V25">
            <v>2.9404288895585302</v>
          </cell>
        </row>
        <row r="26">
          <cell r="R26">
            <v>41585</v>
          </cell>
          <cell r="S26">
            <v>2.56585301864077</v>
          </cell>
          <cell r="T26">
            <v>3.1474530186407694</v>
          </cell>
          <cell r="U26">
            <v>3.3864530186407693</v>
          </cell>
          <cell r="V26">
            <v>2.9189530186407686</v>
          </cell>
        </row>
        <row r="27">
          <cell r="R27">
            <v>41586</v>
          </cell>
          <cell r="S27">
            <v>2.531948719981806</v>
          </cell>
          <cell r="T27">
            <v>3.1306487199818065</v>
          </cell>
          <cell r="U27">
            <v>3.3481487199818067</v>
          </cell>
          <cell r="V27">
            <v>2.8968487199818074</v>
          </cell>
        </row>
        <row r="28">
          <cell r="R28">
            <v>41587</v>
          </cell>
          <cell r="S28">
            <v>2.4993953411213714</v>
          </cell>
          <cell r="T28">
            <v>3.1099953411213708</v>
          </cell>
          <cell r="U28">
            <v>3.3074953411213714</v>
          </cell>
          <cell r="V28">
            <v>2.8724953411213714</v>
          </cell>
        </row>
        <row r="29">
          <cell r="R29">
            <v>41588</v>
          </cell>
          <cell r="S29">
            <v>2.4632184455944803</v>
          </cell>
          <cell r="T29">
            <v>3.0919184455944819</v>
          </cell>
          <cell r="U29">
            <v>3.2686184455944813</v>
          </cell>
          <cell r="V29">
            <v>2.8491184455944807</v>
          </cell>
        </row>
        <row r="30">
          <cell r="R30">
            <v>41589</v>
          </cell>
          <cell r="S30">
            <v>2.4248004524185611</v>
          </cell>
          <cell r="T30">
            <v>3.0709004524185612</v>
          </cell>
          <cell r="U30">
            <v>3.2278004524185606</v>
          </cell>
          <cell r="V30">
            <v>2.8217004524185607</v>
          </cell>
        </row>
        <row r="31">
          <cell r="R31">
            <v>41590</v>
          </cell>
          <cell r="S31">
            <v>2.3878161938040869</v>
          </cell>
          <cell r="T31">
            <v>3.0501161938040884</v>
          </cell>
          <cell r="U31">
            <v>3.1861161938040867</v>
          </cell>
          <cell r="V31">
            <v>2.7828161938040874</v>
          </cell>
        </row>
        <row r="32">
          <cell r="R32">
            <v>41591</v>
          </cell>
          <cell r="S32">
            <v>2.3528955413438131</v>
          </cell>
          <cell r="T32">
            <v>3.0268955413438121</v>
          </cell>
          <cell r="U32">
            <v>3.1516955413438135</v>
          </cell>
          <cell r="V32">
            <v>2.7604955413438126</v>
          </cell>
        </row>
        <row r="33">
          <cell r="R33">
            <v>41592</v>
          </cell>
          <cell r="S33">
            <v>2.3232748912332295</v>
          </cell>
          <cell r="T33">
            <v>3.0064748912332302</v>
          </cell>
          <cell r="U33">
            <v>3.1205748912332298</v>
          </cell>
          <cell r="V33">
            <v>2.7414748912332292</v>
          </cell>
        </row>
        <row r="34">
          <cell r="R34">
            <v>41593</v>
          </cell>
          <cell r="S34">
            <v>2.2819939113679717</v>
          </cell>
          <cell r="T34">
            <v>2.9805939113679738</v>
          </cell>
          <cell r="U34">
            <v>3.0834939113679729</v>
          </cell>
          <cell r="V34">
            <v>2.7170939113679728</v>
          </cell>
        </row>
        <row r="35">
          <cell r="R35">
            <v>41594</v>
          </cell>
          <cell r="S35">
            <v>2.2373266236699831</v>
          </cell>
          <cell r="T35">
            <v>2.9560266236699828</v>
          </cell>
          <cell r="U35">
            <v>3.0417266236699829</v>
          </cell>
          <cell r="V35">
            <v>2.681026623669982</v>
          </cell>
        </row>
        <row r="36">
          <cell r="R36">
            <v>41595</v>
          </cell>
          <cell r="S36">
            <v>2.1916783584564272</v>
          </cell>
          <cell r="T36">
            <v>2.928978358456428</v>
          </cell>
          <cell r="U36">
            <v>3.0008783584564283</v>
          </cell>
          <cell r="V36">
            <v>2.6427783584564284</v>
          </cell>
        </row>
        <row r="37">
          <cell r="R37">
            <v>41596</v>
          </cell>
          <cell r="S37">
            <v>2.2556730516361818</v>
          </cell>
          <cell r="T37">
            <v>3.230673051636181</v>
          </cell>
          <cell r="U37">
            <v>3.7856730516361816</v>
          </cell>
          <cell r="V37">
            <v>3.1592730516361818</v>
          </cell>
        </row>
        <row r="38">
          <cell r="R38">
            <v>41597</v>
          </cell>
          <cell r="S38">
            <v>2.2130814440322788</v>
          </cell>
          <cell r="T38">
            <v>3.2119814440322791</v>
          </cell>
          <cell r="U38">
            <v>3.7786814440322791</v>
          </cell>
          <cell r="V38">
            <v>3.1414814440322778</v>
          </cell>
        </row>
        <row r="39">
          <cell r="R39">
            <v>41598</v>
          </cell>
          <cell r="S39">
            <v>2.1686401297129607</v>
          </cell>
          <cell r="T39">
            <v>3.1923401297129619</v>
          </cell>
          <cell r="U39">
            <v>3.7410401297129612</v>
          </cell>
          <cell r="V39">
            <v>3.1183401297129616</v>
          </cell>
        </row>
        <row r="40">
          <cell r="R40">
            <v>41599</v>
          </cell>
          <cell r="S40">
            <v>2.1246155743392241</v>
          </cell>
          <cell r="T40">
            <v>3.1712155743392252</v>
          </cell>
          <cell r="U40">
            <v>3.7009155743392244</v>
          </cell>
          <cell r="V40">
            <v>3.0934155743392249</v>
          </cell>
        </row>
        <row r="41">
          <cell r="R41">
            <v>41600</v>
          </cell>
          <cell r="S41">
            <v>2.0702272337360754</v>
          </cell>
          <cell r="T41">
            <v>3.1489272337360763</v>
          </cell>
          <cell r="U41">
            <v>3.660127233736076</v>
          </cell>
          <cell r="V41">
            <v>3.0679272337360763</v>
          </cell>
        </row>
        <row r="42">
          <cell r="R42">
            <v>41601</v>
          </cell>
          <cell r="S42">
            <v>2.0150720246773575</v>
          </cell>
          <cell r="T42">
            <v>3.125172024677358</v>
          </cell>
          <cell r="U42">
            <v>3.6221720246773588</v>
          </cell>
          <cell r="V42">
            <v>3.0416720246773585</v>
          </cell>
        </row>
        <row r="43">
          <cell r="R43">
            <v>41602</v>
          </cell>
          <cell r="S43">
            <v>1.9673231540970932</v>
          </cell>
          <cell r="T43">
            <v>3.1047231540970941</v>
          </cell>
          <cell r="U43">
            <v>3.5806231540970943</v>
          </cell>
          <cell r="V43">
            <v>3.0159231540970928</v>
          </cell>
        </row>
        <row r="44">
          <cell r="R44">
            <v>41603</v>
          </cell>
          <cell r="S44">
            <v>1.919013953762152</v>
          </cell>
          <cell r="T44">
            <v>3.081513953762153</v>
          </cell>
          <cell r="U44">
            <v>3.5398139537621534</v>
          </cell>
          <cell r="V44">
            <v>2.9912139537621534</v>
          </cell>
        </row>
        <row r="45">
          <cell r="R45">
            <v>41604</v>
          </cell>
          <cell r="S45">
            <v>1.8739722295991847</v>
          </cell>
          <cell r="T45">
            <v>3.0538722295991843</v>
          </cell>
          <cell r="U45">
            <v>3.5004722295991852</v>
          </cell>
          <cell r="V45">
            <v>2.9665722295991848</v>
          </cell>
        </row>
        <row r="46">
          <cell r="R46">
            <v>41605</v>
          </cell>
          <cell r="S46">
            <v>1.8367587306052831</v>
          </cell>
          <cell r="T46">
            <v>3.0250587306052825</v>
          </cell>
          <cell r="U46">
            <v>3.4643587306052828</v>
          </cell>
          <cell r="V46">
            <v>2.9412587306052838</v>
          </cell>
        </row>
        <row r="47">
          <cell r="R47">
            <v>41606</v>
          </cell>
          <cell r="S47">
            <v>1.7994634391078965</v>
          </cell>
          <cell r="T47">
            <v>2.9966634391078966</v>
          </cell>
          <cell r="U47">
            <v>3.4180634391078977</v>
          </cell>
          <cell r="V47">
            <v>2.9136634391078959</v>
          </cell>
        </row>
        <row r="48">
          <cell r="R48">
            <v>41607</v>
          </cell>
          <cell r="S48">
            <v>1.7632726488416055</v>
          </cell>
          <cell r="T48">
            <v>2.9721726488416049</v>
          </cell>
          <cell r="U48">
            <v>3.3739726488416055</v>
          </cell>
          <cell r="V48">
            <v>2.8870726488416056</v>
          </cell>
        </row>
        <row r="49">
          <cell r="R49">
            <v>41608</v>
          </cell>
          <cell r="S49">
            <v>1.7149452480592271</v>
          </cell>
          <cell r="T49">
            <v>2.9501452480592274</v>
          </cell>
          <cell r="U49">
            <v>3.339745248059228</v>
          </cell>
          <cell r="V49">
            <v>2.8603452480592284</v>
          </cell>
        </row>
        <row r="50">
          <cell r="R50">
            <v>41609</v>
          </cell>
          <cell r="S50">
            <v>1.6719742858665225</v>
          </cell>
          <cell r="T50">
            <v>2.9242742858665238</v>
          </cell>
          <cell r="U50">
            <v>3.3122742858665228</v>
          </cell>
          <cell r="V50">
            <v>2.8344742858665231</v>
          </cell>
        </row>
        <row r="51">
          <cell r="R51">
            <v>41610</v>
          </cell>
          <cell r="S51">
            <v>1.638650769200066</v>
          </cell>
          <cell r="T51">
            <v>2.9012507692000664</v>
          </cell>
          <cell r="U51">
            <v>3.2755507692000672</v>
          </cell>
          <cell r="V51">
            <v>2.808250769200066</v>
          </cell>
        </row>
        <row r="52">
          <cell r="R52">
            <v>41611</v>
          </cell>
          <cell r="S52">
            <v>1.6298924910133441</v>
          </cell>
          <cell r="T52">
            <v>2.8964924910133441</v>
          </cell>
          <cell r="U52">
            <v>3.2615924910133449</v>
          </cell>
          <cell r="V52">
            <v>2.797992491013344</v>
          </cell>
        </row>
        <row r="53">
          <cell r="R53">
            <v>41612</v>
          </cell>
          <cell r="S53">
            <v>1.5979663033140761</v>
          </cell>
          <cell r="T53">
            <v>2.8756663033140768</v>
          </cell>
          <cell r="U53">
            <v>3.2337663033140762</v>
          </cell>
          <cell r="V53">
            <v>2.7761663033140755</v>
          </cell>
        </row>
        <row r="54">
          <cell r="R54">
            <v>41613</v>
          </cell>
          <cell r="S54">
            <v>1.567169367742697</v>
          </cell>
          <cell r="T54">
            <v>2.8481693677426971</v>
          </cell>
          <cell r="U54">
            <v>3.2027693677426976</v>
          </cell>
          <cell r="V54">
            <v>2.7505693677426968</v>
          </cell>
        </row>
        <row r="55">
          <cell r="R55">
            <v>41614</v>
          </cell>
          <cell r="S55">
            <v>1.5350550443621054</v>
          </cell>
          <cell r="T55">
            <v>2.8178550443621067</v>
          </cell>
          <cell r="U55">
            <v>3.1658550443621065</v>
          </cell>
          <cell r="V55">
            <v>2.7202550443621063</v>
          </cell>
        </row>
        <row r="56">
          <cell r="R56">
            <v>41615</v>
          </cell>
          <cell r="S56">
            <v>1.5037257992832953</v>
          </cell>
          <cell r="T56">
            <v>2.7797257992832947</v>
          </cell>
          <cell r="U56">
            <v>3.1260257992832949</v>
          </cell>
          <cell r="V56">
            <v>2.6826257992832949</v>
          </cell>
        </row>
        <row r="57">
          <cell r="R57">
            <v>41616</v>
          </cell>
          <cell r="S57">
            <v>1.4761350043176198</v>
          </cell>
          <cell r="T57">
            <v>2.7452350043176192</v>
          </cell>
          <cell r="U57">
            <v>3.0964350043176188</v>
          </cell>
          <cell r="V57">
            <v>2.6472350043176198</v>
          </cell>
        </row>
        <row r="58">
          <cell r="R58">
            <v>41617</v>
          </cell>
          <cell r="S58">
            <v>1.4483703853027508</v>
          </cell>
          <cell r="T58">
            <v>2.7107703853027498</v>
          </cell>
          <cell r="U58">
            <v>3.0696703853027509</v>
          </cell>
          <cell r="V58">
            <v>2.6114703853027499</v>
          </cell>
        </row>
        <row r="59">
          <cell r="R59">
            <v>41618</v>
          </cell>
          <cell r="S59">
            <v>1.4215358193055381</v>
          </cell>
          <cell r="T59">
            <v>2.6747358193055391</v>
          </cell>
          <cell r="U59">
            <v>3.0310358193055391</v>
          </cell>
          <cell r="V59">
            <v>2.5763358193055388</v>
          </cell>
        </row>
        <row r="60">
          <cell r="R60">
            <v>41619</v>
          </cell>
          <cell r="S60">
            <v>1.394499628031872</v>
          </cell>
          <cell r="T60">
            <v>2.6353996280318732</v>
          </cell>
          <cell r="U60">
            <v>2.9960996280318719</v>
          </cell>
          <cell r="V60">
            <v>2.539699628031872</v>
          </cell>
        </row>
        <row r="61">
          <cell r="R61">
            <v>41620</v>
          </cell>
          <cell r="S61">
            <v>1.3708202734430697</v>
          </cell>
          <cell r="T61">
            <v>2.5918202734430693</v>
          </cell>
          <cell r="U61">
            <v>2.9535202734430692</v>
          </cell>
          <cell r="V61">
            <v>2.5019202734430688</v>
          </cell>
        </row>
        <row r="62">
          <cell r="R62">
            <v>41621</v>
          </cell>
          <cell r="S62">
            <v>1.3670572820543492</v>
          </cell>
          <cell r="T62">
            <v>2.588757282054349</v>
          </cell>
          <cell r="U62">
            <v>2.9459572820543505</v>
          </cell>
          <cell r="V62">
            <v>2.4986572820543489</v>
          </cell>
        </row>
        <row r="63">
          <cell r="R63">
            <v>41622</v>
          </cell>
          <cell r="S63">
            <v>1.3745521919043875</v>
          </cell>
          <cell r="T63">
            <v>2.6219521919043878</v>
          </cell>
          <cell r="U63">
            <v>2.9589521919043884</v>
          </cell>
          <cell r="V63">
            <v>2.5224521919043883</v>
          </cell>
        </row>
        <row r="64">
          <cell r="R64">
            <v>41623</v>
          </cell>
          <cell r="S64">
            <v>1.3461162032028562</v>
          </cell>
          <cell r="T64">
            <v>2.5973162032028565</v>
          </cell>
          <cell r="U64">
            <v>2.9403162032028556</v>
          </cell>
          <cell r="V64">
            <v>2.500216203202855</v>
          </cell>
        </row>
        <row r="65">
          <cell r="R65">
            <v>41624</v>
          </cell>
          <cell r="S65">
            <v>1.3168452457095339</v>
          </cell>
          <cell r="T65">
            <v>2.5751452457095354</v>
          </cell>
          <cell r="U65">
            <v>2.9093452457095355</v>
          </cell>
          <cell r="V65">
            <v>2.4751452457095353</v>
          </cell>
        </row>
        <row r="66">
          <cell r="R66">
            <v>41625</v>
          </cell>
          <cell r="S66">
            <v>1.2877566978348676</v>
          </cell>
          <cell r="T66">
            <v>2.5535566978348676</v>
          </cell>
          <cell r="U66">
            <v>2.8816566978348677</v>
          </cell>
          <cell r="V66">
            <v>2.4447566978348667</v>
          </cell>
        </row>
        <row r="67">
          <cell r="R67">
            <v>41626</v>
          </cell>
          <cell r="S67">
            <v>1.2599575104730953</v>
          </cell>
          <cell r="T67">
            <v>2.5267575104730966</v>
          </cell>
          <cell r="U67">
            <v>2.8446575104730956</v>
          </cell>
          <cell r="V67">
            <v>2.4068575104730967</v>
          </cell>
        </row>
        <row r="68">
          <cell r="R68">
            <v>41627</v>
          </cell>
          <cell r="S68">
            <v>1.2310082253497936</v>
          </cell>
          <cell r="T68">
            <v>2.4946082253497934</v>
          </cell>
          <cell r="U68">
            <v>2.8065082253497939</v>
          </cell>
          <cell r="V68">
            <v>2.3701082253497936</v>
          </cell>
        </row>
        <row r="69">
          <cell r="R69">
            <v>41628</v>
          </cell>
          <cell r="S69">
            <v>1.2057875728895202</v>
          </cell>
          <cell r="T69">
            <v>2.456787572889521</v>
          </cell>
          <cell r="U69">
            <v>2.7656875728895214</v>
          </cell>
          <cell r="V69">
            <v>2.3149875728895206</v>
          </cell>
        </row>
        <row r="70">
          <cell r="R70">
            <v>41629</v>
          </cell>
          <cell r="S70">
            <v>1.1813288895585292</v>
          </cell>
          <cell r="T70">
            <v>2.42622888955853</v>
          </cell>
          <cell r="U70">
            <v>2.7222288895585303</v>
          </cell>
          <cell r="V70">
            <v>2.2296288895585294</v>
          </cell>
        </row>
        <row r="71">
          <cell r="R71">
            <v>41630</v>
          </cell>
          <cell r="S71">
            <v>1.1558933107006486</v>
          </cell>
          <cell r="T71">
            <v>2.3935933107006484</v>
          </cell>
          <cell r="U71">
            <v>2.677693310700648</v>
          </cell>
          <cell r="V71">
            <v>2.1447933107006487</v>
          </cell>
        </row>
        <row r="72">
          <cell r="R72">
            <v>41631</v>
          </cell>
          <cell r="S72">
            <v>1.1294738854216377</v>
          </cell>
          <cell r="T72">
            <v>2.3505738854216389</v>
          </cell>
          <cell r="U72">
            <v>2.6445738854216385</v>
          </cell>
          <cell r="V72">
            <v>2.076373885421638</v>
          </cell>
        </row>
        <row r="73">
          <cell r="R73">
            <v>41632</v>
          </cell>
          <cell r="S73">
            <v>1.1028156048852229</v>
          </cell>
          <cell r="T73">
            <v>2.3118156048852239</v>
          </cell>
          <cell r="U73">
            <v>2.6126156048852236</v>
          </cell>
          <cell r="V73">
            <v>2.0227156048852222</v>
          </cell>
        </row>
        <row r="74">
          <cell r="R74">
            <v>41633</v>
          </cell>
          <cell r="S74">
            <v>1.0784434202106383</v>
          </cell>
          <cell r="T74">
            <v>2.2767434202106376</v>
          </cell>
          <cell r="U74">
            <v>2.5780434202106379</v>
          </cell>
          <cell r="V74">
            <v>1.9766434202106367</v>
          </cell>
        </row>
        <row r="75">
          <cell r="R75">
            <v>41634</v>
          </cell>
          <cell r="S75">
            <v>1.0514010906809603</v>
          </cell>
          <cell r="T75">
            <v>2.2421010906809613</v>
          </cell>
          <cell r="U75">
            <v>2.5453010906809608</v>
          </cell>
          <cell r="V75">
            <v>1.9459010906809602</v>
          </cell>
        </row>
        <row r="76">
          <cell r="R76">
            <v>41635</v>
          </cell>
          <cell r="S76">
            <v>1.0209965847504816</v>
          </cell>
          <cell r="T76">
            <v>2.2058965847504819</v>
          </cell>
          <cell r="U76">
            <v>2.5081965847504817</v>
          </cell>
          <cell r="V76">
            <v>1.9260965847504816</v>
          </cell>
        </row>
        <row r="77">
          <cell r="R77">
            <v>41636</v>
          </cell>
          <cell r="S77">
            <v>0.99228676730036958</v>
          </cell>
          <cell r="T77">
            <v>2.1696867673003695</v>
          </cell>
          <cell r="U77">
            <v>2.4690867673003689</v>
          </cell>
          <cell r="V77">
            <v>1.9073867673003693</v>
          </cell>
        </row>
        <row r="78">
          <cell r="R78">
            <v>41637</v>
          </cell>
          <cell r="S78">
            <v>0.96585404559959065</v>
          </cell>
          <cell r="T78">
            <v>2.1281540455995902</v>
          </cell>
          <cell r="U78">
            <v>2.4298540455995914</v>
          </cell>
          <cell r="V78">
            <v>1.8889540455995912</v>
          </cell>
        </row>
        <row r="79">
          <cell r="R79">
            <v>41638</v>
          </cell>
          <cell r="S79">
            <v>0.94686099884352315</v>
          </cell>
          <cell r="T79">
            <v>2.0889609988435236</v>
          </cell>
          <cell r="U79">
            <v>2.3931609988435225</v>
          </cell>
          <cell r="V79">
            <v>1.8552609988435225</v>
          </cell>
        </row>
        <row r="80">
          <cell r="R80">
            <v>41639</v>
          </cell>
          <cell r="S80">
            <v>0.92725057132731747</v>
          </cell>
          <cell r="T80">
            <v>2.0485505713273184</v>
          </cell>
          <cell r="U80">
            <v>2.3502505713273179</v>
          </cell>
          <cell r="V80">
            <v>1.8162505713273176</v>
          </cell>
        </row>
        <row r="81">
          <cell r="R81">
            <v>41640</v>
          </cell>
          <cell r="S81">
            <v>0.90683318586779882</v>
          </cell>
          <cell r="T81">
            <v>2.0045331858677997</v>
          </cell>
          <cell r="U81">
            <v>2.3023331858677993</v>
          </cell>
          <cell r="V81">
            <v>1.7785331858677984</v>
          </cell>
        </row>
        <row r="82">
          <cell r="R82">
            <v>41641</v>
          </cell>
          <cell r="S82">
            <v>0.88597981170674578</v>
          </cell>
          <cell r="T82">
            <v>1.9808798117067459</v>
          </cell>
          <cell r="U82">
            <v>2.2695798117067456</v>
          </cell>
          <cell r="V82">
            <v>1.744879811706745</v>
          </cell>
        </row>
        <row r="83">
          <cell r="R83">
            <v>41642</v>
          </cell>
          <cell r="S83">
            <v>0.85625384067776678</v>
          </cell>
          <cell r="T83">
            <v>1.9578538406777672</v>
          </cell>
          <cell r="U83">
            <v>2.2397538406777668</v>
          </cell>
          <cell r="V83">
            <v>1.7175538406777657</v>
          </cell>
        </row>
        <row r="84">
          <cell r="R84">
            <v>41643</v>
          </cell>
          <cell r="S84">
            <v>0.82819800980449421</v>
          </cell>
          <cell r="T84">
            <v>1.9360980098044942</v>
          </cell>
          <cell r="U84">
            <v>2.2115980098044945</v>
          </cell>
          <cell r="V84">
            <v>1.6927980098044944</v>
          </cell>
        </row>
        <row r="85">
          <cell r="R85">
            <v>41644</v>
          </cell>
          <cell r="S85">
            <v>0.79448532579851039</v>
          </cell>
          <cell r="T85">
            <v>1.9113853257985107</v>
          </cell>
          <cell r="U85">
            <v>2.1831853257985108</v>
          </cell>
          <cell r="V85">
            <v>1.6738853257985116</v>
          </cell>
        </row>
        <row r="86">
          <cell r="R86">
            <v>41645</v>
          </cell>
          <cell r="S86">
            <v>0.76523991774205824</v>
          </cell>
          <cell r="T86">
            <v>1.887739917742058</v>
          </cell>
          <cell r="U86">
            <v>2.1525399177420583</v>
          </cell>
          <cell r="V86">
            <v>1.6540399177420588</v>
          </cell>
        </row>
        <row r="87">
          <cell r="R87">
            <v>41646</v>
          </cell>
          <cell r="S87">
            <v>0.74332233440979012</v>
          </cell>
          <cell r="T87">
            <v>1.8694223344097904</v>
          </cell>
          <cell r="U87">
            <v>2.1216223344097918</v>
          </cell>
          <cell r="V87">
            <v>1.6342223344097913</v>
          </cell>
        </row>
        <row r="88">
          <cell r="R88">
            <v>41647</v>
          </cell>
          <cell r="S88">
            <v>0.72644667781262529</v>
          </cell>
          <cell r="T88">
            <v>1.6491466778126254</v>
          </cell>
          <cell r="U88">
            <v>2.0977466778126255</v>
          </cell>
          <cell r="V88">
            <v>1.6170466778126253</v>
          </cell>
        </row>
        <row r="89">
          <cell r="R89">
            <v>41648</v>
          </cell>
          <cell r="S89">
            <v>0.72156631271284555</v>
          </cell>
          <cell r="T89">
            <v>1.8071663127128443</v>
          </cell>
          <cell r="U89">
            <v>2.0814663127128457</v>
          </cell>
          <cell r="V89">
            <v>1.6136663127128439</v>
          </cell>
        </row>
        <row r="90">
          <cell r="R90">
            <v>41649</v>
          </cell>
          <cell r="S90">
            <v>0.70435056662793416</v>
          </cell>
          <cell r="T90">
            <v>1.8004505666279333</v>
          </cell>
          <cell r="U90">
            <v>2.055550566627935</v>
          </cell>
          <cell r="V90">
            <v>1.5972505666279342</v>
          </cell>
        </row>
        <row r="91">
          <cell r="R91">
            <v>41650</v>
          </cell>
          <cell r="S91">
            <v>0.681747092355661</v>
          </cell>
          <cell r="T91">
            <v>1.7729470923556627</v>
          </cell>
          <cell r="U91">
            <v>2.0289470923556623</v>
          </cell>
          <cell r="V91">
            <v>1.5800470923556609</v>
          </cell>
        </row>
        <row r="92">
          <cell r="R92">
            <v>41651</v>
          </cell>
          <cell r="S92">
            <v>0.65773114369861618</v>
          </cell>
          <cell r="T92">
            <v>1.1646311436986172</v>
          </cell>
          <cell r="U92">
            <v>2.0001311436986162</v>
          </cell>
          <cell r="V92">
            <v>1.5642311436986165</v>
          </cell>
        </row>
        <row r="93">
          <cell r="R93">
            <v>41652</v>
          </cell>
          <cell r="S93">
            <v>0.61232889425791415</v>
          </cell>
          <cell r="T93">
            <v>1.1184288942579135</v>
          </cell>
          <cell r="U93">
            <v>1.9718288942579132</v>
          </cell>
          <cell r="V93">
            <v>1.5474288942579135</v>
          </cell>
        </row>
        <row r="94">
          <cell r="R94">
            <v>41653</v>
          </cell>
          <cell r="S94">
            <v>0.53664341316156028</v>
          </cell>
          <cell r="T94">
            <v>1.090943413161561</v>
          </cell>
          <cell r="U94">
            <v>1.94464341316156</v>
          </cell>
          <cell r="V94">
            <v>1.5286434131615603</v>
          </cell>
        </row>
        <row r="95">
          <cell r="R95">
            <v>41654</v>
          </cell>
          <cell r="S95">
            <v>0.45490926170738405</v>
          </cell>
          <cell r="T95">
            <v>1.0930092617073848</v>
          </cell>
          <cell r="U95">
            <v>1.9197092617073845</v>
          </cell>
          <cell r="V95">
            <v>1.5106092617073847</v>
          </cell>
        </row>
        <row r="96">
          <cell r="R96">
            <v>41655</v>
          </cell>
          <cell r="S96">
            <v>0.40644607479560563</v>
          </cell>
          <cell r="T96">
            <v>1.0970460747956066</v>
          </cell>
          <cell r="U96">
            <v>1.8912460747956057</v>
          </cell>
          <cell r="V96">
            <v>1.4923460747956052</v>
          </cell>
        </row>
        <row r="97">
          <cell r="R97">
            <v>41656</v>
          </cell>
          <cell r="S97">
            <v>0.30954382535490638</v>
          </cell>
          <cell r="T97">
            <v>1.0962438253549072</v>
          </cell>
          <cell r="U97">
            <v>1.8654438253549059</v>
          </cell>
          <cell r="V97">
            <v>1.4737438253549064</v>
          </cell>
        </row>
        <row r="98">
          <cell r="R98">
            <v>41657</v>
          </cell>
          <cell r="S98">
            <v>0.21282725723299883</v>
          </cell>
          <cell r="T98">
            <v>1.0918272572329977</v>
          </cell>
          <cell r="U98">
            <v>1.8430272572329993</v>
          </cell>
          <cell r="V98">
            <v>1.4548272572329988</v>
          </cell>
        </row>
        <row r="99">
          <cell r="R99">
            <v>41658</v>
          </cell>
          <cell r="S99">
            <v>0.21143871875709991</v>
          </cell>
          <cell r="T99">
            <v>1.0925387187570992</v>
          </cell>
          <cell r="U99">
            <v>1.8197387187570999</v>
          </cell>
          <cell r="V99">
            <v>1.434738718757099</v>
          </cell>
        </row>
        <row r="100">
          <cell r="R100">
            <v>41659</v>
          </cell>
          <cell r="S100">
            <v>0.20533074560342485</v>
          </cell>
          <cell r="T100">
            <v>1.0855307456034244</v>
          </cell>
          <cell r="U100">
            <v>1.7965307456034256</v>
          </cell>
          <cell r="V100">
            <v>1.4139307456034245</v>
          </cell>
        </row>
        <row r="101">
          <cell r="R101">
            <v>41660</v>
          </cell>
          <cell r="S101">
            <v>0</v>
          </cell>
          <cell r="T101">
            <v>0.68517123553605486</v>
          </cell>
          <cell r="U101">
            <v>1.7742712355360541</v>
          </cell>
          <cell r="V101">
            <v>1.3935712355360539</v>
          </cell>
        </row>
        <row r="102">
          <cell r="R102">
            <v>41661</v>
          </cell>
          <cell r="S102">
            <v>0</v>
          </cell>
          <cell r="T102">
            <v>0.68514484761434402</v>
          </cell>
          <cell r="U102">
            <v>1.7503448476143439</v>
          </cell>
          <cell r="V102">
            <v>1.3718448476143439</v>
          </cell>
        </row>
        <row r="103">
          <cell r="R103">
            <v>41662</v>
          </cell>
          <cell r="S103">
            <v>0</v>
          </cell>
          <cell r="T103">
            <v>0.6803583466082459</v>
          </cell>
          <cell r="U103">
            <v>1.7278583466082462</v>
          </cell>
          <cell r="V103">
            <v>1.3499583466082465</v>
          </cell>
        </row>
        <row r="104">
          <cell r="R104">
            <v>41663</v>
          </cell>
          <cell r="S104">
            <v>0</v>
          </cell>
          <cell r="T104">
            <v>0.67871397020999935</v>
          </cell>
          <cell r="U104">
            <v>1.7063139702099981</v>
          </cell>
          <cell r="V104">
            <v>1.3276139702099985</v>
          </cell>
        </row>
        <row r="105">
          <cell r="R105">
            <v>41664</v>
          </cell>
          <cell r="S105">
            <v>0</v>
          </cell>
          <cell r="T105">
            <v>0.67948594526337458</v>
          </cell>
          <cell r="U105">
            <v>1.6838859452633741</v>
          </cell>
          <cell r="V105">
            <v>1.305385945263374</v>
          </cell>
        </row>
        <row r="106">
          <cell r="R106">
            <v>41665</v>
          </cell>
          <cell r="S106">
            <v>0</v>
          </cell>
          <cell r="T106">
            <v>0.68175751987186373</v>
          </cell>
          <cell r="U106">
            <v>1.6634575198718646</v>
          </cell>
          <cell r="V106">
            <v>1.2829575198718639</v>
          </cell>
        </row>
        <row r="107">
          <cell r="R107">
            <v>41666</v>
          </cell>
          <cell r="S107">
            <v>0</v>
          </cell>
          <cell r="T107">
            <v>0.6814783796036552</v>
          </cell>
          <cell r="U107">
            <v>1.6420783796036555</v>
          </cell>
          <cell r="V107">
            <v>1.2593783796036564</v>
          </cell>
        </row>
        <row r="108">
          <cell r="R108">
            <v>41667</v>
          </cell>
          <cell r="S108">
            <v>0</v>
          </cell>
          <cell r="T108">
            <v>0.68158144638197071</v>
          </cell>
          <cell r="U108">
            <v>1.6201814463819708</v>
          </cell>
          <cell r="V108">
            <v>1.2354814463819692</v>
          </cell>
        </row>
        <row r="109">
          <cell r="R109">
            <v>41668</v>
          </cell>
          <cell r="S109">
            <v>0</v>
          </cell>
          <cell r="T109">
            <v>0.68152602770204118</v>
          </cell>
          <cell r="U109">
            <v>1.5991260277020405</v>
          </cell>
          <cell r="V109">
            <v>1.2124260277020418</v>
          </cell>
        </row>
        <row r="110">
          <cell r="R110">
            <v>41669</v>
          </cell>
          <cell r="S110">
            <v>0</v>
          </cell>
          <cell r="T110">
            <v>0.67944300566760218</v>
          </cell>
          <cell r="U110">
            <v>1.5776430056676023</v>
          </cell>
          <cell r="V110">
            <v>1.1877430056676022</v>
          </cell>
        </row>
        <row r="111">
          <cell r="R111">
            <v>41670</v>
          </cell>
          <cell r="S111">
            <v>0</v>
          </cell>
          <cell r="T111">
            <v>0.68045629738998392</v>
          </cell>
          <cell r="U111">
            <v>1.5563562973899845</v>
          </cell>
          <cell r="V111">
            <v>1.1624562973899848</v>
          </cell>
        </row>
        <row r="112">
          <cell r="R112">
            <v>41671</v>
          </cell>
          <cell r="S112">
            <v>0</v>
          </cell>
          <cell r="T112">
            <v>0.67946610544132624</v>
          </cell>
          <cell r="U112">
            <v>1.5351661054413257</v>
          </cell>
          <cell r="V112">
            <v>1.1376661054413257</v>
          </cell>
        </row>
        <row r="113">
          <cell r="R113">
            <v>41672</v>
          </cell>
          <cell r="S113">
            <v>0</v>
          </cell>
          <cell r="T113">
            <v>0.67936570264675189</v>
          </cell>
          <cell r="U113">
            <v>1.5152657026467513</v>
          </cell>
          <cell r="V113">
            <v>1.112165702646752</v>
          </cell>
        </row>
        <row r="114">
          <cell r="R114">
            <v>41673</v>
          </cell>
          <cell r="S114">
            <v>0</v>
          </cell>
          <cell r="T114">
            <v>0.67947653295753141</v>
          </cell>
          <cell r="U114">
            <v>1.4951765329575299</v>
          </cell>
          <cell r="V114">
            <v>1.08927653295753</v>
          </cell>
        </row>
        <row r="115">
          <cell r="R115">
            <v>41674</v>
          </cell>
          <cell r="S115">
            <v>0</v>
          </cell>
          <cell r="T115">
            <v>0.68115730555127008</v>
          </cell>
          <cell r="U115">
            <v>1.4721573055512711</v>
          </cell>
          <cell r="V115">
            <v>1.0646573055512696</v>
          </cell>
        </row>
        <row r="116">
          <cell r="R116">
            <v>41675</v>
          </cell>
          <cell r="S116">
            <v>0</v>
          </cell>
          <cell r="T116">
            <v>0.68275525398331793</v>
          </cell>
          <cell r="U116">
            <v>1.4525552539833169</v>
          </cell>
          <cell r="V116">
            <v>1.0399552539833183</v>
          </cell>
        </row>
        <row r="117">
          <cell r="R117">
            <v>41676</v>
          </cell>
          <cell r="S117">
            <v>0</v>
          </cell>
          <cell r="T117">
            <v>0.68241988004726273</v>
          </cell>
          <cell r="U117">
            <v>1.4321198800472623</v>
          </cell>
          <cell r="V117">
            <v>1.0165198800472619</v>
          </cell>
        </row>
        <row r="118">
          <cell r="R118">
            <v>41677</v>
          </cell>
          <cell r="S118">
            <v>0</v>
          </cell>
          <cell r="T118">
            <v>0.68287406919623428</v>
          </cell>
          <cell r="U118">
            <v>1.4101740691962346</v>
          </cell>
          <cell r="V118">
            <v>0.99477406919623368</v>
          </cell>
        </row>
        <row r="119">
          <cell r="R119">
            <v>41678</v>
          </cell>
          <cell r="S119">
            <v>0</v>
          </cell>
          <cell r="T119">
            <v>0.68332928765371981</v>
          </cell>
          <cell r="U119">
            <v>1.3890292876537189</v>
          </cell>
          <cell r="V119">
            <v>0.97102928765371876</v>
          </cell>
        </row>
        <row r="120">
          <cell r="R120">
            <v>41679</v>
          </cell>
          <cell r="S120">
            <v>0</v>
          </cell>
          <cell r="T120">
            <v>0.68192253463223174</v>
          </cell>
          <cell r="U120">
            <v>1.3675225346322315</v>
          </cell>
          <cell r="V120">
            <v>0.94512253463223272</v>
          </cell>
        </row>
        <row r="121">
          <cell r="R121">
            <v>41680</v>
          </cell>
          <cell r="S121">
            <v>0</v>
          </cell>
          <cell r="T121">
            <v>0.68356568619890701</v>
          </cell>
          <cell r="U121">
            <v>1.3459656861989058</v>
          </cell>
          <cell r="V121">
            <v>0.92076568619890642</v>
          </cell>
        </row>
        <row r="122">
          <cell r="R122">
            <v>41681</v>
          </cell>
          <cell r="S122">
            <v>0</v>
          </cell>
          <cell r="T122">
            <v>0.68445014268613114</v>
          </cell>
          <cell r="U122">
            <v>1.3257501426861293</v>
          </cell>
          <cell r="V122">
            <v>0.89365014268613008</v>
          </cell>
        </row>
        <row r="123">
          <cell r="R123">
            <v>41682</v>
          </cell>
          <cell r="S123">
            <v>0</v>
          </cell>
          <cell r="T123">
            <v>0.68089103541333329</v>
          </cell>
          <cell r="U123">
            <v>1.3051910354133338</v>
          </cell>
          <cell r="V123">
            <v>0.86809103541333377</v>
          </cell>
        </row>
        <row r="124">
          <cell r="R124">
            <v>41683</v>
          </cell>
          <cell r="S124">
            <v>0</v>
          </cell>
          <cell r="T124">
            <v>0.68080679089701213</v>
          </cell>
          <cell r="U124">
            <v>1.2847067908970122</v>
          </cell>
          <cell r="V124">
            <v>0.84340679089701309</v>
          </cell>
        </row>
        <row r="125">
          <cell r="R125">
            <v>41684</v>
          </cell>
          <cell r="S125">
            <v>0</v>
          </cell>
          <cell r="T125">
            <v>0.68272704526209593</v>
          </cell>
          <cell r="U125">
            <v>1.2617270452620954</v>
          </cell>
          <cell r="V125">
            <v>0.81532704526209576</v>
          </cell>
        </row>
        <row r="126">
          <cell r="R126">
            <v>41685</v>
          </cell>
          <cell r="S126">
            <v>0</v>
          </cell>
          <cell r="T126">
            <v>0.68089329895218653</v>
          </cell>
          <cell r="U126">
            <v>1.2418932989521871</v>
          </cell>
          <cell r="V126">
            <v>0.78949329895218723</v>
          </cell>
        </row>
        <row r="127">
          <cell r="R127">
            <v>41686</v>
          </cell>
          <cell r="S127">
            <v>0</v>
          </cell>
          <cell r="T127">
            <v>0.67807836315581205</v>
          </cell>
          <cell r="U127">
            <v>1.2223783631558125</v>
          </cell>
          <cell r="V127">
            <v>0.76517836315581134</v>
          </cell>
        </row>
        <row r="128">
          <cell r="R128">
            <v>41687</v>
          </cell>
          <cell r="S128">
            <v>0</v>
          </cell>
          <cell r="T128">
            <v>0.67648941248657102</v>
          </cell>
          <cell r="U128">
            <v>1.2017894124865713</v>
          </cell>
          <cell r="V128">
            <v>0.74098941248656969</v>
          </cell>
        </row>
        <row r="129">
          <cell r="R129">
            <v>41688</v>
          </cell>
          <cell r="S129">
            <v>0</v>
          </cell>
          <cell r="T129">
            <v>0.67692950432400756</v>
          </cell>
          <cell r="U129">
            <v>1.1800295043240081</v>
          </cell>
          <cell r="V129">
            <v>0.71552950432400797</v>
          </cell>
        </row>
        <row r="130">
          <cell r="R130">
            <v>41689</v>
          </cell>
          <cell r="S130">
            <v>0</v>
          </cell>
          <cell r="T130">
            <v>0.67544443542099919</v>
          </cell>
          <cell r="U130">
            <v>1.1658444354209991</v>
          </cell>
          <cell r="V130">
            <v>0.69674443542099906</v>
          </cell>
        </row>
        <row r="131">
          <cell r="R131">
            <v>41690</v>
          </cell>
          <cell r="S131">
            <v>0</v>
          </cell>
          <cell r="T131">
            <v>0.67470271125802994</v>
          </cell>
          <cell r="U131">
            <v>1.1438027112580298</v>
          </cell>
          <cell r="V131">
            <v>0.67210271125803045</v>
          </cell>
        </row>
        <row r="132">
          <cell r="R132">
            <v>41691</v>
          </cell>
          <cell r="S132">
            <v>0</v>
          </cell>
          <cell r="T132">
            <v>0.67712664481721219</v>
          </cell>
          <cell r="U132">
            <v>1.1231266448172126</v>
          </cell>
          <cell r="V132">
            <v>0.52862664481721344</v>
          </cell>
        </row>
        <row r="133">
          <cell r="R133">
            <v>41692</v>
          </cell>
          <cell r="S133">
            <v>0</v>
          </cell>
          <cell r="T133">
            <v>0.67754259582394893</v>
          </cell>
          <cell r="U133">
            <v>1.1026425958239483</v>
          </cell>
          <cell r="V133">
            <v>0.46094259582394903</v>
          </cell>
        </row>
        <row r="134">
          <cell r="R134">
            <v>41693</v>
          </cell>
          <cell r="S134">
            <v>0</v>
          </cell>
          <cell r="T134">
            <v>0.67535056897762558</v>
          </cell>
          <cell r="U134">
            <v>1.0823505689776245</v>
          </cell>
          <cell r="V134">
            <v>0.38785056897762571</v>
          </cell>
        </row>
        <row r="135">
          <cell r="R135">
            <v>41694</v>
          </cell>
          <cell r="S135">
            <v>0</v>
          </cell>
          <cell r="T135">
            <v>0.67653911685229118</v>
          </cell>
          <cell r="U135">
            <v>1.0625391168522911</v>
          </cell>
          <cell r="V135">
            <v>0.38873911685229023</v>
          </cell>
        </row>
        <row r="136">
          <cell r="R136">
            <v>41695</v>
          </cell>
          <cell r="S136">
            <v>0</v>
          </cell>
          <cell r="T136">
            <v>0.67894239090212394</v>
          </cell>
          <cell r="U136">
            <v>1.0506423909021234</v>
          </cell>
          <cell r="V136">
            <v>0.39594239090212424</v>
          </cell>
        </row>
        <row r="137">
          <cell r="R137">
            <v>41696</v>
          </cell>
          <cell r="S137">
            <v>0</v>
          </cell>
          <cell r="T137">
            <v>0.67656263821812934</v>
          </cell>
          <cell r="U137">
            <v>1.026062638218129</v>
          </cell>
          <cell r="V137">
            <v>0.3862626382181289</v>
          </cell>
        </row>
        <row r="138">
          <cell r="R138">
            <v>41697</v>
          </cell>
          <cell r="S138">
            <v>0</v>
          </cell>
          <cell r="T138">
            <v>0.6774861525348912</v>
          </cell>
          <cell r="U138">
            <v>1.0033861525348908</v>
          </cell>
          <cell r="V138">
            <v>0.38548615253489116</v>
          </cell>
        </row>
        <row r="139">
          <cell r="R139">
            <v>41698</v>
          </cell>
          <cell r="S139">
            <v>0</v>
          </cell>
          <cell r="T139">
            <v>0.67782602770204092</v>
          </cell>
          <cell r="U139">
            <v>0.98222602770204104</v>
          </cell>
          <cell r="V139">
            <v>0.38342602770204115</v>
          </cell>
        </row>
        <row r="140">
          <cell r="R140">
            <v>41699</v>
          </cell>
          <cell r="S140">
            <v>0</v>
          </cell>
          <cell r="T140">
            <v>0.6777020964925542</v>
          </cell>
          <cell r="U140">
            <v>0.95960209649255346</v>
          </cell>
          <cell r="V140">
            <v>0.38330209649255265</v>
          </cell>
        </row>
        <row r="141">
          <cell r="R141">
            <v>41700</v>
          </cell>
          <cell r="S141">
            <v>0</v>
          </cell>
          <cell r="T141">
            <v>0.6775532235625954</v>
          </cell>
          <cell r="U141">
            <v>1.0025532235625954</v>
          </cell>
          <cell r="V141">
            <v>0.4570532235625957</v>
          </cell>
        </row>
        <row r="142">
          <cell r="R142">
            <v>41701</v>
          </cell>
          <cell r="S142">
            <v>0</v>
          </cell>
          <cell r="T142">
            <v>0.67885690040700175</v>
          </cell>
          <cell r="U142">
            <v>0.9875569004070025</v>
          </cell>
          <cell r="V142">
            <v>0.49305690040700112</v>
          </cell>
        </row>
        <row r="143">
          <cell r="R143">
            <v>41702</v>
          </cell>
          <cell r="S143">
            <v>0</v>
          </cell>
          <cell r="T143">
            <v>0.67535792501613101</v>
          </cell>
          <cell r="U143">
            <v>0.96815792501613152</v>
          </cell>
          <cell r="V143">
            <v>0.39405792501613091</v>
          </cell>
        </row>
        <row r="144">
          <cell r="R144">
            <v>41703</v>
          </cell>
          <cell r="S144">
            <v>0</v>
          </cell>
          <cell r="T144">
            <v>0.67626345085635875</v>
          </cell>
          <cell r="U144">
            <v>0.98956345085635766</v>
          </cell>
          <cell r="V144">
            <v>0.39156345085635769</v>
          </cell>
        </row>
        <row r="145">
          <cell r="R145">
            <v>41704</v>
          </cell>
          <cell r="S145">
            <v>0</v>
          </cell>
          <cell r="T145">
            <v>0.67378246864140734</v>
          </cell>
          <cell r="U145">
            <v>0.8906824686414071</v>
          </cell>
          <cell r="V145">
            <v>0.39088246864140741</v>
          </cell>
        </row>
        <row r="146">
          <cell r="R146">
            <v>41705</v>
          </cell>
          <cell r="S146">
            <v>0</v>
          </cell>
          <cell r="T146">
            <v>0.67330087166098074</v>
          </cell>
          <cell r="U146">
            <v>0.62770087166098121</v>
          </cell>
          <cell r="V146">
            <v>0.39160087166097979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Essential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sential">
      <a:majorFont>
        <a:latin typeface="Arial Black"/>
        <a:ea typeface=""/>
        <a:cs typeface=""/>
        <a:font script="Jpan" typeface="ＭＳ Ｐゴシック"/>
        <a:font script="Hang" typeface="HY견고딕"/>
        <a:font script="Hans" typeface="微软雅黑"/>
        <a:font script="Hant" typeface="微軟正黑體"/>
        <a:font script="Arab" typeface="Tahoma"/>
        <a:font script="Hebr" typeface="Tahoma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돋움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sential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250000"/>
              </a:schemeClr>
            </a:gs>
            <a:gs pos="35000">
              <a:schemeClr val="phClr">
                <a:tint val="47000"/>
                <a:satMod val="275000"/>
              </a:schemeClr>
            </a:gs>
            <a:gs pos="100000">
              <a:schemeClr val="phClr">
                <a:tint val="25000"/>
                <a:satMod val="300000"/>
              </a:schemeClr>
            </a:gs>
          </a:gsLst>
          <a:lin ang="16200000" scaled="1"/>
        </a:gradFill>
        <a:solidFill>
          <a:schemeClr val="phClr">
            <a:satMod val="110000"/>
          </a:schemeClr>
        </a:solidFill>
      </a:fillStyleLst>
      <a:lnStyleLst>
        <a:ln w="12700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  <a:ln w="4127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9999" dist="23000" algn="bl" rotWithShape="0">
              <a:srgbClr val="000000">
                <a:alpha val="40000"/>
              </a:srgbClr>
            </a:outerShdw>
          </a:effectLst>
        </a:effectStyle>
        <a:effectStyle>
          <a:effectLst>
            <a:outerShdw blurRad="38100" dist="19050" algn="bl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balanced" dir="l"/>
          </a:scene3d>
          <a:sp3d prstMaterial="plastic">
            <a:bevelT w="38100" h="31750"/>
          </a:sp3d>
        </a:effectStyle>
      </a:effectStyleLst>
      <a:bgFillStyleLst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tint val="96000"/>
              </a:schemeClr>
              <a:schemeClr val="phClr">
                <a:shade val="94000"/>
              </a:schemeClr>
            </a:duotone>
          </a:blip>
          <a:tile tx="0" ty="0" sx="100000" sy="100000" flip="none" algn="tl"/>
        </a:blipFill>
        <a:gradFill rotWithShape="1">
          <a:gsLst>
            <a:gs pos="0">
              <a:schemeClr val="phClr">
                <a:tint val="84000"/>
                <a:satMod val="110000"/>
              </a:schemeClr>
            </a:gs>
            <a:gs pos="44000">
              <a:schemeClr val="phClr">
                <a:tint val="93000"/>
                <a:satMod val="115000"/>
              </a:schemeClr>
            </a:gs>
            <a:gs pos="100000">
              <a:schemeClr val="phClr">
                <a:tint val="100000"/>
                <a:shade val="59000"/>
                <a:satMod val="120000"/>
              </a:schemeClr>
            </a:gs>
          </a:gsLst>
          <a:path path="circle">
            <a:fillToRect l="40000" t="60000" r="60000" b="4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231"/>
  <sheetViews>
    <sheetView topLeftCell="Z1" zoomScale="125" zoomScaleNormal="125" zoomScalePageLayoutView="125" workbookViewId="0">
      <pane ySplit="1" topLeftCell="A2" activePane="bottomLeft" state="frozenSplit"/>
      <selection activeCell="W1" sqref="W1:W1048576"/>
      <selection pane="bottomLeft" activeCell="J23" sqref="J23"/>
    </sheetView>
  </sheetViews>
  <sheetFormatPr baseColWidth="10" defaultRowHeight="16"/>
  <cols>
    <col min="1" max="1" width="10.7109375" style="5"/>
    <col min="2" max="2" width="15.85546875" style="5" customWidth="1"/>
    <col min="3" max="3" width="10.7109375" style="5"/>
    <col min="4" max="4" width="14.7109375" style="5" customWidth="1"/>
    <col min="5" max="8" width="10.7109375" style="10"/>
    <col min="9" max="9" width="10.7109375" style="41"/>
    <col min="10" max="10" width="14.7109375" style="14" customWidth="1"/>
    <col min="11" max="11" width="10.7109375" style="14"/>
    <col min="12" max="12" width="13.5703125" style="14" customWidth="1"/>
    <col min="13" max="13" width="10.7109375" style="14"/>
    <col min="14" max="14" width="12.7109375" style="14" customWidth="1"/>
    <col min="15" max="15" width="12.7109375" style="15" customWidth="1"/>
    <col min="16" max="16" width="12.7109375" style="42" customWidth="1"/>
    <col min="17" max="17" width="10.7109375" style="91"/>
    <col min="18" max="18" width="14.5703125" style="83" customWidth="1"/>
    <col min="19" max="19" width="10.7109375" style="83" customWidth="1"/>
    <col min="20" max="20" width="14.42578125" style="87" customWidth="1"/>
    <col min="21" max="21" width="10.7109375" style="84"/>
    <col min="22" max="22" width="12.7109375" style="84" customWidth="1"/>
    <col min="23" max="23" width="12.7109375" style="105" customWidth="1"/>
    <col min="24" max="24" width="12.7109375" style="106" customWidth="1"/>
    <col min="25" max="25" width="8.85546875" style="143" customWidth="1"/>
    <col min="26" max="26" width="14.5703125" style="139" customWidth="1"/>
    <col min="27" max="27" width="10.7109375" style="139" customWidth="1"/>
    <col min="28" max="32" width="14.42578125" style="139" customWidth="1"/>
    <col min="33" max="33" width="10.7109375" style="91"/>
    <col min="35" max="35" width="10.7109375" style="34"/>
    <col min="38" max="70" width="10.7109375" style="134"/>
  </cols>
  <sheetData>
    <row r="1" spans="1:70" s="16" customFormat="1">
      <c r="A1" s="55" t="s">
        <v>0</v>
      </c>
      <c r="B1" s="136" t="s">
        <v>13</v>
      </c>
      <c r="C1" s="136" t="s">
        <v>9</v>
      </c>
      <c r="D1" s="136" t="s">
        <v>14</v>
      </c>
      <c r="E1" s="137" t="s">
        <v>15</v>
      </c>
      <c r="F1" s="137" t="s">
        <v>10</v>
      </c>
      <c r="G1" s="136" t="s">
        <v>11</v>
      </c>
      <c r="H1" s="136" t="s">
        <v>12</v>
      </c>
      <c r="I1" s="59" t="s">
        <v>0</v>
      </c>
      <c r="J1" s="6" t="s">
        <v>28</v>
      </c>
      <c r="K1" s="6" t="s">
        <v>29</v>
      </c>
      <c r="L1" s="6" t="s">
        <v>30</v>
      </c>
      <c r="M1" s="6" t="s">
        <v>6</v>
      </c>
      <c r="N1" s="6" t="s">
        <v>27</v>
      </c>
      <c r="O1" s="6" t="s">
        <v>31</v>
      </c>
      <c r="P1" s="60" t="s">
        <v>32</v>
      </c>
      <c r="Q1" s="59" t="s">
        <v>0</v>
      </c>
      <c r="R1" s="96" t="s">
        <v>39</v>
      </c>
      <c r="S1" s="96" t="s">
        <v>40</v>
      </c>
      <c r="T1" s="6" t="s">
        <v>41</v>
      </c>
      <c r="U1" s="82" t="s">
        <v>7</v>
      </c>
      <c r="V1" s="82" t="s">
        <v>53</v>
      </c>
      <c r="W1" s="82" t="s">
        <v>54</v>
      </c>
      <c r="X1" s="103" t="s">
        <v>55</v>
      </c>
      <c r="Y1" s="164"/>
      <c r="Z1" s="165"/>
      <c r="AA1" s="165"/>
      <c r="AB1" s="165"/>
      <c r="AC1" s="165"/>
      <c r="AD1" s="165" t="s">
        <v>5</v>
      </c>
      <c r="AE1" s="165"/>
      <c r="AF1" s="165"/>
      <c r="AG1" s="59" t="s">
        <v>0</v>
      </c>
      <c r="AH1" s="6" t="s">
        <v>1</v>
      </c>
      <c r="AI1" s="96"/>
      <c r="AL1" s="134" t="s">
        <v>3</v>
      </c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</row>
    <row r="2" spans="1:70">
      <c r="A2" s="7">
        <v>41543</v>
      </c>
      <c r="B2" s="7"/>
      <c r="C2" s="7"/>
      <c r="D2" s="7"/>
      <c r="E2" s="48"/>
      <c r="F2" s="48"/>
      <c r="G2" s="48"/>
      <c r="H2" s="48"/>
      <c r="I2" s="67">
        <v>41543</v>
      </c>
      <c r="J2" s="68"/>
      <c r="K2" s="68"/>
      <c r="L2" s="68"/>
      <c r="M2" s="68"/>
      <c r="N2" s="68"/>
      <c r="O2" s="68"/>
      <c r="P2" s="68"/>
      <c r="Q2" s="88">
        <v>41543</v>
      </c>
      <c r="R2" s="99"/>
      <c r="S2" s="99"/>
      <c r="T2" s="99"/>
      <c r="U2" s="99"/>
      <c r="V2" s="99"/>
      <c r="W2" s="99"/>
      <c r="X2" s="99"/>
      <c r="Y2" s="141"/>
      <c r="Z2" s="166"/>
      <c r="AA2" s="166"/>
      <c r="AB2" s="166"/>
      <c r="AC2" s="166"/>
      <c r="AD2" s="166"/>
      <c r="AE2" s="166"/>
      <c r="AF2" s="166"/>
      <c r="AG2" s="88">
        <v>41543</v>
      </c>
      <c r="AH2" s="180"/>
      <c r="AI2" s="181"/>
      <c r="AL2" s="134" t="s">
        <v>4</v>
      </c>
    </row>
    <row r="3" spans="1:70">
      <c r="A3" s="7">
        <v>41544</v>
      </c>
      <c r="B3" s="7"/>
      <c r="C3" s="7"/>
      <c r="D3" s="7"/>
      <c r="E3" s="48"/>
      <c r="F3" s="48"/>
      <c r="G3" s="48"/>
      <c r="H3" s="48"/>
      <c r="I3" s="67">
        <v>41544</v>
      </c>
      <c r="J3" s="68"/>
      <c r="K3" s="68"/>
      <c r="L3" s="68"/>
      <c r="M3" s="68"/>
      <c r="N3" s="68"/>
      <c r="O3" s="68"/>
      <c r="P3" s="68"/>
      <c r="Q3" s="88">
        <v>41544</v>
      </c>
      <c r="R3" s="99"/>
      <c r="S3" s="99"/>
      <c r="T3" s="99"/>
      <c r="U3" s="99"/>
      <c r="V3" s="99"/>
      <c r="W3" s="99"/>
      <c r="X3" s="99"/>
      <c r="Y3" s="141"/>
      <c r="Z3" s="166"/>
      <c r="AA3" s="166"/>
      <c r="AB3" s="166"/>
      <c r="AC3" s="166"/>
      <c r="AD3" s="166"/>
      <c r="AE3" s="166"/>
      <c r="AF3" s="166"/>
      <c r="AG3" s="88">
        <v>41544</v>
      </c>
      <c r="AH3" s="180"/>
      <c r="AI3" s="181"/>
    </row>
    <row r="4" spans="1:70">
      <c r="A4" s="7">
        <v>41545</v>
      </c>
      <c r="B4" s="7"/>
      <c r="C4" s="7"/>
      <c r="D4" s="7"/>
      <c r="E4" s="48"/>
      <c r="F4" s="48"/>
      <c r="G4" s="48"/>
      <c r="H4" s="48"/>
      <c r="I4" s="67">
        <v>41545</v>
      </c>
      <c r="J4" s="68"/>
      <c r="K4" s="68"/>
      <c r="L4" s="68"/>
      <c r="M4" s="68"/>
      <c r="N4" s="68"/>
      <c r="O4" s="68"/>
      <c r="P4" s="68"/>
      <c r="Q4" s="88">
        <v>41545</v>
      </c>
      <c r="R4" s="99"/>
      <c r="S4" s="99"/>
      <c r="T4" s="99"/>
      <c r="U4" s="99"/>
      <c r="V4" s="99"/>
      <c r="W4" s="99"/>
      <c r="X4" s="99"/>
      <c r="Y4" s="141"/>
      <c r="Z4" s="166"/>
      <c r="AA4" s="166"/>
      <c r="AB4" s="166"/>
      <c r="AC4" s="166"/>
      <c r="AD4" s="166"/>
      <c r="AE4" s="166"/>
      <c r="AF4" s="166"/>
      <c r="AG4" s="88">
        <v>41545</v>
      </c>
      <c r="AH4" s="180"/>
      <c r="AI4" s="181"/>
    </row>
    <row r="5" spans="1:70">
      <c r="A5" s="7">
        <v>41546</v>
      </c>
      <c r="B5" s="7"/>
      <c r="C5" s="7"/>
      <c r="D5" s="7"/>
      <c r="E5" s="48"/>
      <c r="F5" s="48"/>
      <c r="G5" s="48"/>
      <c r="H5" s="48"/>
      <c r="I5" s="67">
        <v>41546</v>
      </c>
      <c r="J5" s="68"/>
      <c r="K5" s="68"/>
      <c r="L5" s="68"/>
      <c r="M5" s="68"/>
      <c r="N5" s="68"/>
      <c r="O5" s="68"/>
      <c r="P5" s="68"/>
      <c r="Q5" s="88">
        <v>41546</v>
      </c>
      <c r="R5" s="99"/>
      <c r="S5" s="99"/>
      <c r="T5" s="99"/>
      <c r="U5" s="99"/>
      <c r="V5" s="99"/>
      <c r="W5" s="99"/>
      <c r="X5" s="99"/>
      <c r="Y5" s="141"/>
      <c r="Z5" s="166"/>
      <c r="AA5" s="166"/>
      <c r="AB5" s="166"/>
      <c r="AC5" s="166"/>
      <c r="AD5" s="166"/>
      <c r="AE5" s="166"/>
      <c r="AF5" s="166"/>
      <c r="AG5" s="88">
        <v>41546</v>
      </c>
      <c r="AH5" s="180"/>
      <c r="AI5" s="181"/>
    </row>
    <row r="6" spans="1:70">
      <c r="A6" s="7">
        <v>41547</v>
      </c>
      <c r="B6" s="7"/>
      <c r="C6" s="7"/>
      <c r="D6" s="7"/>
      <c r="E6" s="48"/>
      <c r="F6" s="48"/>
      <c r="G6" s="48"/>
      <c r="H6" s="48"/>
      <c r="I6" s="67">
        <v>41547</v>
      </c>
      <c r="J6" s="68"/>
      <c r="K6" s="68"/>
      <c r="L6" s="68"/>
      <c r="M6" s="68"/>
      <c r="N6" s="68"/>
      <c r="O6" s="68"/>
      <c r="P6" s="68"/>
      <c r="Q6" s="88">
        <v>41547</v>
      </c>
      <c r="R6" s="99"/>
      <c r="S6" s="99"/>
      <c r="T6" s="99"/>
      <c r="U6" s="99"/>
      <c r="V6" s="99"/>
      <c r="W6" s="99"/>
      <c r="X6" s="99"/>
      <c r="Y6" s="141"/>
      <c r="Z6" s="166"/>
      <c r="AA6" s="166"/>
      <c r="AB6" s="166"/>
      <c r="AC6" s="166"/>
      <c r="AD6" s="166"/>
      <c r="AE6" s="166"/>
      <c r="AF6" s="166"/>
      <c r="AG6" s="88">
        <v>41547</v>
      </c>
      <c r="AH6" s="180"/>
      <c r="AI6" s="181"/>
    </row>
    <row r="7" spans="1:70">
      <c r="A7" s="7">
        <v>41548</v>
      </c>
      <c r="B7" s="7"/>
      <c r="C7" s="7"/>
      <c r="D7" s="7"/>
      <c r="E7" s="48"/>
      <c r="F7" s="48"/>
      <c r="G7" s="48"/>
      <c r="H7" s="48"/>
      <c r="I7" s="67">
        <v>41548</v>
      </c>
      <c r="J7" s="68"/>
      <c r="K7" s="68"/>
      <c r="L7" s="68"/>
      <c r="M7" s="68"/>
      <c r="N7" s="68"/>
      <c r="O7" s="68"/>
      <c r="P7" s="68"/>
      <c r="Q7" s="88">
        <v>41548</v>
      </c>
      <c r="R7" s="99"/>
      <c r="S7" s="99"/>
      <c r="T7" s="99"/>
      <c r="U7" s="99"/>
      <c r="V7" s="99"/>
      <c r="W7" s="99"/>
      <c r="X7" s="99"/>
      <c r="Y7" s="141"/>
      <c r="Z7" s="166"/>
      <c r="AA7" s="166"/>
      <c r="AB7" s="166"/>
      <c r="AC7" s="166"/>
      <c r="AD7" s="166"/>
      <c r="AE7" s="166"/>
      <c r="AF7" s="166"/>
      <c r="AG7" s="88">
        <v>41548</v>
      </c>
      <c r="AH7" s="180"/>
      <c r="AI7" s="181"/>
    </row>
    <row r="8" spans="1:70">
      <c r="A8" s="7">
        <v>41549</v>
      </c>
      <c r="B8" s="7"/>
      <c r="C8" s="7"/>
      <c r="D8" s="7"/>
      <c r="E8" s="48"/>
      <c r="F8" s="48"/>
      <c r="G8" s="48"/>
      <c r="H8" s="48"/>
      <c r="I8" s="67">
        <v>41549</v>
      </c>
      <c r="J8" s="68"/>
      <c r="K8" s="68"/>
      <c r="L8" s="68"/>
      <c r="M8" s="68"/>
      <c r="N8" s="68"/>
      <c r="O8" s="68"/>
      <c r="P8" s="68"/>
      <c r="Q8" s="88">
        <v>41549</v>
      </c>
      <c r="R8" s="99"/>
      <c r="S8" s="99"/>
      <c r="T8" s="99"/>
      <c r="U8" s="99"/>
      <c r="V8" s="99"/>
      <c r="W8" s="99"/>
      <c r="X8" s="99"/>
      <c r="Y8" s="141"/>
      <c r="Z8" s="166"/>
      <c r="AA8" s="166"/>
      <c r="AB8" s="166"/>
      <c r="AC8" s="166"/>
      <c r="AD8" s="166"/>
      <c r="AE8" s="166"/>
      <c r="AF8" s="166"/>
      <c r="AG8" s="88">
        <v>41549</v>
      </c>
      <c r="AH8" s="180"/>
      <c r="AI8" s="181"/>
    </row>
    <row r="9" spans="1:70">
      <c r="A9" s="7">
        <v>41550</v>
      </c>
      <c r="B9" s="7"/>
      <c r="C9" s="7"/>
      <c r="D9" s="7"/>
      <c r="E9" s="48"/>
      <c r="F9" s="48"/>
      <c r="G9" s="48"/>
      <c r="H9" s="48"/>
      <c r="I9" s="67">
        <v>41550</v>
      </c>
      <c r="J9" s="68"/>
      <c r="K9" s="68"/>
      <c r="L9" s="68"/>
      <c r="M9" s="68"/>
      <c r="N9" s="68"/>
      <c r="O9" s="68"/>
      <c r="P9" s="68"/>
      <c r="Q9" s="88">
        <v>41550</v>
      </c>
      <c r="R9" s="99"/>
      <c r="S9" s="99"/>
      <c r="T9" s="99"/>
      <c r="U9" s="99"/>
      <c r="V9" s="99"/>
      <c r="W9" s="99"/>
      <c r="X9" s="99"/>
      <c r="Y9" s="141"/>
      <c r="Z9" s="166"/>
      <c r="AA9" s="166"/>
      <c r="AB9" s="166"/>
      <c r="AC9" s="166"/>
      <c r="AD9" s="166"/>
      <c r="AE9" s="166"/>
      <c r="AF9" s="166"/>
      <c r="AG9" s="88">
        <v>41550</v>
      </c>
      <c r="AH9" s="180"/>
      <c r="AI9" s="181"/>
    </row>
    <row r="10" spans="1:70">
      <c r="A10" s="7">
        <v>41551</v>
      </c>
      <c r="B10" s="58"/>
      <c r="C10" s="58"/>
      <c r="D10" s="58"/>
      <c r="E10" s="48"/>
      <c r="F10" s="48"/>
      <c r="G10" s="48"/>
      <c r="H10" s="48"/>
      <c r="I10" s="67">
        <v>41551</v>
      </c>
      <c r="J10" s="68"/>
      <c r="K10" s="68"/>
      <c r="L10" s="68"/>
      <c r="M10" s="68"/>
      <c r="N10" s="68"/>
      <c r="O10" s="68"/>
      <c r="P10" s="68"/>
      <c r="Q10" s="88">
        <v>41551</v>
      </c>
      <c r="R10" s="99"/>
      <c r="S10" s="99"/>
      <c r="T10" s="99"/>
      <c r="U10" s="99"/>
      <c r="V10" s="99"/>
      <c r="W10" s="99"/>
      <c r="X10" s="99"/>
      <c r="Y10" s="141"/>
      <c r="Z10" s="166"/>
      <c r="AA10" s="166"/>
      <c r="AB10" s="166"/>
      <c r="AC10" s="166"/>
      <c r="AD10" s="166"/>
      <c r="AE10" s="166"/>
      <c r="AF10" s="166"/>
      <c r="AG10" s="88">
        <v>41551</v>
      </c>
      <c r="AH10" s="180"/>
      <c r="AI10" s="181"/>
    </row>
    <row r="11" spans="1:70">
      <c r="A11" s="7">
        <v>41552</v>
      </c>
      <c r="B11" s="58"/>
      <c r="C11" s="58"/>
      <c r="D11" s="58"/>
      <c r="E11" s="48"/>
      <c r="F11" s="48"/>
      <c r="G11" s="48"/>
      <c r="H11" s="48"/>
      <c r="I11" s="67">
        <v>41552</v>
      </c>
      <c r="J11" s="68"/>
      <c r="K11" s="68"/>
      <c r="L11" s="68"/>
      <c r="M11" s="68"/>
      <c r="N11" s="68"/>
      <c r="O11" s="68"/>
      <c r="P11" s="68"/>
      <c r="Q11" s="88">
        <v>41552</v>
      </c>
      <c r="R11" s="99"/>
      <c r="S11" s="99"/>
      <c r="T11" s="99"/>
      <c r="U11" s="99"/>
      <c r="V11" s="99"/>
      <c r="W11" s="99"/>
      <c r="X11" s="99"/>
      <c r="Y11" s="141"/>
      <c r="Z11" s="166"/>
      <c r="AA11" s="166"/>
      <c r="AB11" s="166"/>
      <c r="AC11" s="166"/>
      <c r="AD11" s="166"/>
      <c r="AE11" s="166"/>
      <c r="AF11" s="166"/>
      <c r="AG11" s="88">
        <v>41552</v>
      </c>
      <c r="AH11" s="180"/>
      <c r="AI11" s="181"/>
    </row>
    <row r="12" spans="1:70">
      <c r="A12" s="7">
        <v>41553</v>
      </c>
      <c r="B12" s="58"/>
      <c r="C12" s="58"/>
      <c r="D12" s="58"/>
      <c r="E12" s="48"/>
      <c r="F12" s="48"/>
      <c r="G12" s="48"/>
      <c r="H12" s="48"/>
      <c r="I12" s="67">
        <v>41553</v>
      </c>
      <c r="J12" s="68"/>
      <c r="K12" s="68"/>
      <c r="L12" s="68"/>
      <c r="M12" s="68"/>
      <c r="N12" s="68"/>
      <c r="O12" s="68"/>
      <c r="P12" s="68"/>
      <c r="Q12" s="88">
        <v>41553</v>
      </c>
      <c r="R12" s="99"/>
      <c r="S12" s="99"/>
      <c r="T12" s="99"/>
      <c r="U12" s="99"/>
      <c r="V12" s="99"/>
      <c r="W12" s="99"/>
      <c r="X12" s="99"/>
      <c r="Y12" s="141"/>
      <c r="Z12" s="166"/>
      <c r="AA12" s="166"/>
      <c r="AB12" s="166"/>
      <c r="AC12" s="166"/>
      <c r="AD12" s="166"/>
      <c r="AE12" s="166"/>
      <c r="AF12" s="166"/>
      <c r="AG12" s="88">
        <v>41553</v>
      </c>
      <c r="AH12" s="180"/>
      <c r="AI12" s="181"/>
    </row>
    <row r="13" spans="1:70">
      <c r="A13" s="7">
        <v>41554</v>
      </c>
      <c r="B13" s="58"/>
      <c r="C13" s="58"/>
      <c r="D13" s="58"/>
      <c r="E13" s="48"/>
      <c r="F13" s="48"/>
      <c r="G13" s="48"/>
      <c r="H13" s="48"/>
      <c r="I13" s="67">
        <v>41554</v>
      </c>
      <c r="J13" s="68"/>
      <c r="K13" s="68"/>
      <c r="L13" s="68"/>
      <c r="M13" s="68"/>
      <c r="N13" s="68"/>
      <c r="O13" s="68"/>
      <c r="P13" s="68"/>
      <c r="Q13" s="88">
        <v>41554</v>
      </c>
      <c r="R13" s="99"/>
      <c r="S13" s="99"/>
      <c r="T13" s="99"/>
      <c r="U13" s="99"/>
      <c r="V13" s="99"/>
      <c r="W13" s="99"/>
      <c r="X13" s="99"/>
      <c r="Y13" s="141"/>
      <c r="Z13" s="166"/>
      <c r="AA13" s="166"/>
      <c r="AB13" s="166"/>
      <c r="AC13" s="166"/>
      <c r="AD13" s="166"/>
      <c r="AE13" s="166"/>
      <c r="AF13" s="166"/>
      <c r="AG13" s="88">
        <v>41554</v>
      </c>
      <c r="AH13" s="180"/>
      <c r="AI13" s="181"/>
    </row>
    <row r="14" spans="1:70">
      <c r="A14" s="7">
        <v>41555</v>
      </c>
      <c r="B14" s="58"/>
      <c r="C14" s="58"/>
      <c r="D14" s="58"/>
      <c r="E14" s="48"/>
      <c r="F14" s="48"/>
      <c r="G14" s="48"/>
      <c r="H14" s="48"/>
      <c r="I14" s="67">
        <v>41555</v>
      </c>
      <c r="J14" s="68"/>
      <c r="K14" s="68"/>
      <c r="L14" s="68"/>
      <c r="M14" s="68"/>
      <c r="N14" s="68"/>
      <c r="O14" s="68"/>
      <c r="P14" s="68"/>
      <c r="Q14" s="88">
        <v>41555</v>
      </c>
      <c r="R14" s="99"/>
      <c r="S14" s="99"/>
      <c r="T14" s="99"/>
      <c r="U14" s="99"/>
      <c r="V14" s="99"/>
      <c r="W14" s="99"/>
      <c r="X14" s="99"/>
      <c r="Y14" s="141"/>
      <c r="Z14" s="166"/>
      <c r="AA14" s="166"/>
      <c r="AB14" s="166"/>
      <c r="AC14" s="166"/>
      <c r="AD14" s="166"/>
      <c r="AE14" s="166"/>
      <c r="AF14" s="166"/>
      <c r="AG14" s="88">
        <v>41555</v>
      </c>
      <c r="AH14" s="180"/>
      <c r="AI14" s="181"/>
    </row>
    <row r="15" spans="1:70">
      <c r="A15" s="7">
        <v>41556</v>
      </c>
      <c r="B15" s="58"/>
      <c r="C15" s="58"/>
      <c r="D15" s="58"/>
      <c r="E15" s="48"/>
      <c r="F15" s="47"/>
      <c r="G15" s="47"/>
      <c r="H15" s="48"/>
      <c r="I15" s="67">
        <v>41556</v>
      </c>
      <c r="J15" s="68"/>
      <c r="K15" s="68"/>
      <c r="L15" s="68"/>
      <c r="M15" s="68"/>
      <c r="N15" s="68"/>
      <c r="O15" s="68"/>
      <c r="P15" s="68"/>
      <c r="Q15" s="88">
        <v>41556</v>
      </c>
      <c r="R15" s="99"/>
      <c r="S15" s="99"/>
      <c r="T15" s="99"/>
      <c r="U15" s="99"/>
      <c r="V15" s="99"/>
      <c r="W15" s="99"/>
      <c r="X15" s="99"/>
      <c r="Y15" s="141"/>
      <c r="Z15" s="166"/>
      <c r="AA15" s="166"/>
      <c r="AB15" s="166"/>
      <c r="AC15" s="166"/>
      <c r="AD15" s="166"/>
      <c r="AE15" s="166"/>
      <c r="AF15" s="166"/>
      <c r="AG15" s="88">
        <v>41556</v>
      </c>
      <c r="AH15" s="180"/>
      <c r="AI15" s="181"/>
    </row>
    <row r="16" spans="1:70">
      <c r="A16" s="7">
        <v>41557</v>
      </c>
      <c r="B16" s="58"/>
      <c r="C16" s="58"/>
      <c r="D16" s="58"/>
      <c r="E16" s="48"/>
      <c r="F16" s="48"/>
      <c r="G16" s="47"/>
      <c r="H16" s="48"/>
      <c r="I16" s="67">
        <v>41557</v>
      </c>
      <c r="J16" s="68"/>
      <c r="K16" s="68"/>
      <c r="L16" s="68"/>
      <c r="M16" s="68"/>
      <c r="N16" s="68"/>
      <c r="O16" s="68"/>
      <c r="P16" s="68"/>
      <c r="Q16" s="88">
        <v>41557</v>
      </c>
      <c r="R16" s="99"/>
      <c r="S16" s="99"/>
      <c r="T16" s="99"/>
      <c r="U16" s="99"/>
      <c r="V16" s="99"/>
      <c r="W16" s="99"/>
      <c r="X16" s="99"/>
      <c r="Y16" s="141"/>
      <c r="Z16" s="166"/>
      <c r="AA16" s="166"/>
      <c r="AB16" s="166"/>
      <c r="AC16" s="166"/>
      <c r="AD16" s="166"/>
      <c r="AE16" s="166"/>
      <c r="AF16" s="166"/>
      <c r="AG16" s="88">
        <v>41557</v>
      </c>
      <c r="AH16" s="180"/>
      <c r="AI16" s="181"/>
    </row>
    <row r="17" spans="1:35">
      <c r="A17" s="7">
        <v>41558</v>
      </c>
      <c r="B17" s="58"/>
      <c r="C17" s="58"/>
      <c r="D17" s="58"/>
      <c r="E17" s="48"/>
      <c r="F17" s="48"/>
      <c r="G17" s="47"/>
      <c r="H17" s="48"/>
      <c r="I17" s="67">
        <v>41558</v>
      </c>
      <c r="J17" s="68"/>
      <c r="K17" s="68"/>
      <c r="L17" s="68"/>
      <c r="M17" s="68"/>
      <c r="N17" s="68"/>
      <c r="O17" s="68"/>
      <c r="P17" s="68"/>
      <c r="Q17" s="88">
        <v>41558</v>
      </c>
      <c r="R17" s="99"/>
      <c r="S17" s="99"/>
      <c r="T17" s="99"/>
      <c r="U17" s="99"/>
      <c r="V17" s="99"/>
      <c r="W17" s="99"/>
      <c r="X17" s="99"/>
      <c r="Y17" s="141"/>
      <c r="Z17" s="166"/>
      <c r="AA17" s="166"/>
      <c r="AB17" s="166"/>
      <c r="AC17" s="166"/>
      <c r="AD17" s="166"/>
      <c r="AE17" s="166"/>
      <c r="AF17" s="166"/>
      <c r="AG17" s="88">
        <v>41558</v>
      </c>
      <c r="AH17" s="180"/>
      <c r="AI17" s="181"/>
    </row>
    <row r="18" spans="1:35">
      <c r="A18" s="7">
        <v>41559</v>
      </c>
      <c r="B18" s="58"/>
      <c r="C18" s="58"/>
      <c r="D18" s="58"/>
      <c r="E18" s="48"/>
      <c r="F18" s="48"/>
      <c r="G18" s="48"/>
      <c r="H18" s="48"/>
      <c r="I18" s="67">
        <v>41559</v>
      </c>
      <c r="J18" s="68"/>
      <c r="K18" s="68"/>
      <c r="L18" s="68"/>
      <c r="M18" s="68"/>
      <c r="N18" s="68"/>
      <c r="O18" s="68"/>
      <c r="P18" s="68"/>
      <c r="Q18" s="88">
        <v>41559</v>
      </c>
      <c r="R18" s="99"/>
      <c r="S18" s="99"/>
      <c r="T18" s="99"/>
      <c r="U18" s="99"/>
      <c r="V18" s="99"/>
      <c r="W18" s="99"/>
      <c r="X18" s="99"/>
      <c r="Y18" s="141"/>
      <c r="Z18" s="166"/>
      <c r="AA18" s="166"/>
      <c r="AB18" s="166"/>
      <c r="AC18" s="166"/>
      <c r="AD18" s="166"/>
      <c r="AE18" s="166"/>
      <c r="AF18" s="166"/>
      <c r="AG18" s="88">
        <v>41559</v>
      </c>
      <c r="AH18" s="180"/>
      <c r="AI18" s="181"/>
    </row>
    <row r="19" spans="1:35">
      <c r="A19" s="7">
        <v>41560</v>
      </c>
      <c r="B19" s="58"/>
      <c r="C19" s="58"/>
      <c r="D19" s="58"/>
      <c r="E19" s="48"/>
      <c r="F19" s="48"/>
      <c r="G19" s="48"/>
      <c r="H19" s="48"/>
      <c r="I19" s="67">
        <v>41560</v>
      </c>
      <c r="J19" s="68"/>
      <c r="K19" s="68"/>
      <c r="L19" s="68"/>
      <c r="M19" s="68"/>
      <c r="N19" s="68"/>
      <c r="O19" s="68"/>
      <c r="P19" s="68"/>
      <c r="Q19" s="88">
        <v>41560</v>
      </c>
      <c r="R19" s="99"/>
      <c r="S19" s="99"/>
      <c r="T19" s="99"/>
      <c r="U19" s="99"/>
      <c r="V19" s="99"/>
      <c r="W19" s="99"/>
      <c r="X19" s="99"/>
      <c r="Y19" s="141"/>
      <c r="Z19" s="166"/>
      <c r="AA19" s="166"/>
      <c r="AB19" s="166"/>
      <c r="AC19" s="166"/>
      <c r="AD19" s="166"/>
      <c r="AE19" s="166"/>
      <c r="AF19" s="166"/>
      <c r="AG19" s="88">
        <v>41560</v>
      </c>
      <c r="AH19" s="180"/>
      <c r="AI19" s="181"/>
    </row>
    <row r="20" spans="1:35">
      <c r="A20" s="7">
        <v>41561</v>
      </c>
      <c r="B20" s="58"/>
      <c r="C20" s="58"/>
      <c r="D20" s="58"/>
      <c r="E20" s="48"/>
      <c r="F20" s="48"/>
      <c r="G20" s="48"/>
      <c r="H20" s="48"/>
      <c r="I20" s="67">
        <v>41561</v>
      </c>
      <c r="J20" s="68"/>
      <c r="K20" s="68"/>
      <c r="L20" s="68"/>
      <c r="M20" s="68"/>
      <c r="N20" s="68"/>
      <c r="O20" s="68"/>
      <c r="P20" s="68"/>
      <c r="Q20" s="88">
        <v>41561</v>
      </c>
      <c r="R20" s="99"/>
      <c r="S20" s="99"/>
      <c r="T20" s="99"/>
      <c r="U20" s="99"/>
      <c r="V20" s="99"/>
      <c r="W20" s="99"/>
      <c r="X20" s="99"/>
      <c r="Y20" s="141"/>
      <c r="Z20" s="166"/>
      <c r="AA20" s="166"/>
      <c r="AB20" s="166"/>
      <c r="AC20" s="166"/>
      <c r="AD20" s="166"/>
      <c r="AE20" s="166"/>
      <c r="AF20" s="166"/>
      <c r="AG20" s="88">
        <v>41561</v>
      </c>
      <c r="AH20" s="180"/>
      <c r="AI20" s="181"/>
    </row>
    <row r="21" spans="1:35">
      <c r="A21" s="7">
        <v>41562</v>
      </c>
      <c r="B21" s="7"/>
      <c r="C21" s="7"/>
      <c r="D21" s="48"/>
      <c r="E21" s="48"/>
      <c r="F21" s="48"/>
      <c r="G21" s="48"/>
      <c r="H21" s="48"/>
      <c r="I21" s="67">
        <v>41562</v>
      </c>
      <c r="J21" s="68"/>
      <c r="K21" s="68"/>
      <c r="L21" s="68"/>
      <c r="M21" s="68"/>
      <c r="N21" s="68"/>
      <c r="O21" s="68"/>
      <c r="P21" s="68"/>
      <c r="Q21" s="88">
        <v>41562</v>
      </c>
      <c r="R21" s="99"/>
      <c r="S21" s="99"/>
      <c r="T21" s="99"/>
      <c r="U21" s="99"/>
      <c r="V21" s="99"/>
      <c r="W21" s="99"/>
      <c r="X21" s="99"/>
      <c r="Y21" s="141"/>
      <c r="Z21" s="166"/>
      <c r="AA21" s="166"/>
      <c r="AB21" s="166"/>
      <c r="AC21" s="166"/>
      <c r="AD21" s="166"/>
      <c r="AE21" s="166"/>
      <c r="AF21" s="166"/>
      <c r="AG21" s="88">
        <v>41562</v>
      </c>
      <c r="AH21" s="180">
        <v>0</v>
      </c>
      <c r="AI21" s="181"/>
    </row>
    <row r="22" spans="1:35">
      <c r="A22" s="40">
        <v>41563</v>
      </c>
      <c r="B22" s="56" t="s">
        <v>13</v>
      </c>
      <c r="C22" s="56" t="s">
        <v>9</v>
      </c>
      <c r="D22" s="56" t="s">
        <v>14</v>
      </c>
      <c r="E22" s="57" t="s">
        <v>15</v>
      </c>
      <c r="F22" s="57" t="s">
        <v>10</v>
      </c>
      <c r="G22" s="56" t="s">
        <v>11</v>
      </c>
      <c r="H22" s="56" t="s">
        <v>12</v>
      </c>
      <c r="I22" s="67">
        <v>41563</v>
      </c>
      <c r="J22" s="81" t="s">
        <v>28</v>
      </c>
      <c r="K22" s="81" t="s">
        <v>29</v>
      </c>
      <c r="L22" s="81" t="s">
        <v>30</v>
      </c>
      <c r="M22" s="81" t="s">
        <v>6</v>
      </c>
      <c r="N22" s="81" t="s">
        <v>27</v>
      </c>
      <c r="O22" s="81" t="s">
        <v>31</v>
      </c>
      <c r="P22" s="81" t="s">
        <v>32</v>
      </c>
      <c r="Q22" s="88">
        <v>41563</v>
      </c>
      <c r="R22" s="85" t="s">
        <v>39</v>
      </c>
      <c r="S22" s="85" t="s">
        <v>40</v>
      </c>
      <c r="T22" s="85" t="s">
        <v>41</v>
      </c>
      <c r="U22" s="85" t="s">
        <v>7</v>
      </c>
      <c r="V22" s="85" t="s">
        <v>53</v>
      </c>
      <c r="W22" s="85" t="s">
        <v>54</v>
      </c>
      <c r="X22" s="85" t="s">
        <v>55</v>
      </c>
      <c r="Y22" s="140">
        <v>41563</v>
      </c>
      <c r="Z22" s="141" t="s">
        <v>57</v>
      </c>
      <c r="AA22" s="141" t="s">
        <v>58</v>
      </c>
      <c r="AB22" s="141" t="s">
        <v>59</v>
      </c>
      <c r="AC22" s="141" t="s">
        <v>8</v>
      </c>
      <c r="AD22" s="141" t="s">
        <v>5</v>
      </c>
      <c r="AE22" s="141" t="s">
        <v>60</v>
      </c>
      <c r="AF22" s="141" t="s">
        <v>61</v>
      </c>
      <c r="AG22" s="88">
        <v>41563</v>
      </c>
      <c r="AH22" s="180">
        <v>-2</v>
      </c>
      <c r="AI22" s="181"/>
    </row>
    <row r="23" spans="1:35">
      <c r="A23" s="4">
        <v>41564</v>
      </c>
      <c r="B23" s="49">
        <v>1.84E-4</v>
      </c>
      <c r="C23" s="50">
        <v>0.85699999999999998</v>
      </c>
      <c r="D23" s="49">
        <f>B23*1440</f>
        <v>0.26495999999999997</v>
      </c>
      <c r="E23" s="51">
        <v>3.001481022440164</v>
      </c>
      <c r="F23" s="51">
        <v>-2.6178428275757802E-2</v>
      </c>
      <c r="G23" s="51">
        <f t="shared" ref="G23:G54" si="0">-D23+F23</f>
        <v>-0.29113842827575775</v>
      </c>
      <c r="H23" s="51">
        <f>G23*100</f>
        <v>-29.113842827575777</v>
      </c>
      <c r="I23" s="69">
        <v>41564</v>
      </c>
      <c r="J23" s="70">
        <v>2.7399999999999999E-4</v>
      </c>
      <c r="K23" s="71">
        <v>0.97899999999999998</v>
      </c>
      <c r="L23" s="70">
        <f>J23*1440</f>
        <v>0.39455999999999997</v>
      </c>
      <c r="M23" s="70">
        <v>3.1793810224401646</v>
      </c>
      <c r="N23" s="61">
        <v>-6.9132068659071358E-3</v>
      </c>
      <c r="O23" s="62">
        <f t="shared" ref="O23:O86" si="1">-L23+N23</f>
        <v>-0.4014732068659071</v>
      </c>
      <c r="P23" s="62">
        <f>O23*100</f>
        <v>-40.14732068659071</v>
      </c>
      <c r="Q23" s="89">
        <v>41564</v>
      </c>
      <c r="R23" s="86">
        <v>5.4900000000000001E-4</v>
      </c>
      <c r="S23" s="90">
        <v>0.98499999999999999</v>
      </c>
      <c r="T23" s="86">
        <f>R23*1440</f>
        <v>0.79056000000000004</v>
      </c>
      <c r="U23" s="107">
        <v>3.402581022440164</v>
      </c>
      <c r="V23" s="108">
        <v>-9.173501461906609E-3</v>
      </c>
      <c r="W23" s="94">
        <f t="shared" ref="W23:W54" si="2">-T23+V23</f>
        <v>-0.79973350146190669</v>
      </c>
      <c r="X23" s="94">
        <f>W23*100</f>
        <v>-79.973350146190668</v>
      </c>
      <c r="Y23" s="142">
        <f>Y22+1</f>
        <v>41564</v>
      </c>
      <c r="Z23" s="138">
        <v>3.5399999999999999E-4</v>
      </c>
      <c r="AA23" s="144">
        <v>0.97099999999999997</v>
      </c>
      <c r="AB23" s="138">
        <f>Z23*1440</f>
        <v>0.50975999999999999</v>
      </c>
      <c r="AC23" s="138">
        <v>3.1435810224401641</v>
      </c>
      <c r="AD23" s="138">
        <v>-2.4631300553781193E-2</v>
      </c>
      <c r="AE23" s="138">
        <f>-AB23+AD23</f>
        <v>-0.53439130055378115</v>
      </c>
      <c r="AF23" s="138">
        <f>AE23*100</f>
        <v>-53.439130055378115</v>
      </c>
      <c r="AG23" s="89">
        <v>41564</v>
      </c>
      <c r="AH23" s="180">
        <v>-1</v>
      </c>
      <c r="AI23" s="182">
        <v>0</v>
      </c>
    </row>
    <row r="24" spans="1:35">
      <c r="A24" s="4">
        <v>41565</v>
      </c>
      <c r="B24" s="49">
        <v>-3.7100000000000001E-5</v>
      </c>
      <c r="C24" s="50">
        <v>0.81100000000000005</v>
      </c>
      <c r="D24" s="49">
        <f t="shared" ref="D24:D87" si="3">B24*1440</f>
        <v>-5.3423999999999999E-2</v>
      </c>
      <c r="E24" s="51">
        <v>3.0295143565567302</v>
      </c>
      <c r="F24" s="51">
        <v>-2.6257986308740808E-2</v>
      </c>
      <c r="G24" s="51">
        <f t="shared" si="0"/>
        <v>2.7166013691259192E-2</v>
      </c>
      <c r="H24" s="51">
        <f t="shared" ref="H24:H87" si="4">G24*100</f>
        <v>2.716601369125919</v>
      </c>
      <c r="I24" s="69">
        <v>41565</v>
      </c>
      <c r="J24" s="70">
        <v>-4.9999999999999998E-7</v>
      </c>
      <c r="K24" s="71">
        <v>2E-3</v>
      </c>
      <c r="L24" s="70">
        <f t="shared" ref="L24:L87" si="5">J24*1440</f>
        <v>-7.1999999999999994E-4</v>
      </c>
      <c r="M24" s="70">
        <v>3.2773143565567313</v>
      </c>
      <c r="N24" s="61">
        <v>-7.3356408989079646E-3</v>
      </c>
      <c r="O24" s="62">
        <f t="shared" si="1"/>
        <v>-6.6156408989079644E-3</v>
      </c>
      <c r="P24" s="62">
        <f t="shared" ref="P24:P87" si="6">O24*100</f>
        <v>-0.6615640898907964</v>
      </c>
      <c r="Q24" s="89">
        <v>41565</v>
      </c>
      <c r="R24" s="86">
        <v>-2.4600000000000002E-5</v>
      </c>
      <c r="S24" s="90">
        <v>0.97699999999999998</v>
      </c>
      <c r="T24" s="86">
        <f t="shared" ref="T24:T87" si="7">R24*1440</f>
        <v>-3.5424000000000004E-2</v>
      </c>
      <c r="U24" s="107">
        <v>3.5956143565567311</v>
      </c>
      <c r="V24" s="108">
        <v>-9.2465898722130981E-3</v>
      </c>
      <c r="W24" s="94">
        <f t="shared" si="2"/>
        <v>2.6177410127786904E-2</v>
      </c>
      <c r="X24" s="94">
        <f t="shared" ref="X24:X87" si="8">W24*100</f>
        <v>2.6177410127786906</v>
      </c>
      <c r="Y24" s="142">
        <f t="shared" ref="Y24:Y87" si="9">Y23+1</f>
        <v>41565</v>
      </c>
      <c r="Z24" s="138">
        <v>-1.47E-5</v>
      </c>
      <c r="AA24" s="144">
        <v>0.86299999999999999</v>
      </c>
      <c r="AB24" s="138">
        <f t="shared" ref="AB24:AB87" si="10">Z24*1440</f>
        <v>-2.1167999999999999E-2</v>
      </c>
      <c r="AC24" s="138">
        <v>3.2043143565567305</v>
      </c>
      <c r="AD24" s="138">
        <v>-2.4482763718270767E-2</v>
      </c>
      <c r="AE24" s="138">
        <f t="shared" ref="AE24:AE87" si="11">-AB24+AD24</f>
        <v>-3.3147637182707676E-3</v>
      </c>
      <c r="AF24" s="138">
        <f t="shared" ref="AF24:AF87" si="12">AE24*100</f>
        <v>-0.33147637182707679</v>
      </c>
      <c r="AG24" s="89">
        <v>41565</v>
      </c>
      <c r="AH24" s="180">
        <v>-1</v>
      </c>
      <c r="AI24" s="182">
        <v>0</v>
      </c>
    </row>
    <row r="25" spans="1:35">
      <c r="A25" s="4">
        <v>41566</v>
      </c>
      <c r="B25" s="49">
        <v>3.0000000000000001E-5</v>
      </c>
      <c r="C25" s="50">
        <v>0.71499999999999997</v>
      </c>
      <c r="D25" s="49">
        <f t="shared" si="3"/>
        <v>4.3200000000000002E-2</v>
      </c>
      <c r="E25" s="51">
        <v>3.1842159959313361</v>
      </c>
      <c r="F25" s="51">
        <v>-2.6665281303983004E-2</v>
      </c>
      <c r="G25" s="51">
        <f t="shared" si="0"/>
        <v>-6.9865281303983007E-2</v>
      </c>
      <c r="H25" s="51">
        <f t="shared" si="4"/>
        <v>-6.9865281303983009</v>
      </c>
      <c r="I25" s="69">
        <v>41566</v>
      </c>
      <c r="J25" s="70">
        <v>4.21E-5</v>
      </c>
      <c r="K25" s="71">
        <v>0.54400000000000004</v>
      </c>
      <c r="L25" s="70">
        <f t="shared" si="5"/>
        <v>6.0623999999999997E-2</v>
      </c>
      <c r="M25" s="70">
        <v>3.3345159959313371</v>
      </c>
      <c r="N25" s="61">
        <v>-7.5351097334902624E-3</v>
      </c>
      <c r="O25" s="62">
        <f t="shared" si="1"/>
        <v>-6.8159109733490264E-2</v>
      </c>
      <c r="P25" s="62">
        <f t="shared" si="6"/>
        <v>-6.8159109733490268</v>
      </c>
      <c r="Q25" s="89">
        <v>41566</v>
      </c>
      <c r="R25" s="86">
        <v>-2.52E-6</v>
      </c>
      <c r="S25" s="90">
        <v>0.185</v>
      </c>
      <c r="T25" s="86">
        <f t="shared" si="7"/>
        <v>-3.6288000000000002E-3</v>
      </c>
      <c r="U25" s="107">
        <v>3.7167159959313372</v>
      </c>
      <c r="V25" s="108">
        <v>-9.2675212943336676E-3</v>
      </c>
      <c r="W25" s="94">
        <f t="shared" si="2"/>
        <v>-5.6387212943336679E-3</v>
      </c>
      <c r="X25" s="94">
        <f t="shared" si="8"/>
        <v>-0.56387212943336684</v>
      </c>
      <c r="Y25" s="142">
        <f t="shared" si="9"/>
        <v>41566</v>
      </c>
      <c r="Z25" s="138">
        <v>-1.0399999999999999E-4</v>
      </c>
      <c r="AA25" s="144">
        <v>0.99299999999999999</v>
      </c>
      <c r="AB25" s="138">
        <f t="shared" si="10"/>
        <v>-0.14976</v>
      </c>
      <c r="AC25" s="138">
        <v>3.2750159959313367</v>
      </c>
      <c r="AD25" s="138">
        <v>-2.4257848569911266E-2</v>
      </c>
      <c r="AE25" s="138">
        <f t="shared" si="11"/>
        <v>0.12550215143008875</v>
      </c>
      <c r="AF25" s="138">
        <f t="shared" si="12"/>
        <v>12.550215143008876</v>
      </c>
      <c r="AG25" s="89">
        <v>41566</v>
      </c>
      <c r="AH25" s="180"/>
      <c r="AI25" s="182">
        <v>1</v>
      </c>
    </row>
    <row r="26" spans="1:35">
      <c r="A26" s="4">
        <v>41567</v>
      </c>
      <c r="B26" s="49">
        <v>-2.0000000000000002E-5</v>
      </c>
      <c r="C26" s="50">
        <v>0.32900000000000001</v>
      </c>
      <c r="D26" s="49">
        <f t="shared" si="3"/>
        <v>-2.8800000000000003E-2</v>
      </c>
      <c r="E26" s="51">
        <v>3.1727063881024375</v>
      </c>
      <c r="F26" s="51">
        <v>-2.663672039305752E-2</v>
      </c>
      <c r="G26" s="51">
        <f t="shared" si="0"/>
        <v>2.163279606942483E-3</v>
      </c>
      <c r="H26" s="51">
        <f t="shared" si="4"/>
        <v>0.21632796069424831</v>
      </c>
      <c r="I26" s="69">
        <v>41567</v>
      </c>
      <c r="J26" s="70">
        <v>5.2500000000000002E-5</v>
      </c>
      <c r="K26" s="71">
        <v>0.78200000000000003</v>
      </c>
      <c r="L26" s="70">
        <f t="shared" si="5"/>
        <v>7.5600000000000001E-2</v>
      </c>
      <c r="M26" s="70">
        <v>3.4026063881024378</v>
      </c>
      <c r="N26" s="61">
        <v>-7.7333781526270117E-3</v>
      </c>
      <c r="O26" s="62">
        <f t="shared" si="1"/>
        <v>-8.3333378152627008E-2</v>
      </c>
      <c r="P26" s="62">
        <f t="shared" si="6"/>
        <v>-8.3333378152627002</v>
      </c>
      <c r="Q26" s="89">
        <v>41567</v>
      </c>
      <c r="R26" s="86">
        <v>3.9800000000000002E-4</v>
      </c>
      <c r="S26" s="90">
        <v>0.89900000000000002</v>
      </c>
      <c r="T26" s="86">
        <f t="shared" si="7"/>
        <v>0.57312000000000007</v>
      </c>
      <c r="U26" s="107">
        <v>3.9735063881024368</v>
      </c>
      <c r="V26" s="108">
        <v>-9.2637660593316538E-3</v>
      </c>
      <c r="W26" s="94">
        <f t="shared" si="2"/>
        <v>-0.58238376605933173</v>
      </c>
      <c r="X26" s="94">
        <f t="shared" si="8"/>
        <v>-58.238376605933176</v>
      </c>
      <c r="Y26" s="142">
        <f t="shared" si="9"/>
        <v>41567</v>
      </c>
      <c r="Z26" s="138">
        <v>-3.57E-4</v>
      </c>
      <c r="AA26" s="144">
        <v>0.98299999999999998</v>
      </c>
      <c r="AB26" s="138">
        <f t="shared" si="10"/>
        <v>-0.51407999999999998</v>
      </c>
      <c r="AC26" s="138">
        <v>3.3996063881024372</v>
      </c>
      <c r="AD26" s="138">
        <v>-2.3755910145628431E-2</v>
      </c>
      <c r="AE26" s="138">
        <f t="shared" si="11"/>
        <v>0.49032408985437154</v>
      </c>
      <c r="AF26" s="138">
        <f t="shared" si="12"/>
        <v>49.032408985437151</v>
      </c>
      <c r="AG26" s="89">
        <v>41567</v>
      </c>
      <c r="AH26" s="180">
        <v>-48</v>
      </c>
      <c r="AI26" s="182">
        <v>0</v>
      </c>
    </row>
    <row r="27" spans="1:35">
      <c r="A27" s="4">
        <v>41568</v>
      </c>
      <c r="B27" s="49">
        <v>-4.2500000000000003E-5</v>
      </c>
      <c r="C27" s="50">
        <v>0.92100000000000004</v>
      </c>
      <c r="D27" s="49">
        <f t="shared" si="3"/>
        <v>-6.1200000000000004E-2</v>
      </c>
      <c r="E27" s="51">
        <v>3.1319503382091853</v>
      </c>
      <c r="F27" s="51">
        <v>-2.653341510609299E-2</v>
      </c>
      <c r="G27" s="51">
        <f t="shared" si="0"/>
        <v>3.4666584893907018E-2</v>
      </c>
      <c r="H27" s="51">
        <f t="shared" si="4"/>
        <v>3.466658489390702</v>
      </c>
      <c r="I27" s="69">
        <v>41568</v>
      </c>
      <c r="J27" s="70">
        <v>-9.9999999999999995E-7</v>
      </c>
      <c r="K27" s="71">
        <v>1.6E-2</v>
      </c>
      <c r="L27" s="70">
        <f t="shared" si="5"/>
        <v>-1.4399999999999999E-3</v>
      </c>
      <c r="M27" s="70">
        <v>3.4228503382091855</v>
      </c>
      <c r="N27" s="61">
        <v>-7.7848691881859727E-3</v>
      </c>
      <c r="O27" s="62">
        <f t="shared" si="1"/>
        <v>-6.3448691881859733E-3</v>
      </c>
      <c r="P27" s="62">
        <f t="shared" si="6"/>
        <v>-0.63448691881859731</v>
      </c>
      <c r="Q27" s="89">
        <v>41568</v>
      </c>
      <c r="R27" s="86">
        <v>-4.5200000000000001E-5</v>
      </c>
      <c r="S27" s="90">
        <v>0.96599999999999997</v>
      </c>
      <c r="T27" s="86">
        <f t="shared" si="7"/>
        <v>-6.5088000000000007E-2</v>
      </c>
      <c r="U27" s="107">
        <v>4.0705503382091868</v>
      </c>
      <c r="V27" s="108">
        <v>-9.2488366568884029E-3</v>
      </c>
      <c r="W27" s="94">
        <f t="shared" si="2"/>
        <v>5.5839163343111606E-2</v>
      </c>
      <c r="X27" s="94">
        <f t="shared" si="8"/>
        <v>5.5839163343111604</v>
      </c>
      <c r="Y27" s="142">
        <f t="shared" si="9"/>
        <v>41568</v>
      </c>
      <c r="Z27" s="138">
        <v>-1.5999999999999999E-5</v>
      </c>
      <c r="AA27" s="144">
        <v>0.90400000000000003</v>
      </c>
      <c r="AB27" s="138">
        <f t="shared" si="10"/>
        <v>-2.3039999999999998E-2</v>
      </c>
      <c r="AC27" s="138">
        <v>3.2055503382091852</v>
      </c>
      <c r="AD27" s="138">
        <v>-2.4479282897542632E-2</v>
      </c>
      <c r="AE27" s="138">
        <f t="shared" si="11"/>
        <v>-1.439282897542634E-3</v>
      </c>
      <c r="AF27" s="138">
        <f t="shared" si="12"/>
        <v>-0.14392828975426342</v>
      </c>
      <c r="AG27" s="89">
        <v>41568</v>
      </c>
      <c r="AH27" s="180">
        <v>-1</v>
      </c>
      <c r="AI27" s="182">
        <v>0</v>
      </c>
    </row>
    <row r="28" spans="1:35">
      <c r="A28" s="4">
        <v>41569</v>
      </c>
      <c r="B28" s="49">
        <v>-4.1900000000000002E-5</v>
      </c>
      <c r="C28" s="50">
        <v>0.93</v>
      </c>
      <c r="D28" s="49">
        <f t="shared" si="3"/>
        <v>-6.0336000000000001E-2</v>
      </c>
      <c r="E28" s="51">
        <v>3.0868947052086626</v>
      </c>
      <c r="F28" s="51">
        <v>-2.6415136597447538E-2</v>
      </c>
      <c r="G28" s="51">
        <f t="shared" si="0"/>
        <v>3.3920863402552459E-2</v>
      </c>
      <c r="H28" s="51">
        <f t="shared" si="4"/>
        <v>3.3920863402552461</v>
      </c>
      <c r="I28" s="69">
        <v>41569</v>
      </c>
      <c r="J28" s="70">
        <v>-1.26E-5</v>
      </c>
      <c r="K28" s="71">
        <v>0.51600000000000001</v>
      </c>
      <c r="L28" s="70">
        <f t="shared" si="5"/>
        <v>-1.8144E-2</v>
      </c>
      <c r="M28" s="70">
        <v>3.4088947052086631</v>
      </c>
      <c r="N28" s="61">
        <v>-7.7497208942863358E-3</v>
      </c>
      <c r="O28" s="62">
        <f t="shared" si="1"/>
        <v>1.0394279105713665E-2</v>
      </c>
      <c r="P28" s="62">
        <f t="shared" si="6"/>
        <v>1.0394279105713664</v>
      </c>
      <c r="Q28" s="89">
        <v>41569</v>
      </c>
      <c r="R28" s="86">
        <v>-4.18E-5</v>
      </c>
      <c r="S28" s="90">
        <v>0.96</v>
      </c>
      <c r="T28" s="86">
        <f t="shared" si="7"/>
        <v>-6.0192000000000002E-2</v>
      </c>
      <c r="U28" s="107">
        <v>4.0373947052086629</v>
      </c>
      <c r="V28" s="108">
        <v>-9.2546465504949656E-3</v>
      </c>
      <c r="W28" s="94">
        <f t="shared" si="2"/>
        <v>5.0937353449505035E-2</v>
      </c>
      <c r="X28" s="94">
        <f t="shared" si="8"/>
        <v>5.0937353449505034</v>
      </c>
      <c r="Y28" s="142">
        <f t="shared" si="9"/>
        <v>41569</v>
      </c>
      <c r="Z28" s="138">
        <v>-3.01E-5</v>
      </c>
      <c r="AA28" s="144">
        <v>0.93200000000000005</v>
      </c>
      <c r="AB28" s="138">
        <f t="shared" si="10"/>
        <v>-4.3344000000000001E-2</v>
      </c>
      <c r="AC28" s="138">
        <v>3.2147947052086621</v>
      </c>
      <c r="AD28" s="138">
        <v>-2.4452708789741553E-2</v>
      </c>
      <c r="AE28" s="138">
        <f t="shared" si="11"/>
        <v>1.8891291210258447E-2</v>
      </c>
      <c r="AF28" s="138">
        <f t="shared" si="12"/>
        <v>1.8891291210258447</v>
      </c>
      <c r="AG28" s="89">
        <v>41569</v>
      </c>
      <c r="AH28" s="180"/>
      <c r="AI28" s="182">
        <v>1</v>
      </c>
    </row>
    <row r="29" spans="1:35">
      <c r="A29" s="4">
        <v>41570</v>
      </c>
      <c r="B29" s="49">
        <v>-3.3300000000000003E-5</v>
      </c>
      <c r="C29" s="50">
        <v>0.79900000000000004</v>
      </c>
      <c r="D29" s="49">
        <f t="shared" si="3"/>
        <v>-4.7952000000000002E-2</v>
      </c>
      <c r="E29" s="51">
        <v>3.0421924557679625</v>
      </c>
      <c r="F29" s="51">
        <v>-2.6293357189730554E-2</v>
      </c>
      <c r="G29" s="51">
        <f t="shared" si="0"/>
        <v>2.1658642810269448E-2</v>
      </c>
      <c r="H29" s="51">
        <f t="shared" si="4"/>
        <v>2.1658642810269448</v>
      </c>
      <c r="I29" s="69">
        <v>41570</v>
      </c>
      <c r="J29" s="70">
        <v>-1.34E-5</v>
      </c>
      <c r="K29" s="71">
        <v>0.44900000000000001</v>
      </c>
      <c r="L29" s="70">
        <f t="shared" si="5"/>
        <v>-1.9296000000000001E-2</v>
      </c>
      <c r="M29" s="70">
        <v>3.3914924557679615</v>
      </c>
      <c r="N29" s="61">
        <v>-7.7037106768128054E-3</v>
      </c>
      <c r="O29" s="62">
        <f t="shared" si="1"/>
        <v>1.1592289323187194E-2</v>
      </c>
      <c r="P29" s="62">
        <f t="shared" si="6"/>
        <v>1.1592289323187195</v>
      </c>
      <c r="Q29" s="89">
        <v>41570</v>
      </c>
      <c r="R29" s="86">
        <v>-3.5500000000000002E-5</v>
      </c>
      <c r="S29" s="90">
        <v>0.91300000000000003</v>
      </c>
      <c r="T29" s="86">
        <f t="shared" si="7"/>
        <v>-5.1120000000000006E-2</v>
      </c>
      <c r="U29" s="107">
        <v>3.9870924557679617</v>
      </c>
      <c r="V29" s="108">
        <v>-9.2620649861139062E-3</v>
      </c>
      <c r="W29" s="94">
        <f t="shared" si="2"/>
        <v>4.1857935013886099E-2</v>
      </c>
      <c r="X29" s="94">
        <f t="shared" si="8"/>
        <v>4.1857935013886101</v>
      </c>
      <c r="Y29" s="142">
        <f t="shared" si="9"/>
        <v>41570</v>
      </c>
      <c r="Z29" s="138">
        <v>-1.1399999999999999E-5</v>
      </c>
      <c r="AA29" s="144">
        <v>0.50600000000000001</v>
      </c>
      <c r="AB29" s="138">
        <f t="shared" si="10"/>
        <v>-1.6416E-2</v>
      </c>
      <c r="AC29" s="138">
        <v>3.179992455767962</v>
      </c>
      <c r="AD29" s="138">
        <v>-2.454767587300671E-2</v>
      </c>
      <c r="AE29" s="138">
        <f t="shared" si="11"/>
        <v>-8.13167587300671E-3</v>
      </c>
      <c r="AF29" s="138">
        <f t="shared" si="12"/>
        <v>-0.81316758730067096</v>
      </c>
      <c r="AG29" s="89">
        <v>41570</v>
      </c>
      <c r="AH29" s="180"/>
      <c r="AI29" s="182">
        <v>2</v>
      </c>
    </row>
    <row r="30" spans="1:35">
      <c r="A30" s="4">
        <v>41571</v>
      </c>
      <c r="B30" s="49">
        <v>-3.5299999999999997E-5</v>
      </c>
      <c r="C30" s="50">
        <v>0.755</v>
      </c>
      <c r="D30" s="49">
        <f t="shared" si="3"/>
        <v>-5.0831999999999995E-2</v>
      </c>
      <c r="E30" s="51">
        <v>2.9996337677375871</v>
      </c>
      <c r="F30" s="51">
        <v>-2.6173119630578848E-2</v>
      </c>
      <c r="G30" s="51">
        <f t="shared" si="0"/>
        <v>2.4658880369421148E-2</v>
      </c>
      <c r="H30" s="51">
        <f t="shared" si="4"/>
        <v>2.4658880369421148</v>
      </c>
      <c r="I30" s="69">
        <v>41571</v>
      </c>
      <c r="J30" s="70">
        <v>-1.5299999999999999E-5</v>
      </c>
      <c r="K30" s="71">
        <v>0.45900000000000002</v>
      </c>
      <c r="L30" s="70">
        <f t="shared" si="5"/>
        <v>-2.2032E-2</v>
      </c>
      <c r="M30" s="70">
        <v>3.371833767737586</v>
      </c>
      <c r="N30" s="61">
        <v>-7.6487229749702445E-3</v>
      </c>
      <c r="O30" s="62">
        <f t="shared" si="1"/>
        <v>1.4383277025029756E-2</v>
      </c>
      <c r="P30" s="62">
        <f t="shared" si="6"/>
        <v>1.4383277025029755</v>
      </c>
      <c r="Q30" s="89">
        <v>41571</v>
      </c>
      <c r="R30" s="86">
        <v>-4.49E-5</v>
      </c>
      <c r="S30" s="90">
        <v>0.879</v>
      </c>
      <c r="T30" s="86">
        <f t="shared" si="7"/>
        <v>-6.4656000000000005E-2</v>
      </c>
      <c r="U30" s="107">
        <v>3.9363337677375876</v>
      </c>
      <c r="V30" s="108">
        <v>-9.2677295732636559E-3</v>
      </c>
      <c r="W30" s="94">
        <f t="shared" si="2"/>
        <v>5.5388270426736351E-2</v>
      </c>
      <c r="X30" s="94">
        <f t="shared" si="8"/>
        <v>5.5388270426736348</v>
      </c>
      <c r="Y30" s="142">
        <f t="shared" si="9"/>
        <v>41571</v>
      </c>
      <c r="Z30" s="138">
        <v>-1.7499999999999998E-5</v>
      </c>
      <c r="AA30" s="144">
        <v>0.501</v>
      </c>
      <c r="AB30" s="138">
        <f t="shared" si="10"/>
        <v>-2.5199999999999997E-2</v>
      </c>
      <c r="AC30" s="138">
        <v>3.1485337677375855</v>
      </c>
      <c r="AD30" s="138">
        <v>-2.4620933437251885E-2</v>
      </c>
      <c r="AE30" s="138">
        <f t="shared" si="11"/>
        <v>5.7906656274811161E-4</v>
      </c>
      <c r="AF30" s="138">
        <f t="shared" si="12"/>
        <v>5.7906656274811161E-2</v>
      </c>
      <c r="AG30" s="89">
        <v>41571</v>
      </c>
      <c r="AH30" s="180">
        <v>-1</v>
      </c>
      <c r="AI30" s="182">
        <v>0</v>
      </c>
    </row>
    <row r="31" spans="1:35">
      <c r="A31" s="4">
        <v>41572</v>
      </c>
      <c r="B31" s="50">
        <f>-0.0000342</f>
        <v>-3.4199999999999998E-5</v>
      </c>
      <c r="C31" s="50">
        <v>0.91700000000000004</v>
      </c>
      <c r="D31" s="49">
        <f t="shared" si="3"/>
        <v>-4.9248E-2</v>
      </c>
      <c r="E31" s="51">
        <v>2.9609229280280371</v>
      </c>
      <c r="F31" s="51">
        <v>-2.6059942238105857E-2</v>
      </c>
      <c r="G31" s="51">
        <f t="shared" si="0"/>
        <v>2.3188057761894143E-2</v>
      </c>
      <c r="H31" s="51">
        <f t="shared" si="4"/>
        <v>2.3188057761894143</v>
      </c>
      <c r="I31" s="69">
        <v>41572</v>
      </c>
      <c r="J31" s="70">
        <v>-1.7200000000000001E-5</v>
      </c>
      <c r="K31" s="71">
        <v>0.82199999999999995</v>
      </c>
      <c r="L31" s="70">
        <f t="shared" si="5"/>
        <v>-2.4768000000000002E-2</v>
      </c>
      <c r="M31" s="70">
        <v>3.3511229280280386</v>
      </c>
      <c r="N31" s="61">
        <v>-7.5872023986750334E-3</v>
      </c>
      <c r="O31" s="62">
        <f t="shared" si="1"/>
        <v>1.7180797601324967E-2</v>
      </c>
      <c r="P31" s="62">
        <f t="shared" si="6"/>
        <v>1.7180797601324966</v>
      </c>
      <c r="Q31" s="89">
        <v>41572</v>
      </c>
      <c r="R31" s="86">
        <v>-3.6600000000000002E-5</v>
      </c>
      <c r="S31" s="90">
        <v>0.97</v>
      </c>
      <c r="T31" s="86">
        <f t="shared" si="7"/>
        <v>-5.2704000000000001E-2</v>
      </c>
      <c r="U31" s="107">
        <v>3.8828229280280384</v>
      </c>
      <c r="V31" s="108">
        <v>-9.2715658550689729E-3</v>
      </c>
      <c r="W31" s="94">
        <f t="shared" si="2"/>
        <v>4.3432434144931031E-2</v>
      </c>
      <c r="X31" s="94">
        <f t="shared" si="8"/>
        <v>4.3432434144931031</v>
      </c>
      <c r="Y31" s="142">
        <f t="shared" si="9"/>
        <v>41572</v>
      </c>
      <c r="Z31" s="138">
        <v>-1.1600000000000001E-5</v>
      </c>
      <c r="AA31" s="144">
        <v>0.88500000000000001</v>
      </c>
      <c r="AB31" s="138">
        <f t="shared" si="10"/>
        <v>-1.6704E-2</v>
      </c>
      <c r="AC31" s="138">
        <v>3.1297229280280372</v>
      </c>
      <c r="AD31" s="138">
        <v>-2.4658539082898605E-2</v>
      </c>
      <c r="AE31" s="138">
        <f t="shared" si="11"/>
        <v>-7.9545390828986047E-3</v>
      </c>
      <c r="AF31" s="138">
        <f t="shared" si="12"/>
        <v>-0.79545390828986051</v>
      </c>
      <c r="AG31" s="89">
        <v>41572</v>
      </c>
      <c r="AH31" s="180">
        <v>-13</v>
      </c>
      <c r="AI31" s="182">
        <v>0</v>
      </c>
    </row>
    <row r="32" spans="1:35">
      <c r="A32" s="4">
        <v>41573</v>
      </c>
      <c r="B32" s="49">
        <v>-3.57E-5</v>
      </c>
      <c r="C32" s="50">
        <v>0.97299999999999998</v>
      </c>
      <c r="D32" s="49">
        <f t="shared" si="3"/>
        <v>-5.1408000000000002E-2</v>
      </c>
      <c r="E32" s="51">
        <v>2.9154341775812385</v>
      </c>
      <c r="F32" s="51">
        <v>-2.5922087661844628E-2</v>
      </c>
      <c r="G32" s="51">
        <f t="shared" si="0"/>
        <v>2.5485912338155375E-2</v>
      </c>
      <c r="H32" s="51">
        <f t="shared" si="4"/>
        <v>2.5485912338155376</v>
      </c>
      <c r="I32" s="69">
        <v>41573</v>
      </c>
      <c r="J32" s="70">
        <v>-2.1699999999999999E-5</v>
      </c>
      <c r="K32" s="71">
        <v>0.88</v>
      </c>
      <c r="L32" s="70">
        <f t="shared" si="5"/>
        <v>-3.1247999999999998E-2</v>
      </c>
      <c r="M32" s="70">
        <v>3.3322341775812401</v>
      </c>
      <c r="N32" s="61">
        <v>-7.5277549287981792E-3</v>
      </c>
      <c r="O32" s="62">
        <f t="shared" si="1"/>
        <v>2.372024507120182E-2</v>
      </c>
      <c r="P32" s="62">
        <f t="shared" si="6"/>
        <v>2.372024507120182</v>
      </c>
      <c r="Q32" s="89">
        <v>41573</v>
      </c>
      <c r="R32" s="86">
        <v>-4.1399999999999997E-5</v>
      </c>
      <c r="S32" s="90">
        <v>0.98699999999999999</v>
      </c>
      <c r="T32" s="86">
        <f t="shared" si="7"/>
        <v>-5.9615999999999995E-2</v>
      </c>
      <c r="U32" s="107">
        <v>3.8284341775812392</v>
      </c>
      <c r="V32" s="108">
        <v>-9.2730389326056064E-3</v>
      </c>
      <c r="W32" s="94">
        <f t="shared" si="2"/>
        <v>5.0342961067394387E-2</v>
      </c>
      <c r="X32" s="94">
        <f t="shared" si="8"/>
        <v>5.0342961067394389</v>
      </c>
      <c r="Y32" s="142">
        <f t="shared" si="9"/>
        <v>41573</v>
      </c>
      <c r="Z32" s="138">
        <v>-1.88E-5</v>
      </c>
      <c r="AA32" s="144">
        <v>0.85799999999999998</v>
      </c>
      <c r="AB32" s="138">
        <f t="shared" si="10"/>
        <v>-2.7071999999999999E-2</v>
      </c>
      <c r="AC32" s="138">
        <v>3.1196341775812395</v>
      </c>
      <c r="AD32" s="138">
        <v>-2.4676682919278534E-2</v>
      </c>
      <c r="AE32" s="138">
        <f t="shared" si="11"/>
        <v>2.3953170807214652E-3</v>
      </c>
      <c r="AF32" s="138">
        <f t="shared" si="12"/>
        <v>0.23953170807214652</v>
      </c>
      <c r="AG32" s="89">
        <v>41573</v>
      </c>
      <c r="AH32" s="180">
        <v>-1</v>
      </c>
      <c r="AI32" s="182">
        <v>0</v>
      </c>
    </row>
    <row r="33" spans="1:35">
      <c r="A33" s="4">
        <v>41574</v>
      </c>
      <c r="B33" s="49">
        <v>-2.37E-5</v>
      </c>
      <c r="C33" s="50">
        <v>0.95099999999999996</v>
      </c>
      <c r="D33" s="49">
        <f t="shared" si="3"/>
        <v>-3.4127999999999999E-2</v>
      </c>
      <c r="E33" s="52">
        <v>2.8776409376518033</v>
      </c>
      <c r="F33" s="52">
        <v>-2.5803374348860493E-2</v>
      </c>
      <c r="G33" s="51">
        <f t="shared" si="0"/>
        <v>8.3246256511395056E-3</v>
      </c>
      <c r="H33" s="51">
        <f t="shared" si="4"/>
        <v>0.83246256511395056</v>
      </c>
      <c r="I33" s="69">
        <v>41574</v>
      </c>
      <c r="J33" s="70">
        <v>-8.9400000000000008E-6</v>
      </c>
      <c r="K33" s="71">
        <v>0.57699999999999996</v>
      </c>
      <c r="L33" s="70">
        <f t="shared" si="5"/>
        <v>-1.2873600000000001E-2</v>
      </c>
      <c r="M33" s="70">
        <v>3.3132409376518037</v>
      </c>
      <c r="N33" s="61">
        <v>-7.4646399837250826E-3</v>
      </c>
      <c r="O33" s="62">
        <f t="shared" si="1"/>
        <v>5.408960016274918E-3</v>
      </c>
      <c r="P33" s="62">
        <f t="shared" si="6"/>
        <v>0.54089600162749185</v>
      </c>
      <c r="Q33" s="89">
        <v>41574</v>
      </c>
      <c r="R33" s="86">
        <v>3.3699999999999999E-5</v>
      </c>
      <c r="S33" s="90">
        <v>0.95199999999999996</v>
      </c>
      <c r="T33" s="86">
        <f t="shared" si="7"/>
        <v>4.8528000000000002E-2</v>
      </c>
      <c r="U33" s="107">
        <v>3.7887409376518049</v>
      </c>
      <c r="V33" s="108">
        <v>-9.2724554487408975E-3</v>
      </c>
      <c r="W33" s="94">
        <f t="shared" si="2"/>
        <v>-5.7800455448740899E-2</v>
      </c>
      <c r="X33" s="94">
        <f t="shared" si="8"/>
        <v>-5.7800455448740902</v>
      </c>
      <c r="Y33" s="142">
        <f t="shared" si="9"/>
        <v>41574</v>
      </c>
      <c r="Z33" s="138">
        <v>-1.7900000000000001E-5</v>
      </c>
      <c r="AA33" s="144">
        <v>0.82699999999999996</v>
      </c>
      <c r="AB33" s="138">
        <f t="shared" si="10"/>
        <v>-2.5776E-2</v>
      </c>
      <c r="AC33" s="138">
        <v>3.0979409376518041</v>
      </c>
      <c r="AD33" s="138">
        <v>-2.4710670363282398E-2</v>
      </c>
      <c r="AE33" s="138">
        <f t="shared" si="11"/>
        <v>1.0653296367176025E-3</v>
      </c>
      <c r="AF33" s="138">
        <f t="shared" si="12"/>
        <v>0.10653296367176025</v>
      </c>
      <c r="AG33" s="89">
        <v>41574</v>
      </c>
      <c r="AH33" s="180"/>
      <c r="AI33" s="182">
        <v>1</v>
      </c>
    </row>
    <row r="34" spans="1:35">
      <c r="A34" s="4">
        <v>41575</v>
      </c>
      <c r="B34" s="49">
        <v>-3.4900000000000001E-5</v>
      </c>
      <c r="C34" s="50">
        <v>0.86</v>
      </c>
      <c r="D34" s="49">
        <f t="shared" si="3"/>
        <v>-5.0256000000000002E-2</v>
      </c>
      <c r="E34" s="52">
        <v>2.8401098576753268</v>
      </c>
      <c r="F34" s="52">
        <v>-2.5681555130518573E-2</v>
      </c>
      <c r="G34" s="51">
        <f t="shared" si="0"/>
        <v>2.4574444869481429E-2</v>
      </c>
      <c r="H34" s="51">
        <f t="shared" si="4"/>
        <v>2.4574444869481429</v>
      </c>
      <c r="I34" s="69">
        <v>41575</v>
      </c>
      <c r="J34" s="70">
        <v>-8.9800000000000004E-6</v>
      </c>
      <c r="K34" s="71">
        <v>0.35</v>
      </c>
      <c r="L34" s="70">
        <f t="shared" si="5"/>
        <v>-1.29312E-2</v>
      </c>
      <c r="M34" s="70">
        <v>3.292209857675326</v>
      </c>
      <c r="N34" s="61">
        <v>-7.3906923378988815E-3</v>
      </c>
      <c r="O34" s="62">
        <f t="shared" si="1"/>
        <v>5.5405076621011188E-3</v>
      </c>
      <c r="P34" s="62">
        <f t="shared" si="6"/>
        <v>0.55405076621011184</v>
      </c>
      <c r="Q34" s="89">
        <v>41575</v>
      </c>
      <c r="R34" s="86">
        <v>-3.01E-5</v>
      </c>
      <c r="S34" s="90">
        <v>0.97399999999999998</v>
      </c>
      <c r="T34" s="86">
        <f t="shared" si="7"/>
        <v>-4.3344000000000001E-2</v>
      </c>
      <c r="U34" s="107">
        <v>3.7360098576753265</v>
      </c>
      <c r="V34" s="108">
        <v>-9.2693554622877497E-3</v>
      </c>
      <c r="W34" s="94">
        <f t="shared" si="2"/>
        <v>3.4074644537712251E-2</v>
      </c>
      <c r="X34" s="94">
        <f t="shared" si="8"/>
        <v>3.4074644537712251</v>
      </c>
      <c r="Y34" s="142">
        <f t="shared" si="9"/>
        <v>41575</v>
      </c>
      <c r="Z34" s="138">
        <v>-1.59E-5</v>
      </c>
      <c r="AA34" s="144">
        <v>0.56299999999999994</v>
      </c>
      <c r="AB34" s="138">
        <f t="shared" si="10"/>
        <v>-2.2896E-2</v>
      </c>
      <c r="AC34" s="138">
        <v>3.0740098576753261</v>
      </c>
      <c r="AD34" s="138">
        <v>-2.4739769928991819E-2</v>
      </c>
      <c r="AE34" s="138">
        <f t="shared" si="11"/>
        <v>-1.8437699289918195E-3</v>
      </c>
      <c r="AF34" s="138">
        <f t="shared" si="12"/>
        <v>-0.18437699289918197</v>
      </c>
      <c r="AG34" s="89">
        <v>41575</v>
      </c>
      <c r="AH34" s="180"/>
      <c r="AI34" s="182">
        <v>2</v>
      </c>
    </row>
    <row r="35" spans="1:35">
      <c r="A35" s="4">
        <v>41576</v>
      </c>
      <c r="B35" s="49">
        <v>-2.3499999999999999E-5</v>
      </c>
      <c r="C35" s="50">
        <v>0.83799999999999997</v>
      </c>
      <c r="D35" s="49">
        <f t="shared" si="3"/>
        <v>-3.3839999999999995E-2</v>
      </c>
      <c r="E35" s="52">
        <v>2.7989624191981517</v>
      </c>
      <c r="F35" s="52">
        <v>-2.5543293148680327E-2</v>
      </c>
      <c r="G35" s="51">
        <f t="shared" si="0"/>
        <v>8.2967068513196685E-3</v>
      </c>
      <c r="H35" s="51">
        <f t="shared" si="4"/>
        <v>0.82967068513196685</v>
      </c>
      <c r="I35" s="69">
        <v>41576</v>
      </c>
      <c r="J35" s="70">
        <v>-1.1199999999999999E-5</v>
      </c>
      <c r="K35" s="71">
        <v>0.47299999999999998</v>
      </c>
      <c r="L35" s="70">
        <f t="shared" si="5"/>
        <v>-1.6128E-2</v>
      </c>
      <c r="M35" s="70">
        <v>3.2727624191981519</v>
      </c>
      <c r="N35" s="61">
        <v>-7.3183627889845419E-3</v>
      </c>
      <c r="O35" s="62">
        <f t="shared" si="1"/>
        <v>8.8096372110154572E-3</v>
      </c>
      <c r="P35" s="62">
        <f t="shared" si="6"/>
        <v>0.88096372110154575</v>
      </c>
      <c r="Q35" s="89">
        <v>41576</v>
      </c>
      <c r="R35" s="86">
        <v>-2.8399999999999999E-5</v>
      </c>
      <c r="S35" s="90">
        <v>0.97199999999999998</v>
      </c>
      <c r="T35" s="86">
        <f t="shared" si="7"/>
        <v>-4.0896000000000002E-2</v>
      </c>
      <c r="U35" s="107">
        <v>3.6890624191981507</v>
      </c>
      <c r="V35" s="108">
        <v>-9.2642060103326294E-3</v>
      </c>
      <c r="W35" s="94">
        <f t="shared" si="2"/>
        <v>3.1631793989667374E-2</v>
      </c>
      <c r="X35" s="94">
        <f t="shared" si="8"/>
        <v>3.1631793989667374</v>
      </c>
      <c r="Y35" s="142">
        <f t="shared" si="9"/>
        <v>41576</v>
      </c>
      <c r="Z35" s="138">
        <v>-1.3900000000000001E-5</v>
      </c>
      <c r="AA35" s="144">
        <v>0.56899999999999995</v>
      </c>
      <c r="AB35" s="138">
        <f t="shared" si="10"/>
        <v>-2.0016000000000003E-2</v>
      </c>
      <c r="AC35" s="138">
        <v>3.0483624191981504</v>
      </c>
      <c r="AD35" s="138">
        <v>-2.4760498987802308E-2</v>
      </c>
      <c r="AE35" s="138">
        <f t="shared" si="11"/>
        <v>-4.744498987802305E-3</v>
      </c>
      <c r="AF35" s="138">
        <f t="shared" si="12"/>
        <v>-0.47444989878023047</v>
      </c>
      <c r="AG35" s="89">
        <v>41576</v>
      </c>
      <c r="AH35" s="180"/>
      <c r="AI35" s="182">
        <v>3</v>
      </c>
    </row>
    <row r="36" spans="1:35">
      <c r="A36" s="4">
        <v>41577</v>
      </c>
      <c r="B36" s="49">
        <v>-1.77E-5</v>
      </c>
      <c r="C36" s="50">
        <v>0.63300000000000001</v>
      </c>
      <c r="D36" s="49">
        <f t="shared" si="3"/>
        <v>-2.5488E-2</v>
      </c>
      <c r="E36" s="52">
        <v>2.7607329762465871</v>
      </c>
      <c r="F36" s="52">
        <v>-2.5410222095426729E-2</v>
      </c>
      <c r="G36" s="51">
        <f t="shared" si="0"/>
        <v>7.777790457327155E-5</v>
      </c>
      <c r="H36" s="51">
        <f t="shared" si="4"/>
        <v>7.777790457327155E-3</v>
      </c>
      <c r="I36" s="69">
        <v>41577</v>
      </c>
      <c r="J36" s="70">
        <v>-9.1200000000000008E-6</v>
      </c>
      <c r="K36" s="71">
        <v>0.34100000000000003</v>
      </c>
      <c r="L36" s="70">
        <f t="shared" si="5"/>
        <v>-1.3132800000000002E-2</v>
      </c>
      <c r="M36" s="70">
        <v>3.2534329762465877</v>
      </c>
      <c r="N36" s="61">
        <v>-7.2425588714509328E-3</v>
      </c>
      <c r="O36" s="62">
        <f t="shared" si="1"/>
        <v>5.890241128549069E-3</v>
      </c>
      <c r="P36" s="62">
        <f t="shared" si="6"/>
        <v>0.58902411285490686</v>
      </c>
      <c r="Q36" s="89">
        <v>41577</v>
      </c>
      <c r="R36" s="86">
        <v>-3.2700000000000002E-5</v>
      </c>
      <c r="S36" s="90">
        <v>0.90800000000000003</v>
      </c>
      <c r="T36" s="86">
        <f t="shared" si="7"/>
        <v>-4.7088000000000005E-2</v>
      </c>
      <c r="U36" s="107">
        <v>3.661432976246588</v>
      </c>
      <c r="V36" s="108">
        <v>-9.260056019690403E-3</v>
      </c>
      <c r="W36" s="94">
        <f t="shared" si="2"/>
        <v>3.78279439803096E-2</v>
      </c>
      <c r="X36" s="94">
        <f t="shared" si="8"/>
        <v>3.7827943980309602</v>
      </c>
      <c r="Y36" s="142">
        <f t="shared" si="9"/>
        <v>41577</v>
      </c>
      <c r="Z36" s="138">
        <v>-7.7000000000000008E-6</v>
      </c>
      <c r="AA36" s="144">
        <v>0.27500000000000002</v>
      </c>
      <c r="AB36" s="138">
        <f t="shared" si="10"/>
        <v>-1.1088000000000001E-2</v>
      </c>
      <c r="AC36" s="138">
        <v>3.0304329762465883</v>
      </c>
      <c r="AD36" s="138">
        <v>-2.4768144254648863E-2</v>
      </c>
      <c r="AE36" s="138">
        <f t="shared" si="11"/>
        <v>-1.3680144254648863E-2</v>
      </c>
      <c r="AF36" s="138">
        <f t="shared" si="12"/>
        <v>-1.3680144254648863</v>
      </c>
      <c r="AG36" s="89">
        <v>41577</v>
      </c>
      <c r="AH36" s="180"/>
      <c r="AI36" s="182">
        <v>4</v>
      </c>
    </row>
    <row r="37" spans="1:35">
      <c r="A37" s="4">
        <v>41578</v>
      </c>
      <c r="B37" s="49">
        <v>-2.0400000000000001E-5</v>
      </c>
      <c r="C37" s="50">
        <v>0.754</v>
      </c>
      <c r="D37" s="49">
        <f t="shared" si="3"/>
        <v>-2.9376000000000003E-2</v>
      </c>
      <c r="E37" s="52">
        <v>2.7228466778126248</v>
      </c>
      <c r="F37" s="52">
        <v>-2.5273754508861011E-2</v>
      </c>
      <c r="G37" s="51">
        <f t="shared" si="0"/>
        <v>4.1022454911389915E-3</v>
      </c>
      <c r="H37" s="51">
        <f t="shared" si="4"/>
        <v>0.41022454911389916</v>
      </c>
      <c r="I37" s="69">
        <v>41578</v>
      </c>
      <c r="J37" s="70">
        <v>-1.13E-5</v>
      </c>
      <c r="K37" s="71">
        <v>0.46600000000000003</v>
      </c>
      <c r="L37" s="70">
        <f t="shared" si="5"/>
        <v>-1.6272000000000002E-2</v>
      </c>
      <c r="M37" s="70">
        <v>3.2334466778126245</v>
      </c>
      <c r="N37" s="61">
        <v>-7.1599132223482609E-3</v>
      </c>
      <c r="O37" s="62">
        <f t="shared" si="1"/>
        <v>9.11208677765174E-3</v>
      </c>
      <c r="P37" s="62">
        <f t="shared" si="6"/>
        <v>0.911208677765174</v>
      </c>
      <c r="Q37" s="89">
        <v>41578</v>
      </c>
      <c r="R37" s="86">
        <v>-3.2700000000000002E-5</v>
      </c>
      <c r="S37" s="90">
        <v>0.94299999999999995</v>
      </c>
      <c r="T37" s="86">
        <f t="shared" si="7"/>
        <v>-4.7088000000000005E-2</v>
      </c>
      <c r="U37" s="107">
        <v>3.616246677812625</v>
      </c>
      <c r="V37" s="108">
        <v>-9.2513734284287597E-3</v>
      </c>
      <c r="W37" s="94">
        <f t="shared" si="2"/>
        <v>3.7836626571571247E-2</v>
      </c>
      <c r="X37" s="94">
        <f t="shared" si="8"/>
        <v>3.7836626571571248</v>
      </c>
      <c r="Y37" s="142">
        <f t="shared" si="9"/>
        <v>41578</v>
      </c>
      <c r="Z37" s="138">
        <v>-1.0000000000000001E-5</v>
      </c>
      <c r="AA37" s="144">
        <v>0.56299999999999994</v>
      </c>
      <c r="AB37" s="138">
        <f t="shared" si="10"/>
        <v>-1.4400000000000001E-2</v>
      </c>
      <c r="AC37" s="138">
        <v>3.0117466778126238</v>
      </c>
      <c r="AD37" s="138">
        <v>-2.4769758377861033E-2</v>
      </c>
      <c r="AE37" s="138">
        <f t="shared" si="11"/>
        <v>-1.0369758377861032E-2</v>
      </c>
      <c r="AF37" s="138">
        <f t="shared" si="12"/>
        <v>-1.0369758377861031</v>
      </c>
      <c r="AG37" s="89">
        <v>41578</v>
      </c>
      <c r="AH37" s="180"/>
      <c r="AI37" s="182">
        <v>5</v>
      </c>
    </row>
    <row r="38" spans="1:35">
      <c r="A38" s="4">
        <v>41579</v>
      </c>
      <c r="B38" s="49">
        <v>-1.88E-5</v>
      </c>
      <c r="C38" s="50">
        <v>-0.85699999999999998</v>
      </c>
      <c r="D38" s="49">
        <f t="shared" si="3"/>
        <v>-2.7071999999999999E-2</v>
      </c>
      <c r="E38" s="52">
        <v>2.6960524038752909</v>
      </c>
      <c r="F38" s="52">
        <v>-2.5174366754685495E-2</v>
      </c>
      <c r="G38" s="51">
        <f t="shared" si="0"/>
        <v>1.8976332453145041E-3</v>
      </c>
      <c r="H38" s="51">
        <f t="shared" si="4"/>
        <v>0.18976332453145039</v>
      </c>
      <c r="I38" s="69">
        <v>41579</v>
      </c>
      <c r="J38" s="70">
        <v>-8.8899999999999996E-6</v>
      </c>
      <c r="K38" s="71">
        <v>0.39100000000000001</v>
      </c>
      <c r="L38" s="70">
        <f t="shared" si="5"/>
        <v>-1.28016E-2</v>
      </c>
      <c r="M38" s="70">
        <v>3.2137524038752918</v>
      </c>
      <c r="N38" s="61">
        <v>-7.0740627091247805E-3</v>
      </c>
      <c r="O38" s="62">
        <f t="shared" si="1"/>
        <v>5.7275372908752193E-3</v>
      </c>
      <c r="P38" s="62">
        <f t="shared" si="6"/>
        <v>0.57275372908752198</v>
      </c>
      <c r="Q38" s="89">
        <v>41579</v>
      </c>
      <c r="R38" s="86">
        <v>-3.9199999999999997E-5</v>
      </c>
      <c r="S38" s="90">
        <v>0.98399999999999999</v>
      </c>
      <c r="T38" s="86">
        <f t="shared" si="7"/>
        <v>-5.6447999999999998E-2</v>
      </c>
      <c r="U38" s="107">
        <v>3.5651524038752909</v>
      </c>
      <c r="V38" s="108">
        <v>-9.2385431624697721E-3</v>
      </c>
      <c r="W38" s="94">
        <f t="shared" si="2"/>
        <v>4.7209456837530223E-2</v>
      </c>
      <c r="X38" s="94">
        <f t="shared" si="8"/>
        <v>4.7209456837530226</v>
      </c>
      <c r="Y38" s="142">
        <f t="shared" si="9"/>
        <v>41579</v>
      </c>
      <c r="Z38" s="138">
        <v>-6.9999999999999999E-6</v>
      </c>
      <c r="AA38" s="144">
        <v>0.29199999999999998</v>
      </c>
      <c r="AB38" s="138">
        <f t="shared" si="10"/>
        <v>-1.008E-2</v>
      </c>
      <c r="AC38" s="138">
        <v>2.9937524038752907</v>
      </c>
      <c r="AD38" s="138">
        <v>-2.4764863639916125E-2</v>
      </c>
      <c r="AE38" s="138">
        <f t="shared" si="11"/>
        <v>-1.4684863639916125E-2</v>
      </c>
      <c r="AF38" s="138">
        <f t="shared" si="12"/>
        <v>-1.4684863639916124</v>
      </c>
      <c r="AG38" s="89">
        <v>41579</v>
      </c>
      <c r="AH38" s="180"/>
      <c r="AI38" s="182">
        <v>6</v>
      </c>
    </row>
    <row r="39" spans="1:35">
      <c r="A39" s="4">
        <v>41580</v>
      </c>
      <c r="B39" s="49">
        <v>-2.7100000000000001E-5</v>
      </c>
      <c r="C39" s="50">
        <v>0.94</v>
      </c>
      <c r="D39" s="49">
        <f t="shared" si="3"/>
        <v>-3.9024000000000003E-2</v>
      </c>
      <c r="E39" s="52">
        <v>2.6588710094669961</v>
      </c>
      <c r="F39" s="52">
        <v>-2.5032340752204608E-2</v>
      </c>
      <c r="G39" s="51">
        <f t="shared" si="0"/>
        <v>1.3991659247795395E-2</v>
      </c>
      <c r="H39" s="51">
        <f t="shared" si="4"/>
        <v>1.3991659247795396</v>
      </c>
      <c r="I39" s="69">
        <v>41580</v>
      </c>
      <c r="J39" s="70">
        <v>-8.7199999999999995E-6</v>
      </c>
      <c r="K39" s="71">
        <v>0.59899999999999998</v>
      </c>
      <c r="L39" s="70">
        <f t="shared" si="5"/>
        <v>-1.25568E-2</v>
      </c>
      <c r="M39" s="70">
        <v>3.1945710094669977</v>
      </c>
      <c r="N39" s="61">
        <v>-6.9860689636154268E-3</v>
      </c>
      <c r="O39" s="62">
        <f t="shared" si="1"/>
        <v>5.5707310363845731E-3</v>
      </c>
      <c r="P39" s="62">
        <f t="shared" si="6"/>
        <v>0.5570731036384573</v>
      </c>
      <c r="Q39" s="89">
        <v>41580</v>
      </c>
      <c r="R39" s="86">
        <v>-2.3099999999999999E-5</v>
      </c>
      <c r="S39" s="90">
        <v>0.97</v>
      </c>
      <c r="T39" s="86">
        <f t="shared" si="7"/>
        <v>-3.3264000000000002E-2</v>
      </c>
      <c r="U39" s="107">
        <v>3.5144710094669973</v>
      </c>
      <c r="V39" s="108">
        <v>-9.2224204962452414E-3</v>
      </c>
      <c r="W39" s="94">
        <f t="shared" si="2"/>
        <v>2.4041579503754761E-2</v>
      </c>
      <c r="X39" s="94">
        <f t="shared" si="8"/>
        <v>2.4041579503754762</v>
      </c>
      <c r="Y39" s="142">
        <f t="shared" si="9"/>
        <v>41580</v>
      </c>
      <c r="Z39" s="138">
        <v>-1.0000000000000001E-5</v>
      </c>
      <c r="AA39" s="144">
        <v>0.57099999999999995</v>
      </c>
      <c r="AB39" s="138">
        <f t="shared" si="10"/>
        <v>-1.4400000000000001E-2</v>
      </c>
      <c r="AC39" s="138">
        <v>2.9733710094669976</v>
      </c>
      <c r="AD39" s="138">
        <v>-2.475126182484727E-2</v>
      </c>
      <c r="AE39" s="138">
        <f t="shared" si="11"/>
        <v>-1.0351261824847269E-2</v>
      </c>
      <c r="AF39" s="138">
        <f t="shared" si="12"/>
        <v>-1.0351261824847269</v>
      </c>
      <c r="AG39" s="89">
        <v>41580</v>
      </c>
      <c r="AH39" s="180">
        <v>-6</v>
      </c>
      <c r="AI39" s="182">
        <v>0</v>
      </c>
    </row>
    <row r="40" spans="1:35">
      <c r="A40" s="4">
        <v>41581</v>
      </c>
      <c r="B40" s="49">
        <v>-2.6999999999999999E-5</v>
      </c>
      <c r="C40" s="50">
        <v>0.80900000000000005</v>
      </c>
      <c r="D40" s="49">
        <f t="shared" si="3"/>
        <v>-3.8879999999999998E-2</v>
      </c>
      <c r="E40" s="52">
        <v>2.6246802121516297</v>
      </c>
      <c r="F40" s="52">
        <v>-2.4897350734901423E-2</v>
      </c>
      <c r="G40" s="51">
        <f t="shared" si="0"/>
        <v>1.3982649265098575E-2</v>
      </c>
      <c r="H40" s="51">
        <f t="shared" si="4"/>
        <v>1.3982649265098575</v>
      </c>
      <c r="I40" s="69">
        <v>41581</v>
      </c>
      <c r="J40" s="70">
        <v>-1.66E-5</v>
      </c>
      <c r="K40" s="71">
        <v>0.628</v>
      </c>
      <c r="L40" s="70">
        <f t="shared" si="5"/>
        <v>-2.3904000000000002E-2</v>
      </c>
      <c r="M40" s="70">
        <v>3.1776802121516301</v>
      </c>
      <c r="N40" s="61">
        <v>-6.9048693851587054E-3</v>
      </c>
      <c r="O40" s="62">
        <f t="shared" si="1"/>
        <v>1.6999130614841297E-2</v>
      </c>
      <c r="P40" s="62">
        <f t="shared" si="6"/>
        <v>1.6999130614841298</v>
      </c>
      <c r="Q40" s="89">
        <v>41581</v>
      </c>
      <c r="R40" s="86">
        <v>-2.5999999999999998E-5</v>
      </c>
      <c r="S40" s="90">
        <v>0.95199999999999996</v>
      </c>
      <c r="T40" s="86">
        <f t="shared" si="7"/>
        <v>-3.7440000000000001E-2</v>
      </c>
      <c r="U40" s="107">
        <v>3.4816802121516313</v>
      </c>
      <c r="V40" s="108">
        <v>-9.2100633006795777E-3</v>
      </c>
      <c r="W40" s="94">
        <f t="shared" si="2"/>
        <v>2.8229936699320425E-2</v>
      </c>
      <c r="X40" s="94">
        <f t="shared" si="8"/>
        <v>2.8229936699320426</v>
      </c>
      <c r="Y40" s="142">
        <f t="shared" si="9"/>
        <v>41581</v>
      </c>
      <c r="Z40" s="138">
        <v>-1.0000000000000001E-5</v>
      </c>
      <c r="AA40" s="144">
        <v>0.48199999999999998</v>
      </c>
      <c r="AB40" s="138">
        <f t="shared" si="10"/>
        <v>-1.4400000000000001E-2</v>
      </c>
      <c r="AC40" s="138">
        <v>2.9555802121516304</v>
      </c>
      <c r="AD40" s="138">
        <v>-2.4732019764012535E-2</v>
      </c>
      <c r="AE40" s="138">
        <f t="shared" si="11"/>
        <v>-1.0332019764012533E-2</v>
      </c>
      <c r="AF40" s="138">
        <f t="shared" si="12"/>
        <v>-1.0332019764012534</v>
      </c>
      <c r="AG40" s="89">
        <v>41581</v>
      </c>
      <c r="AH40" s="180">
        <v>0</v>
      </c>
      <c r="AI40" s="182">
        <v>1</v>
      </c>
    </row>
    <row r="41" spans="1:35">
      <c r="A41" s="4">
        <v>41582</v>
      </c>
      <c r="B41" s="49">
        <v>-2.7800000000000001E-5</v>
      </c>
      <c r="C41" s="50">
        <v>0.85399999999999998</v>
      </c>
      <c r="D41" s="49">
        <f t="shared" si="3"/>
        <v>-4.0032000000000005E-2</v>
      </c>
      <c r="E41" s="52">
        <v>2.5902771477230098</v>
      </c>
      <c r="F41" s="52">
        <v>-2.4757091103142115E-2</v>
      </c>
      <c r="G41" s="51">
        <f t="shared" si="0"/>
        <v>1.527490889685789E-2</v>
      </c>
      <c r="H41" s="51">
        <f t="shared" si="4"/>
        <v>1.5274908896857891</v>
      </c>
      <c r="I41" s="69">
        <v>41582</v>
      </c>
      <c r="J41" s="70">
        <v>-1.5400000000000002E-5</v>
      </c>
      <c r="K41" s="71">
        <v>0.47799999999999998</v>
      </c>
      <c r="L41" s="70">
        <f t="shared" si="5"/>
        <v>-2.2176000000000001E-2</v>
      </c>
      <c r="M41" s="70">
        <v>3.1596771477230092</v>
      </c>
      <c r="N41" s="61">
        <v>-6.8143523884425482E-3</v>
      </c>
      <c r="O41" s="62">
        <f t="shared" si="1"/>
        <v>1.5361647611557453E-2</v>
      </c>
      <c r="P41" s="62">
        <f t="shared" si="6"/>
        <v>1.5361647611557454</v>
      </c>
      <c r="Q41" s="89">
        <v>41582</v>
      </c>
      <c r="R41" s="86">
        <v>-2.3900000000000002E-5</v>
      </c>
      <c r="S41" s="90">
        <v>0.98599999999999999</v>
      </c>
      <c r="T41" s="86">
        <f t="shared" si="7"/>
        <v>-3.4416000000000002E-2</v>
      </c>
      <c r="U41" s="107">
        <v>3.4474771477230091</v>
      </c>
      <c r="V41" s="108">
        <v>-9.1954648392301077E-3</v>
      </c>
      <c r="W41" s="94">
        <f t="shared" si="2"/>
        <v>2.5220535160769893E-2</v>
      </c>
      <c r="X41" s="94">
        <f t="shared" si="8"/>
        <v>2.5220535160769892</v>
      </c>
      <c r="Y41" s="142">
        <f t="shared" si="9"/>
        <v>41582</v>
      </c>
      <c r="Z41" s="138">
        <v>-2.0000000000000002E-5</v>
      </c>
      <c r="AA41" s="144">
        <v>0.42699999999999999</v>
      </c>
      <c r="AB41" s="138">
        <f t="shared" si="10"/>
        <v>-2.8800000000000003E-2</v>
      </c>
      <c r="AC41" s="138">
        <v>2.9368771477230093</v>
      </c>
      <c r="AD41" s="138">
        <v>-2.4703986193876204E-2</v>
      </c>
      <c r="AE41" s="138">
        <f t="shared" si="11"/>
        <v>4.0960138061237987E-3</v>
      </c>
      <c r="AF41" s="138">
        <f t="shared" si="12"/>
        <v>0.40960138061237988</v>
      </c>
      <c r="AG41" s="89">
        <v>41582</v>
      </c>
      <c r="AH41" s="180">
        <v>-6</v>
      </c>
      <c r="AI41" s="182">
        <v>0</v>
      </c>
    </row>
    <row r="42" spans="1:35">
      <c r="A42" s="4">
        <v>41583</v>
      </c>
      <c r="B42" s="49">
        <v>-2.0000000000000002E-5</v>
      </c>
      <c r="C42" s="50">
        <v>0.68</v>
      </c>
      <c r="D42" s="49">
        <f t="shared" si="3"/>
        <v>-2.8800000000000003E-2</v>
      </c>
      <c r="E42" s="52">
        <v>2.6102194843017643</v>
      </c>
      <c r="F42" s="52">
        <v>-2.4838947566768011E-2</v>
      </c>
      <c r="G42" s="51">
        <f t="shared" si="0"/>
        <v>3.9610524332319916E-3</v>
      </c>
      <c r="H42" s="51">
        <f t="shared" si="4"/>
        <v>0.39610524332319919</v>
      </c>
      <c r="I42" s="69">
        <v>41583</v>
      </c>
      <c r="J42" s="70">
        <v>-8.0099999999999995E-6</v>
      </c>
      <c r="K42" s="71">
        <v>0.312</v>
      </c>
      <c r="L42" s="70">
        <f t="shared" si="5"/>
        <v>-1.15344E-2</v>
      </c>
      <c r="M42" s="70">
        <v>3.1680194843017642</v>
      </c>
      <c r="N42" s="61">
        <v>-6.8568150311010692E-3</v>
      </c>
      <c r="O42" s="62">
        <f t="shared" si="1"/>
        <v>4.677584968898931E-3</v>
      </c>
      <c r="P42" s="62">
        <f t="shared" si="6"/>
        <v>0.46775849688989307</v>
      </c>
      <c r="Q42" s="89">
        <v>41583</v>
      </c>
      <c r="R42" s="86">
        <v>-2.3E-5</v>
      </c>
      <c r="S42" s="90">
        <v>0.98599999999999999</v>
      </c>
      <c r="T42" s="86">
        <f t="shared" si="7"/>
        <v>-3.3119999999999997E-2</v>
      </c>
      <c r="U42" s="107">
        <v>3.4445194843017637</v>
      </c>
      <c r="V42" s="108">
        <v>-9.1941175854233451E-3</v>
      </c>
      <c r="W42" s="94">
        <f t="shared" si="2"/>
        <v>2.3925882414576653E-2</v>
      </c>
      <c r="X42" s="94">
        <f t="shared" si="8"/>
        <v>2.3925882414576654</v>
      </c>
      <c r="Y42" s="142">
        <f t="shared" si="9"/>
        <v>41583</v>
      </c>
      <c r="Z42" s="138">
        <v>-3.0000000000000001E-6</v>
      </c>
      <c r="AA42" s="144">
        <v>5.0999999999999997E-2</v>
      </c>
      <c r="AB42" s="138">
        <f t="shared" si="10"/>
        <v>-4.3200000000000001E-3</v>
      </c>
      <c r="AC42" s="138">
        <v>2.9495194843017631</v>
      </c>
      <c r="AD42" s="138">
        <v>-2.4723830948889264E-2</v>
      </c>
      <c r="AE42" s="138">
        <f t="shared" si="11"/>
        <v>-2.0403830948889264E-2</v>
      </c>
      <c r="AF42" s="138">
        <f t="shared" si="12"/>
        <v>-2.0403830948889263</v>
      </c>
      <c r="AG42" s="89">
        <v>41583</v>
      </c>
      <c r="AH42" s="180">
        <v>-13</v>
      </c>
      <c r="AI42" s="182">
        <v>0</v>
      </c>
    </row>
    <row r="43" spans="1:35">
      <c r="A43" s="4">
        <v>41584</v>
      </c>
      <c r="B43" s="49">
        <v>-1.77E-5</v>
      </c>
      <c r="C43" s="50">
        <v>0.74399999999999999</v>
      </c>
      <c r="D43" s="49">
        <f t="shared" si="3"/>
        <v>-2.5488E-2</v>
      </c>
      <c r="E43" s="52">
        <v>2.6013288895585291</v>
      </c>
      <c r="F43" s="52">
        <v>-2.4802644808794475E-2</v>
      </c>
      <c r="G43" s="51">
        <f t="shared" si="0"/>
        <v>6.8535519120552571E-4</v>
      </c>
      <c r="H43" s="51">
        <f t="shared" si="4"/>
        <v>6.8535519120552571E-2</v>
      </c>
      <c r="I43" s="69">
        <v>41584</v>
      </c>
      <c r="J43" s="70">
        <v>-4.9799999999999998E-6</v>
      </c>
      <c r="K43" s="71">
        <v>0.151</v>
      </c>
      <c r="L43" s="70">
        <f t="shared" si="5"/>
        <v>-7.1712E-3</v>
      </c>
      <c r="M43" s="70">
        <v>3.1691288895585306</v>
      </c>
      <c r="N43" s="61">
        <v>-6.8623940763702061E-3</v>
      </c>
      <c r="O43" s="62">
        <f t="shared" si="1"/>
        <v>3.0880592362979385E-4</v>
      </c>
      <c r="P43" s="62">
        <f t="shared" si="6"/>
        <v>3.0880592362979385E-2</v>
      </c>
      <c r="Q43" s="89">
        <v>41584</v>
      </c>
      <c r="R43" s="86">
        <v>-2.27E-5</v>
      </c>
      <c r="S43" s="90">
        <v>0.98399999999999999</v>
      </c>
      <c r="T43" s="86">
        <f t="shared" si="7"/>
        <v>-3.2688000000000002E-2</v>
      </c>
      <c r="U43" s="107">
        <v>3.42052888955853</v>
      </c>
      <c r="V43" s="108">
        <v>-9.1826748716674744E-3</v>
      </c>
      <c r="W43" s="94">
        <f t="shared" si="2"/>
        <v>2.3505325128332526E-2</v>
      </c>
      <c r="X43" s="94">
        <f t="shared" si="8"/>
        <v>2.3505325128332526</v>
      </c>
      <c r="Y43" s="142">
        <f t="shared" si="9"/>
        <v>41584</v>
      </c>
      <c r="Z43" s="138">
        <v>-6.2600000000000002E-6</v>
      </c>
      <c r="AA43" s="144">
        <v>0.246</v>
      </c>
      <c r="AB43" s="138">
        <f t="shared" si="10"/>
        <v>-9.0144000000000005E-3</v>
      </c>
      <c r="AC43" s="138">
        <v>2.9404288895585302</v>
      </c>
      <c r="AD43" s="138">
        <v>-2.4709944001749744E-2</v>
      </c>
      <c r="AE43" s="138">
        <f t="shared" si="11"/>
        <v>-1.5695544001749745E-2</v>
      </c>
      <c r="AF43" s="138">
        <f t="shared" si="12"/>
        <v>-1.5695544001749746</v>
      </c>
      <c r="AG43" s="89">
        <v>41584</v>
      </c>
      <c r="AH43" s="180">
        <v>-7</v>
      </c>
      <c r="AI43" s="182">
        <v>0</v>
      </c>
    </row>
    <row r="44" spans="1:35">
      <c r="A44" s="4">
        <v>41585</v>
      </c>
      <c r="B44" s="49">
        <v>-1.8870000000000001E-5</v>
      </c>
      <c r="C44" s="50">
        <v>0.81899999999999995</v>
      </c>
      <c r="D44" s="49">
        <f t="shared" si="3"/>
        <v>-2.71728E-2</v>
      </c>
      <c r="E44" s="52">
        <v>2.56585301864077</v>
      </c>
      <c r="F44" s="52">
        <v>-2.4654710539942188E-2</v>
      </c>
      <c r="G44" s="51">
        <f t="shared" si="0"/>
        <v>2.5180894600578124E-3</v>
      </c>
      <c r="H44" s="51">
        <f t="shared" si="4"/>
        <v>0.25180894600578124</v>
      </c>
      <c r="I44" s="69">
        <v>41585</v>
      </c>
      <c r="J44" s="72">
        <v>-1.0000000000000001E-5</v>
      </c>
      <c r="K44" s="68">
        <v>0.56100000000000005</v>
      </c>
      <c r="L44" s="70">
        <f t="shared" si="5"/>
        <v>-1.4400000000000001E-2</v>
      </c>
      <c r="M44" s="70">
        <v>3.1474530186407694</v>
      </c>
      <c r="N44" s="61">
        <v>-6.7504807207950631E-3</v>
      </c>
      <c r="O44" s="62">
        <f t="shared" si="1"/>
        <v>7.6495192792049383E-3</v>
      </c>
      <c r="P44" s="62">
        <f t="shared" si="6"/>
        <v>0.76495192792049382</v>
      </c>
      <c r="Q44" s="89">
        <v>41585</v>
      </c>
      <c r="R44" s="86">
        <v>-2.3099999999999999E-5</v>
      </c>
      <c r="S44" s="90">
        <v>0.99</v>
      </c>
      <c r="T44" s="86">
        <f t="shared" si="7"/>
        <v>-3.3264000000000002E-2</v>
      </c>
      <c r="U44" s="107">
        <v>3.3864530186407693</v>
      </c>
      <c r="V44" s="108">
        <v>-9.1647975277614514E-3</v>
      </c>
      <c r="W44" s="94">
        <f t="shared" si="2"/>
        <v>2.409920247223855E-2</v>
      </c>
      <c r="X44" s="94">
        <f t="shared" si="8"/>
        <v>2.4099202472238552</v>
      </c>
      <c r="Y44" s="142">
        <f t="shared" si="9"/>
        <v>41585</v>
      </c>
      <c r="Z44" s="138">
        <v>-6.9999999999999999E-6</v>
      </c>
      <c r="AA44" s="144">
        <v>0.25800000000000001</v>
      </c>
      <c r="AB44" s="138">
        <f t="shared" si="10"/>
        <v>-1.008E-2</v>
      </c>
      <c r="AC44" s="138">
        <v>2.9189530186407686</v>
      </c>
      <c r="AD44" s="138">
        <v>-2.4669227979861891E-2</v>
      </c>
      <c r="AE44" s="138">
        <f t="shared" si="11"/>
        <v>-1.4589227979861891E-2</v>
      </c>
      <c r="AF44" s="138">
        <f t="shared" si="12"/>
        <v>-1.4589227979861892</v>
      </c>
      <c r="AG44" s="89">
        <v>41585</v>
      </c>
      <c r="AH44" s="180"/>
      <c r="AI44" s="182">
        <v>1</v>
      </c>
    </row>
    <row r="45" spans="1:35">
      <c r="A45" s="4">
        <v>41586</v>
      </c>
      <c r="B45" s="49">
        <v>-2.429E-5</v>
      </c>
      <c r="C45" s="50">
        <v>0.94299999999999995</v>
      </c>
      <c r="D45" s="49">
        <f t="shared" si="3"/>
        <v>-3.4977599999999998E-2</v>
      </c>
      <c r="E45" s="52">
        <v>2.531948719981806</v>
      </c>
      <c r="F45" s="52">
        <v>-2.4508577373704016E-2</v>
      </c>
      <c r="G45" s="51">
        <f t="shared" si="0"/>
        <v>1.0469022626295982E-2</v>
      </c>
      <c r="H45" s="51">
        <f t="shared" si="4"/>
        <v>1.0469022626295983</v>
      </c>
      <c r="I45" s="69">
        <v>41586</v>
      </c>
      <c r="J45" s="72">
        <v>-1.0000000000000001E-5</v>
      </c>
      <c r="K45" s="68">
        <v>0.71899999999999997</v>
      </c>
      <c r="L45" s="70">
        <f t="shared" si="5"/>
        <v>-1.4400000000000001E-2</v>
      </c>
      <c r="M45" s="70">
        <v>3.1306487199818065</v>
      </c>
      <c r="N45" s="61">
        <v>-6.6593930214891989E-3</v>
      </c>
      <c r="O45" s="62">
        <f t="shared" si="1"/>
        <v>7.7406069785108025E-3</v>
      </c>
      <c r="P45" s="62">
        <f t="shared" si="6"/>
        <v>0.77406069785108023</v>
      </c>
      <c r="Q45" s="89">
        <v>41586</v>
      </c>
      <c r="R45" s="86">
        <v>-2.4300000000000001E-5</v>
      </c>
      <c r="S45" s="90">
        <v>0.98699999999999999</v>
      </c>
      <c r="T45" s="86">
        <f t="shared" si="7"/>
        <v>-3.4992000000000002E-2</v>
      </c>
      <c r="U45" s="107">
        <v>3.3481487199818067</v>
      </c>
      <c r="V45" s="108">
        <v>-9.1423128598491898E-3</v>
      </c>
      <c r="W45" s="94">
        <f t="shared" si="2"/>
        <v>2.5849687140150811E-2</v>
      </c>
      <c r="X45" s="94">
        <f t="shared" si="8"/>
        <v>2.5849687140150812</v>
      </c>
      <c r="Y45" s="142">
        <f t="shared" si="9"/>
        <v>41586</v>
      </c>
      <c r="Z45" s="138">
        <v>-1.33E-6</v>
      </c>
      <c r="AA45" s="144">
        <v>0.76600000000000001</v>
      </c>
      <c r="AB45" s="138">
        <f t="shared" si="10"/>
        <v>-1.9151999999999999E-3</v>
      </c>
      <c r="AC45" s="138">
        <v>2.8968487199818074</v>
      </c>
      <c r="AD45" s="138">
        <v>-2.4615138135866559E-2</v>
      </c>
      <c r="AE45" s="138">
        <f t="shared" si="11"/>
        <v>-2.269993813586656E-2</v>
      </c>
      <c r="AF45" s="138">
        <f t="shared" si="12"/>
        <v>-2.2699938135866562</v>
      </c>
      <c r="AG45" s="89">
        <v>41586</v>
      </c>
      <c r="AH45" s="180"/>
      <c r="AI45" s="182">
        <v>2</v>
      </c>
    </row>
    <row r="46" spans="1:35">
      <c r="A46" s="4">
        <v>41587</v>
      </c>
      <c r="B46" s="49">
        <v>-2.5700000000000001E-5</v>
      </c>
      <c r="C46" s="50">
        <v>0.97099999999999997</v>
      </c>
      <c r="D46" s="49">
        <f t="shared" si="3"/>
        <v>-3.7007999999999999E-2</v>
      </c>
      <c r="E46" s="52">
        <v>2.4993953411213714</v>
      </c>
      <c r="F46" s="52">
        <v>-2.4363702442214752E-2</v>
      </c>
      <c r="G46" s="51">
        <f t="shared" si="0"/>
        <v>1.2644297557785247E-2</v>
      </c>
      <c r="H46" s="51">
        <f t="shared" si="4"/>
        <v>1.2644297557785247</v>
      </c>
      <c r="I46" s="69">
        <v>41587</v>
      </c>
      <c r="J46" s="72">
        <v>-1.0900000000000001E-5</v>
      </c>
      <c r="K46" s="68">
        <v>0.77200000000000002</v>
      </c>
      <c r="L46" s="70">
        <f t="shared" si="5"/>
        <v>-1.5696000000000002E-2</v>
      </c>
      <c r="M46" s="70">
        <v>3.1099953411213708</v>
      </c>
      <c r="N46" s="61">
        <v>-6.5420546750457271E-3</v>
      </c>
      <c r="O46" s="62">
        <f t="shared" si="1"/>
        <v>9.1539453249542754E-3</v>
      </c>
      <c r="P46" s="62">
        <f t="shared" si="6"/>
        <v>0.91539453249542757</v>
      </c>
      <c r="Q46" s="89">
        <v>41587</v>
      </c>
      <c r="R46" s="86">
        <v>-2.27E-5</v>
      </c>
      <c r="S46" s="90">
        <v>0.98299999999999998</v>
      </c>
      <c r="T46" s="86">
        <f t="shared" si="7"/>
        <v>-3.2688000000000002E-2</v>
      </c>
      <c r="U46" s="107">
        <v>3.3074953411213714</v>
      </c>
      <c r="V46" s="108">
        <v>-9.1155211046433735E-3</v>
      </c>
      <c r="W46" s="94">
        <f t="shared" si="2"/>
        <v>2.357247889535663E-2</v>
      </c>
      <c r="X46" s="94">
        <f t="shared" si="8"/>
        <v>2.357247889535663</v>
      </c>
      <c r="Y46" s="142">
        <f t="shared" si="9"/>
        <v>41587</v>
      </c>
      <c r="Z46" s="138">
        <v>-1.66E-5</v>
      </c>
      <c r="AA46" s="144">
        <v>0.81499999999999995</v>
      </c>
      <c r="AB46" s="138">
        <f t="shared" si="10"/>
        <v>-2.3904000000000002E-2</v>
      </c>
      <c r="AC46" s="138">
        <v>2.8724953411213714</v>
      </c>
      <c r="AD46" s="138">
        <v>-2.4540318508776752E-2</v>
      </c>
      <c r="AE46" s="138">
        <f t="shared" si="11"/>
        <v>-6.363185087767502E-4</v>
      </c>
      <c r="AF46" s="138">
        <f t="shared" si="12"/>
        <v>-6.363185087767502E-2</v>
      </c>
      <c r="AG46" s="89">
        <v>41587</v>
      </c>
      <c r="AH46" s="180"/>
      <c r="AI46" s="182">
        <v>3</v>
      </c>
    </row>
    <row r="47" spans="1:35">
      <c r="A47" s="4">
        <v>41588</v>
      </c>
      <c r="B47" s="49">
        <v>-2.7100000000000001E-5</v>
      </c>
      <c r="C47" s="50">
        <v>0.98099999999999998</v>
      </c>
      <c r="D47" s="49">
        <f t="shared" si="3"/>
        <v>-3.9024000000000003E-2</v>
      </c>
      <c r="E47" s="52">
        <v>2.4632184455944803</v>
      </c>
      <c r="F47" s="52">
        <v>-2.4197218172405995E-2</v>
      </c>
      <c r="G47" s="51">
        <f t="shared" si="0"/>
        <v>1.4826781827594008E-2</v>
      </c>
      <c r="H47" s="51">
        <f t="shared" si="4"/>
        <v>1.4826781827594009</v>
      </c>
      <c r="I47" s="69">
        <v>41588</v>
      </c>
      <c r="J47" s="72">
        <v>-1.43E-5</v>
      </c>
      <c r="K47" s="68">
        <v>0.76</v>
      </c>
      <c r="L47" s="70">
        <f t="shared" si="5"/>
        <v>-2.0591999999999999E-2</v>
      </c>
      <c r="M47" s="70">
        <v>3.0919184455944819</v>
      </c>
      <c r="N47" s="61">
        <v>-6.4342926528800455E-3</v>
      </c>
      <c r="O47" s="62">
        <f t="shared" si="1"/>
        <v>1.4157707347119953E-2</v>
      </c>
      <c r="P47" s="62">
        <f t="shared" si="6"/>
        <v>1.4157707347119952</v>
      </c>
      <c r="Q47" s="89">
        <v>41588</v>
      </c>
      <c r="R47" s="86">
        <v>-2.3099999999999999E-5</v>
      </c>
      <c r="S47" s="90">
        <v>0.98599999999999999</v>
      </c>
      <c r="T47" s="86">
        <f t="shared" si="7"/>
        <v>-3.3264000000000002E-2</v>
      </c>
      <c r="U47" s="107">
        <v>3.2686184455944813</v>
      </c>
      <c r="V47" s="108">
        <v>-9.0869060936184555E-3</v>
      </c>
      <c r="W47" s="94">
        <f t="shared" si="2"/>
        <v>2.4177093906381546E-2</v>
      </c>
      <c r="X47" s="94">
        <f t="shared" si="8"/>
        <v>2.4177093906381546</v>
      </c>
      <c r="Y47" s="142">
        <f t="shared" si="9"/>
        <v>41588</v>
      </c>
      <c r="Z47" s="138">
        <v>-2.1999999999999999E-5</v>
      </c>
      <c r="AA47" s="144">
        <v>0.93200000000000005</v>
      </c>
      <c r="AB47" s="138">
        <f t="shared" si="10"/>
        <v>-3.168E-2</v>
      </c>
      <c r="AC47" s="138">
        <v>2.8491184455944807</v>
      </c>
      <c r="AD47" s="138">
        <v>-2.4452494142038164E-2</v>
      </c>
      <c r="AE47" s="138">
        <f t="shared" si="11"/>
        <v>7.2275058579618356E-3</v>
      </c>
      <c r="AF47" s="138">
        <f t="shared" si="12"/>
        <v>0.72275058579618356</v>
      </c>
      <c r="AG47" s="89">
        <v>41588</v>
      </c>
      <c r="AH47" s="180"/>
      <c r="AI47" s="182">
        <v>4</v>
      </c>
    </row>
    <row r="48" spans="1:35">
      <c r="A48" s="4">
        <v>41589</v>
      </c>
      <c r="B48" s="49">
        <v>-2.3600000000000001E-5</v>
      </c>
      <c r="C48" s="50">
        <v>0.97599999999999998</v>
      </c>
      <c r="D48" s="49">
        <f t="shared" si="3"/>
        <v>-3.3984E-2</v>
      </c>
      <c r="E48" s="52">
        <v>2.4248004524185611</v>
      </c>
      <c r="F48" s="52">
        <v>-2.4013797612745358E-2</v>
      </c>
      <c r="G48" s="51">
        <f t="shared" si="0"/>
        <v>9.9702023872546425E-3</v>
      </c>
      <c r="H48" s="51">
        <f t="shared" si="4"/>
        <v>0.9970202387254643</v>
      </c>
      <c r="I48" s="69">
        <v>41589</v>
      </c>
      <c r="J48" s="72">
        <v>-1.0000000000000001E-5</v>
      </c>
      <c r="K48" s="68">
        <v>0.64600000000000002</v>
      </c>
      <c r="L48" s="70">
        <f t="shared" si="5"/>
        <v>-1.4400000000000001E-2</v>
      </c>
      <c r="M48" s="70">
        <v>3.0709004524185612</v>
      </c>
      <c r="N48" s="61">
        <v>-6.3028118145419601E-3</v>
      </c>
      <c r="O48" s="62">
        <f t="shared" si="1"/>
        <v>8.0971881854580412E-3</v>
      </c>
      <c r="P48" s="62">
        <f t="shared" si="6"/>
        <v>0.80971881854580408</v>
      </c>
      <c r="Q48" s="89">
        <v>41589</v>
      </c>
      <c r="R48" s="86">
        <v>-2.3499999999999999E-5</v>
      </c>
      <c r="S48" s="90">
        <v>0.98599999999999999</v>
      </c>
      <c r="T48" s="86">
        <f t="shared" si="7"/>
        <v>-3.3839999999999995E-2</v>
      </c>
      <c r="U48" s="107">
        <v>3.2278004524185606</v>
      </c>
      <c r="V48" s="108">
        <v>-9.0535132579829484E-3</v>
      </c>
      <c r="W48" s="94">
        <f t="shared" si="2"/>
        <v>2.4786486742017048E-2</v>
      </c>
      <c r="X48" s="94">
        <f t="shared" si="8"/>
        <v>2.4786486742017049</v>
      </c>
      <c r="Y48" s="142">
        <f t="shared" si="9"/>
        <v>41589</v>
      </c>
      <c r="Z48" s="138">
        <v>-1.98E-5</v>
      </c>
      <c r="AA48" s="144">
        <v>0.86199999999999999</v>
      </c>
      <c r="AB48" s="138">
        <f t="shared" si="10"/>
        <v>-2.8511999999999999E-2</v>
      </c>
      <c r="AC48" s="138">
        <v>2.8217004524185607</v>
      </c>
      <c r="AD48" s="138">
        <v>-2.4328094531156485E-2</v>
      </c>
      <c r="AE48" s="138">
        <f t="shared" si="11"/>
        <v>4.1839054688435143E-3</v>
      </c>
      <c r="AF48" s="138">
        <f t="shared" si="12"/>
        <v>0.4183905468843514</v>
      </c>
      <c r="AG48" s="89">
        <v>41589</v>
      </c>
      <c r="AH48" s="180"/>
      <c r="AI48" s="182">
        <v>5</v>
      </c>
    </row>
    <row r="49" spans="1:60">
      <c r="A49" s="4">
        <v>41590</v>
      </c>
      <c r="B49" s="49">
        <v>-2.3900000000000002E-5</v>
      </c>
      <c r="C49" s="50">
        <v>0.97499999999999998</v>
      </c>
      <c r="D49" s="49">
        <f t="shared" si="3"/>
        <v>-3.4416000000000002E-2</v>
      </c>
      <c r="E49" s="52">
        <v>2.3878161938040869</v>
      </c>
      <c r="F49" s="52">
        <v>-2.383045094847918E-2</v>
      </c>
      <c r="G49" s="51">
        <f t="shared" si="0"/>
        <v>1.0585549051520822E-2</v>
      </c>
      <c r="H49" s="51">
        <f t="shared" si="4"/>
        <v>1.0585549051520822</v>
      </c>
      <c r="I49" s="69">
        <v>41590</v>
      </c>
      <c r="J49" s="72">
        <v>-1.0000000000000001E-5</v>
      </c>
      <c r="K49" s="68">
        <v>0.79400000000000004</v>
      </c>
      <c r="L49" s="70">
        <f t="shared" si="5"/>
        <v>-1.4400000000000001E-2</v>
      </c>
      <c r="M49" s="70">
        <v>3.0501161938040884</v>
      </c>
      <c r="N49" s="61">
        <v>-6.1659802958990784E-3</v>
      </c>
      <c r="O49" s="62">
        <f t="shared" si="1"/>
        <v>8.2340197041009221E-3</v>
      </c>
      <c r="P49" s="62">
        <f t="shared" si="6"/>
        <v>0.82340197041009222</v>
      </c>
      <c r="Q49" s="89">
        <v>41590</v>
      </c>
      <c r="R49" s="86">
        <v>-2.3900000000000002E-5</v>
      </c>
      <c r="S49" s="90">
        <v>0.98599999999999999</v>
      </c>
      <c r="T49" s="86">
        <f t="shared" si="7"/>
        <v>-3.4416000000000002E-2</v>
      </c>
      <c r="U49" s="107">
        <v>3.1861161938040867</v>
      </c>
      <c r="V49" s="108">
        <v>-9.0156439071119344E-3</v>
      </c>
      <c r="W49" s="94">
        <f t="shared" si="2"/>
        <v>2.5400356092888068E-2</v>
      </c>
      <c r="X49" s="94">
        <f t="shared" si="8"/>
        <v>2.5400356092888066</v>
      </c>
      <c r="Y49" s="142">
        <f t="shared" si="9"/>
        <v>41590</v>
      </c>
      <c r="Z49" s="138">
        <v>-2.4000000000000001E-5</v>
      </c>
      <c r="AA49" s="144">
        <v>0.95399999999999996</v>
      </c>
      <c r="AB49" s="138">
        <f t="shared" si="10"/>
        <v>-3.456E-2</v>
      </c>
      <c r="AC49" s="138">
        <v>2.7828161938040874</v>
      </c>
      <c r="AD49" s="138">
        <v>-2.4108690289370575E-2</v>
      </c>
      <c r="AE49" s="138">
        <f t="shared" si="11"/>
        <v>1.0451309710629426E-2</v>
      </c>
      <c r="AF49" s="138">
        <f t="shared" si="12"/>
        <v>1.0451309710629426</v>
      </c>
      <c r="AG49" s="89">
        <v>41590</v>
      </c>
      <c r="AH49" s="180"/>
      <c r="AI49" s="182">
        <v>6</v>
      </c>
    </row>
    <row r="50" spans="1:60">
      <c r="A50" s="4">
        <v>41591</v>
      </c>
      <c r="B50" s="49">
        <v>-5.9999999999999997E-7</v>
      </c>
      <c r="C50" s="50">
        <v>1E-3</v>
      </c>
      <c r="D50" s="49">
        <f t="shared" si="3"/>
        <v>-8.6399999999999997E-4</v>
      </c>
      <c r="E50" s="52">
        <v>2.3528955413438131</v>
      </c>
      <c r="F50" s="52">
        <v>-2.3650927870812556E-2</v>
      </c>
      <c r="G50" s="51">
        <f t="shared" si="0"/>
        <v>-2.2786927870812556E-2</v>
      </c>
      <c r="H50" s="51">
        <f t="shared" si="4"/>
        <v>-2.2786927870812557</v>
      </c>
      <c r="I50" s="69">
        <v>41591</v>
      </c>
      <c r="J50" s="72">
        <v>-2.0000000000000002E-5</v>
      </c>
      <c r="K50" s="68">
        <v>0.495</v>
      </c>
      <c r="L50" s="70">
        <f t="shared" si="5"/>
        <v>-2.8800000000000003E-2</v>
      </c>
      <c r="M50" s="70">
        <v>3.0268955413438121</v>
      </c>
      <c r="N50" s="61">
        <v>-6.0047328439775333E-3</v>
      </c>
      <c r="O50" s="62">
        <f t="shared" si="1"/>
        <v>2.279526715602247E-2</v>
      </c>
      <c r="P50" s="62">
        <f t="shared" si="6"/>
        <v>2.279526715602247</v>
      </c>
      <c r="Q50" s="89">
        <v>41591</v>
      </c>
      <c r="R50" s="86">
        <v>-7.9999999999999996E-6</v>
      </c>
      <c r="S50" s="90">
        <v>0.32100000000000001</v>
      </c>
      <c r="T50" s="86">
        <f t="shared" si="7"/>
        <v>-1.1519999999999999E-2</v>
      </c>
      <c r="U50" s="107">
        <v>3.1516955413438135</v>
      </c>
      <c r="V50" s="108">
        <v>-8.981325351694441E-3</v>
      </c>
      <c r="W50" s="94">
        <f t="shared" si="2"/>
        <v>2.538674648305558E-3</v>
      </c>
      <c r="X50" s="94">
        <f t="shared" si="8"/>
        <v>0.25386746483055578</v>
      </c>
      <c r="Y50" s="142">
        <f t="shared" si="9"/>
        <v>41591</v>
      </c>
      <c r="Z50" s="138">
        <v>1.9999999999999999E-6</v>
      </c>
      <c r="AA50" s="144">
        <v>5.8000000000000003E-2</v>
      </c>
      <c r="AB50" s="138">
        <f t="shared" si="10"/>
        <v>2.8799999999999997E-3</v>
      </c>
      <c r="AC50" s="138">
        <v>2.7604955413438126</v>
      </c>
      <c r="AD50" s="138">
        <v>-2.395806394691467E-2</v>
      </c>
      <c r="AE50" s="138">
        <f t="shared" si="11"/>
        <v>-2.683806394691467E-2</v>
      </c>
      <c r="AF50" s="138">
        <f t="shared" si="12"/>
        <v>-2.6838063946914672</v>
      </c>
      <c r="AG50" s="89">
        <v>41591</v>
      </c>
      <c r="AH50" s="180"/>
      <c r="AI50" s="182">
        <v>7</v>
      </c>
    </row>
    <row r="51" spans="1:60">
      <c r="A51" s="4">
        <v>41592</v>
      </c>
      <c r="B51" s="49">
        <v>-2.4700000000000001E-5</v>
      </c>
      <c r="C51" s="50">
        <v>0.95899999999999996</v>
      </c>
      <c r="D51" s="49">
        <f t="shared" si="3"/>
        <v>-3.5568000000000002E-2</v>
      </c>
      <c r="E51" s="52">
        <v>2.3232748912332295</v>
      </c>
      <c r="F51" s="52">
        <v>-2.3493543056581894E-2</v>
      </c>
      <c r="G51" s="51">
        <f t="shared" si="0"/>
        <v>1.2074456943418108E-2</v>
      </c>
      <c r="H51" s="51">
        <f t="shared" si="4"/>
        <v>1.2074456943418108</v>
      </c>
      <c r="I51" s="69">
        <v>41592</v>
      </c>
      <c r="J51" s="72">
        <v>-2.0000000000000002E-5</v>
      </c>
      <c r="K51" s="68">
        <v>0.54400000000000004</v>
      </c>
      <c r="L51" s="70">
        <f t="shared" si="5"/>
        <v>-2.8800000000000003E-2</v>
      </c>
      <c r="M51" s="70">
        <v>3.0064748912332302</v>
      </c>
      <c r="N51" s="61">
        <v>-5.8552943704104094E-3</v>
      </c>
      <c r="O51" s="62">
        <f t="shared" si="1"/>
        <v>2.2944705629589592E-2</v>
      </c>
      <c r="P51" s="62">
        <f t="shared" si="6"/>
        <v>2.294470562958959</v>
      </c>
      <c r="Q51" s="89">
        <v>41592</v>
      </c>
      <c r="R51" s="86">
        <v>-2.3799999999999999E-5</v>
      </c>
      <c r="S51" s="90">
        <v>0.98799999999999999</v>
      </c>
      <c r="T51" s="86">
        <f t="shared" si="7"/>
        <v>-3.4271999999999997E-2</v>
      </c>
      <c r="U51" s="107">
        <v>3.1205748912332298</v>
      </c>
      <c r="V51" s="108">
        <v>-8.9477883074473366E-3</v>
      </c>
      <c r="W51" s="94">
        <f t="shared" si="2"/>
        <v>2.532421169255266E-2</v>
      </c>
      <c r="X51" s="94">
        <f t="shared" si="8"/>
        <v>2.5324211692552661</v>
      </c>
      <c r="Y51" s="142">
        <f t="shared" si="9"/>
        <v>41592</v>
      </c>
      <c r="Z51" s="138">
        <v>-1.95E-5</v>
      </c>
      <c r="AA51" s="144">
        <v>0.96</v>
      </c>
      <c r="AB51" s="138">
        <f t="shared" si="10"/>
        <v>-2.8080000000000001E-2</v>
      </c>
      <c r="AC51" s="138">
        <v>2.7414748912332292</v>
      </c>
      <c r="AD51" s="138">
        <v>-2.3814431782710234E-2</v>
      </c>
      <c r="AE51" s="138">
        <f t="shared" si="11"/>
        <v>4.2655682172897669E-3</v>
      </c>
      <c r="AF51" s="138">
        <f t="shared" si="12"/>
        <v>0.42655682172897669</v>
      </c>
      <c r="AG51" s="89">
        <v>41592</v>
      </c>
      <c r="AH51" s="180"/>
      <c r="AI51" s="182">
        <v>8</v>
      </c>
    </row>
    <row r="52" spans="1:60">
      <c r="A52" s="4">
        <v>41593</v>
      </c>
      <c r="B52" s="49">
        <v>-2.72E-5</v>
      </c>
      <c r="C52" s="50">
        <v>0.97399999999999998</v>
      </c>
      <c r="D52" s="49">
        <f t="shared" si="3"/>
        <v>-3.9168000000000001E-2</v>
      </c>
      <c r="E52" s="52">
        <v>2.2819939113679717</v>
      </c>
      <c r="F52" s="52">
        <v>-2.3265989516253881E-2</v>
      </c>
      <c r="G52" s="51">
        <f t="shared" si="0"/>
        <v>1.5902010483746121E-2</v>
      </c>
      <c r="H52" s="51">
        <f t="shared" si="4"/>
        <v>1.5902010483746121</v>
      </c>
      <c r="I52" s="69">
        <v>41593</v>
      </c>
      <c r="J52" s="72">
        <v>-3.9999999999999998E-6</v>
      </c>
      <c r="K52" s="68">
        <v>0.17899999999999999</v>
      </c>
      <c r="L52" s="70">
        <f t="shared" si="5"/>
        <v>-5.7599999999999995E-3</v>
      </c>
      <c r="M52" s="70">
        <v>2.9805939113679738</v>
      </c>
      <c r="N52" s="61">
        <v>-5.655128715296694E-3</v>
      </c>
      <c r="O52" s="62">
        <f t="shared" si="1"/>
        <v>1.0487128470330551E-4</v>
      </c>
      <c r="P52" s="62">
        <f t="shared" si="6"/>
        <v>1.0487128470330551E-2</v>
      </c>
      <c r="Q52" s="89">
        <v>41593</v>
      </c>
      <c r="R52" s="86">
        <v>-2.3600000000000001E-5</v>
      </c>
      <c r="S52" s="90">
        <v>0.98799999999999999</v>
      </c>
      <c r="T52" s="86">
        <f t="shared" si="7"/>
        <v>-3.3984E-2</v>
      </c>
      <c r="U52" s="107">
        <v>3.0834939113679729</v>
      </c>
      <c r="V52" s="108">
        <v>-8.9045466722954079E-3</v>
      </c>
      <c r="W52" s="94">
        <f t="shared" si="2"/>
        <v>2.5079453327704594E-2</v>
      </c>
      <c r="X52" s="94">
        <f t="shared" si="8"/>
        <v>2.5079453327704595</v>
      </c>
      <c r="Y52" s="142">
        <f t="shared" si="9"/>
        <v>41593</v>
      </c>
      <c r="Z52" s="138">
        <v>-1.7399999999999999E-5</v>
      </c>
      <c r="AA52" s="144">
        <v>0.95799999999999996</v>
      </c>
      <c r="AB52" s="138">
        <f t="shared" si="10"/>
        <v>-2.5055999999999998E-2</v>
      </c>
      <c r="AC52" s="138">
        <v>2.7170939113679728</v>
      </c>
      <c r="AD52" s="138">
        <v>-2.3608501811843659E-2</v>
      </c>
      <c r="AE52" s="138">
        <f t="shared" si="11"/>
        <v>1.4474981881563397E-3</v>
      </c>
      <c r="AF52" s="138">
        <f t="shared" si="12"/>
        <v>0.14474981881563398</v>
      </c>
      <c r="AG52" s="89">
        <v>41593</v>
      </c>
      <c r="AH52" s="180"/>
      <c r="AI52" s="182">
        <v>9</v>
      </c>
    </row>
    <row r="53" spans="1:60">
      <c r="A53" s="4">
        <v>41594</v>
      </c>
      <c r="B53" s="49">
        <v>-2.8399999999999999E-5</v>
      </c>
      <c r="C53" s="50">
        <v>0.98699999999999999</v>
      </c>
      <c r="D53" s="49">
        <f t="shared" si="3"/>
        <v>-4.0896000000000002E-2</v>
      </c>
      <c r="E53" s="52">
        <v>2.2373266236699831</v>
      </c>
      <c r="F53" s="52">
        <v>-2.3008394843550366E-2</v>
      </c>
      <c r="G53" s="51">
        <f t="shared" si="0"/>
        <v>1.7887605156449635E-2</v>
      </c>
      <c r="H53" s="51">
        <f t="shared" si="4"/>
        <v>1.7887605156449635</v>
      </c>
      <c r="I53" s="69">
        <v>41594</v>
      </c>
      <c r="J53" s="72">
        <v>-6.9999999999999999E-6</v>
      </c>
      <c r="K53" s="68">
        <v>0.30499999999999999</v>
      </c>
      <c r="L53" s="70">
        <f t="shared" si="5"/>
        <v>-1.008E-2</v>
      </c>
      <c r="M53" s="70">
        <v>2.9560266236699828</v>
      </c>
      <c r="N53" s="61">
        <v>-5.4534275615394194E-3</v>
      </c>
      <c r="O53" s="62">
        <f t="shared" si="1"/>
        <v>4.626572438460581E-3</v>
      </c>
      <c r="P53" s="62">
        <f t="shared" si="6"/>
        <v>0.46265724384605811</v>
      </c>
      <c r="Q53" s="89">
        <v>41594</v>
      </c>
      <c r="R53" s="86">
        <v>-2.3E-5</v>
      </c>
      <c r="S53" s="90">
        <v>0.98399999999999999</v>
      </c>
      <c r="T53" s="86">
        <f t="shared" si="7"/>
        <v>-3.3119999999999997E-2</v>
      </c>
      <c r="U53" s="107">
        <v>3.0417266236699829</v>
      </c>
      <c r="V53" s="108">
        <v>-8.8513129414218399E-3</v>
      </c>
      <c r="W53" s="94">
        <f t="shared" si="2"/>
        <v>2.4268687058578157E-2</v>
      </c>
      <c r="X53" s="94">
        <f t="shared" si="8"/>
        <v>2.4268687058578156</v>
      </c>
      <c r="Y53" s="142">
        <f t="shared" si="9"/>
        <v>41594</v>
      </c>
      <c r="Z53" s="138">
        <v>-1.73E-5</v>
      </c>
      <c r="AA53" s="144">
        <v>0.93400000000000005</v>
      </c>
      <c r="AB53" s="138">
        <f t="shared" si="10"/>
        <v>-2.4912E-2</v>
      </c>
      <c r="AC53" s="138">
        <v>2.681026623669982</v>
      </c>
      <c r="AD53" s="138">
        <v>-2.3255532055041963E-2</v>
      </c>
      <c r="AE53" s="138">
        <f t="shared" si="11"/>
        <v>1.6564679449580372E-3</v>
      </c>
      <c r="AF53" s="138">
        <f t="shared" si="12"/>
        <v>0.16564679449580372</v>
      </c>
      <c r="AG53" s="89">
        <v>41594</v>
      </c>
      <c r="AH53" s="180">
        <v>-150</v>
      </c>
      <c r="AI53" s="182">
        <v>0</v>
      </c>
      <c r="BH53" s="134">
        <f>2.79/(1-BF55)</f>
        <v>3.1</v>
      </c>
    </row>
    <row r="54" spans="1:60">
      <c r="A54" s="4">
        <v>41595</v>
      </c>
      <c r="B54" s="49">
        <v>2.2699999999999999E-4</v>
      </c>
      <c r="C54" s="50">
        <v>0.96</v>
      </c>
      <c r="D54" s="49">
        <f t="shared" si="3"/>
        <v>0.32688</v>
      </c>
      <c r="E54" s="52">
        <v>2.1916783584564272</v>
      </c>
      <c r="F54" s="52">
        <v>-2.2732135174346239E-2</v>
      </c>
      <c r="G54" s="51">
        <f t="shared" si="0"/>
        <v>-0.34961213517434625</v>
      </c>
      <c r="H54" s="51">
        <f t="shared" si="4"/>
        <v>-34.961213517434622</v>
      </c>
      <c r="I54" s="69">
        <v>41595</v>
      </c>
      <c r="J54" s="72">
        <v>6.5700000000000003E-4</v>
      </c>
      <c r="K54" s="68">
        <v>0.94399999999999995</v>
      </c>
      <c r="L54" s="70">
        <f t="shared" si="5"/>
        <v>0.94608000000000003</v>
      </c>
      <c r="M54" s="70">
        <v>2.928978358456428</v>
      </c>
      <c r="N54" s="61">
        <v>-5.2174556268515032E-3</v>
      </c>
      <c r="O54" s="62">
        <f t="shared" si="1"/>
        <v>-0.95129745562685153</v>
      </c>
      <c r="P54" s="62">
        <f t="shared" si="6"/>
        <v>-95.129745562685159</v>
      </c>
      <c r="Q54" s="89">
        <v>41595</v>
      </c>
      <c r="R54" s="86">
        <v>6.7199999999999996E-4</v>
      </c>
      <c r="S54" s="90">
        <v>0.81200000000000006</v>
      </c>
      <c r="T54" s="86">
        <f t="shared" si="7"/>
        <v>0.96767999999999998</v>
      </c>
      <c r="U54" s="107">
        <v>3.0008783584564283</v>
      </c>
      <c r="V54" s="108">
        <v>-8.7943086412421885E-3</v>
      </c>
      <c r="W54" s="94">
        <f t="shared" si="2"/>
        <v>-0.97647430864124218</v>
      </c>
      <c r="X54" s="94">
        <f t="shared" si="8"/>
        <v>-97.647430864124217</v>
      </c>
      <c r="Y54" s="142">
        <f t="shared" si="9"/>
        <v>41595</v>
      </c>
      <c r="Z54" s="138">
        <v>5.9999999999999995E-4</v>
      </c>
      <c r="AA54" s="144">
        <v>0.71799999999999997</v>
      </c>
      <c r="AB54" s="138">
        <f t="shared" si="10"/>
        <v>0.86399999999999988</v>
      </c>
      <c r="AC54" s="138">
        <v>2.6427783584564284</v>
      </c>
      <c r="AD54" s="138">
        <v>-2.2812273147463296E-2</v>
      </c>
      <c r="AE54" s="138">
        <f t="shared" si="11"/>
        <v>-0.88681227314746314</v>
      </c>
      <c r="AF54" s="138">
        <f t="shared" si="12"/>
        <v>-88.681227314746309</v>
      </c>
      <c r="AG54" s="89">
        <v>41595</v>
      </c>
      <c r="AH54" s="180">
        <v>0</v>
      </c>
      <c r="AI54" s="182">
        <v>1</v>
      </c>
      <c r="BF54" s="134" t="s">
        <v>96</v>
      </c>
      <c r="BG54" s="134" t="s">
        <v>97</v>
      </c>
    </row>
    <row r="55" spans="1:60">
      <c r="A55" s="4">
        <v>41596</v>
      </c>
      <c r="B55" s="49">
        <v>-2.6400000000000001E-5</v>
      </c>
      <c r="C55" s="50">
        <v>0.97499999999999998</v>
      </c>
      <c r="D55" s="49">
        <f t="shared" si="3"/>
        <v>-3.8016000000000001E-2</v>
      </c>
      <c r="E55" s="52">
        <v>2.2556730516361818</v>
      </c>
      <c r="F55" s="52">
        <v>-2.3115675074988025E-2</v>
      </c>
      <c r="G55" s="51">
        <f t="shared" ref="G55:G86" si="13">-D55+F55</f>
        <v>1.4900324925011976E-2</v>
      </c>
      <c r="H55" s="51">
        <f t="shared" si="4"/>
        <v>1.4900324925011976</v>
      </c>
      <c r="I55" s="69">
        <v>41596</v>
      </c>
      <c r="J55" s="72">
        <v>-1.0000000000000001E-5</v>
      </c>
      <c r="K55" s="68">
        <v>0.64600000000000002</v>
      </c>
      <c r="L55" s="70">
        <f t="shared" si="5"/>
        <v>-1.4400000000000001E-2</v>
      </c>
      <c r="M55" s="70">
        <v>3.230673051636181</v>
      </c>
      <c r="N55" s="61">
        <v>-7.1480915507476511E-3</v>
      </c>
      <c r="O55" s="62">
        <f t="shared" si="1"/>
        <v>7.2519084492523502E-3</v>
      </c>
      <c r="P55" s="62">
        <f t="shared" si="6"/>
        <v>0.725190844925235</v>
      </c>
      <c r="Q55" s="89">
        <v>41596</v>
      </c>
      <c r="R55" s="86">
        <v>2.0000000000000002E-5</v>
      </c>
      <c r="S55" s="90">
        <v>0.93500000000000005</v>
      </c>
      <c r="T55" s="86">
        <f t="shared" si="7"/>
        <v>2.8800000000000003E-2</v>
      </c>
      <c r="U55" s="107">
        <v>3.7856730516361816</v>
      </c>
      <c r="V55" s="108">
        <v>-9.2723492855062879E-3</v>
      </c>
      <c r="W55" s="94">
        <f t="shared" ref="W55:W86" si="14">-T55+V55</f>
        <v>-3.8072349285506291E-2</v>
      </c>
      <c r="X55" s="94">
        <f t="shared" si="8"/>
        <v>-3.8072349285506291</v>
      </c>
      <c r="Y55" s="142">
        <f t="shared" si="9"/>
        <v>41596</v>
      </c>
      <c r="Z55" s="138">
        <v>-6.0000000000000002E-6</v>
      </c>
      <c r="AA55" s="144">
        <v>0.65400000000000003</v>
      </c>
      <c r="AB55" s="138">
        <f t="shared" si="10"/>
        <v>-8.6400000000000001E-3</v>
      </c>
      <c r="AC55" s="138">
        <v>3.1592730516361818</v>
      </c>
      <c r="AD55" s="138">
        <v>-2.4597342214388914E-2</v>
      </c>
      <c r="AE55" s="138">
        <f t="shared" si="11"/>
        <v>-1.5957342214388916E-2</v>
      </c>
      <c r="AF55" s="138">
        <f t="shared" si="12"/>
        <v>-1.5957342214388917</v>
      </c>
      <c r="AG55" s="89">
        <v>41596</v>
      </c>
      <c r="AH55" s="180">
        <v>-7</v>
      </c>
      <c r="AI55" s="183">
        <v>0</v>
      </c>
      <c r="BF55" s="134">
        <v>0.1</v>
      </c>
      <c r="BG55" s="134">
        <f>0.3*(1-BF55)+($BH$53*(1-BF55)*BF55)</f>
        <v>0.54900000000000004</v>
      </c>
    </row>
    <row r="56" spans="1:60">
      <c r="A56" s="4">
        <v>41597</v>
      </c>
      <c r="B56" s="49">
        <v>-2.73E-5</v>
      </c>
      <c r="C56" s="50">
        <v>0.97099999999999997</v>
      </c>
      <c r="D56" s="49">
        <f t="shared" si="3"/>
        <v>-3.9312E-2</v>
      </c>
      <c r="E56" s="52">
        <v>2.2130814440322788</v>
      </c>
      <c r="F56" s="52">
        <v>-2.2863357160484491E-2</v>
      </c>
      <c r="G56" s="51">
        <f t="shared" si="13"/>
        <v>1.6448642839515509E-2</v>
      </c>
      <c r="H56" s="51">
        <f t="shared" si="4"/>
        <v>1.6448642839515508</v>
      </c>
      <c r="I56" s="69">
        <v>41597</v>
      </c>
      <c r="J56" s="72">
        <v>6.0000000000000002E-6</v>
      </c>
      <c r="K56" s="68">
        <v>0.214</v>
      </c>
      <c r="L56" s="70">
        <f t="shared" si="5"/>
        <v>8.6400000000000001E-3</v>
      </c>
      <c r="M56" s="70">
        <v>3.2119814440322791</v>
      </c>
      <c r="N56" s="61">
        <v>-7.0661221762332062E-3</v>
      </c>
      <c r="O56" s="62">
        <f t="shared" si="1"/>
        <v>-1.5706122176233205E-2</v>
      </c>
      <c r="P56" s="62">
        <f t="shared" si="6"/>
        <v>-1.5706122176233204</v>
      </c>
      <c r="Q56" s="89">
        <v>41597</v>
      </c>
      <c r="R56" s="86">
        <v>-1.77E-5</v>
      </c>
      <c r="S56" s="90">
        <v>0.93899999999999995</v>
      </c>
      <c r="T56" s="86">
        <f t="shared" si="7"/>
        <v>-2.5488E-2</v>
      </c>
      <c r="U56" s="107">
        <v>3.7786814440322791</v>
      </c>
      <c r="V56" s="108">
        <v>-9.2720738044848039E-3</v>
      </c>
      <c r="W56" s="94">
        <f t="shared" si="14"/>
        <v>1.6215926195515196E-2</v>
      </c>
      <c r="X56" s="94">
        <f t="shared" si="8"/>
        <v>1.6215926195515196</v>
      </c>
      <c r="Y56" s="142">
        <f t="shared" si="9"/>
        <v>41597</v>
      </c>
      <c r="Z56" s="138">
        <v>-1.15E-5</v>
      </c>
      <c r="AA56" s="144">
        <v>0.89400000000000002</v>
      </c>
      <c r="AB56" s="138">
        <f t="shared" si="10"/>
        <v>-1.6559999999999998E-2</v>
      </c>
      <c r="AC56" s="138">
        <v>3.1414814440322778</v>
      </c>
      <c r="AD56" s="138">
        <v>-2.4635596041080506E-2</v>
      </c>
      <c r="AE56" s="138">
        <f t="shared" si="11"/>
        <v>-8.0755960410805079E-3</v>
      </c>
      <c r="AF56" s="138">
        <f t="shared" si="12"/>
        <v>-0.80755960410805083</v>
      </c>
      <c r="AG56" s="89">
        <v>41597</v>
      </c>
      <c r="AH56" s="180">
        <v>-1</v>
      </c>
      <c r="AI56" s="183">
        <v>0</v>
      </c>
      <c r="BF56" s="134">
        <f>BF55+0.1</f>
        <v>0.2</v>
      </c>
      <c r="BG56" s="134">
        <f t="shared" ref="BG56:BG64" si="15">0.3*(1-BF56)+($BH$53*(1-BF56)*BF56)</f>
        <v>0.7360000000000001</v>
      </c>
    </row>
    <row r="57" spans="1:60">
      <c r="A57" s="4">
        <v>41598</v>
      </c>
      <c r="B57" s="49">
        <v>-2.8500000000000002E-5</v>
      </c>
      <c r="C57" s="50">
        <v>0.97899999999999998</v>
      </c>
      <c r="D57" s="49">
        <f t="shared" si="3"/>
        <v>-4.104E-2</v>
      </c>
      <c r="E57" s="52">
        <v>2.1686401297129607</v>
      </c>
      <c r="F57" s="52">
        <v>-2.2587435358620688E-2</v>
      </c>
      <c r="G57" s="51">
        <f t="shared" si="13"/>
        <v>1.8452564641379312E-2</v>
      </c>
      <c r="H57" s="51">
        <f t="shared" si="4"/>
        <v>1.8452564641379312</v>
      </c>
      <c r="I57" s="69">
        <v>41598</v>
      </c>
      <c r="J57" s="72">
        <v>-1.0000000000000001E-5</v>
      </c>
      <c r="K57" s="68">
        <v>0.51300000000000001</v>
      </c>
      <c r="L57" s="70">
        <f t="shared" si="5"/>
        <v>-1.4400000000000001E-2</v>
      </c>
      <c r="M57" s="70">
        <v>3.1923401297129619</v>
      </c>
      <c r="N57" s="61">
        <v>-6.9755466044798663E-3</v>
      </c>
      <c r="O57" s="62">
        <f t="shared" si="1"/>
        <v>7.424453395520135E-3</v>
      </c>
      <c r="P57" s="62">
        <f t="shared" si="6"/>
        <v>0.74244533955201353</v>
      </c>
      <c r="Q57" s="89">
        <v>41598</v>
      </c>
      <c r="R57" s="86">
        <v>-3.0800000000000003E-5</v>
      </c>
      <c r="S57" s="90">
        <v>0.98799999999999999</v>
      </c>
      <c r="T57" s="86">
        <f t="shared" si="7"/>
        <v>-4.4352000000000003E-2</v>
      </c>
      <c r="U57" s="107">
        <v>3.7410401297129612</v>
      </c>
      <c r="V57" s="108">
        <v>-9.2697706000214406E-3</v>
      </c>
      <c r="W57" s="94">
        <f t="shared" si="14"/>
        <v>3.5082229399978564E-2</v>
      </c>
      <c r="X57" s="94">
        <f t="shared" si="8"/>
        <v>3.5082229399978564</v>
      </c>
      <c r="Y57" s="142">
        <f t="shared" si="9"/>
        <v>41598</v>
      </c>
      <c r="Z57" s="138">
        <v>-1.45E-5</v>
      </c>
      <c r="AA57" s="144">
        <v>0.95899999999999996</v>
      </c>
      <c r="AB57" s="138">
        <f t="shared" si="10"/>
        <v>-2.0879999999999999E-2</v>
      </c>
      <c r="AC57" s="138">
        <v>3.1183401297129616</v>
      </c>
      <c r="AD57" s="138">
        <v>-2.4678904867642765E-2</v>
      </c>
      <c r="AE57" s="138">
        <f t="shared" si="11"/>
        <v>-3.7989048676427654E-3</v>
      </c>
      <c r="AF57" s="138">
        <f t="shared" si="12"/>
        <v>-0.37989048676427656</v>
      </c>
      <c r="AG57" s="89">
        <v>41598</v>
      </c>
      <c r="AH57" s="180"/>
      <c r="AI57" s="182">
        <v>1</v>
      </c>
      <c r="BF57" s="134">
        <f t="shared" ref="BF57:BF62" si="16">BF56+0.1</f>
        <v>0.30000000000000004</v>
      </c>
      <c r="BG57" s="134">
        <f t="shared" si="15"/>
        <v>0.86099999999999999</v>
      </c>
    </row>
    <row r="58" spans="1:60">
      <c r="A58" s="4">
        <v>41599</v>
      </c>
      <c r="B58" s="49">
        <v>-2.58E-5</v>
      </c>
      <c r="C58" s="50">
        <v>0.97899999999999998</v>
      </c>
      <c r="D58" s="49">
        <f t="shared" si="3"/>
        <v>-3.7151999999999998E-2</v>
      </c>
      <c r="E58" s="52">
        <v>2.1246155743392241</v>
      </c>
      <c r="F58" s="52">
        <v>-2.2300519919524149E-2</v>
      </c>
      <c r="G58" s="51">
        <f t="shared" si="13"/>
        <v>1.4851480080475848E-2</v>
      </c>
      <c r="H58" s="51">
        <f t="shared" si="4"/>
        <v>1.485148008047585</v>
      </c>
      <c r="I58" s="69">
        <v>41599</v>
      </c>
      <c r="J58" s="72">
        <v>-1.59E-5</v>
      </c>
      <c r="K58" s="68">
        <v>0.91200000000000003</v>
      </c>
      <c r="L58" s="70">
        <f t="shared" si="5"/>
        <v>-2.2896E-2</v>
      </c>
      <c r="M58" s="70">
        <v>3.1712155743392252</v>
      </c>
      <c r="N58" s="61">
        <v>-6.8728449059230427E-3</v>
      </c>
      <c r="O58" s="62">
        <f t="shared" si="1"/>
        <v>1.6023155094076959E-2</v>
      </c>
      <c r="P58" s="62">
        <f t="shared" si="6"/>
        <v>1.602315509407696</v>
      </c>
      <c r="Q58" s="89">
        <v>41599</v>
      </c>
      <c r="R58" s="86">
        <v>-2.5400000000000001E-5</v>
      </c>
      <c r="S58" s="90">
        <v>0.97099999999999997</v>
      </c>
      <c r="T58" s="86">
        <f t="shared" si="7"/>
        <v>-3.6576000000000004E-2</v>
      </c>
      <c r="U58" s="107">
        <v>3.7009155743392244</v>
      </c>
      <c r="V58" s="108">
        <v>-9.2657277663913424E-3</v>
      </c>
      <c r="W58" s="94">
        <f t="shared" si="14"/>
        <v>2.7310272233608664E-2</v>
      </c>
      <c r="X58" s="94">
        <f t="shared" si="8"/>
        <v>2.7310272233608663</v>
      </c>
      <c r="Y58" s="142">
        <f t="shared" si="9"/>
        <v>41599</v>
      </c>
      <c r="Z58" s="138">
        <v>-1.6500000000000001E-5</v>
      </c>
      <c r="AA58" s="144">
        <v>0.95599999999999996</v>
      </c>
      <c r="AB58" s="138">
        <f t="shared" si="10"/>
        <v>-2.3760000000000003E-2</v>
      </c>
      <c r="AC58" s="138">
        <v>3.0934155743392249</v>
      </c>
      <c r="AD58" s="138">
        <v>-2.4716865049337029E-2</v>
      </c>
      <c r="AE58" s="138">
        <f t="shared" si="11"/>
        <v>-9.5686504933702524E-4</v>
      </c>
      <c r="AF58" s="138">
        <f t="shared" si="12"/>
        <v>-9.5686504933702524E-2</v>
      </c>
      <c r="AG58" s="89">
        <v>41599</v>
      </c>
      <c r="AH58" s="180"/>
      <c r="AI58" s="182">
        <v>2</v>
      </c>
      <c r="BF58" s="134">
        <f t="shared" si="16"/>
        <v>0.4</v>
      </c>
      <c r="BG58" s="134">
        <f t="shared" si="15"/>
        <v>0.92399999999999993</v>
      </c>
    </row>
    <row r="59" spans="1:60">
      <c r="A59" s="4">
        <v>41600</v>
      </c>
      <c r="B59" s="49">
        <v>-3.9799999999999998E-5</v>
      </c>
      <c r="C59" s="50">
        <v>0.98799999999999999</v>
      </c>
      <c r="D59" s="49">
        <f t="shared" si="3"/>
        <v>-5.7311999999999995E-2</v>
      </c>
      <c r="E59" s="52">
        <v>2.0702272337360754</v>
      </c>
      <c r="F59" s="52">
        <v>-2.1926008384204391E-2</v>
      </c>
      <c r="G59" s="51">
        <f t="shared" si="13"/>
        <v>3.5385991615795601E-2</v>
      </c>
      <c r="H59" s="51">
        <f t="shared" si="4"/>
        <v>3.53859916157956</v>
      </c>
      <c r="I59" s="69">
        <v>41600</v>
      </c>
      <c r="J59" s="72">
        <v>-1.5400000000000002E-5</v>
      </c>
      <c r="K59" s="68">
        <v>0.88800000000000001</v>
      </c>
      <c r="L59" s="70">
        <f t="shared" si="5"/>
        <v>-2.2176000000000001E-2</v>
      </c>
      <c r="M59" s="70">
        <v>3.1489272337360763</v>
      </c>
      <c r="N59" s="61">
        <v>-6.7582889583512103E-3</v>
      </c>
      <c r="O59" s="62">
        <f t="shared" si="1"/>
        <v>1.5417711041648791E-2</v>
      </c>
      <c r="P59" s="62">
        <f t="shared" si="6"/>
        <v>1.5417711041648792</v>
      </c>
      <c r="Q59" s="89">
        <v>41600</v>
      </c>
      <c r="R59" s="86">
        <v>-2.37E-5</v>
      </c>
      <c r="S59" s="90">
        <v>0.94899999999999995</v>
      </c>
      <c r="T59" s="86">
        <f t="shared" si="7"/>
        <v>-3.4127999999999999E-2</v>
      </c>
      <c r="U59" s="107">
        <v>3.660127233736076</v>
      </c>
      <c r="V59" s="108">
        <v>-9.2598385962620808E-3</v>
      </c>
      <c r="W59" s="94">
        <f t="shared" si="14"/>
        <v>2.4868161403737918E-2</v>
      </c>
      <c r="X59" s="94">
        <f t="shared" si="8"/>
        <v>2.4868161403737918</v>
      </c>
      <c r="Y59" s="142">
        <f t="shared" si="9"/>
        <v>41600</v>
      </c>
      <c r="Z59" s="138">
        <v>-1.5E-5</v>
      </c>
      <c r="AA59" s="144">
        <v>0.93700000000000006</v>
      </c>
      <c r="AB59" s="138">
        <f t="shared" si="10"/>
        <v>-2.1600000000000001E-2</v>
      </c>
      <c r="AC59" s="138">
        <v>3.0679272337360763</v>
      </c>
      <c r="AD59" s="138">
        <v>-2.474569259093002E-2</v>
      </c>
      <c r="AE59" s="138">
        <f t="shared" si="11"/>
        <v>-3.1456925909300187E-3</v>
      </c>
      <c r="AF59" s="138">
        <f t="shared" si="12"/>
        <v>-0.31456925909300187</v>
      </c>
      <c r="AG59" s="89">
        <v>41600</v>
      </c>
      <c r="AH59" s="180"/>
      <c r="AI59" s="182">
        <v>3</v>
      </c>
      <c r="BF59" s="134">
        <f t="shared" si="16"/>
        <v>0.5</v>
      </c>
      <c r="BG59" s="134">
        <f t="shared" si="15"/>
        <v>0.92500000000000004</v>
      </c>
    </row>
    <row r="60" spans="1:60">
      <c r="A60" s="4">
        <v>41601</v>
      </c>
      <c r="B60" s="49">
        <v>-2.7800000000000001E-5</v>
      </c>
      <c r="C60" s="50">
        <v>0.97</v>
      </c>
      <c r="D60" s="49">
        <f t="shared" si="3"/>
        <v>-4.0032000000000005E-2</v>
      </c>
      <c r="E60" s="52">
        <v>2.0150720246773575</v>
      </c>
      <c r="F60" s="52">
        <v>-2.1521721261645824E-2</v>
      </c>
      <c r="G60" s="51">
        <f t="shared" si="13"/>
        <v>1.8510278738354181E-2</v>
      </c>
      <c r="H60" s="51">
        <f t="shared" si="4"/>
        <v>1.8510278738354182</v>
      </c>
      <c r="I60" s="69">
        <v>41601</v>
      </c>
      <c r="J60" s="72">
        <v>-1.5800000000000001E-5</v>
      </c>
      <c r="K60" s="68">
        <v>0.88</v>
      </c>
      <c r="L60" s="70">
        <f t="shared" si="5"/>
        <v>-2.2752000000000001E-2</v>
      </c>
      <c r="M60" s="70">
        <v>3.125172024677358</v>
      </c>
      <c r="N60" s="61">
        <v>-6.6288656635644476E-3</v>
      </c>
      <c r="O60" s="62">
        <f t="shared" si="1"/>
        <v>1.6123134336435554E-2</v>
      </c>
      <c r="P60" s="62">
        <f t="shared" si="6"/>
        <v>1.6123134336435554</v>
      </c>
      <c r="Q60" s="89">
        <v>41601</v>
      </c>
      <c r="R60" s="86">
        <v>-2.3900000000000002E-5</v>
      </c>
      <c r="S60" s="90">
        <v>0.96</v>
      </c>
      <c r="T60" s="86">
        <f t="shared" si="7"/>
        <v>-3.4416000000000002E-2</v>
      </c>
      <c r="U60" s="107">
        <v>3.6221720246773588</v>
      </c>
      <c r="V60" s="108">
        <v>-9.2526504641205539E-3</v>
      </c>
      <c r="W60" s="94">
        <f t="shared" si="14"/>
        <v>2.5163349535879447E-2</v>
      </c>
      <c r="X60" s="94">
        <f t="shared" si="8"/>
        <v>2.5163349535879447</v>
      </c>
      <c r="Y60" s="142">
        <f t="shared" si="9"/>
        <v>41601</v>
      </c>
      <c r="Z60" s="138">
        <v>-1.5099999999999999E-5</v>
      </c>
      <c r="AA60" s="144">
        <v>0.95599999999999996</v>
      </c>
      <c r="AB60" s="138">
        <f t="shared" si="10"/>
        <v>-2.1743999999999999E-2</v>
      </c>
      <c r="AC60" s="138">
        <v>3.0416720246773585</v>
      </c>
      <c r="AD60" s="138">
        <v>-2.4764030762041107E-2</v>
      </c>
      <c r="AE60" s="138">
        <f t="shared" si="11"/>
        <v>-3.0200307620411072E-3</v>
      </c>
      <c r="AF60" s="138">
        <f t="shared" si="12"/>
        <v>-0.30200307620411071</v>
      </c>
      <c r="AG60" s="89">
        <v>41601</v>
      </c>
      <c r="AH60" s="180"/>
      <c r="AI60" s="182">
        <v>4</v>
      </c>
      <c r="BF60" s="134">
        <f t="shared" si="16"/>
        <v>0.6</v>
      </c>
      <c r="BG60" s="134">
        <f t="shared" si="15"/>
        <v>0.8640000000000001</v>
      </c>
    </row>
    <row r="61" spans="1:60">
      <c r="A61" s="4">
        <v>41602</v>
      </c>
      <c r="B61" s="49">
        <v>-2.8500000000000002E-5</v>
      </c>
      <c r="C61" s="53">
        <v>0.97499999999999998</v>
      </c>
      <c r="D61" s="49">
        <f t="shared" si="3"/>
        <v>-4.104E-2</v>
      </c>
      <c r="E61" s="52">
        <v>1.9673231540970932</v>
      </c>
      <c r="F61" s="52">
        <v>-2.1150087955920598E-2</v>
      </c>
      <c r="G61" s="51">
        <f t="shared" si="13"/>
        <v>1.9889912044079402E-2</v>
      </c>
      <c r="H61" s="51">
        <f t="shared" si="4"/>
        <v>1.9889912044079403</v>
      </c>
      <c r="I61" s="69">
        <v>41602</v>
      </c>
      <c r="J61" s="72">
        <v>-2.1399999999999998E-5</v>
      </c>
      <c r="K61" s="68">
        <v>0.91</v>
      </c>
      <c r="L61" s="70">
        <f t="shared" si="5"/>
        <v>-3.0815999999999996E-2</v>
      </c>
      <c r="M61" s="70">
        <v>3.1047231540970941</v>
      </c>
      <c r="N61" s="61">
        <v>-6.5111221661760567E-3</v>
      </c>
      <c r="O61" s="62">
        <f t="shared" si="1"/>
        <v>2.4304877833823939E-2</v>
      </c>
      <c r="P61" s="62">
        <f t="shared" si="6"/>
        <v>2.4304877833823939</v>
      </c>
      <c r="Q61" s="89">
        <v>41602</v>
      </c>
      <c r="R61" s="86">
        <v>-2.6400000000000001E-5</v>
      </c>
      <c r="S61" s="90">
        <v>0.95199999999999996</v>
      </c>
      <c r="T61" s="86">
        <f t="shared" si="7"/>
        <v>-3.8016000000000001E-2</v>
      </c>
      <c r="U61" s="107">
        <v>3.5806231540970943</v>
      </c>
      <c r="V61" s="108">
        <v>-9.2427790934625515E-3</v>
      </c>
      <c r="W61" s="94">
        <f t="shared" si="14"/>
        <v>2.8773220906537451E-2</v>
      </c>
      <c r="X61" s="94">
        <f t="shared" si="8"/>
        <v>2.8773220906537453</v>
      </c>
      <c r="Y61" s="142">
        <f t="shared" si="9"/>
        <v>41602</v>
      </c>
      <c r="Z61" s="138">
        <v>-1.33E-5</v>
      </c>
      <c r="AA61" s="144">
        <v>0.94099999999999995</v>
      </c>
      <c r="AB61" s="138">
        <f t="shared" si="10"/>
        <v>-1.9151999999999999E-2</v>
      </c>
      <c r="AC61" s="138">
        <v>3.0159231540970928</v>
      </c>
      <c r="AD61" s="138">
        <v>-2.4769977553148709E-2</v>
      </c>
      <c r="AE61" s="138">
        <f t="shared" si="11"/>
        <v>-5.6179775531487106E-3</v>
      </c>
      <c r="AF61" s="138">
        <f t="shared" si="12"/>
        <v>-0.56179775531487108</v>
      </c>
      <c r="AG61" s="89">
        <v>41602</v>
      </c>
      <c r="AH61" s="180">
        <v>-2</v>
      </c>
      <c r="AI61" s="182">
        <v>0</v>
      </c>
      <c r="BF61" s="134">
        <f t="shared" si="16"/>
        <v>0.7</v>
      </c>
      <c r="BG61" s="134">
        <f t="shared" si="15"/>
        <v>0.74099999999999999</v>
      </c>
    </row>
    <row r="62" spans="1:60">
      <c r="A62" s="4">
        <v>41603</v>
      </c>
      <c r="B62" s="49">
        <v>-3.1099999999999997E-5</v>
      </c>
      <c r="C62" s="50">
        <v>0.98099999999999998</v>
      </c>
      <c r="D62" s="49">
        <f t="shared" si="3"/>
        <v>-4.4783999999999997E-2</v>
      </c>
      <c r="E62" s="52">
        <v>1.919013953762152</v>
      </c>
      <c r="F62" s="52">
        <v>-2.0751930566253806E-2</v>
      </c>
      <c r="G62" s="51">
        <f t="shared" si="13"/>
        <v>2.4032069433746191E-2</v>
      </c>
      <c r="H62" s="51">
        <f t="shared" si="4"/>
        <v>2.4032069433746193</v>
      </c>
      <c r="I62" s="69">
        <v>41603</v>
      </c>
      <c r="J62" s="72">
        <v>-1.8099999999999999E-5</v>
      </c>
      <c r="K62" s="68">
        <v>0.8</v>
      </c>
      <c r="L62" s="70">
        <f t="shared" si="5"/>
        <v>-2.6064E-2</v>
      </c>
      <c r="M62" s="70">
        <v>3.081513953762153</v>
      </c>
      <c r="N62" s="61">
        <v>-6.3700534786858172E-3</v>
      </c>
      <c r="O62" s="62">
        <f t="shared" si="1"/>
        <v>1.9693946521314183E-2</v>
      </c>
      <c r="P62" s="62">
        <f t="shared" si="6"/>
        <v>1.9693946521314183</v>
      </c>
      <c r="Q62" s="89">
        <v>41603</v>
      </c>
      <c r="R62" s="86">
        <v>-2.37E-5</v>
      </c>
      <c r="S62" s="90">
        <v>0.92</v>
      </c>
      <c r="T62" s="86">
        <f t="shared" si="7"/>
        <v>-3.4127999999999999E-2</v>
      </c>
      <c r="U62" s="107">
        <v>3.5398139537621534</v>
      </c>
      <c r="V62" s="108">
        <v>-9.2309214450888109E-3</v>
      </c>
      <c r="W62" s="94">
        <f t="shared" si="14"/>
        <v>2.4897078554911189E-2</v>
      </c>
      <c r="X62" s="94">
        <f t="shared" si="8"/>
        <v>2.4897078554911189</v>
      </c>
      <c r="Y62" s="142">
        <f t="shared" si="9"/>
        <v>41603</v>
      </c>
      <c r="Z62" s="138">
        <v>-1.31E-5</v>
      </c>
      <c r="AA62" s="144">
        <v>0.95799999999999996</v>
      </c>
      <c r="AB62" s="138">
        <f t="shared" si="10"/>
        <v>-1.8863999999999999E-2</v>
      </c>
      <c r="AC62" s="138">
        <v>2.9912139537621534</v>
      </c>
      <c r="AD62" s="138">
        <v>-2.4763645064745651E-2</v>
      </c>
      <c r="AE62" s="138">
        <f t="shared" si="11"/>
        <v>-5.8996450647456518E-3</v>
      </c>
      <c r="AF62" s="138">
        <f t="shared" si="12"/>
        <v>-0.58996450647456522</v>
      </c>
      <c r="AG62" s="89">
        <v>41603</v>
      </c>
      <c r="AH62" s="180"/>
      <c r="AI62" s="182">
        <v>1</v>
      </c>
      <c r="BF62" s="134">
        <f t="shared" si="16"/>
        <v>0.79999999999999993</v>
      </c>
      <c r="BG62" s="134">
        <f t="shared" si="15"/>
        <v>0.55600000000000016</v>
      </c>
    </row>
    <row r="63" spans="1:60">
      <c r="A63" s="4">
        <v>41604</v>
      </c>
      <c r="B63" s="49">
        <v>-2.16E-5</v>
      </c>
      <c r="C63" s="50">
        <v>0.97</v>
      </c>
      <c r="D63" s="49">
        <f t="shared" si="3"/>
        <v>-3.1104E-2</v>
      </c>
      <c r="E63" s="52">
        <v>1.8739722295991847</v>
      </c>
      <c r="F63" s="52">
        <v>-2.0358998039093017E-2</v>
      </c>
      <c r="G63" s="51">
        <f t="shared" si="13"/>
        <v>1.0745001960906983E-2</v>
      </c>
      <c r="H63" s="51">
        <f t="shared" si="4"/>
        <v>1.0745001960906984</v>
      </c>
      <c r="I63" s="69">
        <v>41604</v>
      </c>
      <c r="J63" s="72">
        <v>-1.52E-5</v>
      </c>
      <c r="K63" s="68">
        <v>0.68700000000000006</v>
      </c>
      <c r="L63" s="70">
        <f t="shared" si="5"/>
        <v>-2.1888000000000001E-2</v>
      </c>
      <c r="M63" s="70">
        <v>3.0538722295991843</v>
      </c>
      <c r="N63" s="61">
        <v>-6.1912225033859134E-3</v>
      </c>
      <c r="O63" s="62">
        <f t="shared" si="1"/>
        <v>1.5696777496614089E-2</v>
      </c>
      <c r="P63" s="62">
        <f t="shared" si="6"/>
        <v>1.5696777496614089</v>
      </c>
      <c r="Q63" s="89">
        <v>41604</v>
      </c>
      <c r="R63" s="86">
        <v>-1.8600000000000001E-5</v>
      </c>
      <c r="S63" s="90">
        <v>0.85799999999999998</v>
      </c>
      <c r="T63" s="86">
        <f t="shared" si="7"/>
        <v>-2.6784000000000002E-2</v>
      </c>
      <c r="U63" s="107">
        <v>3.5004722295991852</v>
      </c>
      <c r="V63" s="108">
        <v>-9.2173361380894388E-3</v>
      </c>
      <c r="W63" s="94">
        <f t="shared" si="14"/>
        <v>1.7566663861910563E-2</v>
      </c>
      <c r="X63" s="94">
        <f t="shared" si="8"/>
        <v>1.7566663861910563</v>
      </c>
      <c r="Y63" s="142">
        <f t="shared" si="9"/>
        <v>41604</v>
      </c>
      <c r="Z63" s="138">
        <v>-1.47E-5</v>
      </c>
      <c r="AA63" s="144">
        <v>0.95</v>
      </c>
      <c r="AB63" s="138">
        <f t="shared" si="10"/>
        <v>-2.1167999999999999E-2</v>
      </c>
      <c r="AC63" s="138">
        <v>2.9665722295991848</v>
      </c>
      <c r="AD63" s="138">
        <v>-2.4744739813702992E-2</v>
      </c>
      <c r="AE63" s="138">
        <f t="shared" si="11"/>
        <v>-3.5767398137029928E-3</v>
      </c>
      <c r="AF63" s="138">
        <f t="shared" si="12"/>
        <v>-0.35767398137029927</v>
      </c>
      <c r="AG63" s="89">
        <v>41604</v>
      </c>
      <c r="AH63" s="180"/>
      <c r="AI63" s="182">
        <v>2</v>
      </c>
      <c r="BF63" s="134">
        <f>BF62+0.1</f>
        <v>0.89999999999999991</v>
      </c>
      <c r="BG63" s="134">
        <f t="shared" si="15"/>
        <v>0.30900000000000027</v>
      </c>
    </row>
    <row r="64" spans="1:60">
      <c r="A64" s="4">
        <v>41605</v>
      </c>
      <c r="B64" s="49">
        <v>-2.3300000000000001E-5</v>
      </c>
      <c r="C64" s="50">
        <v>0.97</v>
      </c>
      <c r="D64" s="49">
        <f t="shared" si="3"/>
        <v>-3.3551999999999998E-2</v>
      </c>
      <c r="E64" s="52">
        <v>1.8367587306052831</v>
      </c>
      <c r="F64" s="52">
        <v>-2.0017350899875722E-2</v>
      </c>
      <c r="G64" s="51">
        <f t="shared" si="13"/>
        <v>1.3534649100124276E-2</v>
      </c>
      <c r="H64" s="51">
        <f t="shared" si="4"/>
        <v>1.3534649100124276</v>
      </c>
      <c r="I64" s="69">
        <v>41605</v>
      </c>
      <c r="J64" s="72">
        <v>-2.2399999999999999E-5</v>
      </c>
      <c r="K64" s="68">
        <v>0.95899999999999996</v>
      </c>
      <c r="L64" s="70">
        <f t="shared" si="5"/>
        <v>-3.2256E-2</v>
      </c>
      <c r="M64" s="70">
        <v>3.0250587306052825</v>
      </c>
      <c r="N64" s="61">
        <v>-5.9915885102689876E-3</v>
      </c>
      <c r="O64" s="62">
        <f t="shared" si="1"/>
        <v>2.6264411489731014E-2</v>
      </c>
      <c r="P64" s="62">
        <f t="shared" si="6"/>
        <v>2.6264411489731012</v>
      </c>
      <c r="Q64" s="89">
        <v>41605</v>
      </c>
      <c r="R64" s="86">
        <v>-2.2500000000000001E-5</v>
      </c>
      <c r="S64" s="90">
        <v>0.92700000000000005</v>
      </c>
      <c r="T64" s="86">
        <f t="shared" si="7"/>
        <v>-3.2400000000000005E-2</v>
      </c>
      <c r="U64" s="107">
        <v>3.4643587306052828</v>
      </c>
      <c r="V64" s="108">
        <v>-9.2028937654903362E-3</v>
      </c>
      <c r="W64" s="94">
        <f t="shared" si="14"/>
        <v>2.3197106234509671E-2</v>
      </c>
      <c r="X64" s="94">
        <f t="shared" si="8"/>
        <v>2.319710623450967</v>
      </c>
      <c r="Y64" s="142">
        <f t="shared" si="9"/>
        <v>41605</v>
      </c>
      <c r="Z64" s="138">
        <v>-1.4E-5</v>
      </c>
      <c r="AA64" s="144">
        <v>0.95799999999999996</v>
      </c>
      <c r="AB64" s="138">
        <f t="shared" si="10"/>
        <v>-2.0160000000000001E-2</v>
      </c>
      <c r="AC64" s="138">
        <v>2.9412587306052838</v>
      </c>
      <c r="AD64" s="138">
        <v>-2.4711292589086269E-2</v>
      </c>
      <c r="AE64" s="138">
        <f t="shared" si="11"/>
        <v>-4.5512925890862678E-3</v>
      </c>
      <c r="AF64" s="138">
        <f t="shared" si="12"/>
        <v>-0.45512925890862677</v>
      </c>
      <c r="AG64" s="89">
        <v>41605</v>
      </c>
      <c r="AH64" s="180"/>
      <c r="AI64" s="182">
        <v>3</v>
      </c>
      <c r="BF64" s="134">
        <f>BF63+0.1</f>
        <v>0.99999999999999989</v>
      </c>
      <c r="BG64" s="134">
        <f t="shared" si="15"/>
        <v>3.7747582837255316E-16</v>
      </c>
    </row>
    <row r="65" spans="1:35">
      <c r="A65" s="4">
        <v>41606</v>
      </c>
      <c r="B65" s="49">
        <v>-1.88E-5</v>
      </c>
      <c r="C65" s="50">
        <v>0.93700000000000006</v>
      </c>
      <c r="D65" s="49">
        <f t="shared" si="3"/>
        <v>-2.7071999999999999E-2</v>
      </c>
      <c r="E65" s="52">
        <v>1.7994634391078965</v>
      </c>
      <c r="F65" s="52">
        <v>-1.9658415508258562E-2</v>
      </c>
      <c r="G65" s="51">
        <f t="shared" si="13"/>
        <v>7.4135844917414366E-3</v>
      </c>
      <c r="H65" s="51">
        <f t="shared" si="4"/>
        <v>0.74135844917414362</v>
      </c>
      <c r="I65" s="69">
        <v>41606</v>
      </c>
      <c r="J65" s="72">
        <v>-2.0000000000000002E-5</v>
      </c>
      <c r="K65" s="68">
        <v>0.72899999999999998</v>
      </c>
      <c r="L65" s="70">
        <f t="shared" si="5"/>
        <v>-2.8800000000000003E-2</v>
      </c>
      <c r="M65" s="70">
        <v>2.9966634391078966</v>
      </c>
      <c r="N65" s="61">
        <v>-5.7808582106220804E-3</v>
      </c>
      <c r="O65" s="62">
        <f t="shared" si="1"/>
        <v>2.3019141789377924E-2</v>
      </c>
      <c r="P65" s="62">
        <f t="shared" si="6"/>
        <v>2.3019141789377926</v>
      </c>
      <c r="Q65" s="89">
        <v>41606</v>
      </c>
      <c r="R65" s="86">
        <v>-2.2900000000000001E-5</v>
      </c>
      <c r="S65" s="90">
        <v>0.878</v>
      </c>
      <c r="T65" s="86">
        <f t="shared" si="7"/>
        <v>-3.2975999999999998E-2</v>
      </c>
      <c r="U65" s="107">
        <v>3.4180634391078977</v>
      </c>
      <c r="V65" s="108">
        <v>-9.1814462374319242E-3</v>
      </c>
      <c r="W65" s="94">
        <f t="shared" si="14"/>
        <v>2.3794553762568074E-2</v>
      </c>
      <c r="X65" s="94">
        <f t="shared" si="8"/>
        <v>2.3794553762568076</v>
      </c>
      <c r="Y65" s="142">
        <f t="shared" si="9"/>
        <v>41606</v>
      </c>
      <c r="Z65" s="138">
        <v>-1.45E-5</v>
      </c>
      <c r="AA65" s="144">
        <v>0.94799999999999995</v>
      </c>
      <c r="AB65" s="138">
        <f t="shared" si="10"/>
        <v>-2.0879999999999999E-2</v>
      </c>
      <c r="AC65" s="138">
        <v>2.9136634391078959</v>
      </c>
      <c r="AD65" s="138">
        <v>-2.465743670119214E-2</v>
      </c>
      <c r="AE65" s="138">
        <f t="shared" si="11"/>
        <v>-3.7774367011921411E-3</v>
      </c>
      <c r="AF65" s="138">
        <f t="shared" si="12"/>
        <v>-0.37774367011921411</v>
      </c>
      <c r="AG65" s="89">
        <v>41606</v>
      </c>
      <c r="AH65" s="180"/>
      <c r="AI65" s="182">
        <v>4</v>
      </c>
    </row>
    <row r="66" spans="1:35">
      <c r="A66" s="4">
        <v>41607</v>
      </c>
      <c r="B66" s="49">
        <v>-2.02E-5</v>
      </c>
      <c r="C66" s="50">
        <v>0.95299999999999996</v>
      </c>
      <c r="D66" s="49">
        <f t="shared" si="3"/>
        <v>-2.9087999999999999E-2</v>
      </c>
      <c r="E66" s="52">
        <v>1.7632726488416055</v>
      </c>
      <c r="F66" s="52">
        <v>-1.929321893795715E-2</v>
      </c>
      <c r="G66" s="51">
        <f t="shared" si="13"/>
        <v>9.794781062042849E-3</v>
      </c>
      <c r="H66" s="51">
        <f t="shared" si="4"/>
        <v>0.97947810620428488</v>
      </c>
      <c r="I66" s="69">
        <v>41607</v>
      </c>
      <c r="J66" s="72">
        <v>-1.7499999999999998E-5</v>
      </c>
      <c r="K66" s="68">
        <v>0.83099999999999996</v>
      </c>
      <c r="L66" s="70">
        <f t="shared" si="5"/>
        <v>-2.5199999999999997E-2</v>
      </c>
      <c r="M66" s="70">
        <v>2.9721726488416049</v>
      </c>
      <c r="N66" s="61">
        <v>-5.5873025602301233E-3</v>
      </c>
      <c r="O66" s="62">
        <f t="shared" si="1"/>
        <v>1.9612697439769872E-2</v>
      </c>
      <c r="P66" s="62">
        <f t="shared" si="6"/>
        <v>1.9612697439769873</v>
      </c>
      <c r="Q66" s="89">
        <v>41607</v>
      </c>
      <c r="R66" s="86">
        <v>-1.88E-5</v>
      </c>
      <c r="S66" s="90">
        <v>0.88600000000000001</v>
      </c>
      <c r="T66" s="86">
        <f t="shared" si="7"/>
        <v>-2.7071999999999999E-2</v>
      </c>
      <c r="U66" s="107">
        <v>3.3739726488416055</v>
      </c>
      <c r="V66" s="108">
        <v>-9.157755775441789E-3</v>
      </c>
      <c r="W66" s="94">
        <f t="shared" si="14"/>
        <v>1.7914244224558208E-2</v>
      </c>
      <c r="X66" s="94">
        <f t="shared" si="8"/>
        <v>1.7914244224558209</v>
      </c>
      <c r="Y66" s="142">
        <f t="shared" si="9"/>
        <v>41607</v>
      </c>
      <c r="Z66" s="138">
        <v>-1.63E-5</v>
      </c>
      <c r="AA66" s="144">
        <v>0.95299999999999996</v>
      </c>
      <c r="AB66" s="138">
        <f t="shared" si="10"/>
        <v>-2.3472E-2</v>
      </c>
      <c r="AC66" s="138">
        <v>2.8870726488416056</v>
      </c>
      <c r="AD66" s="138">
        <v>-2.4587077677420091E-2</v>
      </c>
      <c r="AE66" s="138">
        <f t="shared" si="11"/>
        <v>-1.1150776774200913E-3</v>
      </c>
      <c r="AF66" s="138">
        <f t="shared" si="12"/>
        <v>-0.11150776774200913</v>
      </c>
      <c r="AG66" s="89">
        <v>41607</v>
      </c>
      <c r="AH66" s="180"/>
      <c r="AI66" s="182">
        <v>5</v>
      </c>
    </row>
    <row r="67" spans="1:35">
      <c r="A67" s="4">
        <v>41608</v>
      </c>
      <c r="B67" s="49">
        <v>-2.69E-5</v>
      </c>
      <c r="C67" s="50">
        <v>0.98399999999999999</v>
      </c>
      <c r="D67" s="49">
        <f t="shared" si="3"/>
        <v>-3.8736E-2</v>
      </c>
      <c r="E67" s="52">
        <v>1.7149452480592271</v>
      </c>
      <c r="F67" s="52">
        <v>-1.8777639984443477E-2</v>
      </c>
      <c r="G67" s="51">
        <f t="shared" si="13"/>
        <v>1.9958360015556523E-2</v>
      </c>
      <c r="H67" s="51">
        <f t="shared" si="4"/>
        <v>1.9958360015556522</v>
      </c>
      <c r="I67" s="69">
        <v>41608</v>
      </c>
      <c r="J67" s="72">
        <v>-1.6500000000000001E-5</v>
      </c>
      <c r="K67" s="68">
        <v>0.89900000000000002</v>
      </c>
      <c r="L67" s="70">
        <f t="shared" si="5"/>
        <v>-2.3760000000000003E-2</v>
      </c>
      <c r="M67" s="70">
        <v>2.9501452480592274</v>
      </c>
      <c r="N67" s="63">
        <v>-5.403383692516037E-3</v>
      </c>
      <c r="O67" s="62">
        <f t="shared" si="1"/>
        <v>1.8356616307483968E-2</v>
      </c>
      <c r="P67" s="62">
        <f t="shared" si="6"/>
        <v>1.8356616307483968</v>
      </c>
      <c r="Q67" s="89">
        <v>41608</v>
      </c>
      <c r="R67" s="86">
        <v>-1.7799999999999999E-5</v>
      </c>
      <c r="S67" s="90">
        <v>0.94799999999999995</v>
      </c>
      <c r="T67" s="86">
        <f t="shared" si="7"/>
        <v>-2.5631999999999999E-2</v>
      </c>
      <c r="U67" s="107">
        <v>3.339745248059228</v>
      </c>
      <c r="V67" s="108">
        <v>-9.137027805213525E-3</v>
      </c>
      <c r="W67" s="94">
        <f t="shared" si="14"/>
        <v>1.6494972194786475E-2</v>
      </c>
      <c r="X67" s="94">
        <f t="shared" si="8"/>
        <v>1.6494972194786475</v>
      </c>
      <c r="Y67" s="142">
        <f t="shared" si="9"/>
        <v>41608</v>
      </c>
      <c r="Z67" s="138">
        <v>-1.5400000000000002E-5</v>
      </c>
      <c r="AA67" s="144">
        <v>0.95899999999999996</v>
      </c>
      <c r="AB67" s="138">
        <f t="shared" si="10"/>
        <v>-2.2176000000000001E-2</v>
      </c>
      <c r="AC67" s="138">
        <v>2.8603452480592284</v>
      </c>
      <c r="AD67" s="138">
        <v>-2.4496694247457103E-2</v>
      </c>
      <c r="AE67" s="138">
        <f t="shared" si="11"/>
        <v>-2.3206942474571016E-3</v>
      </c>
      <c r="AF67" s="138">
        <f t="shared" si="12"/>
        <v>-0.23206942474571016</v>
      </c>
      <c r="AG67" s="89">
        <v>41608</v>
      </c>
      <c r="AH67" s="180"/>
      <c r="AI67" s="182">
        <v>6</v>
      </c>
    </row>
    <row r="68" spans="1:35">
      <c r="A68" s="4">
        <v>41609</v>
      </c>
      <c r="B68" s="49">
        <v>-1.0000000000000001E-5</v>
      </c>
      <c r="C68" s="50">
        <v>0.50873000000000002</v>
      </c>
      <c r="D68" s="49">
        <f t="shared" si="3"/>
        <v>-1.4400000000000001E-2</v>
      </c>
      <c r="E68" s="52">
        <v>1.6719742858665225</v>
      </c>
      <c r="F68" s="52">
        <v>-1.8290209318831251E-2</v>
      </c>
      <c r="G68" s="51">
        <f t="shared" si="13"/>
        <v>-3.89020931883125E-3</v>
      </c>
      <c r="H68" s="51">
        <f t="shared" si="4"/>
        <v>-0.38902093188312498</v>
      </c>
      <c r="I68" s="69">
        <v>41609</v>
      </c>
      <c r="J68" s="72">
        <v>-9.9999999999999995E-7</v>
      </c>
      <c r="K68" s="68">
        <v>1.7999999999999999E-2</v>
      </c>
      <c r="L68" s="70">
        <f t="shared" si="5"/>
        <v>-1.4399999999999999E-3</v>
      </c>
      <c r="M68" s="70">
        <v>2.9242742858665238</v>
      </c>
      <c r="N68" s="63">
        <v>-5.1748703267908442E-3</v>
      </c>
      <c r="O68" s="62">
        <f t="shared" si="1"/>
        <v>-3.7348703267908443E-3</v>
      </c>
      <c r="P68" s="62">
        <f t="shared" si="6"/>
        <v>-0.37348703267908445</v>
      </c>
      <c r="Q68" s="89">
        <v>41609</v>
      </c>
      <c r="R68" s="86">
        <v>-1.26E-5</v>
      </c>
      <c r="S68" s="90">
        <v>0.85299999999999998</v>
      </c>
      <c r="T68" s="86">
        <f t="shared" si="7"/>
        <v>-1.8144E-2</v>
      </c>
      <c r="U68" s="107">
        <v>3.3122742858665228</v>
      </c>
      <c r="V68" s="108">
        <v>-9.1188329088064766E-3</v>
      </c>
      <c r="W68" s="94">
        <f t="shared" si="14"/>
        <v>9.0251670911935238E-3</v>
      </c>
      <c r="X68" s="94">
        <f t="shared" si="8"/>
        <v>0.90251670911935233</v>
      </c>
      <c r="Y68" s="142">
        <f t="shared" si="9"/>
        <v>41609</v>
      </c>
      <c r="Z68" s="138">
        <v>-6.0000000000000002E-6</v>
      </c>
      <c r="AA68" s="144">
        <v>0.434</v>
      </c>
      <c r="AB68" s="138">
        <f t="shared" si="10"/>
        <v>-8.6400000000000001E-3</v>
      </c>
      <c r="AC68" s="138">
        <v>2.8344742858665231</v>
      </c>
      <c r="AD68" s="138">
        <v>-2.4389025158820306E-2</v>
      </c>
      <c r="AE68" s="138">
        <f t="shared" si="11"/>
        <v>-1.5749025158820304E-2</v>
      </c>
      <c r="AF68" s="138">
        <f t="shared" si="12"/>
        <v>-1.5749025158820305</v>
      </c>
      <c r="AG68" s="89">
        <v>41609</v>
      </c>
      <c r="AH68" s="180">
        <v>-1</v>
      </c>
      <c r="AI68" s="182">
        <v>0</v>
      </c>
    </row>
    <row r="69" spans="1:35">
      <c r="A69" s="4">
        <v>41610</v>
      </c>
      <c r="B69" s="49">
        <v>-1.0000000000000001E-5</v>
      </c>
      <c r="C69" s="50">
        <v>0.6</v>
      </c>
      <c r="D69" s="49">
        <f t="shared" si="3"/>
        <v>-1.4400000000000001E-2</v>
      </c>
      <c r="E69" s="52">
        <v>1.638650769200066</v>
      </c>
      <c r="F69" s="52">
        <v>-1.7891894406017041E-2</v>
      </c>
      <c r="G69" s="51">
        <f t="shared" si="13"/>
        <v>-3.49189440601704E-3</v>
      </c>
      <c r="H69" s="51">
        <f t="shared" si="4"/>
        <v>-0.34918944060170398</v>
      </c>
      <c r="I69" s="69">
        <v>41610</v>
      </c>
      <c r="J69" s="72">
        <v>6.0000000000000002E-6</v>
      </c>
      <c r="K69" s="68">
        <v>0.184</v>
      </c>
      <c r="L69" s="70">
        <f t="shared" si="5"/>
        <v>8.6400000000000001E-3</v>
      </c>
      <c r="M69" s="70">
        <v>2.9012507692000664</v>
      </c>
      <c r="N69" s="63">
        <v>-4.959574728302398E-3</v>
      </c>
      <c r="O69" s="62">
        <f t="shared" si="1"/>
        <v>-1.3599574728302397E-2</v>
      </c>
      <c r="P69" s="62">
        <f t="shared" si="6"/>
        <v>-1.3599574728302397</v>
      </c>
      <c r="Q69" s="89">
        <v>41610</v>
      </c>
      <c r="R69" s="86">
        <v>1.0000000000000001E-5</v>
      </c>
      <c r="S69" s="90">
        <v>0.33</v>
      </c>
      <c r="T69" s="86">
        <f t="shared" si="7"/>
        <v>1.4400000000000001E-2</v>
      </c>
      <c r="U69" s="107">
        <v>3.2755507692000672</v>
      </c>
      <c r="V69" s="108">
        <v>-9.0922310240528024E-3</v>
      </c>
      <c r="W69" s="94">
        <f t="shared" si="14"/>
        <v>-2.3492231024052804E-2</v>
      </c>
      <c r="X69" s="94">
        <f t="shared" si="8"/>
        <v>-2.3492231024052805</v>
      </c>
      <c r="Y69" s="142">
        <f t="shared" si="9"/>
        <v>41610</v>
      </c>
      <c r="Z69" s="138">
        <v>-7.9999999999999996E-6</v>
      </c>
      <c r="AA69" s="144">
        <v>0.29599999999999999</v>
      </c>
      <c r="AB69" s="138">
        <f t="shared" si="10"/>
        <v>-1.1519999999999999E-2</v>
      </c>
      <c r="AC69" s="138">
        <v>2.808250769200066</v>
      </c>
      <c r="AD69" s="138">
        <v>-2.425812093000387E-2</v>
      </c>
      <c r="AE69" s="138">
        <f t="shared" si="11"/>
        <v>-1.2738120930003871E-2</v>
      </c>
      <c r="AF69" s="138">
        <f t="shared" si="12"/>
        <v>-1.2738120930003871</v>
      </c>
      <c r="AG69" s="89">
        <v>41610</v>
      </c>
      <c r="AH69" s="180">
        <v>-12</v>
      </c>
      <c r="AI69" s="182">
        <v>0</v>
      </c>
    </row>
    <row r="70" spans="1:35">
      <c r="A70" s="4">
        <v>41611</v>
      </c>
      <c r="B70" s="49">
        <v>-1.77E-5</v>
      </c>
      <c r="C70" s="50">
        <v>0.91</v>
      </c>
      <c r="D70" s="49">
        <f t="shared" si="3"/>
        <v>-2.5488E-2</v>
      </c>
      <c r="E70" s="52">
        <v>1.6298924910133441</v>
      </c>
      <c r="F70" s="52">
        <v>-1.7784097684175701E-2</v>
      </c>
      <c r="G70" s="51">
        <f t="shared" si="13"/>
        <v>7.7039023158242993E-3</v>
      </c>
      <c r="H70" s="51">
        <f t="shared" si="4"/>
        <v>0.77039023158242992</v>
      </c>
      <c r="I70" s="69">
        <v>41611</v>
      </c>
      <c r="J70" s="72">
        <v>-3.0000000000000001E-6</v>
      </c>
      <c r="K70" s="68">
        <v>0.152</v>
      </c>
      <c r="L70" s="70">
        <f t="shared" si="5"/>
        <v>-4.3200000000000001E-3</v>
      </c>
      <c r="M70" s="70">
        <v>2.8964924910133441</v>
      </c>
      <c r="N70" s="63">
        <v>-4.9136248411722769E-3</v>
      </c>
      <c r="O70" s="62">
        <f t="shared" si="1"/>
        <v>-5.9362484117227686E-4</v>
      </c>
      <c r="P70" s="62">
        <f t="shared" si="6"/>
        <v>-5.9362484117227686E-2</v>
      </c>
      <c r="Q70" s="89">
        <v>41611</v>
      </c>
      <c r="R70" s="86">
        <v>3.0000000000000001E-6</v>
      </c>
      <c r="S70" s="90">
        <v>8.1000000000000003E-2</v>
      </c>
      <c r="T70" s="86">
        <f t="shared" si="7"/>
        <v>4.3200000000000001E-3</v>
      </c>
      <c r="U70" s="107">
        <v>3.2615924910133449</v>
      </c>
      <c r="V70" s="108">
        <v>-9.0814084029848512E-3</v>
      </c>
      <c r="W70" s="94">
        <f t="shared" si="14"/>
        <v>-1.340140840298485E-2</v>
      </c>
      <c r="X70" s="94">
        <f t="shared" si="8"/>
        <v>-1.3401408402984851</v>
      </c>
      <c r="Y70" s="142">
        <f t="shared" si="9"/>
        <v>41611</v>
      </c>
      <c r="Z70" s="138">
        <v>-6.0000000000000002E-6</v>
      </c>
      <c r="AA70" s="144">
        <v>0.55300000000000005</v>
      </c>
      <c r="AB70" s="138">
        <f t="shared" si="10"/>
        <v>-8.6400000000000001E-3</v>
      </c>
      <c r="AC70" s="138">
        <v>2.797992491013344</v>
      </c>
      <c r="AD70" s="138">
        <v>-2.4200603187421579E-2</v>
      </c>
      <c r="AE70" s="138">
        <f t="shared" si="11"/>
        <v>-1.5560603187421579E-2</v>
      </c>
      <c r="AF70" s="138">
        <f t="shared" si="12"/>
        <v>-1.556060318742158</v>
      </c>
      <c r="AG70" s="89">
        <v>41611</v>
      </c>
      <c r="AH70" s="180">
        <v>-5</v>
      </c>
      <c r="AI70" s="182">
        <v>0</v>
      </c>
    </row>
    <row r="71" spans="1:35">
      <c r="A71" s="4">
        <v>41612</v>
      </c>
      <c r="B71" s="49">
        <v>-1.8E-5</v>
      </c>
      <c r="C71" s="50">
        <v>0.88500000000000001</v>
      </c>
      <c r="D71" s="49">
        <f t="shared" si="3"/>
        <v>-2.5920000000000002E-2</v>
      </c>
      <c r="E71" s="52">
        <v>1.5979663033140761</v>
      </c>
      <c r="F71" s="52">
        <v>-1.7379651917401265E-2</v>
      </c>
      <c r="G71" s="51">
        <f t="shared" si="13"/>
        <v>8.5403480825987366E-3</v>
      </c>
      <c r="H71" s="51">
        <f t="shared" si="4"/>
        <v>0.85403480825987366</v>
      </c>
      <c r="I71" s="69">
        <v>41612</v>
      </c>
      <c r="J71" s="72">
        <v>-1.26E-5</v>
      </c>
      <c r="K71" s="68">
        <v>0.91600000000000004</v>
      </c>
      <c r="L71" s="70">
        <f t="shared" si="5"/>
        <v>-1.8144E-2</v>
      </c>
      <c r="M71" s="70">
        <v>2.8756663033140768</v>
      </c>
      <c r="N71" s="63">
        <v>-4.7064432690479994E-3</v>
      </c>
      <c r="O71" s="62">
        <f t="shared" si="1"/>
        <v>1.3437556730952E-2</v>
      </c>
      <c r="P71" s="62">
        <f t="shared" si="6"/>
        <v>1.3437556730952001</v>
      </c>
      <c r="Q71" s="89">
        <v>41612</v>
      </c>
      <c r="R71" s="86">
        <v>-1.0000000000000001E-5</v>
      </c>
      <c r="S71" s="90">
        <v>0.51</v>
      </c>
      <c r="T71" s="86">
        <f t="shared" si="7"/>
        <v>-1.4400000000000001E-2</v>
      </c>
      <c r="U71" s="107">
        <v>3.2337663033140762</v>
      </c>
      <c r="V71" s="108">
        <v>-9.0586161081764333E-3</v>
      </c>
      <c r="W71" s="94">
        <f t="shared" si="14"/>
        <v>5.341383891823568E-3</v>
      </c>
      <c r="X71" s="94">
        <f t="shared" si="8"/>
        <v>0.53413838918235679</v>
      </c>
      <c r="Y71" s="142">
        <f t="shared" si="9"/>
        <v>41612</v>
      </c>
      <c r="Z71" s="138">
        <v>-1.7E-5</v>
      </c>
      <c r="AA71" s="144">
        <v>0.91400000000000003</v>
      </c>
      <c r="AB71" s="138">
        <f t="shared" si="10"/>
        <v>-2.4479999999999998E-2</v>
      </c>
      <c r="AC71" s="138">
        <v>2.7761663033140755</v>
      </c>
      <c r="AD71" s="138">
        <v>-2.4065776094920867E-2</v>
      </c>
      <c r="AE71" s="138">
        <f t="shared" si="11"/>
        <v>4.1422390507913145E-4</v>
      </c>
      <c r="AF71" s="138">
        <f t="shared" si="12"/>
        <v>4.1422390507913145E-2</v>
      </c>
      <c r="AG71" s="89">
        <v>41612</v>
      </c>
      <c r="AH71" s="180">
        <v>-2</v>
      </c>
      <c r="AI71" s="182">
        <v>0</v>
      </c>
    </row>
    <row r="72" spans="1:35">
      <c r="A72" s="4">
        <v>41613</v>
      </c>
      <c r="B72" s="49">
        <v>-1.88E-5</v>
      </c>
      <c r="C72" s="50">
        <v>0.94199999999999995</v>
      </c>
      <c r="D72" s="49">
        <f t="shared" si="3"/>
        <v>-2.7071999999999999E-2</v>
      </c>
      <c r="E72" s="52">
        <v>1.567169367742697</v>
      </c>
      <c r="F72" s="52">
        <v>-1.697157979407167E-2</v>
      </c>
      <c r="G72" s="51">
        <f t="shared" si="13"/>
        <v>1.0100420205928329E-2</v>
      </c>
      <c r="H72" s="51">
        <f t="shared" si="4"/>
        <v>1.0100420205928329</v>
      </c>
      <c r="I72" s="69">
        <v>41613</v>
      </c>
      <c r="J72" s="72">
        <v>-1.6200000000000001E-5</v>
      </c>
      <c r="K72" s="68">
        <v>0.94099999999999995</v>
      </c>
      <c r="L72" s="70">
        <f t="shared" si="5"/>
        <v>-2.3328000000000002E-2</v>
      </c>
      <c r="M72" s="70">
        <v>2.8481693677426971</v>
      </c>
      <c r="N72" s="63">
        <v>-4.4171931079289078E-3</v>
      </c>
      <c r="O72" s="62">
        <f t="shared" si="1"/>
        <v>1.8910806892071093E-2</v>
      </c>
      <c r="P72" s="62">
        <f t="shared" si="6"/>
        <v>1.8910806892071093</v>
      </c>
      <c r="Q72" s="89">
        <v>41613</v>
      </c>
      <c r="R72" s="86">
        <v>-1.4100000000000001E-5</v>
      </c>
      <c r="S72" s="90">
        <v>0.91400000000000003</v>
      </c>
      <c r="T72" s="86">
        <f t="shared" si="7"/>
        <v>-2.0303999999999999E-2</v>
      </c>
      <c r="U72" s="107">
        <v>3.2027693677426976</v>
      </c>
      <c r="V72" s="108">
        <v>-9.0312453038928712E-3</v>
      </c>
      <c r="W72" s="94">
        <f t="shared" si="14"/>
        <v>1.1272754696107128E-2</v>
      </c>
      <c r="X72" s="94">
        <f t="shared" si="8"/>
        <v>1.1272754696107128</v>
      </c>
      <c r="Y72" s="142">
        <f t="shared" si="9"/>
        <v>41613</v>
      </c>
      <c r="Z72" s="138">
        <v>-1.2999999999999999E-5</v>
      </c>
      <c r="AA72" s="144">
        <v>0.94099999999999995</v>
      </c>
      <c r="AB72" s="138">
        <f t="shared" si="10"/>
        <v>-1.8720000000000001E-2</v>
      </c>
      <c r="AC72" s="138">
        <v>2.7505693677426968</v>
      </c>
      <c r="AD72" s="138">
        <v>-2.38849129679547E-2</v>
      </c>
      <c r="AE72" s="138">
        <f t="shared" si="11"/>
        <v>-5.1649129679546997E-3</v>
      </c>
      <c r="AF72" s="138">
        <f t="shared" si="12"/>
        <v>-0.51649129679547001</v>
      </c>
      <c r="AG72" s="89">
        <v>41613</v>
      </c>
      <c r="AH72" s="180"/>
      <c r="AI72" s="182">
        <v>1</v>
      </c>
    </row>
    <row r="73" spans="1:35">
      <c r="A73" s="4">
        <v>41614</v>
      </c>
      <c r="B73" s="49">
        <v>-1.59E-5</v>
      </c>
      <c r="C73" s="50">
        <v>0.95699999999999996</v>
      </c>
      <c r="D73" s="49">
        <f t="shared" si="3"/>
        <v>-2.2896E-2</v>
      </c>
      <c r="E73" s="52">
        <v>1.5350550443621054</v>
      </c>
      <c r="F73" s="52">
        <v>-1.6526062237984286E-2</v>
      </c>
      <c r="G73" s="51">
        <f t="shared" si="13"/>
        <v>6.3699377620157135E-3</v>
      </c>
      <c r="H73" s="51">
        <f t="shared" si="4"/>
        <v>0.63699377620157138</v>
      </c>
      <c r="I73" s="69">
        <v>41614</v>
      </c>
      <c r="J73" s="72">
        <v>-1.5299999999999999E-5</v>
      </c>
      <c r="K73" s="68">
        <v>0.96599999999999997</v>
      </c>
      <c r="L73" s="70">
        <f t="shared" si="5"/>
        <v>-2.2032E-2</v>
      </c>
      <c r="M73" s="70">
        <v>2.8178550443621067</v>
      </c>
      <c r="N73" s="63">
        <v>-4.0764026002900024E-3</v>
      </c>
      <c r="O73" s="62">
        <f t="shared" si="1"/>
        <v>1.7955597399709998E-2</v>
      </c>
      <c r="P73" s="62">
        <f t="shared" si="6"/>
        <v>1.7955597399709997</v>
      </c>
      <c r="Q73" s="89">
        <v>41614</v>
      </c>
      <c r="R73" s="86">
        <v>-1.6900000000000001E-5</v>
      </c>
      <c r="S73" s="90">
        <v>0.93300000000000005</v>
      </c>
      <c r="T73" s="86">
        <f t="shared" si="7"/>
        <v>-2.4336E-2</v>
      </c>
      <c r="U73" s="107">
        <v>3.1658550443621065</v>
      </c>
      <c r="V73" s="108">
        <v>-8.9957874556789458E-3</v>
      </c>
      <c r="W73" s="94">
        <f t="shared" si="14"/>
        <v>1.5340212544321054E-2</v>
      </c>
      <c r="X73" s="94">
        <f t="shared" si="8"/>
        <v>1.5340212544321055</v>
      </c>
      <c r="Y73" s="142">
        <f t="shared" si="9"/>
        <v>41614</v>
      </c>
      <c r="Z73" s="138">
        <v>-2.0800000000000001E-5</v>
      </c>
      <c r="AA73" s="144">
        <v>0.97799999999999998</v>
      </c>
      <c r="AB73" s="138">
        <f t="shared" si="10"/>
        <v>-2.9951999999999999E-2</v>
      </c>
      <c r="AC73" s="138">
        <v>2.7202550443621063</v>
      </c>
      <c r="AD73" s="138">
        <v>-2.3636636184015351E-2</v>
      </c>
      <c r="AE73" s="138">
        <f t="shared" si="11"/>
        <v>6.3153638159846488E-3</v>
      </c>
      <c r="AF73" s="138">
        <f t="shared" si="12"/>
        <v>0.63153638159846492</v>
      </c>
      <c r="AG73" s="89">
        <v>41614</v>
      </c>
      <c r="AH73" s="180"/>
      <c r="AI73" s="182">
        <v>2</v>
      </c>
    </row>
    <row r="74" spans="1:35">
      <c r="A74" s="4">
        <v>41615</v>
      </c>
      <c r="B74" s="49">
        <v>-1.2500000000000001E-5</v>
      </c>
      <c r="C74" s="50">
        <v>0.91500000000000004</v>
      </c>
      <c r="D74" s="49">
        <f t="shared" si="3"/>
        <v>-1.8000000000000002E-2</v>
      </c>
      <c r="E74" s="52">
        <v>1.5037257992832953</v>
      </c>
      <c r="F74" s="52">
        <v>-1.6070457875798052E-2</v>
      </c>
      <c r="G74" s="51">
        <f t="shared" si="13"/>
        <v>1.9295421242019502E-3</v>
      </c>
      <c r="H74" s="51">
        <f t="shared" si="4"/>
        <v>0.192954212420195</v>
      </c>
      <c r="I74" s="69">
        <v>41615</v>
      </c>
      <c r="J74" s="72">
        <v>-1.7200000000000001E-5</v>
      </c>
      <c r="K74" s="68">
        <v>0.96799999999999997</v>
      </c>
      <c r="L74" s="70">
        <f t="shared" si="5"/>
        <v>-2.4768000000000002E-2</v>
      </c>
      <c r="M74" s="70">
        <v>2.7797257992832947</v>
      </c>
      <c r="N74" s="63">
        <v>-3.6128326141423683E-3</v>
      </c>
      <c r="O74" s="62">
        <f t="shared" si="1"/>
        <v>2.1155167385857633E-2</v>
      </c>
      <c r="P74" s="62">
        <f t="shared" si="6"/>
        <v>2.1155167385857632</v>
      </c>
      <c r="Q74" s="89">
        <v>41615</v>
      </c>
      <c r="R74" s="86">
        <v>-2.1100000000000001E-5</v>
      </c>
      <c r="S74" s="90">
        <v>0.91300000000000003</v>
      </c>
      <c r="T74" s="86">
        <f t="shared" si="7"/>
        <v>-3.0384000000000001E-2</v>
      </c>
      <c r="U74" s="107">
        <v>3.1260257992832949</v>
      </c>
      <c r="V74" s="108">
        <v>-8.9538399910019904E-3</v>
      </c>
      <c r="W74" s="94">
        <f t="shared" si="14"/>
        <v>2.1430160008998011E-2</v>
      </c>
      <c r="X74" s="94">
        <f t="shared" si="8"/>
        <v>2.1430160008998009</v>
      </c>
      <c r="Y74" s="142">
        <f t="shared" si="9"/>
        <v>41615</v>
      </c>
      <c r="Z74" s="138">
        <v>-2.27E-5</v>
      </c>
      <c r="AA74" s="144">
        <v>0.96599999999999997</v>
      </c>
      <c r="AB74" s="138">
        <f t="shared" si="10"/>
        <v>-3.2688000000000002E-2</v>
      </c>
      <c r="AC74" s="138">
        <v>2.6826257992832949</v>
      </c>
      <c r="AD74" s="138">
        <v>-2.3272470917886083E-2</v>
      </c>
      <c r="AE74" s="138">
        <f t="shared" si="11"/>
        <v>9.4155290821139187E-3</v>
      </c>
      <c r="AF74" s="138">
        <f t="shared" si="12"/>
        <v>0.94155290821139181</v>
      </c>
      <c r="AG74" s="89">
        <v>41615</v>
      </c>
      <c r="AH74" s="180"/>
      <c r="AI74" s="182">
        <v>3</v>
      </c>
    </row>
    <row r="75" spans="1:35">
      <c r="A75" s="4">
        <v>41616</v>
      </c>
      <c r="B75" s="49">
        <v>-1.5099999999999999E-5</v>
      </c>
      <c r="C75" s="50">
        <v>0.90400000000000003</v>
      </c>
      <c r="D75" s="49">
        <f t="shared" si="3"/>
        <v>-2.1743999999999999E-2</v>
      </c>
      <c r="E75" s="52">
        <v>1.4761350043176198</v>
      </c>
      <c r="F75" s="52">
        <v>-1.5650936395939039E-2</v>
      </c>
      <c r="G75" s="51">
        <f t="shared" si="13"/>
        <v>6.0930636040609602E-3</v>
      </c>
      <c r="H75" s="51">
        <f t="shared" si="4"/>
        <v>0.60930636040609598</v>
      </c>
      <c r="I75" s="69">
        <v>41616</v>
      </c>
      <c r="J75" s="72">
        <v>-1.8099999999999999E-5</v>
      </c>
      <c r="K75" s="68">
        <v>0.95399999999999996</v>
      </c>
      <c r="L75" s="70">
        <f t="shared" si="5"/>
        <v>-2.6064E-2</v>
      </c>
      <c r="M75" s="70">
        <v>2.7452350043176192</v>
      </c>
      <c r="N75" s="63">
        <v>-3.1574114683453947E-3</v>
      </c>
      <c r="O75" s="62">
        <f t="shared" si="1"/>
        <v>2.2906588531654604E-2</v>
      </c>
      <c r="P75" s="62">
        <f t="shared" si="6"/>
        <v>2.2906588531654606</v>
      </c>
      <c r="Q75" s="89">
        <v>41616</v>
      </c>
      <c r="R75" s="86">
        <v>-2.1299999999999999E-5</v>
      </c>
      <c r="S75" s="90">
        <v>0.98299999999999998</v>
      </c>
      <c r="T75" s="86">
        <f t="shared" si="7"/>
        <v>-3.0671999999999998E-2</v>
      </c>
      <c r="U75" s="107">
        <v>3.0964350043176188</v>
      </c>
      <c r="V75" s="108">
        <v>-8.9200549733784076E-3</v>
      </c>
      <c r="W75" s="94">
        <f t="shared" si="14"/>
        <v>2.1751945026621589E-2</v>
      </c>
      <c r="X75" s="94">
        <f t="shared" si="8"/>
        <v>2.1751945026621589</v>
      </c>
      <c r="Y75" s="142">
        <f t="shared" si="9"/>
        <v>41616</v>
      </c>
      <c r="Z75" s="138">
        <v>-2.1800000000000001E-5</v>
      </c>
      <c r="AA75" s="144">
        <v>0.95599999999999996</v>
      </c>
      <c r="AB75" s="138">
        <f t="shared" si="10"/>
        <v>-3.1392000000000003E-2</v>
      </c>
      <c r="AC75" s="138">
        <v>2.6472350043176198</v>
      </c>
      <c r="AD75" s="138">
        <v>-2.2867811302829315E-2</v>
      </c>
      <c r="AE75" s="138">
        <f t="shared" si="11"/>
        <v>8.5241886971706878E-3</v>
      </c>
      <c r="AF75" s="138">
        <f t="shared" si="12"/>
        <v>0.85241886971706882</v>
      </c>
      <c r="AG75" s="89">
        <v>41616</v>
      </c>
      <c r="AH75" s="180"/>
      <c r="AI75" s="182">
        <v>4</v>
      </c>
    </row>
    <row r="76" spans="1:35">
      <c r="A76" s="4">
        <v>41617</v>
      </c>
      <c r="B76" s="49">
        <v>-1.26E-5</v>
      </c>
      <c r="C76" s="50">
        <v>0.89500000000000002</v>
      </c>
      <c r="D76" s="49">
        <f t="shared" si="3"/>
        <v>-1.8144E-2</v>
      </c>
      <c r="E76" s="52">
        <v>1.4483703853027508</v>
      </c>
      <c r="F76" s="52">
        <v>-1.5210386406662254E-2</v>
      </c>
      <c r="G76" s="51">
        <f t="shared" si="13"/>
        <v>2.9336135933377468E-3</v>
      </c>
      <c r="H76" s="51">
        <f t="shared" si="4"/>
        <v>0.29336135933377466</v>
      </c>
      <c r="I76" s="69">
        <v>41617</v>
      </c>
      <c r="J76" s="72">
        <v>-1.9300000000000002E-5</v>
      </c>
      <c r="K76" s="68">
        <v>0.97599999999999998</v>
      </c>
      <c r="L76" s="70">
        <f t="shared" si="5"/>
        <v>-2.7792000000000001E-2</v>
      </c>
      <c r="M76" s="70">
        <v>2.7107703853027498</v>
      </c>
      <c r="N76" s="63">
        <v>-2.665346807613927E-3</v>
      </c>
      <c r="O76" s="62">
        <f t="shared" si="1"/>
        <v>2.5126653192386075E-2</v>
      </c>
      <c r="P76" s="62">
        <f t="shared" si="6"/>
        <v>2.5126653192386073</v>
      </c>
      <c r="Q76" s="89">
        <v>41617</v>
      </c>
      <c r="R76" s="86">
        <v>-1.9899999999999999E-5</v>
      </c>
      <c r="S76" s="90">
        <v>0.97799999999999998</v>
      </c>
      <c r="T76" s="86">
        <f t="shared" si="7"/>
        <v>-2.8655999999999997E-2</v>
      </c>
      <c r="U76" s="107">
        <v>3.0696703853027509</v>
      </c>
      <c r="V76" s="108">
        <v>-8.8874734560310843E-3</v>
      </c>
      <c r="W76" s="94">
        <f t="shared" si="14"/>
        <v>1.9768526543968913E-2</v>
      </c>
      <c r="X76" s="94">
        <f t="shared" si="8"/>
        <v>1.9768526543968914</v>
      </c>
      <c r="Y76" s="142">
        <f t="shared" si="9"/>
        <v>41617</v>
      </c>
      <c r="Z76" s="138">
        <v>-2.0100000000000001E-5</v>
      </c>
      <c r="AA76" s="144">
        <v>0.97299999999999998</v>
      </c>
      <c r="AB76" s="138">
        <f t="shared" si="10"/>
        <v>-2.8944000000000001E-2</v>
      </c>
      <c r="AC76" s="138">
        <v>2.6114703853027499</v>
      </c>
      <c r="AD76" s="138">
        <v>-2.2391303400716555E-2</v>
      </c>
      <c r="AE76" s="138">
        <f t="shared" si="11"/>
        <v>6.552696599283446E-3</v>
      </c>
      <c r="AF76" s="138">
        <f t="shared" si="12"/>
        <v>0.65526965992834463</v>
      </c>
      <c r="AG76" s="89">
        <v>41617</v>
      </c>
      <c r="AH76" s="180"/>
      <c r="AI76" s="182">
        <v>5</v>
      </c>
    </row>
    <row r="77" spans="1:35">
      <c r="A77" s="4">
        <v>41618</v>
      </c>
      <c r="B77" s="49">
        <v>-1.2099999999999999E-5</v>
      </c>
      <c r="C77" s="50">
        <v>0.86799999999999999</v>
      </c>
      <c r="D77" s="49">
        <f t="shared" si="3"/>
        <v>-1.7423999999999999E-2</v>
      </c>
      <c r="E77" s="52">
        <v>1.4215358193055381</v>
      </c>
      <c r="F77" s="52">
        <v>-1.476599013026521E-2</v>
      </c>
      <c r="G77" s="51">
        <f t="shared" si="13"/>
        <v>2.6580098697347888E-3</v>
      </c>
      <c r="H77" s="51">
        <f t="shared" si="4"/>
        <v>0.26580098697347887</v>
      </c>
      <c r="I77" s="69">
        <v>41618</v>
      </c>
      <c r="J77" s="72">
        <v>-1.6099999999999998E-5</v>
      </c>
      <c r="K77" s="68">
        <v>0.91200000000000003</v>
      </c>
      <c r="L77" s="70">
        <f t="shared" si="5"/>
        <v>-2.3183999999999996E-2</v>
      </c>
      <c r="M77" s="70">
        <v>2.6747358193055391</v>
      </c>
      <c r="N77" s="63">
        <v>-2.1081877822585996E-3</v>
      </c>
      <c r="O77" s="62">
        <f t="shared" si="1"/>
        <v>2.1075812217741397E-2</v>
      </c>
      <c r="P77" s="62">
        <f t="shared" si="6"/>
        <v>2.1075812217741396</v>
      </c>
      <c r="Q77" s="89">
        <v>41618</v>
      </c>
      <c r="R77" s="86">
        <v>-1.9400000000000001E-5</v>
      </c>
      <c r="S77" s="90">
        <v>0.98099999999999998</v>
      </c>
      <c r="T77" s="86">
        <f t="shared" si="7"/>
        <v>-2.7936000000000002E-2</v>
      </c>
      <c r="U77" s="107">
        <v>3.0310358193055391</v>
      </c>
      <c r="V77" s="108">
        <v>-8.8368790957634186E-3</v>
      </c>
      <c r="W77" s="94">
        <f t="shared" si="14"/>
        <v>1.9099120904236586E-2</v>
      </c>
      <c r="X77" s="94">
        <f t="shared" si="8"/>
        <v>1.9099120904236586</v>
      </c>
      <c r="Y77" s="142">
        <f t="shared" si="9"/>
        <v>41618</v>
      </c>
      <c r="Z77" s="138">
        <v>-2.0000000000000002E-5</v>
      </c>
      <c r="AA77" s="144">
        <v>0.96799999999999997</v>
      </c>
      <c r="AB77" s="138">
        <f t="shared" si="10"/>
        <v>-2.8800000000000003E-2</v>
      </c>
      <c r="AC77" s="138">
        <v>2.5763358193055388</v>
      </c>
      <c r="AD77" s="138">
        <v>-2.1850316505784336E-2</v>
      </c>
      <c r="AE77" s="138">
        <f t="shared" si="11"/>
        <v>6.9496834942156666E-3</v>
      </c>
      <c r="AF77" s="138">
        <f t="shared" si="12"/>
        <v>0.6949683494215666</v>
      </c>
      <c r="AG77" s="89">
        <v>41618</v>
      </c>
      <c r="AH77" s="180"/>
      <c r="AI77" s="182">
        <v>6</v>
      </c>
    </row>
    <row r="78" spans="1:35">
      <c r="A78" s="4">
        <v>41619</v>
      </c>
      <c r="B78" s="49">
        <v>-1.5E-5</v>
      </c>
      <c r="C78" s="50">
        <v>0.92100000000000004</v>
      </c>
      <c r="D78" s="49">
        <f t="shared" si="3"/>
        <v>-2.1600000000000001E-2</v>
      </c>
      <c r="E78" s="52">
        <v>1.394499628031872</v>
      </c>
      <c r="F78" s="52">
        <v>-1.4298611500082459E-2</v>
      </c>
      <c r="G78" s="51">
        <f t="shared" si="13"/>
        <v>7.3013884999175421E-3</v>
      </c>
      <c r="H78" s="51">
        <f t="shared" si="4"/>
        <v>0.73013884999175416</v>
      </c>
      <c r="I78" s="69">
        <v>41619</v>
      </c>
      <c r="J78" s="72">
        <v>-2.09E-5</v>
      </c>
      <c r="K78" s="68">
        <v>0.96599999999999997</v>
      </c>
      <c r="L78" s="70">
        <f t="shared" si="5"/>
        <v>-3.0096000000000001E-2</v>
      </c>
      <c r="M78" s="70">
        <v>2.6353996280318732</v>
      </c>
      <c r="N78" s="63">
        <v>-1.4459856932844163E-3</v>
      </c>
      <c r="O78" s="62">
        <f t="shared" si="1"/>
        <v>2.8650014306715585E-2</v>
      </c>
      <c r="P78" s="62">
        <f t="shared" si="6"/>
        <v>2.8650014306715583</v>
      </c>
      <c r="Q78" s="89">
        <v>41619</v>
      </c>
      <c r="R78" s="86">
        <v>-2.1100000000000001E-5</v>
      </c>
      <c r="S78" s="90">
        <v>0.91300000000000003</v>
      </c>
      <c r="T78" s="86">
        <v>0.99099999999999999</v>
      </c>
      <c r="U78" s="107">
        <v>2.9960996280318719</v>
      </c>
      <c r="V78" s="108">
        <v>-8.7873054763962614E-3</v>
      </c>
      <c r="W78" s="94">
        <f t="shared" si="14"/>
        <v>-0.99978730547639627</v>
      </c>
      <c r="X78" s="94">
        <f t="shared" si="8"/>
        <v>-99.978730547639628</v>
      </c>
      <c r="Y78" s="142">
        <f t="shared" si="9"/>
        <v>41619</v>
      </c>
      <c r="Z78" s="138">
        <v>-2.7100000000000001E-5</v>
      </c>
      <c r="AA78" s="144">
        <v>0.96199999999999997</v>
      </c>
      <c r="AB78" s="138">
        <f t="shared" si="10"/>
        <v>-3.9024000000000003E-2</v>
      </c>
      <c r="AC78" s="138">
        <v>2.539699628031872</v>
      </c>
      <c r="AD78" s="138">
        <v>-2.1201339216117734E-2</v>
      </c>
      <c r="AE78" s="138">
        <f t="shared" si="11"/>
        <v>1.7822660783882269E-2</v>
      </c>
      <c r="AF78" s="138">
        <f t="shared" si="12"/>
        <v>1.7822660783882269</v>
      </c>
      <c r="AG78" s="89">
        <v>41619</v>
      </c>
      <c r="AH78" s="180"/>
      <c r="AI78" s="182">
        <v>7</v>
      </c>
    </row>
    <row r="79" spans="1:35">
      <c r="A79" s="4">
        <v>41620</v>
      </c>
      <c r="B79" s="49">
        <v>-9.7799999999999995E-6</v>
      </c>
      <c r="C79" s="50">
        <v>0.82899999999999996</v>
      </c>
      <c r="D79" s="49">
        <f t="shared" si="3"/>
        <v>-1.4083199999999999E-2</v>
      </c>
      <c r="E79" s="52">
        <v>1.3708202734430697</v>
      </c>
      <c r="F79" s="52">
        <v>-1.3872093669721634E-2</v>
      </c>
      <c r="G79" s="51">
        <f t="shared" si="13"/>
        <v>2.1110633027836452E-4</v>
      </c>
      <c r="H79" s="51">
        <f t="shared" si="4"/>
        <v>2.1110633027836452E-2</v>
      </c>
      <c r="I79" s="69">
        <v>41620</v>
      </c>
      <c r="J79" s="72">
        <v>-2.73E-5</v>
      </c>
      <c r="K79" s="68">
        <v>0.97499999999999998</v>
      </c>
      <c r="L79" s="70">
        <f t="shared" si="5"/>
        <v>-3.9312E-2</v>
      </c>
      <c r="M79" s="70">
        <v>2.5918202734430693</v>
      </c>
      <c r="N79" s="63">
        <v>-7.5930492003119167E-4</v>
      </c>
      <c r="O79" s="62">
        <f t="shared" si="1"/>
        <v>3.8552695079968807E-2</v>
      </c>
      <c r="P79" s="62">
        <f t="shared" si="6"/>
        <v>3.8552695079968808</v>
      </c>
      <c r="Q79" s="89">
        <v>41620</v>
      </c>
      <c r="R79" s="86">
        <v>-2.1299999999999999E-5</v>
      </c>
      <c r="S79" s="90">
        <v>0.98299999999999998</v>
      </c>
      <c r="T79" s="86">
        <f t="shared" si="7"/>
        <v>-3.0671999999999998E-2</v>
      </c>
      <c r="U79" s="107">
        <v>2.9535202734430692</v>
      </c>
      <c r="V79" s="108">
        <v>-8.7216643255130753E-3</v>
      </c>
      <c r="W79" s="94">
        <f t="shared" si="14"/>
        <v>2.1950335674486923E-2</v>
      </c>
      <c r="X79" s="94">
        <f t="shared" si="8"/>
        <v>2.195033567448692</v>
      </c>
      <c r="Y79" s="142">
        <f t="shared" si="9"/>
        <v>41620</v>
      </c>
      <c r="Z79" s="138">
        <v>-2.1100000000000001E-5</v>
      </c>
      <c r="AA79" s="144">
        <v>0.96699999999999997</v>
      </c>
      <c r="AB79" s="138">
        <f t="shared" si="10"/>
        <v>-3.0384000000000001E-2</v>
      </c>
      <c r="AC79" s="138">
        <v>2.5019202734430688</v>
      </c>
      <c r="AD79" s="138">
        <v>-2.0431771408564895E-2</v>
      </c>
      <c r="AE79" s="138">
        <f t="shared" si="11"/>
        <v>9.9522285914351062E-3</v>
      </c>
      <c r="AF79" s="138">
        <f t="shared" si="12"/>
        <v>0.99522285914351061</v>
      </c>
      <c r="AG79" s="89">
        <v>41620</v>
      </c>
      <c r="AH79" s="180"/>
      <c r="AI79" s="182">
        <v>8</v>
      </c>
    </row>
    <row r="80" spans="1:35">
      <c r="A80" s="4">
        <v>41621</v>
      </c>
      <c r="B80" s="49">
        <v>-1.03E-5</v>
      </c>
      <c r="C80" s="50">
        <v>0.20699999999999999</v>
      </c>
      <c r="D80" s="49">
        <f t="shared" si="3"/>
        <v>-1.4832E-2</v>
      </c>
      <c r="E80" s="52">
        <v>1.3670572820543492</v>
      </c>
      <c r="F80" s="52">
        <v>-1.3802775069150437E-2</v>
      </c>
      <c r="G80" s="51">
        <f t="shared" si="13"/>
        <v>1.0292249308495628E-3</v>
      </c>
      <c r="H80" s="51">
        <f t="shared" si="4"/>
        <v>0.10292249308495628</v>
      </c>
      <c r="I80" s="69">
        <v>41621</v>
      </c>
      <c r="J80" s="72">
        <v>2.62E-5</v>
      </c>
      <c r="K80" s="68">
        <v>0.79800000000000004</v>
      </c>
      <c r="L80" s="70">
        <f t="shared" si="5"/>
        <v>3.7727999999999998E-2</v>
      </c>
      <c r="M80" s="70">
        <v>2.588757282054349</v>
      </c>
      <c r="N80" s="63">
        <v>-7.5916511839244918E-4</v>
      </c>
      <c r="O80" s="62">
        <f t="shared" si="1"/>
        <v>-3.8487165118392445E-2</v>
      </c>
      <c r="P80" s="62">
        <f t="shared" si="6"/>
        <v>-3.8487165118392443</v>
      </c>
      <c r="Q80" s="89">
        <v>41621</v>
      </c>
      <c r="R80" s="86">
        <v>-6.0000000000000002E-6</v>
      </c>
      <c r="S80" s="90">
        <v>0.16900000000000001</v>
      </c>
      <c r="T80" s="86">
        <f t="shared" si="7"/>
        <v>-8.6400000000000001E-3</v>
      </c>
      <c r="U80" s="107">
        <v>2.9459572820543505</v>
      </c>
      <c r="V80" s="108">
        <v>-8.7093771878579366E-3</v>
      </c>
      <c r="W80" s="94">
        <f t="shared" si="14"/>
        <v>-6.9377187857936479E-5</v>
      </c>
      <c r="X80" s="94">
        <f t="shared" si="8"/>
        <v>-6.9377187857936479E-3</v>
      </c>
      <c r="Y80" s="142">
        <f t="shared" si="9"/>
        <v>41621</v>
      </c>
      <c r="Z80" s="138">
        <v>1.11E-5</v>
      </c>
      <c r="AA80" s="144">
        <v>0.44</v>
      </c>
      <c r="AB80" s="138">
        <f t="shared" si="10"/>
        <v>1.5984000000000002E-2</v>
      </c>
      <c r="AC80" s="138">
        <v>2.4986572820543489</v>
      </c>
      <c r="AD80" s="138">
        <v>-2.0360173030996388E-2</v>
      </c>
      <c r="AE80" s="138">
        <f t="shared" si="11"/>
        <v>-3.6344173030996393E-2</v>
      </c>
      <c r="AF80" s="138">
        <f t="shared" si="12"/>
        <v>-3.6344173030996392</v>
      </c>
      <c r="AG80" s="89">
        <v>41621</v>
      </c>
      <c r="AH80" s="180">
        <v>-14</v>
      </c>
      <c r="AI80" s="182">
        <v>0</v>
      </c>
    </row>
    <row r="81" spans="1:58">
      <c r="A81" s="4">
        <v>41622</v>
      </c>
      <c r="B81" s="49">
        <v>-1.31E-5</v>
      </c>
      <c r="C81" s="50">
        <v>0.93</v>
      </c>
      <c r="D81" s="49">
        <f t="shared" si="3"/>
        <v>-1.8863999999999999E-2</v>
      </c>
      <c r="E81" s="52">
        <v>1.3745521919043875</v>
      </c>
      <c r="F81" s="52">
        <v>-1.3940416677820325E-2</v>
      </c>
      <c r="G81" s="51">
        <f t="shared" si="13"/>
        <v>4.923583322179674E-3</v>
      </c>
      <c r="H81" s="51">
        <f t="shared" si="4"/>
        <v>0.49235833221796743</v>
      </c>
      <c r="I81" s="69">
        <v>41622</v>
      </c>
      <c r="J81" s="72">
        <v>-1.31E-5</v>
      </c>
      <c r="K81" s="68">
        <v>0.876</v>
      </c>
      <c r="L81" s="70">
        <f t="shared" si="5"/>
        <v>-1.8863999999999999E-2</v>
      </c>
      <c r="M81" s="70">
        <v>2.6219521919043878</v>
      </c>
      <c r="N81" s="63">
        <v>-1.2058056972454173E-3</v>
      </c>
      <c r="O81" s="62">
        <f t="shared" si="1"/>
        <v>1.765819430275458E-2</v>
      </c>
      <c r="P81" s="62">
        <f t="shared" si="6"/>
        <v>1.765819430275458</v>
      </c>
      <c r="Q81" s="89">
        <v>41622</v>
      </c>
      <c r="R81" s="86">
        <v>-9.9999999999999995E-7</v>
      </c>
      <c r="S81" s="90">
        <v>7.3999999999999996E-2</v>
      </c>
      <c r="T81" s="86">
        <f t="shared" si="7"/>
        <v>-1.4399999999999999E-3</v>
      </c>
      <c r="U81" s="107">
        <v>2.9589521919043884</v>
      </c>
      <c r="V81" s="108">
        <v>-8.7303700252423788E-3</v>
      </c>
      <c r="W81" s="94">
        <f t="shared" si="14"/>
        <v>-7.2903700252423785E-3</v>
      </c>
      <c r="X81" s="94">
        <f t="shared" si="8"/>
        <v>-0.72903700252423786</v>
      </c>
      <c r="Y81" s="142">
        <f t="shared" si="9"/>
        <v>41622</v>
      </c>
      <c r="Z81" s="138">
        <v>-8.5299999999999996E-6</v>
      </c>
      <c r="AA81" s="144">
        <v>0.871</v>
      </c>
      <c r="AB81" s="138">
        <f t="shared" si="10"/>
        <v>-1.2283199999999999E-2</v>
      </c>
      <c r="AC81" s="138">
        <v>2.5224521919043883</v>
      </c>
      <c r="AD81" s="138">
        <v>-2.0863280111500584E-2</v>
      </c>
      <c r="AE81" s="138">
        <f t="shared" si="11"/>
        <v>-8.5800801115005852E-3</v>
      </c>
      <c r="AF81" s="138">
        <f t="shared" si="12"/>
        <v>-0.85800801115005854</v>
      </c>
      <c r="AG81" s="89">
        <v>41622</v>
      </c>
      <c r="AH81" s="180">
        <v>-1</v>
      </c>
      <c r="AI81" s="182">
        <v>0</v>
      </c>
    </row>
    <row r="82" spans="1:58">
      <c r="A82" s="4">
        <v>41623</v>
      </c>
      <c r="B82" s="49">
        <v>-1.52E-5</v>
      </c>
      <c r="C82" s="50">
        <v>0.95299999999999996</v>
      </c>
      <c r="D82" s="49">
        <f t="shared" si="3"/>
        <v>-2.1888000000000001E-2</v>
      </c>
      <c r="E82" s="52">
        <v>1.3461162032028562</v>
      </c>
      <c r="F82" s="52">
        <v>-1.3409014024245509E-2</v>
      </c>
      <c r="G82" s="51">
        <f t="shared" si="13"/>
        <v>8.4789859757544925E-3</v>
      </c>
      <c r="H82" s="51">
        <f t="shared" si="4"/>
        <v>0.84789859757544928</v>
      </c>
      <c r="I82" s="69">
        <v>41623</v>
      </c>
      <c r="J82" s="72">
        <v>-9.6299999999999993E-6</v>
      </c>
      <c r="K82" s="68">
        <v>0.874</v>
      </c>
      <c r="L82" s="70">
        <f t="shared" si="5"/>
        <v>-1.38672E-2</v>
      </c>
      <c r="M82" s="70">
        <v>2.5973162032028565</v>
      </c>
      <c r="N82" s="63">
        <v>-7.5953903561067244E-4</v>
      </c>
      <c r="O82" s="62">
        <f t="shared" si="1"/>
        <v>1.3107660964389327E-2</v>
      </c>
      <c r="P82" s="62">
        <f t="shared" si="6"/>
        <v>1.3107660964389327</v>
      </c>
      <c r="Q82" s="89">
        <v>41623</v>
      </c>
      <c r="R82" s="86">
        <v>-1.1399999999999999E-5</v>
      </c>
      <c r="S82" s="90">
        <v>0.83199999999999996</v>
      </c>
      <c r="T82" s="86">
        <f t="shared" si="7"/>
        <v>-1.6416E-2</v>
      </c>
      <c r="U82" s="107">
        <v>2.9403162032028556</v>
      </c>
      <c r="V82" s="108">
        <v>-8.7000854006441929E-3</v>
      </c>
      <c r="W82" s="94">
        <f t="shared" si="14"/>
        <v>7.7159145993558071E-3</v>
      </c>
      <c r="X82" s="94">
        <f t="shared" si="8"/>
        <v>0.77159145993558076</v>
      </c>
      <c r="Y82" s="142">
        <f t="shared" si="9"/>
        <v>41623</v>
      </c>
      <c r="Z82" s="138">
        <v>-1.2300000000000001E-5</v>
      </c>
      <c r="AA82" s="144">
        <v>0.93600000000000005</v>
      </c>
      <c r="AB82" s="138">
        <f t="shared" si="10"/>
        <v>-1.7712000000000002E-2</v>
      </c>
      <c r="AC82" s="138">
        <v>2.500216203202855</v>
      </c>
      <c r="AD82" s="138">
        <v>-2.039448526949654E-2</v>
      </c>
      <c r="AE82" s="138">
        <f t="shared" si="11"/>
        <v>-2.682485269496538E-3</v>
      </c>
      <c r="AF82" s="138">
        <f t="shared" si="12"/>
        <v>-0.26824852694965379</v>
      </c>
      <c r="AG82" s="89">
        <v>41623</v>
      </c>
      <c r="AH82" s="180"/>
      <c r="AI82" s="182">
        <v>1</v>
      </c>
    </row>
    <row r="83" spans="1:58">
      <c r="A83" s="4">
        <v>41624</v>
      </c>
      <c r="B83" s="49">
        <v>-1.5E-5</v>
      </c>
      <c r="C83" s="50">
        <v>0.95</v>
      </c>
      <c r="D83" s="49">
        <f t="shared" si="3"/>
        <v>-2.1600000000000001E-2</v>
      </c>
      <c r="E83" s="52">
        <v>1.3168452457095339</v>
      </c>
      <c r="F83" s="52">
        <v>-1.2834900757888634E-2</v>
      </c>
      <c r="G83" s="51">
        <f t="shared" si="13"/>
        <v>8.7650992421113676E-3</v>
      </c>
      <c r="H83" s="51">
        <f t="shared" si="4"/>
        <v>0.87650992421113672</v>
      </c>
      <c r="I83" s="69">
        <v>41624</v>
      </c>
      <c r="J83" s="70">
        <v>-6.9999999999999999E-6</v>
      </c>
      <c r="K83" s="71">
        <v>0.69099999999999995</v>
      </c>
      <c r="L83" s="70">
        <f t="shared" si="5"/>
        <v>-1.008E-2</v>
      </c>
      <c r="M83" s="70">
        <v>2.5751452457095354</v>
      </c>
      <c r="N83" s="63">
        <v>-7.5846135640285231E-4</v>
      </c>
      <c r="O83" s="62">
        <f t="shared" si="1"/>
        <v>9.3215386435971485E-3</v>
      </c>
      <c r="P83" s="62">
        <f t="shared" si="6"/>
        <v>0.93215386435971481</v>
      </c>
      <c r="Q83" s="89">
        <v>41624</v>
      </c>
      <c r="R83" s="86">
        <v>-1.6500000000000001E-5</v>
      </c>
      <c r="S83" s="90">
        <v>0.92500000000000004</v>
      </c>
      <c r="T83" s="86">
        <f t="shared" si="7"/>
        <v>-2.3760000000000003E-2</v>
      </c>
      <c r="U83" s="107">
        <v>2.9093452457095355</v>
      </c>
      <c r="V83" s="108">
        <v>-8.6470898717784343E-3</v>
      </c>
      <c r="W83" s="94">
        <f t="shared" si="14"/>
        <v>1.5112910128221569E-2</v>
      </c>
      <c r="X83" s="94">
        <f t="shared" si="8"/>
        <v>1.5112910128221568</v>
      </c>
      <c r="Y83" s="142">
        <f t="shared" si="9"/>
        <v>41624</v>
      </c>
      <c r="Z83" s="138">
        <v>-1.5400000000000002E-5</v>
      </c>
      <c r="AA83" s="144">
        <v>0.92300000000000004</v>
      </c>
      <c r="AB83" s="138">
        <f t="shared" si="10"/>
        <v>-2.2176000000000001E-2</v>
      </c>
      <c r="AC83" s="138">
        <v>2.4751452457095353</v>
      </c>
      <c r="AD83" s="138">
        <v>-1.9818663109586316E-2</v>
      </c>
      <c r="AE83" s="138">
        <f t="shared" si="11"/>
        <v>2.3573368904136853E-3</v>
      </c>
      <c r="AF83" s="138">
        <f t="shared" si="12"/>
        <v>0.23573368904136854</v>
      </c>
      <c r="AG83" s="89">
        <v>41624</v>
      </c>
      <c r="AH83" s="180"/>
      <c r="AI83" s="182">
        <v>2</v>
      </c>
    </row>
    <row r="84" spans="1:58">
      <c r="A84" s="4">
        <v>41625</v>
      </c>
      <c r="B84" s="49">
        <v>-1.33E-5</v>
      </c>
      <c r="C84" s="50">
        <v>0.89100000000000001</v>
      </c>
      <c r="D84" s="49">
        <f t="shared" si="3"/>
        <v>-1.9151999999999999E-2</v>
      </c>
      <c r="E84" s="52">
        <v>1.2877566978348676</v>
      </c>
      <c r="F84" s="52">
        <v>-1.2235175820944301E-2</v>
      </c>
      <c r="G84" s="51">
        <f t="shared" si="13"/>
        <v>6.9168241790556976E-3</v>
      </c>
      <c r="H84" s="51">
        <f t="shared" si="4"/>
        <v>0.69168241790556972</v>
      </c>
      <c r="I84" s="69">
        <v>41625</v>
      </c>
      <c r="J84" s="70">
        <v>-9.02E-6</v>
      </c>
      <c r="K84" s="71">
        <v>0.88300000000000001</v>
      </c>
      <c r="L84" s="70">
        <f t="shared" si="5"/>
        <v>-1.29888E-2</v>
      </c>
      <c r="M84" s="70">
        <v>2.5535566978348676</v>
      </c>
      <c r="N84" s="63">
        <v>-7.5705864838152654E-4</v>
      </c>
      <c r="O84" s="62">
        <f t="shared" si="1"/>
        <v>1.2231741351618473E-2</v>
      </c>
      <c r="P84" s="62">
        <f t="shared" si="6"/>
        <v>1.2231741351618473</v>
      </c>
      <c r="Q84" s="89">
        <v>41625</v>
      </c>
      <c r="R84" s="86">
        <v>-1.6900000000000001E-5</v>
      </c>
      <c r="S84" s="90">
        <v>0.94499999999999995</v>
      </c>
      <c r="T84" s="86">
        <f t="shared" si="7"/>
        <v>-2.4336E-2</v>
      </c>
      <c r="U84" s="107">
        <v>2.8816566978348677</v>
      </c>
      <c r="V84" s="108">
        <v>-8.5967720021060488E-3</v>
      </c>
      <c r="W84" s="94">
        <f t="shared" si="14"/>
        <v>1.5739227997893949E-2</v>
      </c>
      <c r="X84" s="94">
        <f t="shared" si="8"/>
        <v>1.573922799789395</v>
      </c>
      <c r="Y84" s="142">
        <f t="shared" si="9"/>
        <v>41625</v>
      </c>
      <c r="Z84" s="138">
        <v>-1.3900000000000001E-5</v>
      </c>
      <c r="AA84" s="144">
        <v>0.95199999999999996</v>
      </c>
      <c r="AB84" s="138">
        <f t="shared" si="10"/>
        <v>-2.0016000000000003E-2</v>
      </c>
      <c r="AC84" s="138">
        <v>2.4447566978348667</v>
      </c>
      <c r="AD84" s="138">
        <v>-1.9048539826576096E-2</v>
      </c>
      <c r="AE84" s="138">
        <f t="shared" si="11"/>
        <v>9.6746017342390703E-4</v>
      </c>
      <c r="AF84" s="138">
        <f t="shared" si="12"/>
        <v>9.6746017342390703E-2</v>
      </c>
      <c r="AG84" s="89">
        <v>41625</v>
      </c>
      <c r="AH84" s="180"/>
      <c r="AI84" s="182">
        <v>3</v>
      </c>
      <c r="BF84" s="134">
        <f>0.9*0.3</f>
        <v>0.27</v>
      </c>
    </row>
    <row r="85" spans="1:58">
      <c r="A85" s="4">
        <v>41626</v>
      </c>
      <c r="B85" s="49">
        <v>-1.38E-5</v>
      </c>
      <c r="C85" s="50">
        <v>0.94399999999999995</v>
      </c>
      <c r="D85" s="49">
        <f t="shared" si="3"/>
        <v>-1.9872000000000001E-2</v>
      </c>
      <c r="E85" s="52">
        <v>1.2599575104730953</v>
      </c>
      <c r="F85" s="52">
        <v>-1.1632871530592571E-2</v>
      </c>
      <c r="G85" s="51">
        <f t="shared" si="13"/>
        <v>8.2391284694074297E-3</v>
      </c>
      <c r="H85" s="51">
        <f t="shared" si="4"/>
        <v>0.82391284694074296</v>
      </c>
      <c r="I85" s="69">
        <v>41626</v>
      </c>
      <c r="J85" s="70">
        <v>-1.2300000000000001E-5</v>
      </c>
      <c r="K85" s="71">
        <v>0.93799999999999994</v>
      </c>
      <c r="L85" s="70">
        <f t="shared" si="5"/>
        <v>-1.7712000000000002E-2</v>
      </c>
      <c r="M85" s="70">
        <v>2.5267575104730966</v>
      </c>
      <c r="N85" s="63">
        <v>-7.5479827251059817E-4</v>
      </c>
      <c r="O85" s="62">
        <f t="shared" si="1"/>
        <v>1.6957201727489404E-2</v>
      </c>
      <c r="P85" s="62">
        <f t="shared" si="6"/>
        <v>1.6957201727489404</v>
      </c>
      <c r="Q85" s="89">
        <v>41626</v>
      </c>
      <c r="R85" s="86">
        <v>-1.7099999999999999E-5</v>
      </c>
      <c r="S85" s="90">
        <v>-0.94499999999999995</v>
      </c>
      <c r="T85" s="86">
        <f t="shared" si="7"/>
        <v>-2.4624E-2</v>
      </c>
      <c r="U85" s="107">
        <v>2.8446575104730956</v>
      </c>
      <c r="V85" s="108">
        <v>-8.5249710287702597E-3</v>
      </c>
      <c r="W85" s="94">
        <f t="shared" si="14"/>
        <v>1.609902897122974E-2</v>
      </c>
      <c r="X85" s="94">
        <f t="shared" si="8"/>
        <v>1.6099028971229741</v>
      </c>
      <c r="Y85" s="142">
        <f t="shared" si="9"/>
        <v>41626</v>
      </c>
      <c r="Z85" s="138">
        <v>-2.0599999999999999E-5</v>
      </c>
      <c r="AA85" s="144">
        <v>0.97799999999999998</v>
      </c>
      <c r="AB85" s="138">
        <f t="shared" si="10"/>
        <v>-2.9663999999999999E-2</v>
      </c>
      <c r="AC85" s="138">
        <v>2.4068575104730967</v>
      </c>
      <c r="AD85" s="138">
        <v>-1.7967181110306017E-2</v>
      </c>
      <c r="AE85" s="138">
        <f t="shared" si="11"/>
        <v>1.1696818889693983E-2</v>
      </c>
      <c r="AF85" s="138">
        <f t="shared" si="12"/>
        <v>1.1696818889693983</v>
      </c>
      <c r="AG85" s="89">
        <v>41626</v>
      </c>
      <c r="AH85" s="180"/>
      <c r="AI85" s="182">
        <v>4</v>
      </c>
      <c r="BF85" s="134">
        <f>2.79*0.1</f>
        <v>0.27900000000000003</v>
      </c>
    </row>
    <row r="86" spans="1:58">
      <c r="A86" s="4">
        <v>41627</v>
      </c>
      <c r="B86" s="49">
        <v>-1.17E-5</v>
      </c>
      <c r="C86" s="50">
        <v>0.90800000000000003</v>
      </c>
      <c r="D86" s="49">
        <f t="shared" si="3"/>
        <v>-1.6847999999999998E-2</v>
      </c>
      <c r="E86" s="52">
        <v>1.2310082253497936</v>
      </c>
      <c r="F86" s="52">
        <v>-1.0973117212504897E-2</v>
      </c>
      <c r="G86" s="51">
        <f t="shared" si="13"/>
        <v>5.8748827874951018E-3</v>
      </c>
      <c r="H86" s="51">
        <f t="shared" si="4"/>
        <v>0.58748827874951015</v>
      </c>
      <c r="I86" s="69">
        <v>41627</v>
      </c>
      <c r="J86" s="70">
        <v>-3.6000000000000001E-5</v>
      </c>
      <c r="K86" s="71">
        <v>0.99099999999999999</v>
      </c>
      <c r="L86" s="70">
        <f t="shared" si="5"/>
        <v>-5.1840000000000004E-2</v>
      </c>
      <c r="M86" s="70">
        <v>2.4946082253497934</v>
      </c>
      <c r="N86" s="63">
        <v>-7.5126682703474277E-4</v>
      </c>
      <c r="O86" s="62">
        <f t="shared" si="1"/>
        <v>5.1088733172965264E-2</v>
      </c>
      <c r="P86" s="62">
        <f t="shared" si="6"/>
        <v>5.1088733172965268</v>
      </c>
      <c r="Q86" s="89">
        <v>41627</v>
      </c>
      <c r="R86" s="86">
        <v>-1.8300000000000001E-5</v>
      </c>
      <c r="S86" s="90">
        <v>0.94599999999999995</v>
      </c>
      <c r="T86" s="86">
        <f t="shared" si="7"/>
        <v>-2.6352E-2</v>
      </c>
      <c r="U86" s="107">
        <v>2.8065082253497939</v>
      </c>
      <c r="V86" s="108">
        <v>-8.4451542279765073E-3</v>
      </c>
      <c r="W86" s="94">
        <f t="shared" si="14"/>
        <v>1.7906845772023491E-2</v>
      </c>
      <c r="X86" s="94">
        <f t="shared" si="8"/>
        <v>1.7906845772023492</v>
      </c>
      <c r="Y86" s="142">
        <f t="shared" si="9"/>
        <v>41627</v>
      </c>
      <c r="Z86" s="138">
        <v>-2.2500000000000001E-5</v>
      </c>
      <c r="AA86" s="144">
        <v>0.98299999999999998</v>
      </c>
      <c r="AB86" s="138">
        <f t="shared" si="10"/>
        <v>-3.2400000000000005E-2</v>
      </c>
      <c r="AC86" s="138">
        <v>2.3701082253497936</v>
      </c>
      <c r="AD86" s="138">
        <v>-1.6777256467638862E-2</v>
      </c>
      <c r="AE86" s="138">
        <f t="shared" si="11"/>
        <v>1.5622743532361143E-2</v>
      </c>
      <c r="AF86" s="138">
        <f t="shared" si="12"/>
        <v>1.5622743532361143</v>
      </c>
      <c r="AG86" s="89">
        <v>41627</v>
      </c>
      <c r="AH86" s="180"/>
      <c r="AI86" s="182">
        <v>5</v>
      </c>
      <c r="BF86" s="134">
        <f>SUM(BF84:BF85)</f>
        <v>0.54900000000000004</v>
      </c>
    </row>
    <row r="87" spans="1:58">
      <c r="A87" s="4">
        <v>41628</v>
      </c>
      <c r="B87" s="49">
        <v>-1.11E-5</v>
      </c>
      <c r="C87" s="50">
        <v>0.89600000000000002</v>
      </c>
      <c r="D87" s="49">
        <f t="shared" si="3"/>
        <v>-1.5984000000000002E-2</v>
      </c>
      <c r="E87" s="52">
        <v>1.2057875728895202</v>
      </c>
      <c r="F87" s="52">
        <v>-1.0369338029213838E-2</v>
      </c>
      <c r="G87" s="51">
        <f t="shared" ref="G87:G117" si="17">-D87+F87</f>
        <v>5.6146619707861632E-3</v>
      </c>
      <c r="H87" s="51">
        <f t="shared" si="4"/>
        <v>0.56146619707861634</v>
      </c>
      <c r="I87" s="69">
        <v>41628</v>
      </c>
      <c r="J87" s="70">
        <v>-1.49E-5</v>
      </c>
      <c r="K87" s="71">
        <v>0.96899999999999997</v>
      </c>
      <c r="L87" s="70">
        <f t="shared" si="5"/>
        <v>-2.1455999999999999E-2</v>
      </c>
      <c r="M87" s="70">
        <v>2.456787572889521</v>
      </c>
      <c r="N87" s="63">
        <v>-7.4585601516913801E-4</v>
      </c>
      <c r="O87" s="62">
        <f t="shared" ref="O87:O111" si="18">-L87+N87</f>
        <v>2.0710143984830863E-2</v>
      </c>
      <c r="P87" s="62">
        <f t="shared" si="6"/>
        <v>2.0710143984830864</v>
      </c>
      <c r="Q87" s="89">
        <v>41628</v>
      </c>
      <c r="R87" s="86">
        <v>-1.9700000000000001E-5</v>
      </c>
      <c r="S87" s="90">
        <v>0.94599999999999995</v>
      </c>
      <c r="T87" s="86">
        <f t="shared" si="7"/>
        <v>-2.8368000000000001E-2</v>
      </c>
      <c r="U87" s="107">
        <v>2.7656875728895214</v>
      </c>
      <c r="V87" s="108">
        <v>-8.3528129703264141E-3</v>
      </c>
      <c r="W87" s="94">
        <f t="shared" ref="W87:W118" si="19">-T87+V87</f>
        <v>2.0015187029673587E-2</v>
      </c>
      <c r="X87" s="94">
        <f t="shared" si="8"/>
        <v>2.0015187029673589</v>
      </c>
      <c r="Y87" s="142">
        <f t="shared" si="9"/>
        <v>41628</v>
      </c>
      <c r="Z87" s="138">
        <v>-6.1500000000000004E-5</v>
      </c>
      <c r="AA87" s="144">
        <v>0.997</v>
      </c>
      <c r="AB87" s="138">
        <f t="shared" si="10"/>
        <v>-8.856E-2</v>
      </c>
      <c r="AC87" s="138">
        <v>2.3149875728895206</v>
      </c>
      <c r="AD87" s="138">
        <v>-1.4697483604611743E-2</v>
      </c>
      <c r="AE87" s="138">
        <f t="shared" si="11"/>
        <v>7.3862516395388253E-2</v>
      </c>
      <c r="AF87" s="138">
        <f t="shared" si="12"/>
        <v>7.3862516395388251</v>
      </c>
      <c r="AG87" s="89">
        <v>41628</v>
      </c>
      <c r="AH87" s="180"/>
      <c r="AI87" s="182">
        <v>6</v>
      </c>
    </row>
    <row r="88" spans="1:58">
      <c r="A88" s="4">
        <v>41629</v>
      </c>
      <c r="B88" s="49">
        <v>-1.1E-5</v>
      </c>
      <c r="C88" s="50">
        <v>0.879</v>
      </c>
      <c r="D88" s="49">
        <f t="shared" ref="D88:D117" si="20">B88*1440</f>
        <v>-1.584E-2</v>
      </c>
      <c r="E88" s="52">
        <v>1.1813288895585292</v>
      </c>
      <c r="F88" s="52">
        <v>-9.756191522268573E-3</v>
      </c>
      <c r="G88" s="51">
        <f t="shared" si="17"/>
        <v>6.0838084777314269E-3</v>
      </c>
      <c r="H88" s="51">
        <f t="shared" ref="H88:H117" si="21">G88*100</f>
        <v>0.60838084777314272</v>
      </c>
      <c r="I88" s="69">
        <v>41629</v>
      </c>
      <c r="J88" s="72">
        <v>-1.6900000000000001E-5</v>
      </c>
      <c r="K88" s="71">
        <v>0.96599999999999997</v>
      </c>
      <c r="L88" s="70">
        <f t="shared" ref="L88:L111" si="22">J88*1440</f>
        <v>-2.4336E-2</v>
      </c>
      <c r="M88" s="70">
        <v>2.42622888955853</v>
      </c>
      <c r="N88" s="63">
        <v>-7.4039175108095618E-4</v>
      </c>
      <c r="O88" s="62">
        <f t="shared" si="18"/>
        <v>2.3595608248919042E-2</v>
      </c>
      <c r="P88" s="62">
        <f t="shared" ref="P88:P111" si="23">O88*100</f>
        <v>2.3595608248919042</v>
      </c>
      <c r="Q88" s="89">
        <v>41629</v>
      </c>
      <c r="R88" s="86">
        <v>-2.5999999999999998E-5</v>
      </c>
      <c r="S88" s="90">
        <v>0.98</v>
      </c>
      <c r="T88" s="86">
        <f t="shared" ref="T88:T150" si="24">R88*1440</f>
        <v>-3.7440000000000001E-2</v>
      </c>
      <c r="U88" s="107">
        <v>2.7222288895585303</v>
      </c>
      <c r="V88" s="108">
        <v>-8.246065639794008E-3</v>
      </c>
      <c r="W88" s="94">
        <f t="shared" si="19"/>
        <v>2.9193934360205995E-2</v>
      </c>
      <c r="X88" s="94">
        <f t="shared" ref="X88:X150" si="25">W88*100</f>
        <v>2.9193934360205995</v>
      </c>
      <c r="Y88" s="142">
        <f t="shared" ref="Y88:Y150" si="26">Y87+1</f>
        <v>41629</v>
      </c>
      <c r="Z88" s="138">
        <v>-6.1699999999999995E-5</v>
      </c>
      <c r="AA88" s="144">
        <v>0.997</v>
      </c>
      <c r="AB88" s="138">
        <f t="shared" ref="AB88:AB150" si="27">Z88*1440</f>
        <v>-8.8847999999999996E-2</v>
      </c>
      <c r="AC88" s="138">
        <v>2.2296288895585294</v>
      </c>
      <c r="AD88" s="138">
        <v>-1.0648479452855636E-2</v>
      </c>
      <c r="AE88" s="138">
        <f t="shared" ref="AE88:AE150" si="28">-AB88+AD88</f>
        <v>7.8199520547144366E-2</v>
      </c>
      <c r="AF88" s="138">
        <f t="shared" ref="AF88:AF150" si="29">AE88*100</f>
        <v>7.8199520547144363</v>
      </c>
      <c r="AG88" s="89">
        <v>41629</v>
      </c>
      <c r="AH88" s="180"/>
      <c r="AI88" s="182">
        <v>7</v>
      </c>
    </row>
    <row r="89" spans="1:58">
      <c r="A89" s="4">
        <v>41630</v>
      </c>
      <c r="B89" s="49">
        <v>-1.4100000000000001E-5</v>
      </c>
      <c r="C89" s="50">
        <v>0.94099999999999995</v>
      </c>
      <c r="D89" s="49">
        <f t="shared" si="20"/>
        <v>-2.0303999999999999E-2</v>
      </c>
      <c r="E89" s="52">
        <v>1.1558933107006486</v>
      </c>
      <c r="F89" s="52">
        <v>-9.2888243115744652E-3</v>
      </c>
      <c r="G89" s="51">
        <f t="shared" si="17"/>
        <v>1.1015175688425534E-2</v>
      </c>
      <c r="H89" s="51">
        <f t="shared" si="21"/>
        <v>1.1015175688425534</v>
      </c>
      <c r="I89" s="69">
        <v>41630</v>
      </c>
      <c r="J89" s="72">
        <v>-3.3300000000000003E-5</v>
      </c>
      <c r="K89" s="70">
        <v>0.97699999999999998</v>
      </c>
      <c r="L89" s="70">
        <f t="shared" si="22"/>
        <v>-4.7952000000000002E-2</v>
      </c>
      <c r="M89" s="70">
        <v>2.3935933107006484</v>
      </c>
      <c r="N89" s="63">
        <v>-7.3336845239881327E-4</v>
      </c>
      <c r="O89" s="62">
        <f t="shared" si="18"/>
        <v>4.7218631547601191E-2</v>
      </c>
      <c r="P89" s="62">
        <f t="shared" si="23"/>
        <v>4.7218631547601193</v>
      </c>
      <c r="Q89" s="89">
        <v>41630</v>
      </c>
      <c r="R89" s="86">
        <v>-1.66E-5</v>
      </c>
      <c r="S89" s="90">
        <v>0.94199999999999995</v>
      </c>
      <c r="T89" s="86">
        <f t="shared" si="24"/>
        <v>-2.3904000000000002E-2</v>
      </c>
      <c r="U89" s="107">
        <v>2.677693310700648</v>
      </c>
      <c r="V89" s="108">
        <v>-8.1269629446972785E-3</v>
      </c>
      <c r="W89" s="94">
        <f t="shared" si="19"/>
        <v>1.5777037055302721E-2</v>
      </c>
      <c r="X89" s="94">
        <f t="shared" si="25"/>
        <v>1.5777037055302721</v>
      </c>
      <c r="Y89" s="142">
        <f t="shared" si="26"/>
        <v>41630</v>
      </c>
      <c r="Z89" s="138">
        <v>-5.3499999999999999E-5</v>
      </c>
      <c r="AA89" s="144">
        <v>0.996</v>
      </c>
      <c r="AB89" s="138">
        <f t="shared" si="27"/>
        <v>-7.7039999999999997E-2</v>
      </c>
      <c r="AC89" s="138">
        <v>2.1447933107006487</v>
      </c>
      <c r="AD89" s="138">
        <v>-5.3828997546796209E-3</v>
      </c>
      <c r="AE89" s="138">
        <f t="shared" si="28"/>
        <v>7.1657100245320376E-2</v>
      </c>
      <c r="AF89" s="138">
        <f t="shared" si="29"/>
        <v>7.1657100245320375</v>
      </c>
      <c r="AG89" s="89">
        <v>41630</v>
      </c>
      <c r="AH89" s="180"/>
      <c r="AI89" s="182">
        <v>8</v>
      </c>
    </row>
    <row r="90" spans="1:58" ht="18">
      <c r="A90" s="4">
        <v>41631</v>
      </c>
      <c r="B90" s="54">
        <v>-1.01E-5</v>
      </c>
      <c r="C90" s="50">
        <v>0.89300000000000002</v>
      </c>
      <c r="D90" s="49">
        <f t="shared" si="20"/>
        <v>-1.4544E-2</v>
      </c>
      <c r="E90" s="52">
        <v>1.1294738854216377</v>
      </c>
      <c r="F90" s="52">
        <v>-8.8492555041352616E-3</v>
      </c>
      <c r="G90" s="51">
        <f t="shared" si="17"/>
        <v>5.694744495864738E-3</v>
      </c>
      <c r="H90" s="51">
        <f t="shared" si="21"/>
        <v>0.56947444958647375</v>
      </c>
      <c r="I90" s="69">
        <v>41631</v>
      </c>
      <c r="J90" s="62">
        <v>-1.88E-5</v>
      </c>
      <c r="K90" s="62">
        <v>0.96799999999999997</v>
      </c>
      <c r="L90" s="70">
        <f t="shared" si="22"/>
        <v>-2.7071999999999999E-2</v>
      </c>
      <c r="M90" s="62">
        <v>2.3505738854216389</v>
      </c>
      <c r="N90" s="63">
        <v>-7.2203449834137216E-4</v>
      </c>
      <c r="O90" s="62">
        <f t="shared" si="18"/>
        <v>2.6349965501658627E-2</v>
      </c>
      <c r="P90" s="62">
        <f t="shared" si="23"/>
        <v>2.6349965501658628</v>
      </c>
      <c r="Q90" s="89">
        <v>41631</v>
      </c>
      <c r="R90" s="86">
        <v>-1.59E-5</v>
      </c>
      <c r="S90" s="90">
        <v>0.88300000000000001</v>
      </c>
      <c r="T90" s="86">
        <f t="shared" si="24"/>
        <v>-2.2896E-2</v>
      </c>
      <c r="U90" s="107">
        <v>2.6445738854216385</v>
      </c>
      <c r="V90" s="108">
        <v>-8.0315632726529335E-3</v>
      </c>
      <c r="W90" s="94">
        <f t="shared" si="19"/>
        <v>1.4864436727347066E-2</v>
      </c>
      <c r="X90" s="94">
        <f t="shared" si="25"/>
        <v>1.4864436727347066</v>
      </c>
      <c r="Y90" s="142">
        <f t="shared" si="26"/>
        <v>41631</v>
      </c>
      <c r="Z90" s="138">
        <v>-3.4499999999999998E-5</v>
      </c>
      <c r="AA90" s="144">
        <v>0.99099999999999999</v>
      </c>
      <c r="AB90" s="138">
        <f t="shared" si="27"/>
        <v>-4.9679999999999995E-2</v>
      </c>
      <c r="AC90" s="138">
        <v>2.076373885421638</v>
      </c>
      <c r="AD90" s="138">
        <v>0</v>
      </c>
      <c r="AE90" s="138">
        <f t="shared" si="28"/>
        <v>4.9679999999999995E-2</v>
      </c>
      <c r="AF90" s="138">
        <f t="shared" si="29"/>
        <v>4.9679999999999991</v>
      </c>
      <c r="AG90" s="89">
        <v>41631</v>
      </c>
      <c r="AH90" s="180"/>
      <c r="AI90" s="182">
        <v>9</v>
      </c>
    </row>
    <row r="91" spans="1:58" ht="18">
      <c r="A91" s="4">
        <v>41632</v>
      </c>
      <c r="B91" s="54">
        <v>-8.5499999999999995E-6</v>
      </c>
      <c r="C91" s="50">
        <v>0.8</v>
      </c>
      <c r="D91" s="49">
        <f t="shared" si="20"/>
        <v>-1.2312E-2</v>
      </c>
      <c r="E91" s="52">
        <v>1.1028156048852229</v>
      </c>
      <c r="F91" s="52">
        <v>-8.3816400787774005E-3</v>
      </c>
      <c r="G91" s="51">
        <f t="shared" si="17"/>
        <v>3.9303599212225995E-3</v>
      </c>
      <c r="H91" s="51">
        <f t="shared" si="21"/>
        <v>0.39303599212225993</v>
      </c>
      <c r="I91" s="69">
        <v>41632</v>
      </c>
      <c r="J91" s="62">
        <v>-1.4800000000000001E-5</v>
      </c>
      <c r="K91" s="62">
        <v>0.94899999999999995</v>
      </c>
      <c r="L91" s="70">
        <f t="shared" si="22"/>
        <v>-2.1312000000000001E-2</v>
      </c>
      <c r="M91" s="62">
        <v>2.3118156048852239</v>
      </c>
      <c r="N91" s="63">
        <v>-7.095659373483464E-4</v>
      </c>
      <c r="O91" s="62">
        <f t="shared" si="18"/>
        <v>2.0602434062651654E-2</v>
      </c>
      <c r="P91" s="62">
        <f t="shared" si="23"/>
        <v>2.0602434062651653</v>
      </c>
      <c r="Q91" s="89">
        <v>41632</v>
      </c>
      <c r="R91" s="86">
        <v>-1.5299999999999999E-5</v>
      </c>
      <c r="S91" s="90">
        <v>0.91600000000000004</v>
      </c>
      <c r="T91" s="86">
        <f t="shared" si="24"/>
        <v>-2.2032E-2</v>
      </c>
      <c r="U91" s="107">
        <v>2.6126156048852236</v>
      </c>
      <c r="V91" s="108">
        <v>-7.9336282326570185E-3</v>
      </c>
      <c r="W91" s="94">
        <f t="shared" si="19"/>
        <v>1.4098371767342981E-2</v>
      </c>
      <c r="X91" s="94">
        <f t="shared" si="25"/>
        <v>1.4098371767342981</v>
      </c>
      <c r="Y91" s="142">
        <f t="shared" si="26"/>
        <v>41632</v>
      </c>
      <c r="Z91" s="138">
        <v>-2.4600000000000002E-5</v>
      </c>
      <c r="AA91" s="144">
        <v>0.98499999999999999</v>
      </c>
      <c r="AB91" s="138">
        <f t="shared" si="27"/>
        <v>-3.5424000000000004E-2</v>
      </c>
      <c r="AC91" s="138">
        <v>2.0227156048852222</v>
      </c>
      <c r="AD91" s="138">
        <v>0</v>
      </c>
      <c r="AE91" s="138">
        <f t="shared" si="28"/>
        <v>3.5424000000000004E-2</v>
      </c>
      <c r="AF91" s="138">
        <f t="shared" si="29"/>
        <v>3.5424000000000002</v>
      </c>
      <c r="AG91" s="89">
        <v>41632</v>
      </c>
      <c r="AH91" s="180"/>
      <c r="AI91" s="182">
        <v>10</v>
      </c>
    </row>
    <row r="92" spans="1:58">
      <c r="A92" s="4">
        <v>41633</v>
      </c>
      <c r="B92" s="49">
        <v>-9.02E-6</v>
      </c>
      <c r="C92" s="50">
        <v>0.78900000000000003</v>
      </c>
      <c r="D92" s="49">
        <f t="shared" si="20"/>
        <v>-1.29888E-2</v>
      </c>
      <c r="E92" s="52">
        <v>1.0784434202106383</v>
      </c>
      <c r="F92" s="52">
        <v>-7.9313563643456046E-3</v>
      </c>
      <c r="G92" s="51">
        <f t="shared" si="17"/>
        <v>5.0574436356543954E-3</v>
      </c>
      <c r="H92" s="51">
        <f t="shared" si="21"/>
        <v>0.5057443635654395</v>
      </c>
      <c r="I92" s="69">
        <v>41633</v>
      </c>
      <c r="J92" s="62">
        <v>-2.0299999999999999E-5</v>
      </c>
      <c r="K92" s="62">
        <v>0.98099999999999998</v>
      </c>
      <c r="L92" s="70">
        <f t="shared" si="22"/>
        <v>-2.9231999999999998E-2</v>
      </c>
      <c r="M92" s="62">
        <v>2.2767434202106376</v>
      </c>
      <c r="N92" s="63">
        <v>-6.9621957618253916E-4</v>
      </c>
      <c r="O92" s="62">
        <f t="shared" si="18"/>
        <v>2.8535780423817457E-2</v>
      </c>
      <c r="P92" s="62">
        <f t="shared" si="23"/>
        <v>2.8535780423817458</v>
      </c>
      <c r="Q92" s="89">
        <v>41633</v>
      </c>
      <c r="R92" s="86">
        <v>-1.5800000000000001E-5</v>
      </c>
      <c r="S92" s="90">
        <v>0.93300000000000005</v>
      </c>
      <c r="T92" s="86">
        <f t="shared" si="24"/>
        <v>-2.2752000000000001E-2</v>
      </c>
      <c r="U92" s="107">
        <v>2.5780434202106379</v>
      </c>
      <c r="V92" s="108">
        <v>-7.8207923085348192E-3</v>
      </c>
      <c r="W92" s="94">
        <f t="shared" si="19"/>
        <v>1.4931207691465182E-2</v>
      </c>
      <c r="X92" s="94">
        <f t="shared" si="25"/>
        <v>1.4931207691465183</v>
      </c>
      <c r="Y92" s="142">
        <f t="shared" si="26"/>
        <v>41633</v>
      </c>
      <c r="Z92" s="138">
        <v>-2.3900000000000002E-5</v>
      </c>
      <c r="AA92" s="144">
        <v>0.97899999999999998</v>
      </c>
      <c r="AB92" s="138">
        <f t="shared" si="27"/>
        <v>-3.4416000000000002E-2</v>
      </c>
      <c r="AC92" s="138">
        <v>1.9766434202106367</v>
      </c>
      <c r="AD92" s="138">
        <v>0</v>
      </c>
      <c r="AE92" s="138">
        <f t="shared" si="28"/>
        <v>3.4416000000000002E-2</v>
      </c>
      <c r="AF92" s="138">
        <f t="shared" si="29"/>
        <v>3.4416000000000002</v>
      </c>
      <c r="AG92" s="89">
        <v>41633</v>
      </c>
      <c r="AH92" s="180"/>
      <c r="AI92" s="182">
        <v>11</v>
      </c>
    </row>
    <row r="93" spans="1:58">
      <c r="A93" s="4">
        <v>41634</v>
      </c>
      <c r="B93" s="49">
        <v>-1.6500000000000001E-5</v>
      </c>
      <c r="C93" s="50">
        <v>0.96699999999999997</v>
      </c>
      <c r="D93" s="49">
        <f t="shared" si="20"/>
        <v>-2.3760000000000003E-2</v>
      </c>
      <c r="E93" s="52">
        <v>1.0514010906809603</v>
      </c>
      <c r="F93" s="52">
        <v>-7.4042862813273524E-3</v>
      </c>
      <c r="G93" s="51">
        <f t="shared" si="17"/>
        <v>1.635571371867265E-2</v>
      </c>
      <c r="H93" s="51">
        <f t="shared" si="21"/>
        <v>1.6355713718672651</v>
      </c>
      <c r="I93" s="69">
        <v>41634</v>
      </c>
      <c r="J93" s="62">
        <v>-1.59E-5</v>
      </c>
      <c r="K93" s="62">
        <v>0.96299999999999997</v>
      </c>
      <c r="L93" s="70">
        <f t="shared" si="22"/>
        <v>-2.2896E-2</v>
      </c>
      <c r="M93" s="62">
        <v>2.2421010906809613</v>
      </c>
      <c r="N93" s="63">
        <v>-6.8089920525141732E-4</v>
      </c>
      <c r="O93" s="62">
        <f t="shared" si="18"/>
        <v>2.2215100794748581E-2</v>
      </c>
      <c r="P93" s="62">
        <f t="shared" si="23"/>
        <v>2.2215100794748581</v>
      </c>
      <c r="Q93" s="89">
        <v>41634</v>
      </c>
      <c r="R93" s="86">
        <v>-1.3499999999999999E-5</v>
      </c>
      <c r="S93" s="90">
        <v>0.878</v>
      </c>
      <c r="T93" s="86">
        <f t="shared" si="24"/>
        <v>-1.9439999999999999E-2</v>
      </c>
      <c r="U93" s="107">
        <v>2.5453010906809608</v>
      </c>
      <c r="V93" s="108">
        <v>-7.7069300846023701E-3</v>
      </c>
      <c r="W93" s="94">
        <f t="shared" si="19"/>
        <v>1.1733069915397628E-2</v>
      </c>
      <c r="X93" s="94">
        <f t="shared" si="25"/>
        <v>1.1733069915397627</v>
      </c>
      <c r="Y93" s="142">
        <f t="shared" si="26"/>
        <v>41634</v>
      </c>
      <c r="Z93" s="138">
        <v>-1.17E-5</v>
      </c>
      <c r="AA93" s="144">
        <v>0.93400000000000005</v>
      </c>
      <c r="AB93" s="138">
        <f t="shared" si="27"/>
        <v>-1.6847999999999998E-2</v>
      </c>
      <c r="AC93" s="138">
        <v>1.9459010906809602</v>
      </c>
      <c r="AD93" s="138">
        <v>0</v>
      </c>
      <c r="AE93" s="138">
        <f t="shared" si="28"/>
        <v>1.6847999999999998E-2</v>
      </c>
      <c r="AF93" s="138">
        <f t="shared" si="29"/>
        <v>1.6847999999999999</v>
      </c>
      <c r="AG93" s="89">
        <v>41634</v>
      </c>
      <c r="AH93" s="180"/>
      <c r="AI93" s="182">
        <v>12</v>
      </c>
    </row>
    <row r="94" spans="1:58">
      <c r="A94" s="4">
        <v>41635</v>
      </c>
      <c r="B94" s="49">
        <v>-1.08E-5</v>
      </c>
      <c r="C94" s="50">
        <v>0.90200000000000002</v>
      </c>
      <c r="D94" s="49">
        <f t="shared" si="20"/>
        <v>-1.5552E-2</v>
      </c>
      <c r="E94" s="52">
        <v>1.0209965847504816</v>
      </c>
      <c r="F94" s="52">
        <v>-6.7742707133195239E-3</v>
      </c>
      <c r="G94" s="51">
        <f t="shared" si="17"/>
        <v>8.777729286680476E-3</v>
      </c>
      <c r="H94" s="51">
        <f t="shared" si="21"/>
        <v>0.87777292866804757</v>
      </c>
      <c r="I94" s="69">
        <v>41635</v>
      </c>
      <c r="J94" s="62">
        <v>-1.33E-5</v>
      </c>
      <c r="K94" s="62">
        <v>0.94099999999999995</v>
      </c>
      <c r="L94" s="70">
        <f t="shared" si="22"/>
        <v>-1.9151999999999999E-2</v>
      </c>
      <c r="M94" s="62">
        <v>2.2058965847504819</v>
      </c>
      <c r="N94" s="63">
        <v>-6.6237133647092234E-4</v>
      </c>
      <c r="O94" s="62">
        <f t="shared" si="18"/>
        <v>1.8489628663529076E-2</v>
      </c>
      <c r="P94" s="62">
        <f t="shared" si="23"/>
        <v>1.8489628663529076</v>
      </c>
      <c r="Q94" s="89">
        <v>41635</v>
      </c>
      <c r="R94" s="86">
        <v>-1.49E-5</v>
      </c>
      <c r="S94" s="90">
        <v>0.92</v>
      </c>
      <c r="T94" s="86">
        <f t="shared" si="24"/>
        <v>-2.1455999999999999E-2</v>
      </c>
      <c r="U94" s="107">
        <v>2.5081965847504817</v>
      </c>
      <c r="V94" s="108">
        <v>-7.5691443259936243E-3</v>
      </c>
      <c r="W94" s="94">
        <f t="shared" si="19"/>
        <v>1.3886855674006375E-2</v>
      </c>
      <c r="X94" s="94">
        <f t="shared" si="25"/>
        <v>1.3886855674006375</v>
      </c>
      <c r="Y94" s="142">
        <f t="shared" si="26"/>
        <v>41635</v>
      </c>
      <c r="Z94" s="138">
        <v>-6.3799999999999999E-6</v>
      </c>
      <c r="AA94" s="144">
        <v>0.82199999999999995</v>
      </c>
      <c r="AB94" s="138">
        <f t="shared" si="27"/>
        <v>-9.1871999999999995E-3</v>
      </c>
      <c r="AC94" s="138">
        <v>1.9260965847504816</v>
      </c>
      <c r="AD94" s="138">
        <v>0</v>
      </c>
      <c r="AE94" s="138">
        <f t="shared" si="28"/>
        <v>9.1871999999999995E-3</v>
      </c>
      <c r="AF94" s="138">
        <f t="shared" si="29"/>
        <v>0.91871999999999998</v>
      </c>
      <c r="AG94" s="89">
        <v>41635</v>
      </c>
      <c r="AH94" s="180"/>
      <c r="AI94" s="182">
        <v>13</v>
      </c>
    </row>
    <row r="95" spans="1:58">
      <c r="A95" s="4">
        <v>41636</v>
      </c>
      <c r="B95" s="49">
        <v>-9.5999999999999996E-6</v>
      </c>
      <c r="C95" s="50">
        <v>0.86399999999999999</v>
      </c>
      <c r="D95" s="49">
        <f t="shared" si="20"/>
        <v>-1.3823999999999999E-2</v>
      </c>
      <c r="E95" s="51">
        <v>0.99228676730036958</v>
      </c>
      <c r="F95" s="51">
        <v>-6.1396771683662216E-3</v>
      </c>
      <c r="G95" s="51">
        <f t="shared" si="17"/>
        <v>7.6843228316337778E-3</v>
      </c>
      <c r="H95" s="51">
        <f t="shared" si="21"/>
        <v>0.76843228316337775</v>
      </c>
      <c r="I95" s="69">
        <v>41636</v>
      </c>
      <c r="J95" s="62">
        <v>-1.2E-5</v>
      </c>
      <c r="K95" s="62">
        <v>0.92200000000000004</v>
      </c>
      <c r="L95" s="70">
        <f t="shared" si="22"/>
        <v>-1.728E-2</v>
      </c>
      <c r="M95" s="62">
        <v>2.1696867673003695</v>
      </c>
      <c r="N95" s="63">
        <v>-6.4098416532081752E-4</v>
      </c>
      <c r="O95" s="62">
        <f t="shared" si="18"/>
        <v>1.6639015834679183E-2</v>
      </c>
      <c r="P95" s="62">
        <f t="shared" si="23"/>
        <v>1.6639015834679183</v>
      </c>
      <c r="Q95" s="89">
        <v>41636</v>
      </c>
      <c r="R95" s="86">
        <v>-1.91E-5</v>
      </c>
      <c r="S95" s="90">
        <v>0.96199999999999997</v>
      </c>
      <c r="T95" s="86">
        <f t="shared" si="24"/>
        <v>-2.7504000000000001E-2</v>
      </c>
      <c r="U95" s="107">
        <v>2.4690867673003689</v>
      </c>
      <c r="V95" s="108">
        <v>-7.4131655521623924E-3</v>
      </c>
      <c r="W95" s="94">
        <f t="shared" si="19"/>
        <v>2.0090834447837609E-2</v>
      </c>
      <c r="X95" s="94">
        <f t="shared" si="25"/>
        <v>2.0090834447837609</v>
      </c>
      <c r="Y95" s="142">
        <f t="shared" si="26"/>
        <v>41636</v>
      </c>
      <c r="Z95" s="138">
        <v>-6.7399999999999998E-6</v>
      </c>
      <c r="AA95" s="144">
        <v>0.79200000000000004</v>
      </c>
      <c r="AB95" s="138">
        <f t="shared" si="27"/>
        <v>-9.7056E-3</v>
      </c>
      <c r="AC95" s="138">
        <v>1.9073867673003693</v>
      </c>
      <c r="AD95" s="138">
        <v>0</v>
      </c>
      <c r="AE95" s="138">
        <f t="shared" si="28"/>
        <v>9.7056E-3</v>
      </c>
      <c r="AF95" s="138">
        <f t="shared" si="29"/>
        <v>0.97055999999999998</v>
      </c>
      <c r="AG95" s="89">
        <v>41636</v>
      </c>
      <c r="AH95" s="180"/>
      <c r="AI95" s="182">
        <v>14</v>
      </c>
    </row>
    <row r="96" spans="1:58">
      <c r="A96" s="4">
        <v>41637</v>
      </c>
      <c r="B96" s="49">
        <v>-4.9599999999999999E-6</v>
      </c>
      <c r="C96" s="50">
        <v>0.55300000000000005</v>
      </c>
      <c r="D96" s="49">
        <f t="shared" si="20"/>
        <v>-7.1424000000000001E-3</v>
      </c>
      <c r="E96" s="51">
        <v>0.96585404559959065</v>
      </c>
      <c r="F96" s="51">
        <v>-5.5181340159914747E-3</v>
      </c>
      <c r="G96" s="51">
        <f t="shared" si="17"/>
        <v>1.6242659840085254E-3</v>
      </c>
      <c r="H96" s="51">
        <f t="shared" si="21"/>
        <v>0.16242659840085255</v>
      </c>
      <c r="I96" s="69">
        <v>41637</v>
      </c>
      <c r="J96" s="62">
        <v>-2.4600000000000002E-5</v>
      </c>
      <c r="K96" s="62">
        <v>0.94799999999999995</v>
      </c>
      <c r="L96" s="70">
        <f t="shared" si="22"/>
        <v>-3.5424000000000004E-2</v>
      </c>
      <c r="M96" s="62">
        <v>2.1281540455995902</v>
      </c>
      <c r="N96" s="63">
        <v>-6.1251780647577779E-4</v>
      </c>
      <c r="O96" s="62">
        <f t="shared" si="18"/>
        <v>3.4811482193524229E-2</v>
      </c>
      <c r="P96" s="62">
        <f t="shared" si="23"/>
        <v>3.481148219352423</v>
      </c>
      <c r="Q96" s="89">
        <v>41637</v>
      </c>
      <c r="R96" s="86">
        <v>-1.1800000000000001E-5</v>
      </c>
      <c r="S96" s="90">
        <v>0.86599999999999999</v>
      </c>
      <c r="T96" s="86">
        <f t="shared" si="24"/>
        <v>-1.6992E-2</v>
      </c>
      <c r="U96" s="107">
        <v>2.4298540455995914</v>
      </c>
      <c r="V96" s="108">
        <v>-7.2448147270066793E-3</v>
      </c>
      <c r="W96" s="94">
        <f t="shared" si="19"/>
        <v>9.7471852729933209E-3</v>
      </c>
      <c r="X96" s="94">
        <f t="shared" si="25"/>
        <v>0.97471852729933206</v>
      </c>
      <c r="Y96" s="142">
        <f t="shared" si="26"/>
        <v>41637</v>
      </c>
      <c r="Z96" s="138">
        <v>-6.9299999999999997E-6</v>
      </c>
      <c r="AA96" s="144">
        <v>0.82</v>
      </c>
      <c r="AB96" s="138">
        <f t="shared" si="27"/>
        <v>-9.9791999999999988E-3</v>
      </c>
      <c r="AC96" s="138">
        <v>1.8889540455995912</v>
      </c>
      <c r="AD96" s="138">
        <v>0</v>
      </c>
      <c r="AE96" s="138">
        <f t="shared" si="28"/>
        <v>9.9791999999999988E-3</v>
      </c>
      <c r="AF96" s="138">
        <f t="shared" si="29"/>
        <v>0.99791999999999992</v>
      </c>
      <c r="AG96" s="89">
        <v>41637</v>
      </c>
      <c r="AH96" s="180"/>
      <c r="AI96" s="182">
        <v>15</v>
      </c>
    </row>
    <row r="97" spans="1:35">
      <c r="A97" s="4">
        <v>41638</v>
      </c>
      <c r="B97" s="49">
        <v>-5.3900000000000001E-6</v>
      </c>
      <c r="C97" s="50">
        <v>0.65900000000000003</v>
      </c>
      <c r="D97" s="49">
        <f t="shared" si="20"/>
        <v>-7.7616000000000004E-3</v>
      </c>
      <c r="E97" s="51">
        <v>0.94686099884352315</v>
      </c>
      <c r="F97" s="51">
        <v>-5.0476356201059258E-3</v>
      </c>
      <c r="G97" s="51">
        <f t="shared" si="17"/>
        <v>2.7139643798940747E-3</v>
      </c>
      <c r="H97" s="51">
        <f t="shared" si="21"/>
        <v>0.27139643798940749</v>
      </c>
      <c r="I97" s="69">
        <v>41638</v>
      </c>
      <c r="J97" s="62">
        <v>-6.6800000000000004E-6</v>
      </c>
      <c r="K97" s="62">
        <v>0.81599999999999995</v>
      </c>
      <c r="L97" s="70">
        <f t="shared" si="22"/>
        <v>-9.6192000000000014E-3</v>
      </c>
      <c r="M97" s="62">
        <v>2.0889609988435236</v>
      </c>
      <c r="N97" s="63">
        <v>-5.8132523556365229E-4</v>
      </c>
      <c r="O97" s="62">
        <f t="shared" si="18"/>
        <v>9.0378747644363489E-3</v>
      </c>
      <c r="P97" s="62">
        <f t="shared" si="23"/>
        <v>0.90378747644363489</v>
      </c>
      <c r="Q97" s="89">
        <v>41638</v>
      </c>
      <c r="R97" s="86">
        <v>-1.9199999999999999E-5</v>
      </c>
      <c r="S97" s="90">
        <v>0.94699999999999995</v>
      </c>
      <c r="T97" s="86">
        <f t="shared" si="24"/>
        <v>-2.7647999999999999E-2</v>
      </c>
      <c r="U97" s="107">
        <v>2.3931609988435225</v>
      </c>
      <c r="V97" s="108">
        <v>-7.0758080701970039E-3</v>
      </c>
      <c r="W97" s="94">
        <f t="shared" si="19"/>
        <v>2.0572191929802995E-2</v>
      </c>
      <c r="X97" s="94">
        <f t="shared" si="25"/>
        <v>2.0572191929802996</v>
      </c>
      <c r="Y97" s="142">
        <f t="shared" si="26"/>
        <v>41638</v>
      </c>
      <c r="Z97" s="138">
        <v>-2.4499999999999999E-5</v>
      </c>
      <c r="AA97" s="144">
        <v>0.98399999999999999</v>
      </c>
      <c r="AB97" s="138">
        <f t="shared" si="27"/>
        <v>-3.5279999999999999E-2</v>
      </c>
      <c r="AC97" s="138">
        <v>1.8552609988435225</v>
      </c>
      <c r="AD97" s="138">
        <v>0</v>
      </c>
      <c r="AE97" s="138">
        <f t="shared" si="28"/>
        <v>3.5279999999999999E-2</v>
      </c>
      <c r="AF97" s="138">
        <f t="shared" si="29"/>
        <v>3.528</v>
      </c>
      <c r="AG97" s="89">
        <v>41638</v>
      </c>
      <c r="AH97" s="180"/>
      <c r="AI97" s="182">
        <v>16</v>
      </c>
    </row>
    <row r="98" spans="1:35">
      <c r="A98" s="4">
        <v>41639</v>
      </c>
      <c r="B98" s="49">
        <v>-1.15E-6</v>
      </c>
      <c r="C98" s="50">
        <v>0.11600000000000001</v>
      </c>
      <c r="D98" s="49">
        <f t="shared" si="20"/>
        <v>-1.6559999999999999E-3</v>
      </c>
      <c r="E98" s="51">
        <v>0.92725057132731747</v>
      </c>
      <c r="F98" s="51">
        <v>-4.5393269867627034E-3</v>
      </c>
      <c r="G98" s="51">
        <f t="shared" si="17"/>
        <v>-2.8833269867627035E-3</v>
      </c>
      <c r="H98" s="51">
        <f t="shared" si="21"/>
        <v>-0.28833269867627037</v>
      </c>
      <c r="I98" s="69">
        <v>41639</v>
      </c>
      <c r="J98" s="62">
        <v>-1.13E-5</v>
      </c>
      <c r="K98" s="62">
        <v>-0.92200000000000004</v>
      </c>
      <c r="L98" s="70">
        <f t="shared" si="22"/>
        <v>-1.6272000000000002E-2</v>
      </c>
      <c r="M98" s="62">
        <v>2.0485505713273184</v>
      </c>
      <c r="N98" s="63">
        <v>-5.4419585998453555E-4</v>
      </c>
      <c r="O98" s="62">
        <f t="shared" si="18"/>
        <v>1.5727804140015466E-2</v>
      </c>
      <c r="P98" s="62">
        <f t="shared" si="23"/>
        <v>1.5727804140015467</v>
      </c>
      <c r="Q98" s="89">
        <v>41639</v>
      </c>
      <c r="R98" s="86">
        <v>-2.0699999999999998E-5</v>
      </c>
      <c r="S98" s="90">
        <v>0.96499999999999997</v>
      </c>
      <c r="T98" s="86">
        <f t="shared" si="24"/>
        <v>-2.9807999999999998E-2</v>
      </c>
      <c r="U98" s="107">
        <v>2.3502505713273179</v>
      </c>
      <c r="V98" s="108">
        <v>-6.8629176162739681E-3</v>
      </c>
      <c r="W98" s="94">
        <f t="shared" si="19"/>
        <v>2.2945082383726029E-2</v>
      </c>
      <c r="X98" s="94">
        <f t="shared" si="25"/>
        <v>2.294508238372603</v>
      </c>
      <c r="Y98" s="142">
        <f t="shared" si="26"/>
        <v>41639</v>
      </c>
      <c r="Z98" s="138">
        <v>-1.98E-5</v>
      </c>
      <c r="AA98" s="144">
        <v>0.97899999999999998</v>
      </c>
      <c r="AB98" s="138">
        <f t="shared" si="27"/>
        <v>-2.8511999999999999E-2</v>
      </c>
      <c r="AC98" s="138">
        <v>1.8162505713273176</v>
      </c>
      <c r="AD98" s="138">
        <v>0</v>
      </c>
      <c r="AE98" s="138">
        <f t="shared" si="28"/>
        <v>2.8511999999999999E-2</v>
      </c>
      <c r="AF98" s="138">
        <f t="shared" si="29"/>
        <v>2.8512</v>
      </c>
      <c r="AG98" s="89">
        <v>41639</v>
      </c>
      <c r="AH98" s="180"/>
      <c r="AI98" s="182">
        <v>17</v>
      </c>
    </row>
    <row r="99" spans="1:35">
      <c r="A99" s="4">
        <v>41640</v>
      </c>
      <c r="B99" s="49">
        <v>-4.82E-7</v>
      </c>
      <c r="C99" s="50">
        <v>1.2E-2</v>
      </c>
      <c r="D99" s="49">
        <f t="shared" si="20"/>
        <v>-6.9408000000000002E-4</v>
      </c>
      <c r="E99" s="51">
        <v>0.90683318586779882</v>
      </c>
      <c r="F99" s="51">
        <v>-3.9841250010002986E-3</v>
      </c>
      <c r="G99" s="51">
        <f t="shared" si="17"/>
        <v>-3.2900450010002985E-3</v>
      </c>
      <c r="H99" s="51">
        <f t="shared" si="21"/>
        <v>-0.32900450010002985</v>
      </c>
      <c r="I99" s="69">
        <v>41640</v>
      </c>
      <c r="J99" s="62">
        <v>-1.4E-5</v>
      </c>
      <c r="K99" s="62">
        <v>0.92600000000000005</v>
      </c>
      <c r="L99" s="70">
        <f t="shared" si="22"/>
        <v>-2.0160000000000001E-2</v>
      </c>
      <c r="M99" s="62">
        <v>2.0045331858677997</v>
      </c>
      <c r="N99" s="63">
        <v>-4.9725082553273741E-4</v>
      </c>
      <c r="O99" s="62">
        <f t="shared" si="18"/>
        <v>1.9662749174467264E-2</v>
      </c>
      <c r="P99" s="62">
        <f t="shared" si="23"/>
        <v>1.9662749174467264</v>
      </c>
      <c r="Q99" s="89">
        <v>41640</v>
      </c>
      <c r="R99" s="86">
        <v>-2.7100000000000001E-5</v>
      </c>
      <c r="S99" s="90">
        <v>0.96299999999999997</v>
      </c>
      <c r="T99" s="86">
        <f t="shared" si="24"/>
        <v>-3.9024000000000003E-2</v>
      </c>
      <c r="U99" s="107">
        <v>2.3023331858677993</v>
      </c>
      <c r="V99" s="108">
        <v>-6.6041409450189924E-3</v>
      </c>
      <c r="W99" s="94">
        <f t="shared" si="19"/>
        <v>3.2419859054981008E-2</v>
      </c>
      <c r="X99" s="94">
        <f t="shared" si="25"/>
        <v>3.2419859054981006</v>
      </c>
      <c r="Y99" s="142">
        <f t="shared" si="26"/>
        <v>41640</v>
      </c>
      <c r="Z99" s="138">
        <v>-1.7900000000000001E-5</v>
      </c>
      <c r="AA99" s="144">
        <v>0.94899999999999995</v>
      </c>
      <c r="AB99" s="138">
        <f t="shared" si="27"/>
        <v>-2.5776E-2</v>
      </c>
      <c r="AC99" s="138">
        <v>1.7785331858677984</v>
      </c>
      <c r="AD99" s="138">
        <v>0</v>
      </c>
      <c r="AE99" s="138">
        <f t="shared" si="28"/>
        <v>2.5776E-2</v>
      </c>
      <c r="AF99" s="138">
        <f t="shared" si="29"/>
        <v>2.5775999999999999</v>
      </c>
      <c r="AG99" s="89">
        <v>41640</v>
      </c>
      <c r="AH99" s="180"/>
      <c r="AI99" s="182">
        <v>18</v>
      </c>
    </row>
    <row r="100" spans="1:35">
      <c r="A100" s="4">
        <v>41641</v>
      </c>
      <c r="B100" s="49">
        <v>1.04E-6</v>
      </c>
      <c r="C100" s="50">
        <v>5.2299999999999999E-2</v>
      </c>
      <c r="D100" s="49">
        <f t="shared" si="20"/>
        <v>1.4976E-3</v>
      </c>
      <c r="E100" s="51">
        <v>0.88597981170674578</v>
      </c>
      <c r="F100" s="51">
        <v>-3.3877298888598164E-3</v>
      </c>
      <c r="G100" s="51">
        <f t="shared" si="17"/>
        <v>-4.8853298888598164E-3</v>
      </c>
      <c r="H100" s="51">
        <f t="shared" si="21"/>
        <v>-0.48853298888598162</v>
      </c>
      <c r="I100" s="69">
        <v>41641</v>
      </c>
      <c r="J100" s="62">
        <v>-7.2200000000000003E-6</v>
      </c>
      <c r="K100" s="62">
        <v>0.78900000000000003</v>
      </c>
      <c r="L100" s="70">
        <f t="shared" si="22"/>
        <v>-1.0396800000000001E-2</v>
      </c>
      <c r="M100" s="62">
        <v>1.9808798117067459</v>
      </c>
      <c r="N100" s="63">
        <v>-4.6890022590097958E-4</v>
      </c>
      <c r="O100" s="62">
        <f t="shared" si="18"/>
        <v>9.9278997740990214E-3</v>
      </c>
      <c r="P100" s="62">
        <f t="shared" si="23"/>
        <v>0.99278997740990216</v>
      </c>
      <c r="Q100" s="89">
        <v>41641</v>
      </c>
      <c r="R100" s="86">
        <v>-1.01E-5</v>
      </c>
      <c r="S100" s="90">
        <v>0.80900000000000005</v>
      </c>
      <c r="T100" s="86">
        <f t="shared" si="24"/>
        <v>-1.4544E-2</v>
      </c>
      <c r="U100" s="107">
        <v>2.2695798117067456</v>
      </c>
      <c r="V100" s="108">
        <v>-6.413439793056923E-3</v>
      </c>
      <c r="W100" s="94">
        <f t="shared" si="19"/>
        <v>8.1305602069430757E-3</v>
      </c>
      <c r="X100" s="94">
        <f t="shared" si="25"/>
        <v>0.8130560206943076</v>
      </c>
      <c r="Y100" s="142">
        <f t="shared" si="26"/>
        <v>41641</v>
      </c>
      <c r="Z100" s="138">
        <v>-1.22E-5</v>
      </c>
      <c r="AA100" s="144">
        <v>0.92400000000000004</v>
      </c>
      <c r="AB100" s="138">
        <f t="shared" si="27"/>
        <v>-1.7568E-2</v>
      </c>
      <c r="AC100" s="138">
        <v>1.744879811706745</v>
      </c>
      <c r="AD100" s="138">
        <v>0</v>
      </c>
      <c r="AE100" s="138">
        <f t="shared" si="28"/>
        <v>1.7568E-2</v>
      </c>
      <c r="AF100" s="138">
        <f t="shared" si="29"/>
        <v>1.7568000000000001</v>
      </c>
      <c r="AG100" s="89">
        <v>41641</v>
      </c>
      <c r="AH100" s="180"/>
      <c r="AI100" s="182">
        <v>19</v>
      </c>
    </row>
    <row r="101" spans="1:35">
      <c r="A101" s="4">
        <v>41642</v>
      </c>
      <c r="B101" s="49">
        <v>-1.68E-6</v>
      </c>
      <c r="C101" s="50">
        <v>0.21299999999999999</v>
      </c>
      <c r="D101" s="49">
        <f t="shared" si="20"/>
        <v>-2.4191999999999998E-3</v>
      </c>
      <c r="E101" s="51">
        <v>0.85625384067776678</v>
      </c>
      <c r="F101" s="51">
        <v>-2.4818500903339203E-3</v>
      </c>
      <c r="G101" s="51">
        <f t="shared" si="17"/>
        <v>-6.2650090333920497E-5</v>
      </c>
      <c r="H101" s="51">
        <f t="shared" si="21"/>
        <v>-6.2650090333920497E-3</v>
      </c>
      <c r="I101" s="69">
        <v>41642</v>
      </c>
      <c r="J101" s="62">
        <v>-3.9999999999999998E-6</v>
      </c>
      <c r="K101" s="62">
        <v>0.59</v>
      </c>
      <c r="L101" s="70">
        <f t="shared" si="22"/>
        <v>-5.7599999999999995E-3</v>
      </c>
      <c r="M101" s="62">
        <v>1.9578538406777672</v>
      </c>
      <c r="N101" s="63">
        <v>-4.3900057213444452E-4</v>
      </c>
      <c r="O101" s="62">
        <f t="shared" si="18"/>
        <v>5.3209994278655554E-3</v>
      </c>
      <c r="P101" s="62">
        <f t="shared" si="23"/>
        <v>0.53209994278655559</v>
      </c>
      <c r="Q101" s="89">
        <v>41642</v>
      </c>
      <c r="R101" s="86">
        <v>-1.03E-5</v>
      </c>
      <c r="S101" s="90">
        <v>0.92300000000000004</v>
      </c>
      <c r="T101" s="86">
        <f t="shared" si="24"/>
        <v>-1.4832E-2</v>
      </c>
      <c r="U101" s="107">
        <v>2.2397538406777668</v>
      </c>
      <c r="V101" s="108">
        <v>-6.2293060032076073E-3</v>
      </c>
      <c r="W101" s="94">
        <f t="shared" si="19"/>
        <v>8.6026939967923932E-3</v>
      </c>
      <c r="X101" s="94">
        <f t="shared" si="25"/>
        <v>0.86026939967923932</v>
      </c>
      <c r="Y101" s="142">
        <f t="shared" si="26"/>
        <v>41642</v>
      </c>
      <c r="Z101" s="138">
        <v>-1.31E-5</v>
      </c>
      <c r="AA101" s="144">
        <v>0.94399999999999995</v>
      </c>
      <c r="AB101" s="138">
        <f t="shared" si="27"/>
        <v>-1.8863999999999999E-2</v>
      </c>
      <c r="AC101" s="138">
        <v>1.7175538406777657</v>
      </c>
      <c r="AD101" s="138">
        <v>0</v>
      </c>
      <c r="AE101" s="138">
        <f t="shared" si="28"/>
        <v>1.8863999999999999E-2</v>
      </c>
      <c r="AF101" s="138">
        <f t="shared" si="29"/>
        <v>1.8863999999999999</v>
      </c>
      <c r="AG101" s="89">
        <v>41642</v>
      </c>
      <c r="AH101" s="180"/>
      <c r="AI101" s="182">
        <v>20</v>
      </c>
    </row>
    <row r="102" spans="1:35">
      <c r="A102" s="4">
        <v>41643</v>
      </c>
      <c r="B102" s="49">
        <v>-2.88E-6</v>
      </c>
      <c r="C102" s="50">
        <v>0.40100000000000002</v>
      </c>
      <c r="D102" s="49">
        <f t="shared" si="20"/>
        <v>-4.1472000000000002E-3</v>
      </c>
      <c r="E102" s="51">
        <v>0.82819800980449421</v>
      </c>
      <c r="F102" s="51">
        <v>-1.5607597728126822E-3</v>
      </c>
      <c r="G102" s="51">
        <f t="shared" si="17"/>
        <v>2.5864402271873182E-3</v>
      </c>
      <c r="H102" s="51">
        <f t="shared" si="21"/>
        <v>0.25864402271873183</v>
      </c>
      <c r="I102" s="69">
        <v>41643</v>
      </c>
      <c r="J102" s="62">
        <v>-6.9299999999999997E-6</v>
      </c>
      <c r="K102" s="62">
        <v>0.80400000000000005</v>
      </c>
      <c r="L102" s="70">
        <f t="shared" si="22"/>
        <v>-9.9791999999999988E-3</v>
      </c>
      <c r="M102" s="62">
        <v>1.9360980098044942</v>
      </c>
      <c r="N102" s="63">
        <v>-4.0851175894375243E-4</v>
      </c>
      <c r="O102" s="62">
        <f t="shared" si="18"/>
        <v>9.570688241056247E-3</v>
      </c>
      <c r="P102" s="62">
        <f t="shared" si="23"/>
        <v>0.95706882410562466</v>
      </c>
      <c r="Q102" s="89">
        <v>41643</v>
      </c>
      <c r="R102" s="86">
        <v>-1.1800000000000001E-5</v>
      </c>
      <c r="S102" s="90">
        <v>0.879</v>
      </c>
      <c r="T102" s="86">
        <f t="shared" si="24"/>
        <v>-1.6992E-2</v>
      </c>
      <c r="U102" s="107">
        <v>2.2115980098044945</v>
      </c>
      <c r="V102" s="108">
        <v>-6.0457627020447094E-3</v>
      </c>
      <c r="W102" s="94">
        <f t="shared" si="19"/>
        <v>1.094623729795529E-2</v>
      </c>
      <c r="X102" s="94">
        <f t="shared" si="25"/>
        <v>1.094623729795529</v>
      </c>
      <c r="Y102" s="142">
        <f t="shared" si="26"/>
        <v>41643</v>
      </c>
      <c r="Z102" s="138">
        <v>-9.9499999999999996E-6</v>
      </c>
      <c r="AA102" s="144">
        <v>0.88800000000000001</v>
      </c>
      <c r="AB102" s="138">
        <f t="shared" si="27"/>
        <v>-1.4327999999999999E-2</v>
      </c>
      <c r="AC102" s="138">
        <v>1.6927980098044944</v>
      </c>
      <c r="AD102" s="138">
        <v>0</v>
      </c>
      <c r="AE102" s="138">
        <f t="shared" si="28"/>
        <v>1.4327999999999999E-2</v>
      </c>
      <c r="AF102" s="138">
        <f t="shared" si="29"/>
        <v>1.4327999999999999</v>
      </c>
      <c r="AG102" s="89">
        <v>41643</v>
      </c>
      <c r="AH102" s="180"/>
      <c r="AI102" s="182">
        <v>21</v>
      </c>
    </row>
    <row r="103" spans="1:35">
      <c r="A103" s="4">
        <v>41644</v>
      </c>
      <c r="B103" s="49">
        <v>-6.0000000000000002E-6</v>
      </c>
      <c r="C103" s="50">
        <v>0.433</v>
      </c>
      <c r="D103" s="49">
        <f t="shared" si="20"/>
        <v>-8.6400000000000001E-3</v>
      </c>
      <c r="E103" s="51">
        <v>0.79448532579851039</v>
      </c>
      <c r="F103" s="51">
        <v>-3.5872783423791392E-4</v>
      </c>
      <c r="G103" s="51">
        <f t="shared" si="17"/>
        <v>8.2812721657620856E-3</v>
      </c>
      <c r="H103" s="51">
        <f t="shared" si="21"/>
        <v>0.82812721657620858</v>
      </c>
      <c r="I103" s="69">
        <v>41644</v>
      </c>
      <c r="J103" s="62">
        <v>-7.2599999999999999E-6</v>
      </c>
      <c r="K103" s="62">
        <v>0.75700000000000001</v>
      </c>
      <c r="L103" s="70">
        <f t="shared" si="22"/>
        <v>-1.0454399999999999E-2</v>
      </c>
      <c r="M103" s="62">
        <v>1.9113853257985107</v>
      </c>
      <c r="N103" s="63">
        <v>-3.7104287600240845E-4</v>
      </c>
      <c r="O103" s="62">
        <f t="shared" si="18"/>
        <v>1.0083357123997591E-2</v>
      </c>
      <c r="P103" s="62">
        <f t="shared" si="23"/>
        <v>1.0083357123997592</v>
      </c>
      <c r="Q103" s="89">
        <v>41644</v>
      </c>
      <c r="R103" s="86">
        <v>-1.3499999999999999E-5</v>
      </c>
      <c r="S103" s="90">
        <v>0.89400000000000002</v>
      </c>
      <c r="T103" s="86">
        <f t="shared" si="24"/>
        <v>-1.9439999999999999E-2</v>
      </c>
      <c r="U103" s="107">
        <v>2.1831853257985108</v>
      </c>
      <c r="V103" s="108">
        <v>-5.8504162202115623E-3</v>
      </c>
      <c r="W103" s="94">
        <f t="shared" si="19"/>
        <v>1.3589583779788438E-2</v>
      </c>
      <c r="X103" s="94">
        <f t="shared" si="25"/>
        <v>1.3589583779788437</v>
      </c>
      <c r="Y103" s="142">
        <f t="shared" si="26"/>
        <v>41644</v>
      </c>
      <c r="Z103" s="138">
        <v>-5.5000000000000003E-7</v>
      </c>
      <c r="AA103" s="144">
        <v>0.79100000000000004</v>
      </c>
      <c r="AB103" s="138">
        <f t="shared" si="27"/>
        <v>-7.9200000000000006E-4</v>
      </c>
      <c r="AC103" s="138">
        <v>1.6738853257985116</v>
      </c>
      <c r="AD103" s="138">
        <v>0</v>
      </c>
      <c r="AE103" s="138">
        <f t="shared" si="28"/>
        <v>7.9200000000000006E-4</v>
      </c>
      <c r="AF103" s="138">
        <f t="shared" si="29"/>
        <v>7.9200000000000007E-2</v>
      </c>
      <c r="AG103" s="89">
        <v>41644</v>
      </c>
      <c r="AH103" s="180"/>
      <c r="AI103" s="182">
        <v>22</v>
      </c>
    </row>
    <row r="104" spans="1:35">
      <c r="A104" s="4">
        <v>41645</v>
      </c>
      <c r="B104" s="49">
        <v>-9.2799999999999992E-6</v>
      </c>
      <c r="C104" s="50">
        <v>0.51300000000000001</v>
      </c>
      <c r="D104" s="49">
        <f t="shared" si="20"/>
        <v>-1.3363199999999999E-2</v>
      </c>
      <c r="E104" s="51">
        <v>0.76523991774205824</v>
      </c>
      <c r="F104" s="51">
        <v>0</v>
      </c>
      <c r="G104" s="51">
        <f t="shared" si="17"/>
        <v>1.3363199999999999E-2</v>
      </c>
      <c r="H104" s="51">
        <f t="shared" si="21"/>
        <v>1.33632</v>
      </c>
      <c r="I104" s="69">
        <v>41645</v>
      </c>
      <c r="J104" s="62">
        <v>9.9999999999999995E-7</v>
      </c>
      <c r="K104" s="62">
        <v>4.8000000000000001E-2</v>
      </c>
      <c r="L104" s="70">
        <f t="shared" si="22"/>
        <v>1.4399999999999999E-3</v>
      </c>
      <c r="M104" s="62">
        <v>1.887739917742058</v>
      </c>
      <c r="N104" s="63">
        <v>-3.3215271288057114E-4</v>
      </c>
      <c r="O104" s="62">
        <f t="shared" si="18"/>
        <v>-1.7721527128805709E-3</v>
      </c>
      <c r="P104" s="62">
        <f t="shared" si="23"/>
        <v>-0.17721527128805709</v>
      </c>
      <c r="Q104" s="89">
        <v>41645</v>
      </c>
      <c r="R104" s="86">
        <v>-1.24E-5</v>
      </c>
      <c r="S104" s="90">
        <v>0.88700000000000001</v>
      </c>
      <c r="T104" s="86">
        <f t="shared" si="24"/>
        <v>-1.7856E-2</v>
      </c>
      <c r="U104" s="107">
        <v>2.1525399177420583</v>
      </c>
      <c r="V104" s="108">
        <v>-5.6276331799615074E-3</v>
      </c>
      <c r="W104" s="94">
        <f t="shared" si="19"/>
        <v>1.2228366820038493E-2</v>
      </c>
      <c r="X104" s="94">
        <f t="shared" si="25"/>
        <v>1.2228366820038492</v>
      </c>
      <c r="Y104" s="142">
        <f t="shared" si="26"/>
        <v>41645</v>
      </c>
      <c r="Z104" s="138">
        <v>-5.2399999999999998E-6</v>
      </c>
      <c r="AA104" s="144">
        <v>0.61099999999999999</v>
      </c>
      <c r="AB104" s="138">
        <f t="shared" si="27"/>
        <v>-7.5455999999999995E-3</v>
      </c>
      <c r="AC104" s="138">
        <v>1.6540399177420588</v>
      </c>
      <c r="AD104" s="138">
        <v>0</v>
      </c>
      <c r="AE104" s="138">
        <f t="shared" si="28"/>
        <v>7.5455999999999995E-3</v>
      </c>
      <c r="AF104" s="138">
        <f t="shared" si="29"/>
        <v>0.7545599999999999</v>
      </c>
      <c r="AG104" s="89">
        <v>41645</v>
      </c>
      <c r="AH104" s="180"/>
      <c r="AI104" s="182">
        <v>23</v>
      </c>
    </row>
    <row r="105" spans="1:35">
      <c r="A105" s="4">
        <v>41646</v>
      </c>
      <c r="B105" s="49">
        <v>-7.5700000000000002E-7</v>
      </c>
      <c r="C105" s="50">
        <v>1.2200000000000001E-2</v>
      </c>
      <c r="D105" s="49">
        <f t="shared" si="20"/>
        <v>-1.09008E-3</v>
      </c>
      <c r="E105" s="51">
        <v>0.74332233440979012</v>
      </c>
      <c r="F105" s="51">
        <v>0</v>
      </c>
      <c r="G105" s="51">
        <f t="shared" si="17"/>
        <v>1.09008E-3</v>
      </c>
      <c r="H105" s="51">
        <f t="shared" si="21"/>
        <v>0.10900799999999999</v>
      </c>
      <c r="I105" s="69">
        <v>41646</v>
      </c>
      <c r="J105" s="62">
        <v>-4.9999999999999998E-8</v>
      </c>
      <c r="K105" s="62">
        <v>1.9000000000000001E-4</v>
      </c>
      <c r="L105" s="70">
        <f t="shared" si="22"/>
        <v>-7.2000000000000002E-5</v>
      </c>
      <c r="M105" s="62">
        <v>1.8694223344097904</v>
      </c>
      <c r="N105" s="63">
        <v>-2.9983356034582806E-4</v>
      </c>
      <c r="O105" s="62">
        <f t="shared" si="18"/>
        <v>-2.2783356034582805E-4</v>
      </c>
      <c r="P105" s="62">
        <f t="shared" si="23"/>
        <v>-2.2783356034582803E-2</v>
      </c>
      <c r="Q105" s="89">
        <v>41646</v>
      </c>
      <c r="R105" s="86">
        <v>-1.1399999999999999E-5</v>
      </c>
      <c r="S105" s="90">
        <v>0.84599999999999997</v>
      </c>
      <c r="T105" s="86">
        <f t="shared" si="24"/>
        <v>-1.6416E-2</v>
      </c>
      <c r="U105" s="107">
        <v>2.1216223344097918</v>
      </c>
      <c r="V105" s="108">
        <v>-5.3893695671435446E-3</v>
      </c>
      <c r="W105" s="94">
        <f t="shared" si="19"/>
        <v>1.1026630432856455E-2</v>
      </c>
      <c r="X105" s="94">
        <f t="shared" si="25"/>
        <v>1.1026630432856455</v>
      </c>
      <c r="Y105" s="142">
        <f t="shared" si="26"/>
        <v>41646</v>
      </c>
      <c r="Z105" s="138">
        <v>-6.9099999999999999E-6</v>
      </c>
      <c r="AA105" s="144">
        <v>0.77500000000000002</v>
      </c>
      <c r="AB105" s="138">
        <f t="shared" si="27"/>
        <v>-9.9503999999999999E-3</v>
      </c>
      <c r="AC105" s="138">
        <v>1.6342223344097913</v>
      </c>
      <c r="AD105" s="138">
        <v>0</v>
      </c>
      <c r="AE105" s="138">
        <f t="shared" si="28"/>
        <v>9.9503999999999999E-3</v>
      </c>
      <c r="AF105" s="138">
        <f t="shared" si="29"/>
        <v>0.99504000000000004</v>
      </c>
      <c r="AG105" s="89">
        <v>41646</v>
      </c>
      <c r="AH105" s="180"/>
      <c r="AI105" s="182">
        <v>24</v>
      </c>
    </row>
    <row r="106" spans="1:35">
      <c r="A106" s="4">
        <v>41647</v>
      </c>
      <c r="B106" s="49">
        <v>3.9999999999999998E-6</v>
      </c>
      <c r="C106" s="50">
        <v>0.26900000000000002</v>
      </c>
      <c r="D106" s="49">
        <f t="shared" si="20"/>
        <v>5.7599999999999995E-3</v>
      </c>
      <c r="E106" s="51">
        <v>0.72644667781262529</v>
      </c>
      <c r="F106" s="51">
        <v>0</v>
      </c>
      <c r="G106" s="51">
        <f t="shared" si="17"/>
        <v>-5.7599999999999995E-3</v>
      </c>
      <c r="H106" s="51">
        <f t="shared" si="21"/>
        <v>-0.57599999999999996</v>
      </c>
      <c r="I106" s="69">
        <v>41647</v>
      </c>
      <c r="J106" s="65">
        <v>1.9799999999999999E-4</v>
      </c>
      <c r="K106" s="65">
        <v>0.997</v>
      </c>
      <c r="L106" s="70">
        <f t="shared" si="22"/>
        <v>0.28511999999999998</v>
      </c>
      <c r="M106" s="65">
        <v>1.6491466778126254</v>
      </c>
      <c r="N106" s="63">
        <v>0</v>
      </c>
      <c r="O106" s="62">
        <f t="shared" si="18"/>
        <v>-0.28511999999999998</v>
      </c>
      <c r="P106" s="62">
        <f t="shared" si="23"/>
        <v>-28.511999999999997</v>
      </c>
      <c r="Q106" s="89">
        <v>41647</v>
      </c>
      <c r="R106" s="86">
        <v>7.2600000000000002E-7</v>
      </c>
      <c r="S106" s="90">
        <v>0.86199999999999999</v>
      </c>
      <c r="T106" s="86">
        <f t="shared" si="24"/>
        <v>1.0454400000000001E-3</v>
      </c>
      <c r="U106" s="107">
        <v>2.0977466778126255</v>
      </c>
      <c r="V106" s="108">
        <v>-5.1955407888486585E-3</v>
      </c>
      <c r="W106" s="94">
        <f t="shared" si="19"/>
        <v>-6.2409807888486584E-3</v>
      </c>
      <c r="X106" s="94">
        <f t="shared" si="25"/>
        <v>-0.62409807888486579</v>
      </c>
      <c r="Y106" s="142">
        <f t="shared" si="26"/>
        <v>41647</v>
      </c>
      <c r="Z106" s="138">
        <v>8.4600000000000003E-6</v>
      </c>
      <c r="AA106" s="144">
        <v>0.62</v>
      </c>
      <c r="AB106" s="138">
        <f t="shared" si="27"/>
        <v>1.2182400000000001E-2</v>
      </c>
      <c r="AC106" s="138">
        <v>1.6170466778126253</v>
      </c>
      <c r="AD106" s="138">
        <v>0</v>
      </c>
      <c r="AE106" s="138">
        <f t="shared" si="28"/>
        <v>-1.2182400000000001E-2</v>
      </c>
      <c r="AF106" s="138">
        <f t="shared" si="29"/>
        <v>-1.2182400000000002</v>
      </c>
      <c r="AG106" s="89">
        <v>41647</v>
      </c>
      <c r="AH106" s="180"/>
      <c r="AI106" s="182">
        <v>25</v>
      </c>
    </row>
    <row r="107" spans="1:35">
      <c r="A107" s="4">
        <v>41648</v>
      </c>
      <c r="B107" s="49">
        <v>-9.3400000000000004E-6</v>
      </c>
      <c r="C107" s="50">
        <v>0.85099999999999998</v>
      </c>
      <c r="D107" s="49">
        <f t="shared" si="20"/>
        <v>-1.3449600000000001E-2</v>
      </c>
      <c r="E107" s="51">
        <v>0.72156631271284555</v>
      </c>
      <c r="F107" s="51">
        <v>0</v>
      </c>
      <c r="G107" s="51">
        <f t="shared" si="17"/>
        <v>1.3449600000000001E-2</v>
      </c>
      <c r="H107" s="51">
        <f t="shared" si="21"/>
        <v>1.3449600000000002</v>
      </c>
      <c r="I107" s="69">
        <v>41648</v>
      </c>
      <c r="J107" s="62">
        <v>1.5299999999999999E-5</v>
      </c>
      <c r="K107" s="62">
        <v>0.85099999999999998</v>
      </c>
      <c r="L107" s="70">
        <f t="shared" si="22"/>
        <v>2.2032E-2</v>
      </c>
      <c r="M107" s="62">
        <v>1.8071663127128443</v>
      </c>
      <c r="N107" s="63">
        <v>-1.7398826946063729E-4</v>
      </c>
      <c r="O107" s="62">
        <f t="shared" si="18"/>
        <v>-2.2205988269460637E-2</v>
      </c>
      <c r="P107" s="62">
        <f t="shared" si="23"/>
        <v>-2.2205988269460639</v>
      </c>
      <c r="Q107" s="89">
        <v>41648</v>
      </c>
      <c r="R107" s="86">
        <v>-1.2799999999999999E-5</v>
      </c>
      <c r="S107" s="90">
        <v>0.85099999999999998</v>
      </c>
      <c r="T107" s="86">
        <f t="shared" si="24"/>
        <v>-1.8432E-2</v>
      </c>
      <c r="U107" s="107">
        <v>2.0814663127128457</v>
      </c>
      <c r="V107" s="108">
        <v>-5.0582142202398898E-3</v>
      </c>
      <c r="W107" s="94">
        <f t="shared" si="19"/>
        <v>1.337378577976011E-2</v>
      </c>
      <c r="X107" s="94">
        <f t="shared" si="25"/>
        <v>1.337378577976011</v>
      </c>
      <c r="Y107" s="142">
        <f t="shared" si="26"/>
        <v>41648</v>
      </c>
      <c r="Z107" s="138">
        <v>-9.6399999999999992E-6</v>
      </c>
      <c r="AA107" s="144">
        <v>0.89400000000000002</v>
      </c>
      <c r="AB107" s="138">
        <f t="shared" si="27"/>
        <v>-1.3881599999999999E-2</v>
      </c>
      <c r="AC107" s="138">
        <v>1.6136663127128439</v>
      </c>
      <c r="AD107" s="138">
        <v>0</v>
      </c>
      <c r="AE107" s="138">
        <f t="shared" si="28"/>
        <v>1.3881599999999999E-2</v>
      </c>
      <c r="AF107" s="138">
        <f t="shared" si="29"/>
        <v>1.3881599999999998</v>
      </c>
      <c r="AG107" s="89">
        <v>41648</v>
      </c>
      <c r="AH107" s="180"/>
      <c r="AI107" s="182">
        <v>26</v>
      </c>
    </row>
    <row r="108" spans="1:35">
      <c r="A108" s="4">
        <v>41649</v>
      </c>
      <c r="B108" s="49">
        <v>-9.1700000000000003E-6</v>
      </c>
      <c r="C108" s="50">
        <v>0.85099999999999998</v>
      </c>
      <c r="D108" s="49">
        <f t="shared" si="20"/>
        <v>-1.3204800000000001E-2</v>
      </c>
      <c r="E108" s="51">
        <v>0.70435056662793416</v>
      </c>
      <c r="F108" s="51">
        <v>0</v>
      </c>
      <c r="G108" s="51">
        <f t="shared" si="17"/>
        <v>1.3204800000000001E-2</v>
      </c>
      <c r="H108" s="51">
        <f t="shared" si="21"/>
        <v>1.3204800000000001</v>
      </c>
      <c r="I108" s="69">
        <v>41649</v>
      </c>
      <c r="J108" s="62">
        <v>-1.0499999999999999E-5</v>
      </c>
      <c r="K108" s="62">
        <v>0.92</v>
      </c>
      <c r="L108" s="70">
        <f t="shared" si="22"/>
        <v>-1.512E-2</v>
      </c>
      <c r="M108" s="62">
        <v>1.8004505666279333</v>
      </c>
      <c r="N108" s="63">
        <v>-1.5879035442680625E-4</v>
      </c>
      <c r="O108" s="62">
        <f t="shared" si="18"/>
        <v>1.4961209645573193E-2</v>
      </c>
      <c r="P108" s="62">
        <f t="shared" si="23"/>
        <v>1.4961209645573192</v>
      </c>
      <c r="Q108" s="89">
        <v>41649</v>
      </c>
      <c r="R108" s="86">
        <v>-1.2E-5</v>
      </c>
      <c r="S108" s="90">
        <v>0.86399999999999999</v>
      </c>
      <c r="T108" s="86">
        <f t="shared" si="24"/>
        <v>-1.728E-2</v>
      </c>
      <c r="U108" s="107">
        <v>2.055550566627935</v>
      </c>
      <c r="V108" s="108">
        <v>-4.8305804694672872E-3</v>
      </c>
      <c r="W108" s="94">
        <f t="shared" si="19"/>
        <v>1.2449419530532713E-2</v>
      </c>
      <c r="X108" s="94">
        <f t="shared" si="25"/>
        <v>1.2449419530532713</v>
      </c>
      <c r="Y108" s="142">
        <f t="shared" si="26"/>
        <v>41649</v>
      </c>
      <c r="Z108" s="138">
        <v>-6.8499999999999996E-6</v>
      </c>
      <c r="AA108" s="144">
        <v>0.82799999999999996</v>
      </c>
      <c r="AB108" s="138">
        <f t="shared" si="27"/>
        <v>-9.8639999999999995E-3</v>
      </c>
      <c r="AC108" s="138">
        <v>1.5972505666279342</v>
      </c>
      <c r="AD108" s="138">
        <v>0</v>
      </c>
      <c r="AE108" s="138">
        <f t="shared" si="28"/>
        <v>9.8639999999999995E-3</v>
      </c>
      <c r="AF108" s="138">
        <f t="shared" si="29"/>
        <v>0.98639999999999994</v>
      </c>
      <c r="AG108" s="89">
        <v>41649</v>
      </c>
      <c r="AH108" s="180"/>
      <c r="AI108" s="182">
        <v>27</v>
      </c>
    </row>
    <row r="109" spans="1:35">
      <c r="A109" s="4">
        <v>41650</v>
      </c>
      <c r="B109" s="49">
        <v>-3.9999999999999998E-6</v>
      </c>
      <c r="C109" s="50">
        <v>0.34499999999999997</v>
      </c>
      <c r="D109" s="49">
        <f t="shared" si="20"/>
        <v>-5.7599999999999995E-3</v>
      </c>
      <c r="E109" s="51">
        <v>0.681747092355661</v>
      </c>
      <c r="F109" s="51">
        <v>0</v>
      </c>
      <c r="G109" s="51">
        <f t="shared" si="17"/>
        <v>5.7599999999999995E-3</v>
      </c>
      <c r="H109" s="51">
        <f t="shared" si="21"/>
        <v>0.57599999999999996</v>
      </c>
      <c r="I109" s="69">
        <v>41650</v>
      </c>
      <c r="J109" s="62">
        <v>-6.0000000000000002E-6</v>
      </c>
      <c r="K109" s="62">
        <v>0.54600000000000004</v>
      </c>
      <c r="L109" s="70">
        <f t="shared" si="22"/>
        <v>-8.6400000000000001E-3</v>
      </c>
      <c r="M109" s="62">
        <v>1.7729470923556627</v>
      </c>
      <c r="N109" s="63">
        <v>-9.2891549813177708E-5</v>
      </c>
      <c r="O109" s="62">
        <f t="shared" si="18"/>
        <v>8.547108450186823E-3</v>
      </c>
      <c r="P109" s="62">
        <f t="shared" si="23"/>
        <v>0.85471084501868233</v>
      </c>
      <c r="Q109" s="89">
        <v>41650</v>
      </c>
      <c r="R109" s="86">
        <v>-1.04E-5</v>
      </c>
      <c r="S109" s="90">
        <v>0.76300000000000001</v>
      </c>
      <c r="T109" s="86">
        <f t="shared" si="24"/>
        <v>-1.4976E-2</v>
      </c>
      <c r="U109" s="107">
        <v>2.0289470923556623</v>
      </c>
      <c r="V109" s="108">
        <v>-4.5847980658407263E-3</v>
      </c>
      <c r="W109" s="94">
        <f t="shared" si="19"/>
        <v>1.0391201934159273E-2</v>
      </c>
      <c r="X109" s="94">
        <f t="shared" si="25"/>
        <v>1.0391201934159273</v>
      </c>
      <c r="Y109" s="142">
        <f t="shared" si="26"/>
        <v>41650</v>
      </c>
      <c r="Z109" s="138">
        <v>-4.42E-6</v>
      </c>
      <c r="AA109" s="144">
        <v>0.63400000000000001</v>
      </c>
      <c r="AB109" s="138">
        <f t="shared" si="27"/>
        <v>-6.3648000000000003E-3</v>
      </c>
      <c r="AC109" s="138">
        <v>1.5800470923556609</v>
      </c>
      <c r="AD109" s="138">
        <v>0</v>
      </c>
      <c r="AE109" s="138">
        <f t="shared" si="28"/>
        <v>6.3648000000000003E-3</v>
      </c>
      <c r="AF109" s="138">
        <f t="shared" si="29"/>
        <v>0.63648000000000005</v>
      </c>
      <c r="AG109" s="89">
        <v>41650</v>
      </c>
      <c r="AH109" s="180"/>
      <c r="AI109" s="182">
        <v>28</v>
      </c>
    </row>
    <row r="110" spans="1:35">
      <c r="A110" s="4">
        <v>41651</v>
      </c>
      <c r="B110" s="49">
        <v>-1.9999999999999999E-6</v>
      </c>
      <c r="C110" s="50">
        <v>0.2</v>
      </c>
      <c r="D110" s="49">
        <f t="shared" si="20"/>
        <v>-2.8799999999999997E-3</v>
      </c>
      <c r="E110" s="51">
        <v>0.65773114369861618</v>
      </c>
      <c r="F110" s="51">
        <v>0</v>
      </c>
      <c r="G110" s="51">
        <f t="shared" si="17"/>
        <v>2.8799999999999997E-3</v>
      </c>
      <c r="H110" s="51">
        <f t="shared" si="21"/>
        <v>0.28799999999999998</v>
      </c>
      <c r="I110" s="69">
        <v>41651</v>
      </c>
      <c r="J110" s="66">
        <v>-1.33E-5</v>
      </c>
      <c r="K110" s="66">
        <v>0.93200000000000005</v>
      </c>
      <c r="L110" s="70">
        <f t="shared" si="22"/>
        <v>-1.9151999999999999E-2</v>
      </c>
      <c r="M110" s="66">
        <v>1.1646311436986172</v>
      </c>
      <c r="N110" s="63">
        <v>-1.0763342100723841E-4</v>
      </c>
      <c r="O110" s="62">
        <f t="shared" si="18"/>
        <v>1.904436657899276E-2</v>
      </c>
      <c r="P110" s="92">
        <f t="shared" si="23"/>
        <v>1.904436657899276</v>
      </c>
      <c r="Q110" s="89">
        <v>41651</v>
      </c>
      <c r="R110" s="94">
        <v>-1.0200000000000001E-5</v>
      </c>
      <c r="S110" s="95">
        <v>0.83199999999999996</v>
      </c>
      <c r="T110" s="94">
        <f t="shared" si="24"/>
        <v>-1.4688000000000001E-2</v>
      </c>
      <c r="U110" s="107">
        <v>2.0001311436986162</v>
      </c>
      <c r="V110" s="108">
        <v>-4.3039197883014014E-3</v>
      </c>
      <c r="W110" s="94">
        <f t="shared" si="19"/>
        <v>1.03840802116986E-2</v>
      </c>
      <c r="X110" s="104">
        <f t="shared" si="25"/>
        <v>1.0384080211698601</v>
      </c>
      <c r="Y110" s="142">
        <f t="shared" si="26"/>
        <v>41651</v>
      </c>
      <c r="Z110" s="138">
        <v>-4.07E-6</v>
      </c>
      <c r="AA110" s="144">
        <v>0.61</v>
      </c>
      <c r="AB110" s="138">
        <f t="shared" si="27"/>
        <v>-5.8608000000000002E-3</v>
      </c>
      <c r="AC110" s="138">
        <v>1.5642311436986165</v>
      </c>
      <c r="AD110" s="138">
        <v>0</v>
      </c>
      <c r="AE110" s="138">
        <f t="shared" si="28"/>
        <v>5.8608000000000002E-3</v>
      </c>
      <c r="AF110" s="138">
        <f t="shared" si="29"/>
        <v>0.58608000000000005</v>
      </c>
      <c r="AG110" s="89">
        <v>41651</v>
      </c>
      <c r="AH110" s="180"/>
      <c r="AI110" s="182">
        <v>29</v>
      </c>
    </row>
    <row r="111" spans="1:35">
      <c r="A111" s="4">
        <v>41652</v>
      </c>
      <c r="B111" s="49">
        <v>-2.69E-5</v>
      </c>
      <c r="C111" s="50">
        <v>0.94499999999999995</v>
      </c>
      <c r="D111" s="49">
        <f t="shared" si="20"/>
        <v>-3.8736E-2</v>
      </c>
      <c r="E111" s="51">
        <v>0.61232889425791415</v>
      </c>
      <c r="F111" s="51">
        <v>0</v>
      </c>
      <c r="G111" s="51">
        <f t="shared" si="17"/>
        <v>3.8736E-2</v>
      </c>
      <c r="H111" s="51">
        <f t="shared" si="21"/>
        <v>3.8736000000000002</v>
      </c>
      <c r="I111" s="74">
        <v>41652</v>
      </c>
      <c r="J111" s="75">
        <v>-2.1999999999999999E-5</v>
      </c>
      <c r="K111" s="75">
        <v>0.97099999999999997</v>
      </c>
      <c r="L111" s="76">
        <f t="shared" si="22"/>
        <v>-3.168E-2</v>
      </c>
      <c r="M111" s="75">
        <v>1.1184288942579135</v>
      </c>
      <c r="N111" s="77">
        <v>-1.0763342100723841E-4</v>
      </c>
      <c r="O111" s="64">
        <f t="shared" si="18"/>
        <v>3.1572366578992761E-2</v>
      </c>
      <c r="P111" s="93">
        <f t="shared" si="23"/>
        <v>3.1572366578992761</v>
      </c>
      <c r="Q111" s="89">
        <v>41652</v>
      </c>
      <c r="R111" s="94">
        <v>-7.7999999999999999E-6</v>
      </c>
      <c r="S111" s="95">
        <v>0.496</v>
      </c>
      <c r="T111" s="94">
        <f t="shared" si="24"/>
        <v>-1.1231999999999999E-2</v>
      </c>
      <c r="U111" s="107">
        <v>1.9718288942579132</v>
      </c>
      <c r="V111" s="108">
        <v>-4.0123016535240173E-3</v>
      </c>
      <c r="W111" s="94">
        <f t="shared" si="19"/>
        <v>7.2196983464759817E-3</v>
      </c>
      <c r="X111" s="94">
        <f t="shared" si="25"/>
        <v>0.72196983464759812</v>
      </c>
      <c r="Y111" s="142">
        <f t="shared" si="26"/>
        <v>41652</v>
      </c>
      <c r="Z111" s="138">
        <v>-5.4399999999999996E-6</v>
      </c>
      <c r="AA111" s="144">
        <v>0.61899999999999999</v>
      </c>
      <c r="AB111" s="138">
        <f t="shared" si="27"/>
        <v>-7.8335999999999996E-3</v>
      </c>
      <c r="AC111" s="138">
        <v>1.5474288942579135</v>
      </c>
      <c r="AD111" s="138">
        <v>0</v>
      </c>
      <c r="AE111" s="138">
        <f t="shared" si="28"/>
        <v>7.8335999999999996E-3</v>
      </c>
      <c r="AF111" s="138">
        <f t="shared" si="29"/>
        <v>0.78335999999999995</v>
      </c>
      <c r="AG111" s="89">
        <v>41652</v>
      </c>
      <c r="AH111" s="180"/>
      <c r="AI111" s="182">
        <v>30</v>
      </c>
    </row>
    <row r="112" spans="1:35">
      <c r="A112" s="4">
        <v>41653</v>
      </c>
      <c r="B112" s="49">
        <v>-2.97E-5</v>
      </c>
      <c r="C112" s="50">
        <v>0.95</v>
      </c>
      <c r="D112" s="49">
        <f t="shared" si="20"/>
        <v>-4.2768E-2</v>
      </c>
      <c r="E112" s="51">
        <v>0.53664341316156028</v>
      </c>
      <c r="F112" s="51">
        <v>0</v>
      </c>
      <c r="G112" s="51">
        <f t="shared" si="17"/>
        <v>4.2768E-2</v>
      </c>
      <c r="H112" s="73">
        <f t="shared" si="21"/>
        <v>4.2767999999999997</v>
      </c>
      <c r="I112" s="43"/>
      <c r="J112" s="78"/>
      <c r="K112" s="78"/>
      <c r="L112" s="78"/>
      <c r="M112" s="78"/>
      <c r="N112" s="79"/>
      <c r="O112" s="80"/>
      <c r="P112" s="80"/>
      <c r="Q112" s="89">
        <f>Q111+1</f>
        <v>41653</v>
      </c>
      <c r="R112" s="97">
        <v>-1.19E-5</v>
      </c>
      <c r="S112" s="98">
        <v>0.84899999999999998</v>
      </c>
      <c r="T112" s="94">
        <f t="shared" si="24"/>
        <v>-1.7135999999999998E-2</v>
      </c>
      <c r="U112" s="107">
        <v>1.94464341316156</v>
      </c>
      <c r="V112" s="108">
        <v>-3.7165768115557042E-3</v>
      </c>
      <c r="W112" s="94">
        <f t="shared" si="19"/>
        <v>1.3419423188444295E-2</v>
      </c>
      <c r="X112" s="94">
        <f t="shared" si="25"/>
        <v>1.3419423188444295</v>
      </c>
      <c r="Y112" s="142">
        <f t="shared" si="26"/>
        <v>41653</v>
      </c>
      <c r="Z112" s="138">
        <v>-4.3599999999999998E-6</v>
      </c>
      <c r="AA112" s="144">
        <v>0.67800000000000005</v>
      </c>
      <c r="AB112" s="138">
        <f t="shared" si="27"/>
        <v>-6.2784E-3</v>
      </c>
      <c r="AC112" s="138">
        <v>1.5286434131615603</v>
      </c>
      <c r="AD112" s="138">
        <v>0</v>
      </c>
      <c r="AE112" s="138">
        <f t="shared" si="28"/>
        <v>6.2784E-3</v>
      </c>
      <c r="AF112" s="138">
        <f t="shared" si="29"/>
        <v>0.62783999999999995</v>
      </c>
      <c r="AG112" s="89">
        <f>AG111+1</f>
        <v>41653</v>
      </c>
      <c r="AH112" s="180"/>
      <c r="AI112" s="182">
        <v>31</v>
      </c>
    </row>
    <row r="113" spans="1:35">
      <c r="A113" s="4">
        <v>41654</v>
      </c>
      <c r="B113" s="49">
        <v>5.0000000000000004E-6</v>
      </c>
      <c r="C113" s="50">
        <v>0.42699999999999999</v>
      </c>
      <c r="D113" s="49">
        <f t="shared" si="20"/>
        <v>7.2000000000000007E-3</v>
      </c>
      <c r="E113" s="51">
        <v>0.45490926170738405</v>
      </c>
      <c r="F113" s="51">
        <v>0</v>
      </c>
      <c r="G113" s="51">
        <f t="shared" si="17"/>
        <v>-7.2000000000000007E-3</v>
      </c>
      <c r="H113" s="73">
        <f t="shared" si="21"/>
        <v>-0.72000000000000008</v>
      </c>
      <c r="I113" s="43"/>
      <c r="J113" s="78"/>
      <c r="K113" s="78"/>
      <c r="L113" s="78"/>
      <c r="M113" s="78"/>
      <c r="N113" s="79"/>
      <c r="O113" s="80"/>
      <c r="P113" s="80"/>
      <c r="Q113" s="89">
        <f t="shared" ref="Q113:Q150" si="30">Q112+1</f>
        <v>41654</v>
      </c>
      <c r="R113" s="97">
        <v>-1.1600000000000001E-5</v>
      </c>
      <c r="S113" s="98">
        <v>0.87</v>
      </c>
      <c r="T113" s="94">
        <f t="shared" si="24"/>
        <v>-1.6704E-2</v>
      </c>
      <c r="U113" s="107">
        <v>1.9197092617073845</v>
      </c>
      <c r="V113" s="108">
        <v>-3.4310795297455292E-3</v>
      </c>
      <c r="W113" s="94">
        <f t="shared" si="19"/>
        <v>1.3272920470254471E-2</v>
      </c>
      <c r="X113" s="94">
        <f t="shared" si="25"/>
        <v>1.3272920470254472</v>
      </c>
      <c r="Y113" s="142">
        <f t="shared" si="26"/>
        <v>41654</v>
      </c>
      <c r="Z113" s="138">
        <v>-3.76E-6</v>
      </c>
      <c r="AA113" s="144">
        <v>0.56899999999999995</v>
      </c>
      <c r="AB113" s="138">
        <f t="shared" si="27"/>
        <v>-5.4143999999999998E-3</v>
      </c>
      <c r="AC113" s="138">
        <v>1.5106092617073847</v>
      </c>
      <c r="AD113" s="138">
        <v>0</v>
      </c>
      <c r="AE113" s="138">
        <f t="shared" si="28"/>
        <v>5.4143999999999998E-3</v>
      </c>
      <c r="AF113" s="138">
        <f t="shared" si="29"/>
        <v>0.54143999999999992</v>
      </c>
      <c r="AG113" s="89">
        <f t="shared" ref="AG113:AG150" si="31">AG112+1</f>
        <v>41654</v>
      </c>
      <c r="AH113" s="180"/>
      <c r="AI113" s="182">
        <v>32</v>
      </c>
    </row>
    <row r="114" spans="1:35">
      <c r="A114" s="4">
        <v>41655</v>
      </c>
      <c r="B114" s="49">
        <v>-4.4499999999999997E-5</v>
      </c>
      <c r="C114" s="50">
        <v>0.99199999999999999</v>
      </c>
      <c r="D114" s="49">
        <f t="shared" si="20"/>
        <v>-6.4079999999999998E-2</v>
      </c>
      <c r="E114" s="51">
        <v>0.40644607479560563</v>
      </c>
      <c r="F114" s="51">
        <v>0</v>
      </c>
      <c r="G114" s="51">
        <f t="shared" si="17"/>
        <v>6.4079999999999998E-2</v>
      </c>
      <c r="H114" s="73">
        <f t="shared" si="21"/>
        <v>6.4079999999999995</v>
      </c>
      <c r="I114" s="43"/>
      <c r="J114" s="78"/>
      <c r="K114" s="78"/>
      <c r="L114" s="78"/>
      <c r="M114" s="78"/>
      <c r="N114" s="79"/>
      <c r="O114" s="80"/>
      <c r="P114" s="80"/>
      <c r="Q114" s="89">
        <f t="shared" si="30"/>
        <v>41655</v>
      </c>
      <c r="R114" s="97">
        <v>-9.1600000000000004E-6</v>
      </c>
      <c r="S114" s="98">
        <v>0.74</v>
      </c>
      <c r="T114" s="94">
        <f t="shared" si="24"/>
        <v>-1.3190400000000001E-2</v>
      </c>
      <c r="U114" s="107">
        <v>1.8912460747956057</v>
      </c>
      <c r="V114" s="108">
        <v>-3.0874732854177501E-3</v>
      </c>
      <c r="W114" s="94">
        <f t="shared" si="19"/>
        <v>1.0102926714582251E-2</v>
      </c>
      <c r="X114" s="94">
        <f t="shared" si="25"/>
        <v>1.010292671458225</v>
      </c>
      <c r="Y114" s="142">
        <f t="shared" si="26"/>
        <v>41655</v>
      </c>
      <c r="Z114" s="138">
        <v>-4.4800000000000003E-6</v>
      </c>
      <c r="AA114" s="144">
        <v>0.71</v>
      </c>
      <c r="AB114" s="138">
        <f t="shared" si="27"/>
        <v>-6.4512000000000007E-3</v>
      </c>
      <c r="AC114" s="138">
        <v>1.4923460747956052</v>
      </c>
      <c r="AD114" s="138">
        <v>0</v>
      </c>
      <c r="AE114" s="138">
        <f t="shared" si="28"/>
        <v>6.4512000000000007E-3</v>
      </c>
      <c r="AF114" s="138">
        <f t="shared" si="29"/>
        <v>0.64512000000000003</v>
      </c>
      <c r="AG114" s="89">
        <f t="shared" si="31"/>
        <v>41655</v>
      </c>
      <c r="AH114" s="180"/>
      <c r="AI114" s="182">
        <v>33</v>
      </c>
    </row>
    <row r="115" spans="1:35">
      <c r="A115" s="4">
        <v>41656</v>
      </c>
      <c r="B115" s="49">
        <v>-5.66E-5</v>
      </c>
      <c r="C115" s="50">
        <v>0.99299999999999999</v>
      </c>
      <c r="D115" s="49">
        <f t="shared" si="20"/>
        <v>-8.1504000000000007E-2</v>
      </c>
      <c r="E115" s="51">
        <v>0.30954382535490638</v>
      </c>
      <c r="F115" s="51">
        <v>0</v>
      </c>
      <c r="G115" s="51">
        <f t="shared" si="17"/>
        <v>8.1504000000000007E-2</v>
      </c>
      <c r="H115" s="73">
        <f t="shared" si="21"/>
        <v>8.1504000000000012</v>
      </c>
      <c r="I115" s="43"/>
      <c r="J115" s="78"/>
      <c r="K115" s="78"/>
      <c r="L115" s="78"/>
      <c r="M115" s="78"/>
      <c r="N115" s="79"/>
      <c r="O115" s="80"/>
      <c r="P115" s="80"/>
      <c r="Q115" s="89">
        <f t="shared" si="30"/>
        <v>41656</v>
      </c>
      <c r="R115" s="97">
        <v>-9.0000000000000002E-6</v>
      </c>
      <c r="S115" s="98">
        <v>0.752</v>
      </c>
      <c r="T115" s="94">
        <f t="shared" si="24"/>
        <v>-1.2960000000000001E-2</v>
      </c>
      <c r="U115" s="107">
        <v>1.8654438253549059</v>
      </c>
      <c r="V115" s="108">
        <v>-2.7586901037324092E-3</v>
      </c>
      <c r="W115" s="94">
        <f t="shared" si="19"/>
        <v>1.0201309896267592E-2</v>
      </c>
      <c r="X115" s="94">
        <f t="shared" si="25"/>
        <v>1.0201309896267592</v>
      </c>
      <c r="Y115" s="142">
        <f t="shared" si="26"/>
        <v>41656</v>
      </c>
      <c r="Z115" s="138">
        <v>-7.6799999999999993E-6</v>
      </c>
      <c r="AA115" s="144">
        <v>0.874</v>
      </c>
      <c r="AB115" s="138">
        <f t="shared" si="27"/>
        <v>-1.1059199999999998E-2</v>
      </c>
      <c r="AC115" s="138">
        <v>1.4737438253549064</v>
      </c>
      <c r="AD115" s="138">
        <v>0</v>
      </c>
      <c r="AE115" s="138">
        <f t="shared" si="28"/>
        <v>1.1059199999999998E-2</v>
      </c>
      <c r="AF115" s="138">
        <f t="shared" si="29"/>
        <v>1.1059199999999998</v>
      </c>
      <c r="AG115" s="89">
        <f t="shared" si="31"/>
        <v>41656</v>
      </c>
      <c r="AH115" s="180"/>
      <c r="AI115" s="182">
        <v>34</v>
      </c>
    </row>
    <row r="116" spans="1:35">
      <c r="A116" s="4">
        <v>41657</v>
      </c>
      <c r="B116" s="49">
        <v>2.0000000000000002E-5</v>
      </c>
      <c r="C116" s="50">
        <v>0.94899999999999995</v>
      </c>
      <c r="D116" s="49">
        <f t="shared" si="20"/>
        <v>2.8800000000000003E-2</v>
      </c>
      <c r="E116" s="51">
        <v>0.21282725723299883</v>
      </c>
      <c r="F116" s="51">
        <v>0</v>
      </c>
      <c r="G116" s="51">
        <f t="shared" si="17"/>
        <v>-2.8800000000000003E-2</v>
      </c>
      <c r="H116" s="73">
        <f t="shared" si="21"/>
        <v>-2.8800000000000003</v>
      </c>
      <c r="I116" s="43"/>
      <c r="J116" s="78"/>
      <c r="K116" s="78"/>
      <c r="L116" s="78"/>
      <c r="M116" s="78"/>
      <c r="N116" s="79"/>
      <c r="O116" s="80"/>
      <c r="P116" s="80"/>
      <c r="Q116" s="89">
        <f t="shared" si="30"/>
        <v>41657</v>
      </c>
      <c r="R116" s="97">
        <v>-6.8800000000000002E-6</v>
      </c>
      <c r="S116" s="98">
        <v>0.66100000000000003</v>
      </c>
      <c r="T116" s="94">
        <f t="shared" si="24"/>
        <v>-9.9071999999999997E-3</v>
      </c>
      <c r="U116" s="107">
        <v>1.8430272572329993</v>
      </c>
      <c r="V116" s="108">
        <v>-2.4588995975732852E-3</v>
      </c>
      <c r="W116" s="94">
        <f t="shared" si="19"/>
        <v>7.4483004024267149E-3</v>
      </c>
      <c r="X116" s="94">
        <f t="shared" si="25"/>
        <v>0.74483004024267152</v>
      </c>
      <c r="Y116" s="142">
        <f t="shared" si="26"/>
        <v>41657</v>
      </c>
      <c r="Z116" s="138">
        <v>-6.46E-6</v>
      </c>
      <c r="AA116" s="144">
        <v>0.81299999999999994</v>
      </c>
      <c r="AB116" s="138">
        <f t="shared" si="27"/>
        <v>-9.3024000000000006E-3</v>
      </c>
      <c r="AC116" s="138">
        <v>1.4548272572329988</v>
      </c>
      <c r="AD116" s="138">
        <v>0</v>
      </c>
      <c r="AE116" s="138">
        <f t="shared" si="28"/>
        <v>9.3024000000000006E-3</v>
      </c>
      <c r="AF116" s="138">
        <f t="shared" si="29"/>
        <v>0.93024000000000007</v>
      </c>
      <c r="AG116" s="89">
        <f t="shared" si="31"/>
        <v>41657</v>
      </c>
      <c r="AH116" s="180"/>
      <c r="AI116" s="182">
        <v>35</v>
      </c>
    </row>
    <row r="117" spans="1:35">
      <c r="A117" s="4">
        <v>41658</v>
      </c>
      <c r="B117" s="49">
        <v>2.0000000000000002E-5</v>
      </c>
      <c r="C117" s="50">
        <v>0.94199999999999995</v>
      </c>
      <c r="D117" s="49">
        <f t="shared" si="20"/>
        <v>2.8800000000000003E-2</v>
      </c>
      <c r="E117" s="51">
        <v>0.21143871875709991</v>
      </c>
      <c r="F117" s="51">
        <v>0</v>
      </c>
      <c r="G117" s="51">
        <f t="shared" si="17"/>
        <v>-2.8800000000000003E-2</v>
      </c>
      <c r="H117" s="73">
        <f t="shared" si="21"/>
        <v>-2.8800000000000003</v>
      </c>
      <c r="I117" s="43"/>
      <c r="J117" s="78"/>
      <c r="K117" s="78"/>
      <c r="L117" s="78"/>
      <c r="M117" s="78"/>
      <c r="N117" s="79"/>
      <c r="O117" s="80"/>
      <c r="P117" s="80"/>
      <c r="Q117" s="89">
        <f t="shared" si="30"/>
        <v>41658</v>
      </c>
      <c r="R117" s="97">
        <v>-5.4099999999999999E-6</v>
      </c>
      <c r="S117" s="98">
        <v>0.57999999999999996</v>
      </c>
      <c r="T117" s="94">
        <f t="shared" si="24"/>
        <v>-7.7903999999999994E-3</v>
      </c>
      <c r="U117" s="107">
        <v>1.8197387187570999</v>
      </c>
      <c r="V117" s="108">
        <v>-2.1327338806508829E-3</v>
      </c>
      <c r="W117" s="94">
        <f t="shared" si="19"/>
        <v>5.6576661193491161E-3</v>
      </c>
      <c r="X117" s="94">
        <f t="shared" si="25"/>
        <v>0.56576661193491162</v>
      </c>
      <c r="Y117" s="142">
        <f t="shared" si="26"/>
        <v>41658</v>
      </c>
      <c r="Z117" s="138">
        <v>-4.9300000000000002E-6</v>
      </c>
      <c r="AA117" s="144">
        <v>0.68</v>
      </c>
      <c r="AB117" s="138">
        <f t="shared" si="27"/>
        <v>-7.0992E-3</v>
      </c>
      <c r="AC117" s="138">
        <v>1.434738718757099</v>
      </c>
      <c r="AD117" s="138">
        <v>0</v>
      </c>
      <c r="AE117" s="138">
        <f t="shared" si="28"/>
        <v>7.0992E-3</v>
      </c>
      <c r="AF117" s="138">
        <f t="shared" si="29"/>
        <v>0.70992</v>
      </c>
      <c r="AG117" s="89">
        <f t="shared" si="31"/>
        <v>41658</v>
      </c>
      <c r="AH117" s="180"/>
      <c r="AI117" s="182">
        <v>36</v>
      </c>
    </row>
    <row r="118" spans="1:35">
      <c r="A118" s="4">
        <v>41659</v>
      </c>
      <c r="B118" s="43"/>
      <c r="C118" s="43"/>
      <c r="D118" s="43"/>
      <c r="E118" s="44"/>
      <c r="F118" s="44"/>
      <c r="G118" s="44"/>
      <c r="H118" s="44"/>
      <c r="I118" s="43"/>
      <c r="J118" s="78"/>
      <c r="K118" s="78"/>
      <c r="L118" s="78"/>
      <c r="M118" s="78"/>
      <c r="N118" s="79"/>
      <c r="O118" s="80"/>
      <c r="P118" s="80"/>
      <c r="Q118" s="89">
        <f t="shared" si="30"/>
        <v>41659</v>
      </c>
      <c r="R118" s="97">
        <v>-5.1900000000000003E-6</v>
      </c>
      <c r="S118" s="98">
        <v>0.498</v>
      </c>
      <c r="T118" s="94">
        <f t="shared" si="24"/>
        <v>-7.4736000000000004E-3</v>
      </c>
      <c r="U118" s="107">
        <v>1.7965307456034256</v>
      </c>
      <c r="V118" s="108">
        <v>-1.7919655231675362E-3</v>
      </c>
      <c r="W118" s="94">
        <f t="shared" si="19"/>
        <v>5.6816344768324638E-3</v>
      </c>
      <c r="X118" s="94">
        <f t="shared" si="25"/>
        <v>0.56816344768324634</v>
      </c>
      <c r="Y118" s="142">
        <f t="shared" si="26"/>
        <v>41659</v>
      </c>
      <c r="Z118" s="138">
        <v>-4.2100000000000003E-6</v>
      </c>
      <c r="AA118" s="144">
        <v>0.626</v>
      </c>
      <c r="AB118" s="138">
        <f t="shared" si="27"/>
        <v>-6.0624000000000008E-3</v>
      </c>
      <c r="AC118" s="138">
        <v>1.4139307456034245</v>
      </c>
      <c r="AD118" s="138">
        <v>0</v>
      </c>
      <c r="AE118" s="138">
        <f t="shared" si="28"/>
        <v>6.0624000000000008E-3</v>
      </c>
      <c r="AF118" s="138">
        <f t="shared" si="29"/>
        <v>0.60624000000000011</v>
      </c>
      <c r="AG118" s="89">
        <f t="shared" si="31"/>
        <v>41659</v>
      </c>
      <c r="AH118" s="180"/>
      <c r="AI118" s="182">
        <v>37</v>
      </c>
    </row>
    <row r="119" spans="1:35">
      <c r="A119" s="4">
        <v>41660</v>
      </c>
      <c r="B119" s="43"/>
      <c r="C119" s="43"/>
      <c r="D119" s="43"/>
      <c r="E119" s="44"/>
      <c r="F119" s="44"/>
      <c r="G119" s="44"/>
      <c r="H119" s="44"/>
      <c r="I119" s="43"/>
      <c r="J119" s="78"/>
      <c r="K119" s="78"/>
      <c r="L119" s="78"/>
      <c r="M119" s="78"/>
      <c r="N119" s="79"/>
      <c r="O119" s="80"/>
      <c r="P119" s="80"/>
      <c r="Q119" s="89">
        <f t="shared" si="30"/>
        <v>41660</v>
      </c>
      <c r="R119" s="97">
        <v>-5.1599999999999997E-6</v>
      </c>
      <c r="S119" s="98">
        <v>0.497</v>
      </c>
      <c r="T119" s="94">
        <f t="shared" si="24"/>
        <v>-7.4303999999999993E-3</v>
      </c>
      <c r="U119" s="107">
        <v>1.7742712355360541</v>
      </c>
      <c r="V119" s="108">
        <v>-1.4495575387616047E-3</v>
      </c>
      <c r="W119" s="94">
        <f t="shared" ref="W119:W150" si="32">-T119+V119</f>
        <v>5.9808424612383948E-3</v>
      </c>
      <c r="X119" s="94">
        <f t="shared" si="25"/>
        <v>0.59808424612383948</v>
      </c>
      <c r="Y119" s="142">
        <f t="shared" si="26"/>
        <v>41660</v>
      </c>
      <c r="Z119" s="138">
        <v>-3.3699999999999999E-6</v>
      </c>
      <c r="AA119" s="144">
        <v>0.47599999999999998</v>
      </c>
      <c r="AB119" s="138">
        <f t="shared" si="27"/>
        <v>-4.8528E-3</v>
      </c>
      <c r="AC119" s="138">
        <v>1.3935712355360539</v>
      </c>
      <c r="AD119" s="138">
        <v>0</v>
      </c>
      <c r="AE119" s="138">
        <f t="shared" si="28"/>
        <v>4.8528E-3</v>
      </c>
      <c r="AF119" s="138">
        <f t="shared" si="29"/>
        <v>0.48527999999999999</v>
      </c>
      <c r="AG119" s="89">
        <f t="shared" si="31"/>
        <v>41660</v>
      </c>
      <c r="AH119" s="180"/>
      <c r="AI119" s="182">
        <v>38</v>
      </c>
    </row>
    <row r="120" spans="1:35">
      <c r="A120" s="4">
        <v>41661</v>
      </c>
      <c r="B120" s="43"/>
      <c r="C120" s="43"/>
      <c r="D120" s="43"/>
      <c r="E120" s="44"/>
      <c r="F120" s="44"/>
      <c r="G120" s="44"/>
      <c r="H120" s="44"/>
      <c r="I120" s="43"/>
      <c r="J120" s="78"/>
      <c r="K120" s="78"/>
      <c r="L120" s="78"/>
      <c r="M120" s="78"/>
      <c r="N120" s="79"/>
      <c r="O120" s="80"/>
      <c r="P120" s="80"/>
      <c r="Q120" s="89">
        <f t="shared" si="30"/>
        <v>41661</v>
      </c>
      <c r="R120" s="97">
        <v>-4.4100000000000001E-6</v>
      </c>
      <c r="S120" s="98">
        <v>0.34799999999999998</v>
      </c>
      <c r="T120" s="94">
        <f t="shared" si="24"/>
        <v>-6.3504E-3</v>
      </c>
      <c r="U120" s="107">
        <v>1.7503448476143439</v>
      </c>
      <c r="V120" s="108">
        <v>-1.0635572119194283E-3</v>
      </c>
      <c r="W120" s="94">
        <f t="shared" si="32"/>
        <v>5.2868427880805712E-3</v>
      </c>
      <c r="X120" s="94">
        <f t="shared" si="25"/>
        <v>0.52868427880805713</v>
      </c>
      <c r="Y120" s="142">
        <f t="shared" si="26"/>
        <v>41661</v>
      </c>
      <c r="Z120" s="138">
        <v>-2.5100000000000001E-6</v>
      </c>
      <c r="AA120" s="144">
        <v>0.40400000000000003</v>
      </c>
      <c r="AB120" s="138">
        <f t="shared" si="27"/>
        <v>-3.6144000000000003E-3</v>
      </c>
      <c r="AC120" s="138">
        <v>1.3718448476143439</v>
      </c>
      <c r="AD120" s="138">
        <v>0</v>
      </c>
      <c r="AE120" s="138">
        <f t="shared" si="28"/>
        <v>3.6144000000000003E-3</v>
      </c>
      <c r="AF120" s="138">
        <f t="shared" si="29"/>
        <v>0.36144000000000004</v>
      </c>
      <c r="AG120" s="89">
        <f t="shared" si="31"/>
        <v>41661</v>
      </c>
      <c r="AH120" s="180"/>
      <c r="AI120" s="182">
        <v>39</v>
      </c>
    </row>
    <row r="121" spans="1:35">
      <c r="A121" s="4">
        <v>41662</v>
      </c>
      <c r="B121" s="43"/>
      <c r="C121" s="43"/>
      <c r="D121" s="43"/>
      <c r="E121" s="44"/>
      <c r="F121" s="44"/>
      <c r="G121" s="44"/>
      <c r="H121" s="44"/>
      <c r="I121" s="43"/>
      <c r="J121" s="78"/>
      <c r="K121" s="78"/>
      <c r="L121" s="78"/>
      <c r="M121" s="78"/>
      <c r="N121" s="79"/>
      <c r="O121" s="80"/>
      <c r="P121" s="80"/>
      <c r="Q121" s="89">
        <f t="shared" si="30"/>
        <v>41662</v>
      </c>
      <c r="R121" s="97">
        <v>-5.0500000000000004E-7</v>
      </c>
      <c r="S121" s="98">
        <v>0.628</v>
      </c>
      <c r="T121" s="94">
        <f t="shared" si="24"/>
        <v>-7.272E-4</v>
      </c>
      <c r="U121" s="107">
        <v>1.7278583466082462</v>
      </c>
      <c r="V121" s="108">
        <v>-6.8287870513772104E-4</v>
      </c>
      <c r="W121" s="94">
        <f t="shared" si="32"/>
        <v>4.432129486227896E-5</v>
      </c>
      <c r="X121" s="94">
        <f t="shared" si="25"/>
        <v>4.4321294862278964E-3</v>
      </c>
      <c r="Y121" s="142">
        <f t="shared" si="26"/>
        <v>41662</v>
      </c>
      <c r="Z121" s="138">
        <v>-4.3799999999999998E-7</v>
      </c>
      <c r="AA121" s="144">
        <v>2.1999999999999999E-2</v>
      </c>
      <c r="AB121" s="138">
        <f t="shared" si="27"/>
        <v>-6.3071999999999998E-4</v>
      </c>
      <c r="AC121" s="138">
        <v>1.3499583466082465</v>
      </c>
      <c r="AD121" s="138">
        <v>0</v>
      </c>
      <c r="AE121" s="138">
        <f t="shared" si="28"/>
        <v>6.3071999999999998E-4</v>
      </c>
      <c r="AF121" s="138">
        <f t="shared" si="29"/>
        <v>6.3072000000000003E-2</v>
      </c>
      <c r="AG121" s="89">
        <f t="shared" si="31"/>
        <v>41662</v>
      </c>
      <c r="AH121" s="180"/>
      <c r="AI121" s="182">
        <v>40</v>
      </c>
    </row>
    <row r="122" spans="1:35">
      <c r="A122" s="4">
        <v>41663</v>
      </c>
      <c r="B122" s="43"/>
      <c r="C122" s="43"/>
      <c r="D122" s="43"/>
      <c r="E122" s="44"/>
      <c r="F122" s="44"/>
      <c r="G122" s="44"/>
      <c r="H122" s="44"/>
      <c r="I122" s="43"/>
      <c r="J122" s="78"/>
      <c r="K122" s="78"/>
      <c r="L122" s="78"/>
      <c r="M122" s="78"/>
      <c r="N122" s="79"/>
      <c r="O122" s="80"/>
      <c r="P122" s="80"/>
      <c r="Q122" s="89">
        <f t="shared" si="30"/>
        <v>41663</v>
      </c>
      <c r="R122" s="97">
        <v>-2.6199999999999999E-6</v>
      </c>
      <c r="S122" s="98">
        <v>0.252</v>
      </c>
      <c r="T122" s="94">
        <f t="shared" si="24"/>
        <v>-3.7727999999999998E-3</v>
      </c>
      <c r="U122" s="107">
        <v>1.7063139702099981</v>
      </c>
      <c r="V122" s="108">
        <v>-3.0095731470859715E-4</v>
      </c>
      <c r="W122" s="94">
        <f t="shared" si="32"/>
        <v>3.4718426852914028E-3</v>
      </c>
      <c r="X122" s="94">
        <f t="shared" si="25"/>
        <v>0.34718426852914031</v>
      </c>
      <c r="Y122" s="142">
        <f t="shared" si="26"/>
        <v>41663</v>
      </c>
      <c r="Z122" s="138">
        <v>-2.96E-6</v>
      </c>
      <c r="AA122" s="144">
        <v>0.50800000000000001</v>
      </c>
      <c r="AB122" s="138">
        <f t="shared" si="27"/>
        <v>-4.2624000000000004E-3</v>
      </c>
      <c r="AC122" s="138">
        <v>1.3276139702099985</v>
      </c>
      <c r="AD122" s="138">
        <v>0</v>
      </c>
      <c r="AE122" s="138">
        <f t="shared" si="28"/>
        <v>4.2624000000000004E-3</v>
      </c>
      <c r="AF122" s="138">
        <f t="shared" si="29"/>
        <v>0.42624000000000006</v>
      </c>
      <c r="AG122" s="89">
        <f t="shared" si="31"/>
        <v>41663</v>
      </c>
      <c r="AH122" s="180"/>
      <c r="AI122" s="182">
        <v>41</v>
      </c>
    </row>
    <row r="123" spans="1:35">
      <c r="A123" s="4">
        <v>41664</v>
      </c>
      <c r="B123" s="43"/>
      <c r="C123" s="43"/>
      <c r="D123" s="43"/>
      <c r="E123" s="44"/>
      <c r="F123" s="44"/>
      <c r="G123" s="44"/>
      <c r="H123" s="44"/>
      <c r="I123" s="43"/>
      <c r="J123" s="78"/>
      <c r="K123" s="78"/>
      <c r="L123" s="78"/>
      <c r="M123" s="78"/>
      <c r="N123" s="79"/>
      <c r="O123" s="80"/>
      <c r="P123" s="80"/>
      <c r="Q123" s="89">
        <f t="shared" si="30"/>
        <v>41664</v>
      </c>
      <c r="R123" s="97">
        <v>3.32E-6</v>
      </c>
      <c r="S123" s="98">
        <v>0.315</v>
      </c>
      <c r="T123" s="94">
        <f t="shared" si="24"/>
        <v>4.7808E-3</v>
      </c>
      <c r="U123" s="107">
        <v>1.6838859452633741</v>
      </c>
      <c r="V123" s="108">
        <v>0</v>
      </c>
      <c r="W123" s="94">
        <f t="shared" si="32"/>
        <v>-4.7808E-3</v>
      </c>
      <c r="X123" s="94">
        <f t="shared" si="25"/>
        <v>-0.47808</v>
      </c>
      <c r="Y123" s="142">
        <f t="shared" si="26"/>
        <v>41664</v>
      </c>
      <c r="Z123" s="138">
        <v>-7.2200000000000003E-6</v>
      </c>
      <c r="AA123" s="144">
        <v>-0.89500000000000002</v>
      </c>
      <c r="AB123" s="138">
        <f t="shared" si="27"/>
        <v>-1.0396800000000001E-2</v>
      </c>
      <c r="AC123" s="138">
        <v>1.305385945263374</v>
      </c>
      <c r="AD123" s="138">
        <v>0</v>
      </c>
      <c r="AE123" s="138">
        <f t="shared" si="28"/>
        <v>1.0396800000000001E-2</v>
      </c>
      <c r="AF123" s="138">
        <f t="shared" si="29"/>
        <v>1.0396800000000002</v>
      </c>
      <c r="AG123" s="89">
        <f t="shared" si="31"/>
        <v>41664</v>
      </c>
      <c r="AH123" s="180"/>
      <c r="AI123" s="182">
        <v>42</v>
      </c>
    </row>
    <row r="124" spans="1:35">
      <c r="A124" s="4">
        <v>41665</v>
      </c>
      <c r="B124" s="43"/>
      <c r="C124" s="43"/>
      <c r="D124" s="43"/>
      <c r="E124" s="44"/>
      <c r="F124" s="44"/>
      <c r="G124" s="44"/>
      <c r="H124" s="44"/>
      <c r="I124" s="43"/>
      <c r="J124" s="78"/>
      <c r="K124" s="78"/>
      <c r="L124" s="78"/>
      <c r="M124" s="78"/>
      <c r="N124" s="79"/>
      <c r="O124" s="80"/>
      <c r="P124" s="80"/>
      <c r="Q124" s="89">
        <f t="shared" si="30"/>
        <v>41665</v>
      </c>
      <c r="R124" s="97">
        <v>1.11E-6</v>
      </c>
      <c r="S124" s="98">
        <v>3.2000000000000001E-2</v>
      </c>
      <c r="T124" s="94">
        <f t="shared" si="24"/>
        <v>1.5984E-3</v>
      </c>
      <c r="U124" s="107">
        <v>1.6634575198718646</v>
      </c>
      <c r="V124" s="108">
        <v>0</v>
      </c>
      <c r="W124" s="94">
        <f t="shared" si="32"/>
        <v>-1.5984E-3</v>
      </c>
      <c r="X124" s="94">
        <f t="shared" si="25"/>
        <v>-0.15984000000000001</v>
      </c>
      <c r="Y124" s="142">
        <f t="shared" si="26"/>
        <v>41665</v>
      </c>
      <c r="Z124" s="138">
        <v>-1.86E-7</v>
      </c>
      <c r="AA124" s="144">
        <v>5.0000000000000001E-3</v>
      </c>
      <c r="AB124" s="138">
        <f t="shared" si="27"/>
        <v>-2.6783999999999998E-4</v>
      </c>
      <c r="AC124" s="138">
        <v>1.2829575198718639</v>
      </c>
      <c r="AD124" s="138">
        <v>0</v>
      </c>
      <c r="AE124" s="138">
        <f t="shared" si="28"/>
        <v>2.6783999999999998E-4</v>
      </c>
      <c r="AF124" s="138">
        <f t="shared" si="29"/>
        <v>2.6783999999999999E-2</v>
      </c>
      <c r="AG124" s="89">
        <f t="shared" si="31"/>
        <v>41665</v>
      </c>
      <c r="AH124" s="180"/>
      <c r="AI124" s="182">
        <v>43</v>
      </c>
    </row>
    <row r="125" spans="1:35">
      <c r="A125" s="4">
        <v>41666</v>
      </c>
      <c r="B125" s="43"/>
      <c r="C125" s="43"/>
      <c r="D125" s="43"/>
      <c r="E125" s="44"/>
      <c r="F125" s="44"/>
      <c r="G125" s="44"/>
      <c r="H125" s="44"/>
      <c r="I125" s="43"/>
      <c r="J125" s="78"/>
      <c r="K125" s="78"/>
      <c r="L125" s="78"/>
      <c r="M125" s="78"/>
      <c r="N125" s="79"/>
      <c r="O125" s="80"/>
      <c r="P125" s="80"/>
      <c r="Q125" s="89">
        <f t="shared" si="30"/>
        <v>41666</v>
      </c>
      <c r="R125" s="97">
        <v>2.8499999999999998E-6</v>
      </c>
      <c r="S125" s="98">
        <v>0.23599999999999999</v>
      </c>
      <c r="T125" s="94">
        <f t="shared" si="24"/>
        <v>4.104E-3</v>
      </c>
      <c r="U125" s="107">
        <v>1.6420783796036555</v>
      </c>
      <c r="V125" s="108">
        <v>0</v>
      </c>
      <c r="W125" s="94">
        <f t="shared" si="32"/>
        <v>-4.104E-3</v>
      </c>
      <c r="X125" s="94">
        <f t="shared" si="25"/>
        <v>-0.41039999999999999</v>
      </c>
      <c r="Y125" s="142">
        <f t="shared" si="26"/>
        <v>41666</v>
      </c>
      <c r="Z125" s="138">
        <v>8.9099999999999997E-8</v>
      </c>
      <c r="AA125" s="144">
        <v>0</v>
      </c>
      <c r="AB125" s="138">
        <f t="shared" si="27"/>
        <v>1.2830399999999998E-4</v>
      </c>
      <c r="AC125" s="138">
        <v>1.2593783796036564</v>
      </c>
      <c r="AD125" s="138">
        <v>0</v>
      </c>
      <c r="AE125" s="138">
        <f t="shared" si="28"/>
        <v>-1.2830399999999998E-4</v>
      </c>
      <c r="AF125" s="138">
        <f t="shared" si="29"/>
        <v>-1.2830399999999999E-2</v>
      </c>
      <c r="AG125" s="89">
        <f t="shared" si="31"/>
        <v>41666</v>
      </c>
      <c r="AH125" s="180"/>
      <c r="AI125" s="182">
        <v>44</v>
      </c>
    </row>
    <row r="126" spans="1:35">
      <c r="A126" s="4">
        <v>41667</v>
      </c>
      <c r="B126" s="43"/>
      <c r="C126" s="43"/>
      <c r="D126" s="43"/>
      <c r="E126" s="44"/>
      <c r="F126" s="44"/>
      <c r="G126" s="44"/>
      <c r="H126" s="44"/>
      <c r="I126" s="43"/>
      <c r="J126" s="78"/>
      <c r="K126" s="78"/>
      <c r="L126" s="78"/>
      <c r="M126" s="78"/>
      <c r="N126" s="79"/>
      <c r="O126" s="80"/>
      <c r="P126" s="80"/>
      <c r="Q126" s="89">
        <f t="shared" si="30"/>
        <v>41667</v>
      </c>
      <c r="R126" s="97">
        <v>1.68E-6</v>
      </c>
      <c r="S126" s="98">
        <v>0.123</v>
      </c>
      <c r="T126" s="94">
        <f t="shared" si="24"/>
        <v>2.4191999999999998E-3</v>
      </c>
      <c r="U126" s="107">
        <v>1.6201814463819708</v>
      </c>
      <c r="V126" s="108">
        <v>0</v>
      </c>
      <c r="W126" s="94">
        <f t="shared" si="32"/>
        <v>-2.4191999999999998E-3</v>
      </c>
      <c r="X126" s="94">
        <f t="shared" si="25"/>
        <v>-0.24191999999999997</v>
      </c>
      <c r="Y126" s="142">
        <f t="shared" si="26"/>
        <v>41667</v>
      </c>
      <c r="Z126" s="138">
        <v>-6.68E-7</v>
      </c>
      <c r="AA126" s="144">
        <v>30</v>
      </c>
      <c r="AB126" s="138">
        <f t="shared" si="27"/>
        <v>-9.6192000000000001E-4</v>
      </c>
      <c r="AC126" s="138">
        <v>1.2354814463819692</v>
      </c>
      <c r="AD126" s="138">
        <v>0</v>
      </c>
      <c r="AE126" s="138">
        <f t="shared" si="28"/>
        <v>9.6192000000000001E-4</v>
      </c>
      <c r="AF126" s="138">
        <f t="shared" si="29"/>
        <v>9.6192E-2</v>
      </c>
      <c r="AG126" s="89">
        <f t="shared" si="31"/>
        <v>41667</v>
      </c>
      <c r="AH126" s="180"/>
      <c r="AI126" s="182">
        <v>45</v>
      </c>
    </row>
    <row r="127" spans="1:35">
      <c r="A127" s="4">
        <v>41668</v>
      </c>
      <c r="B127" s="43"/>
      <c r="C127" s="43"/>
      <c r="D127" s="43"/>
      <c r="E127" s="44"/>
      <c r="F127" s="44"/>
      <c r="G127" s="44"/>
      <c r="H127" s="44"/>
      <c r="I127" s="43"/>
      <c r="J127" s="78"/>
      <c r="K127" s="78"/>
      <c r="L127" s="78"/>
      <c r="M127" s="78"/>
      <c r="N127" s="79"/>
      <c r="O127" s="80"/>
      <c r="P127" s="80"/>
      <c r="Q127" s="89">
        <f t="shared" si="30"/>
        <v>41668</v>
      </c>
      <c r="R127" s="97">
        <v>1.6199999999999999E-6</v>
      </c>
      <c r="S127" s="98">
        <v>0.83399999999999996</v>
      </c>
      <c r="T127" s="94">
        <f t="shared" si="24"/>
        <v>2.3327999999999999E-3</v>
      </c>
      <c r="U127" s="107">
        <v>1.5991260277020405</v>
      </c>
      <c r="V127" s="108">
        <v>0</v>
      </c>
      <c r="W127" s="94">
        <f t="shared" si="32"/>
        <v>-2.3327999999999999E-3</v>
      </c>
      <c r="X127" s="94">
        <f t="shared" si="25"/>
        <v>-0.23327999999999999</v>
      </c>
      <c r="Y127" s="142">
        <f t="shared" si="26"/>
        <v>41668</v>
      </c>
      <c r="Z127" s="138">
        <v>-1.28E-6</v>
      </c>
      <c r="AA127" s="144">
        <v>0.111</v>
      </c>
      <c r="AB127" s="138">
        <f t="shared" si="27"/>
        <v>-1.8432000000000001E-3</v>
      </c>
      <c r="AC127" s="138">
        <v>1.2124260277020418</v>
      </c>
      <c r="AD127" s="138">
        <v>0</v>
      </c>
      <c r="AE127" s="138">
        <f t="shared" si="28"/>
        <v>1.8432000000000001E-3</v>
      </c>
      <c r="AF127" s="138">
        <f t="shared" si="29"/>
        <v>0.18432000000000001</v>
      </c>
      <c r="AG127" s="89">
        <f t="shared" si="31"/>
        <v>41668</v>
      </c>
      <c r="AH127" s="180"/>
      <c r="AI127" s="182">
        <v>46</v>
      </c>
    </row>
    <row r="128" spans="1:35">
      <c r="A128" s="4">
        <v>41669</v>
      </c>
      <c r="B128" s="43"/>
      <c r="C128" s="43"/>
      <c r="D128" s="43"/>
      <c r="E128" s="44"/>
      <c r="F128" s="44"/>
      <c r="G128" s="44"/>
      <c r="H128" s="44"/>
      <c r="I128" s="43"/>
      <c r="J128" s="78"/>
      <c r="K128" s="78"/>
      <c r="L128" s="78"/>
      <c r="M128" s="78"/>
      <c r="N128" s="79"/>
      <c r="O128" s="80"/>
      <c r="P128" s="80"/>
      <c r="Q128" s="89">
        <f t="shared" si="30"/>
        <v>41669</v>
      </c>
      <c r="R128" s="97">
        <v>4.9900000000000001E-7</v>
      </c>
      <c r="S128" s="98">
        <v>8.9999999999999993E-3</v>
      </c>
      <c r="T128" s="94">
        <f t="shared" si="24"/>
        <v>7.1856000000000003E-4</v>
      </c>
      <c r="U128" s="107">
        <v>1.5776430056676023</v>
      </c>
      <c r="V128" s="108">
        <v>0</v>
      </c>
      <c r="W128" s="94">
        <f t="shared" si="32"/>
        <v>-7.1856000000000003E-4</v>
      </c>
      <c r="X128" s="94">
        <f t="shared" si="25"/>
        <v>-7.1856000000000003E-2</v>
      </c>
      <c r="Y128" s="142">
        <f t="shared" si="26"/>
        <v>41669</v>
      </c>
      <c r="Z128" s="138">
        <v>2.6899999999999999E-7</v>
      </c>
      <c r="AA128" s="144">
        <v>6.0000000000000001E-3</v>
      </c>
      <c r="AB128" s="138">
        <f t="shared" si="27"/>
        <v>3.8736E-4</v>
      </c>
      <c r="AC128" s="138">
        <v>1.1877430056676022</v>
      </c>
      <c r="AD128" s="138">
        <v>0</v>
      </c>
      <c r="AE128" s="138">
        <f t="shared" si="28"/>
        <v>-3.8736E-4</v>
      </c>
      <c r="AF128" s="138">
        <f t="shared" si="29"/>
        <v>-3.8736E-2</v>
      </c>
      <c r="AG128" s="89">
        <f t="shared" si="31"/>
        <v>41669</v>
      </c>
      <c r="AH128" s="180"/>
      <c r="AI128" s="182">
        <v>47</v>
      </c>
    </row>
    <row r="129" spans="1:35">
      <c r="A129" s="4">
        <v>41670</v>
      </c>
      <c r="B129" s="43"/>
      <c r="C129" s="43"/>
      <c r="D129" s="43"/>
      <c r="E129" s="44"/>
      <c r="F129" s="44"/>
      <c r="G129" s="44"/>
      <c r="H129" s="44"/>
      <c r="I129" s="43"/>
      <c r="J129" s="78"/>
      <c r="K129" s="78"/>
      <c r="L129" s="78"/>
      <c r="M129" s="78"/>
      <c r="N129" s="79"/>
      <c r="O129" s="80"/>
      <c r="P129" s="80"/>
      <c r="Q129" s="89">
        <f t="shared" si="30"/>
        <v>41670</v>
      </c>
      <c r="R129" s="97">
        <v>9.9800000000000002E-7</v>
      </c>
      <c r="S129" s="98">
        <v>4.0000000000000001E-3</v>
      </c>
      <c r="T129" s="94">
        <f t="shared" si="24"/>
        <v>1.4371200000000001E-3</v>
      </c>
      <c r="U129" s="107">
        <v>1.5563562973899845</v>
      </c>
      <c r="V129" s="108">
        <v>0</v>
      </c>
      <c r="W129" s="94">
        <f t="shared" si="32"/>
        <v>-1.4371200000000001E-3</v>
      </c>
      <c r="X129" s="94">
        <f t="shared" si="25"/>
        <v>-0.14371200000000001</v>
      </c>
      <c r="Y129" s="142">
        <f t="shared" si="26"/>
        <v>41670</v>
      </c>
      <c r="Z129" s="138">
        <v>-7.8000000000000005E-7</v>
      </c>
      <c r="AA129" s="144">
        <v>4.8000000000000001E-2</v>
      </c>
      <c r="AB129" s="138">
        <f t="shared" si="27"/>
        <v>-1.1232E-3</v>
      </c>
      <c r="AC129" s="138">
        <v>1.1624562973899848</v>
      </c>
      <c r="AD129" s="138">
        <v>0</v>
      </c>
      <c r="AE129" s="138">
        <f t="shared" si="28"/>
        <v>1.1232E-3</v>
      </c>
      <c r="AF129" s="138">
        <f t="shared" si="29"/>
        <v>0.11232</v>
      </c>
      <c r="AG129" s="89">
        <f t="shared" si="31"/>
        <v>41670</v>
      </c>
      <c r="AH129" s="180"/>
      <c r="AI129" s="182">
        <v>48</v>
      </c>
    </row>
    <row r="130" spans="1:35">
      <c r="A130" s="4">
        <v>41671</v>
      </c>
      <c r="B130" s="43"/>
      <c r="C130" s="43"/>
      <c r="D130" s="43"/>
      <c r="E130" s="44"/>
      <c r="F130" s="44"/>
      <c r="G130" s="44"/>
      <c r="H130" s="44"/>
      <c r="I130" s="43"/>
      <c r="J130" s="78"/>
      <c r="K130" s="78"/>
      <c r="L130" s="78"/>
      <c r="M130" s="78"/>
      <c r="N130" s="79"/>
      <c r="O130" s="80"/>
      <c r="P130" s="80"/>
      <c r="Q130" s="89">
        <f t="shared" si="30"/>
        <v>41671</v>
      </c>
      <c r="R130" s="97">
        <v>4.3799999999999998E-7</v>
      </c>
      <c r="S130" s="98">
        <v>1.0999999999999999E-2</v>
      </c>
      <c r="T130" s="94">
        <f t="shared" si="24"/>
        <v>6.3071999999999998E-4</v>
      </c>
      <c r="U130" s="107">
        <v>1.5351661054413257</v>
      </c>
      <c r="V130" s="108">
        <v>0</v>
      </c>
      <c r="W130" s="94">
        <f t="shared" si="32"/>
        <v>-6.3071999999999998E-4</v>
      </c>
      <c r="X130" s="94">
        <f t="shared" si="25"/>
        <v>-6.3072000000000003E-2</v>
      </c>
      <c r="Y130" s="142">
        <f t="shared" si="26"/>
        <v>41671</v>
      </c>
      <c r="Z130" s="138">
        <v>-2.12E-6</v>
      </c>
      <c r="AA130" s="144">
        <v>0.249</v>
      </c>
      <c r="AB130" s="138">
        <f t="shared" si="27"/>
        <v>-3.0528E-3</v>
      </c>
      <c r="AC130" s="138">
        <v>1.1376661054413257</v>
      </c>
      <c r="AD130" s="138">
        <v>0</v>
      </c>
      <c r="AE130" s="138">
        <f t="shared" si="28"/>
        <v>3.0528E-3</v>
      </c>
      <c r="AF130" s="138">
        <f t="shared" si="29"/>
        <v>0.30528</v>
      </c>
      <c r="AG130" s="89">
        <f t="shared" si="31"/>
        <v>41671</v>
      </c>
      <c r="AH130" s="180"/>
      <c r="AI130" s="182">
        <v>49</v>
      </c>
    </row>
    <row r="131" spans="1:35">
      <c r="A131" s="4">
        <v>41672</v>
      </c>
      <c r="B131" s="43"/>
      <c r="C131" s="43"/>
      <c r="D131" s="43"/>
      <c r="E131" s="44"/>
      <c r="F131" s="44"/>
      <c r="G131" s="44"/>
      <c r="H131" s="44"/>
      <c r="I131" s="43"/>
      <c r="J131" s="78"/>
      <c r="K131" s="78"/>
      <c r="L131" s="78"/>
      <c r="M131" s="78"/>
      <c r="N131" s="79"/>
      <c r="O131" s="80"/>
      <c r="P131" s="80"/>
      <c r="Q131" s="89">
        <f t="shared" si="30"/>
        <v>41672</v>
      </c>
      <c r="R131" s="97">
        <v>-3.9799999999999999E-7</v>
      </c>
      <c r="S131" s="98">
        <v>4.0000000000000001E-3</v>
      </c>
      <c r="T131" s="94">
        <f t="shared" si="24"/>
        <v>-5.7311999999999999E-4</v>
      </c>
      <c r="U131" s="107">
        <v>1.5152657026467513</v>
      </c>
      <c r="V131" s="108">
        <v>0</v>
      </c>
      <c r="W131" s="94">
        <f t="shared" si="32"/>
        <v>5.7311999999999999E-4</v>
      </c>
      <c r="X131" s="94">
        <f t="shared" si="25"/>
        <v>5.7312000000000002E-2</v>
      </c>
      <c r="Y131" s="142">
        <f t="shared" si="26"/>
        <v>41672</v>
      </c>
      <c r="Z131" s="138">
        <v>1.2300000000000001E-6</v>
      </c>
      <c r="AA131" s="144">
        <v>0.186</v>
      </c>
      <c r="AB131" s="138">
        <f t="shared" si="27"/>
        <v>1.7712000000000001E-3</v>
      </c>
      <c r="AC131" s="138">
        <v>1.112165702646752</v>
      </c>
      <c r="AD131" s="138">
        <v>0</v>
      </c>
      <c r="AE131" s="138">
        <f t="shared" si="28"/>
        <v>-1.7712000000000001E-3</v>
      </c>
      <c r="AF131" s="138">
        <f t="shared" si="29"/>
        <v>-0.17712</v>
      </c>
      <c r="AG131" s="89">
        <f t="shared" si="31"/>
        <v>41672</v>
      </c>
      <c r="AH131" s="180"/>
      <c r="AI131" s="182">
        <v>50</v>
      </c>
    </row>
    <row r="132" spans="1:35">
      <c r="A132" s="4">
        <v>41673</v>
      </c>
      <c r="B132" s="43"/>
      <c r="C132" s="43"/>
      <c r="D132" s="43"/>
      <c r="E132" s="44"/>
      <c r="F132" s="44"/>
      <c r="G132" s="44"/>
      <c r="H132" s="44"/>
      <c r="I132" s="43"/>
      <c r="J132" s="78"/>
      <c r="K132" s="78"/>
      <c r="L132" s="78"/>
      <c r="M132" s="78"/>
      <c r="N132" s="79"/>
      <c r="O132" s="80"/>
      <c r="P132" s="80"/>
      <c r="Q132" s="89">
        <f t="shared" si="30"/>
        <v>41673</v>
      </c>
      <c r="R132" s="97">
        <v>-7.7800000000000001E-7</v>
      </c>
      <c r="S132" s="98">
        <v>3.6999999999999998E-2</v>
      </c>
      <c r="T132" s="94">
        <f t="shared" si="24"/>
        <v>-1.12032E-3</v>
      </c>
      <c r="U132" s="107">
        <v>1.4951765329575299</v>
      </c>
      <c r="V132" s="108">
        <v>0</v>
      </c>
      <c r="W132" s="94">
        <f t="shared" si="32"/>
        <v>1.12032E-3</v>
      </c>
      <c r="X132" s="94">
        <f t="shared" si="25"/>
        <v>0.11203199999999999</v>
      </c>
      <c r="Y132" s="142">
        <f t="shared" si="26"/>
        <v>41673</v>
      </c>
      <c r="Z132" s="138">
        <v>3.3700000000000001E-7</v>
      </c>
      <c r="AA132" s="144">
        <v>1.9E-2</v>
      </c>
      <c r="AB132" s="138">
        <f t="shared" si="27"/>
        <v>4.8528000000000004E-4</v>
      </c>
      <c r="AC132" s="138">
        <v>1.08927653295753</v>
      </c>
      <c r="AD132" s="138">
        <v>0</v>
      </c>
      <c r="AE132" s="138">
        <f t="shared" si="28"/>
        <v>-4.8528000000000004E-4</v>
      </c>
      <c r="AF132" s="138">
        <f t="shared" si="29"/>
        <v>-4.8528000000000002E-2</v>
      </c>
      <c r="AG132" s="89">
        <f t="shared" si="31"/>
        <v>41673</v>
      </c>
      <c r="AH132" s="180"/>
      <c r="AI132" s="182">
        <v>51</v>
      </c>
    </row>
    <row r="133" spans="1:35">
      <c r="A133" s="4">
        <v>41674</v>
      </c>
      <c r="B133" s="43"/>
      <c r="C133" s="43"/>
      <c r="D133" s="43"/>
      <c r="E133" s="44"/>
      <c r="F133" s="44"/>
      <c r="G133" s="44"/>
      <c r="H133" s="44"/>
      <c r="I133" s="43"/>
      <c r="J133" s="78"/>
      <c r="K133" s="78"/>
      <c r="L133" s="78"/>
      <c r="M133" s="78"/>
      <c r="N133" s="79"/>
      <c r="O133" s="80"/>
      <c r="P133" s="80"/>
      <c r="Q133" s="89">
        <f t="shared" si="30"/>
        <v>41674</v>
      </c>
      <c r="R133" s="97">
        <v>4.95E-6</v>
      </c>
      <c r="S133" s="98">
        <v>0.40899999999999997</v>
      </c>
      <c r="T133" s="94">
        <f t="shared" si="24"/>
        <v>7.1279999999999998E-3</v>
      </c>
      <c r="U133" s="107">
        <v>1.4721573055512711</v>
      </c>
      <c r="V133" s="108">
        <v>0</v>
      </c>
      <c r="W133" s="94">
        <f t="shared" si="32"/>
        <v>-7.1279999999999998E-3</v>
      </c>
      <c r="X133" s="94">
        <f t="shared" si="25"/>
        <v>-0.71279999999999999</v>
      </c>
      <c r="Y133" s="142">
        <f t="shared" si="26"/>
        <v>41674</v>
      </c>
      <c r="Z133" s="138">
        <v>-8.9199999999999999E-7</v>
      </c>
      <c r="AA133" s="144">
        <v>90</v>
      </c>
      <c r="AB133" s="138">
        <f t="shared" si="27"/>
        <v>-1.28448E-3</v>
      </c>
      <c r="AC133" s="138">
        <v>1.0646573055512696</v>
      </c>
      <c r="AD133" s="138">
        <v>0</v>
      </c>
      <c r="AE133" s="138">
        <f t="shared" si="28"/>
        <v>1.28448E-3</v>
      </c>
      <c r="AF133" s="138">
        <f t="shared" si="29"/>
        <v>0.12844800000000001</v>
      </c>
      <c r="AG133" s="89">
        <f t="shared" si="31"/>
        <v>41674</v>
      </c>
      <c r="AH133" s="180"/>
      <c r="AI133" s="182">
        <v>52</v>
      </c>
    </row>
    <row r="134" spans="1:35">
      <c r="A134" s="4">
        <v>41675</v>
      </c>
      <c r="B134" s="157"/>
      <c r="C134" s="157"/>
      <c r="D134" s="157"/>
      <c r="E134" s="156"/>
      <c r="F134" s="156"/>
      <c r="G134" s="156"/>
      <c r="H134" s="156"/>
      <c r="I134" s="157"/>
      <c r="J134" s="158"/>
      <c r="K134" s="158"/>
      <c r="L134" s="158"/>
      <c r="M134" s="158"/>
      <c r="N134" s="159"/>
      <c r="O134" s="160"/>
      <c r="P134" s="160"/>
      <c r="Q134" s="89">
        <f t="shared" si="30"/>
        <v>41675</v>
      </c>
      <c r="R134" s="97">
        <v>4.6199999999999998E-6</v>
      </c>
      <c r="S134" s="98">
        <v>0.51300000000000001</v>
      </c>
      <c r="T134" s="94">
        <f t="shared" si="24"/>
        <v>6.6527999999999995E-3</v>
      </c>
      <c r="U134" s="107">
        <v>1.4525552539833169</v>
      </c>
      <c r="V134" s="108">
        <v>0</v>
      </c>
      <c r="W134" s="94">
        <f t="shared" si="32"/>
        <v>-6.6527999999999995E-3</v>
      </c>
      <c r="X134" s="94">
        <f t="shared" si="25"/>
        <v>-0.66527999999999998</v>
      </c>
      <c r="Y134" s="142">
        <f t="shared" si="26"/>
        <v>41675</v>
      </c>
      <c r="Z134" s="138">
        <v>-1.55E-6</v>
      </c>
      <c r="AA134" s="144">
        <v>0.18</v>
      </c>
      <c r="AB134" s="138">
        <f t="shared" si="27"/>
        <v>-2.232E-3</v>
      </c>
      <c r="AC134" s="138">
        <v>1.0399552539833183</v>
      </c>
      <c r="AD134" s="138">
        <v>0</v>
      </c>
      <c r="AE134" s="138">
        <f t="shared" si="28"/>
        <v>2.232E-3</v>
      </c>
      <c r="AF134" s="138">
        <f t="shared" si="29"/>
        <v>0.22320000000000001</v>
      </c>
      <c r="AG134" s="89">
        <f t="shared" si="31"/>
        <v>41675</v>
      </c>
      <c r="AH134" s="180"/>
      <c r="AI134" s="182">
        <v>53</v>
      </c>
    </row>
    <row r="135" spans="1:35">
      <c r="A135" s="4">
        <v>41676</v>
      </c>
      <c r="B135" s="157"/>
      <c r="C135" s="157"/>
      <c r="D135" s="157"/>
      <c r="E135" s="156"/>
      <c r="F135" s="156"/>
      <c r="G135" s="156"/>
      <c r="H135" s="156"/>
      <c r="I135" s="157"/>
      <c r="J135" s="158"/>
      <c r="K135" s="158"/>
      <c r="L135" s="158"/>
      <c r="M135" s="158"/>
      <c r="N135" s="159"/>
      <c r="O135" s="160"/>
      <c r="P135" s="160"/>
      <c r="Q135" s="89">
        <f t="shared" si="30"/>
        <v>41676</v>
      </c>
      <c r="R135" s="97">
        <v>8.5900000000000008E-6</v>
      </c>
      <c r="S135" s="98">
        <v>0.78500000000000003</v>
      </c>
      <c r="T135" s="94">
        <f t="shared" si="24"/>
        <v>1.2369600000000001E-2</v>
      </c>
      <c r="U135" s="107">
        <v>1.4321198800472623</v>
      </c>
      <c r="V135" s="108">
        <v>0</v>
      </c>
      <c r="W135" s="94">
        <f t="shared" si="32"/>
        <v>-1.2369600000000001E-2</v>
      </c>
      <c r="X135" s="94">
        <f t="shared" si="25"/>
        <v>-1.2369600000000001</v>
      </c>
      <c r="Y135" s="142">
        <f t="shared" si="26"/>
        <v>41676</v>
      </c>
      <c r="Z135" s="138">
        <v>6.7900000000000002E-6</v>
      </c>
      <c r="AA135" s="144">
        <v>0.81899999999999995</v>
      </c>
      <c r="AB135" s="138">
        <f t="shared" si="27"/>
        <v>9.7776000000000009E-3</v>
      </c>
      <c r="AC135" s="138">
        <v>1.0165198800472619</v>
      </c>
      <c r="AD135" s="138">
        <v>0</v>
      </c>
      <c r="AE135" s="138">
        <f t="shared" si="28"/>
        <v>-9.7776000000000009E-3</v>
      </c>
      <c r="AF135" s="138">
        <f t="shared" si="29"/>
        <v>-0.97776000000000007</v>
      </c>
      <c r="AG135" s="89">
        <f t="shared" si="31"/>
        <v>41676</v>
      </c>
      <c r="AH135" s="180"/>
      <c r="AI135" s="182">
        <v>54</v>
      </c>
    </row>
    <row r="136" spans="1:35">
      <c r="A136" s="4">
        <v>41677</v>
      </c>
      <c r="B136" s="157"/>
      <c r="C136" s="157"/>
      <c r="D136" s="157"/>
      <c r="E136" s="156"/>
      <c r="F136" s="156"/>
      <c r="G136" s="156"/>
      <c r="H136" s="156"/>
      <c r="I136" s="157"/>
      <c r="J136" s="158"/>
      <c r="K136" s="158"/>
      <c r="L136" s="158"/>
      <c r="M136" s="158"/>
      <c r="N136" s="159"/>
      <c r="O136" s="160"/>
      <c r="P136" s="160"/>
      <c r="Q136" s="89">
        <f t="shared" si="30"/>
        <v>41677</v>
      </c>
      <c r="R136" s="97">
        <v>7.2300000000000002E-6</v>
      </c>
      <c r="S136" s="98">
        <v>0.746</v>
      </c>
      <c r="T136" s="94">
        <f t="shared" si="24"/>
        <v>1.0411200000000001E-2</v>
      </c>
      <c r="U136" s="107">
        <v>1.4101740691962346</v>
      </c>
      <c r="V136" s="108">
        <v>0</v>
      </c>
      <c r="W136" s="94">
        <f t="shared" si="32"/>
        <v>-1.0411200000000001E-2</v>
      </c>
      <c r="X136" s="94">
        <f t="shared" si="25"/>
        <v>-1.04112</v>
      </c>
      <c r="Y136" s="142">
        <f t="shared" si="26"/>
        <v>41677</v>
      </c>
      <c r="Z136" s="138">
        <v>3.7900000000000001E-6</v>
      </c>
      <c r="AA136" s="144">
        <v>0.59599999999999997</v>
      </c>
      <c r="AB136" s="138">
        <f t="shared" si="27"/>
        <v>5.4576E-3</v>
      </c>
      <c r="AC136" s="138">
        <v>0.99477406919623368</v>
      </c>
      <c r="AD136" s="138">
        <v>0</v>
      </c>
      <c r="AE136" s="138">
        <f t="shared" si="28"/>
        <v>-5.4576E-3</v>
      </c>
      <c r="AF136" s="138">
        <f t="shared" si="29"/>
        <v>-0.54576000000000002</v>
      </c>
      <c r="AG136" s="89">
        <f t="shared" si="31"/>
        <v>41677</v>
      </c>
      <c r="AH136" s="180"/>
      <c r="AI136" s="182">
        <v>55</v>
      </c>
    </row>
    <row r="137" spans="1:35">
      <c r="A137" s="4">
        <v>41678</v>
      </c>
      <c r="B137" s="157"/>
      <c r="C137" s="157"/>
      <c r="D137" s="157"/>
      <c r="E137" s="156"/>
      <c r="F137" s="156"/>
      <c r="G137" s="156"/>
      <c r="H137" s="156"/>
      <c r="I137" s="157"/>
      <c r="J137" s="158"/>
      <c r="K137" s="158"/>
      <c r="L137" s="158"/>
      <c r="M137" s="158"/>
      <c r="N137" s="159"/>
      <c r="O137" s="160"/>
      <c r="P137" s="160"/>
      <c r="Q137" s="89">
        <f t="shared" si="30"/>
        <v>41678</v>
      </c>
      <c r="R137" s="97">
        <v>6.0900000000000001E-6</v>
      </c>
      <c r="S137" s="98">
        <v>0.65</v>
      </c>
      <c r="T137" s="94">
        <f t="shared" si="24"/>
        <v>8.7696000000000007E-3</v>
      </c>
      <c r="U137" s="107">
        <v>1.3890292876537189</v>
      </c>
      <c r="V137" s="108">
        <v>0</v>
      </c>
      <c r="W137" s="94">
        <f t="shared" si="32"/>
        <v>-8.7696000000000007E-3</v>
      </c>
      <c r="X137" s="94">
        <f t="shared" si="25"/>
        <v>-0.87696000000000007</v>
      </c>
      <c r="Y137" s="142">
        <f t="shared" si="26"/>
        <v>41678</v>
      </c>
      <c r="Z137" s="138">
        <v>2.12E-6</v>
      </c>
      <c r="AA137" s="144">
        <v>0.34499999999999997</v>
      </c>
      <c r="AB137" s="138">
        <f t="shared" si="27"/>
        <v>3.0528E-3</v>
      </c>
      <c r="AC137" s="138">
        <v>0.97102928765371876</v>
      </c>
      <c r="AD137" s="138">
        <v>0</v>
      </c>
      <c r="AE137" s="138">
        <f t="shared" si="28"/>
        <v>-3.0528E-3</v>
      </c>
      <c r="AF137" s="138">
        <f t="shared" si="29"/>
        <v>-0.30528</v>
      </c>
      <c r="AG137" s="89">
        <f t="shared" si="31"/>
        <v>41678</v>
      </c>
      <c r="AH137" s="180"/>
      <c r="AI137" s="182">
        <v>56</v>
      </c>
    </row>
    <row r="138" spans="1:35">
      <c r="A138" s="4">
        <v>41679</v>
      </c>
      <c r="B138" s="157"/>
      <c r="C138" s="157"/>
      <c r="D138" s="157"/>
      <c r="E138" s="156"/>
      <c r="F138" s="156"/>
      <c r="G138" s="156"/>
      <c r="H138" s="156"/>
      <c r="I138" s="157"/>
      <c r="J138" s="158"/>
      <c r="K138" s="158"/>
      <c r="L138" s="158"/>
      <c r="M138" s="158"/>
      <c r="N138" s="159"/>
      <c r="O138" s="160"/>
      <c r="P138" s="160"/>
      <c r="Q138" s="89">
        <f t="shared" si="30"/>
        <v>41679</v>
      </c>
      <c r="R138" s="97">
        <v>6.8299999999999998E-6</v>
      </c>
      <c r="S138" s="98">
        <v>0.71899999999999997</v>
      </c>
      <c r="T138" s="94">
        <f t="shared" si="24"/>
        <v>9.8352000000000005E-3</v>
      </c>
      <c r="U138" s="107">
        <v>1.3675225346322315</v>
      </c>
      <c r="V138" s="108">
        <v>0</v>
      </c>
      <c r="W138" s="94">
        <f t="shared" si="32"/>
        <v>-9.8352000000000005E-3</v>
      </c>
      <c r="X138" s="94">
        <f t="shared" si="25"/>
        <v>-0.98352000000000006</v>
      </c>
      <c r="Y138" s="142">
        <f t="shared" si="26"/>
        <v>41679</v>
      </c>
      <c r="Z138" s="138">
        <v>3.1499999999999999E-6</v>
      </c>
      <c r="AA138" s="144">
        <v>0.47799999999999998</v>
      </c>
      <c r="AB138" s="138">
        <f t="shared" si="27"/>
        <v>4.5360000000000001E-3</v>
      </c>
      <c r="AC138" s="138">
        <v>0.94512253463223272</v>
      </c>
      <c r="AD138" s="138">
        <v>0</v>
      </c>
      <c r="AE138" s="138">
        <f t="shared" si="28"/>
        <v>-4.5360000000000001E-3</v>
      </c>
      <c r="AF138" s="138">
        <f t="shared" si="29"/>
        <v>-0.4536</v>
      </c>
      <c r="AG138" s="89">
        <f t="shared" si="31"/>
        <v>41679</v>
      </c>
      <c r="AH138" s="180"/>
      <c r="AI138" s="182">
        <v>57</v>
      </c>
    </row>
    <row r="139" spans="1:35">
      <c r="A139" s="4">
        <v>41680</v>
      </c>
      <c r="B139" s="157"/>
      <c r="C139" s="157"/>
      <c r="D139" s="157"/>
      <c r="E139" s="156"/>
      <c r="F139" s="156"/>
      <c r="G139" s="156"/>
      <c r="H139" s="156"/>
      <c r="I139" s="157"/>
      <c r="J139" s="158"/>
      <c r="K139" s="158"/>
      <c r="L139" s="158"/>
      <c r="M139" s="158"/>
      <c r="N139" s="159"/>
      <c r="O139" s="160"/>
      <c r="P139" s="160"/>
      <c r="Q139" s="89">
        <f t="shared" si="30"/>
        <v>41680</v>
      </c>
      <c r="R139" s="97">
        <v>7.3100000000000003E-6</v>
      </c>
      <c r="S139" s="98">
        <v>0.68500000000000005</v>
      </c>
      <c r="T139" s="94">
        <f t="shared" si="24"/>
        <v>1.05264E-2</v>
      </c>
      <c r="U139" s="107">
        <v>1.3459656861989058</v>
      </c>
      <c r="V139" s="108">
        <v>0</v>
      </c>
      <c r="W139" s="94">
        <f t="shared" si="32"/>
        <v>-1.05264E-2</v>
      </c>
      <c r="X139" s="94">
        <f t="shared" si="25"/>
        <v>-1.05264</v>
      </c>
      <c r="Y139" s="142">
        <f t="shared" si="26"/>
        <v>41680</v>
      </c>
      <c r="Z139" s="138">
        <v>4.25E-6</v>
      </c>
      <c r="AA139" s="144">
        <v>0.75700000000000001</v>
      </c>
      <c r="AB139" s="138">
        <f t="shared" si="27"/>
        <v>6.1199999999999996E-3</v>
      </c>
      <c r="AC139" s="138">
        <v>0.92076568619890642</v>
      </c>
      <c r="AD139" s="138">
        <v>0</v>
      </c>
      <c r="AE139" s="138">
        <f t="shared" si="28"/>
        <v>-6.1199999999999996E-3</v>
      </c>
      <c r="AF139" s="138">
        <f t="shared" si="29"/>
        <v>-0.61199999999999999</v>
      </c>
      <c r="AG139" s="89">
        <f t="shared" si="31"/>
        <v>41680</v>
      </c>
      <c r="AH139" s="180"/>
      <c r="AI139" s="182">
        <v>58</v>
      </c>
    </row>
    <row r="140" spans="1:35">
      <c r="A140" s="4">
        <v>41681</v>
      </c>
      <c r="B140" s="157"/>
      <c r="C140" s="157"/>
      <c r="D140" s="157"/>
      <c r="E140" s="156"/>
      <c r="F140" s="156"/>
      <c r="G140" s="156"/>
      <c r="H140" s="156"/>
      <c r="I140" s="157"/>
      <c r="J140" s="158"/>
      <c r="K140" s="158"/>
      <c r="L140" s="158"/>
      <c r="M140" s="158"/>
      <c r="N140" s="159"/>
      <c r="O140" s="160"/>
      <c r="P140" s="160"/>
      <c r="Q140" s="89">
        <f t="shared" si="30"/>
        <v>41681</v>
      </c>
      <c r="R140" s="97">
        <v>6.81E-6</v>
      </c>
      <c r="S140" s="98">
        <v>0.624</v>
      </c>
      <c r="T140" s="94">
        <f t="shared" si="24"/>
        <v>9.8063999999999998E-3</v>
      </c>
      <c r="U140" s="107">
        <v>1.3257501426861293</v>
      </c>
      <c r="V140" s="108">
        <v>0</v>
      </c>
      <c r="W140" s="94">
        <f t="shared" si="32"/>
        <v>-9.8063999999999998E-3</v>
      </c>
      <c r="X140" s="94">
        <f t="shared" si="25"/>
        <v>-0.98063999999999996</v>
      </c>
      <c r="Y140" s="142">
        <f t="shared" si="26"/>
        <v>41681</v>
      </c>
      <c r="Z140" s="138">
        <v>6.4899999999999997E-6</v>
      </c>
      <c r="AA140" s="144">
        <v>0.84</v>
      </c>
      <c r="AB140" s="138">
        <f t="shared" si="27"/>
        <v>9.345599999999999E-3</v>
      </c>
      <c r="AC140" s="138">
        <v>0.89365014268613008</v>
      </c>
      <c r="AD140" s="138">
        <v>0</v>
      </c>
      <c r="AE140" s="138">
        <f t="shared" si="28"/>
        <v>-9.345599999999999E-3</v>
      </c>
      <c r="AF140" s="138">
        <f t="shared" si="29"/>
        <v>-0.93455999999999995</v>
      </c>
      <c r="AG140" s="89">
        <f t="shared" si="31"/>
        <v>41681</v>
      </c>
      <c r="AH140" s="180"/>
      <c r="AI140" s="182">
        <v>59</v>
      </c>
    </row>
    <row r="141" spans="1:35">
      <c r="A141" s="4">
        <v>41682</v>
      </c>
      <c r="B141" s="157"/>
      <c r="C141" s="157"/>
      <c r="D141" s="157"/>
      <c r="E141" s="156"/>
      <c r="F141" s="156"/>
      <c r="G141" s="156"/>
      <c r="H141" s="156"/>
      <c r="I141" s="157"/>
      <c r="J141" s="158"/>
      <c r="K141" s="158"/>
      <c r="L141" s="158"/>
      <c r="M141" s="158"/>
      <c r="N141" s="159"/>
      <c r="O141" s="160"/>
      <c r="P141" s="160"/>
      <c r="Q141" s="89">
        <f t="shared" si="30"/>
        <v>41682</v>
      </c>
      <c r="R141" s="97">
        <v>5.9200000000000001E-7</v>
      </c>
      <c r="S141" s="98">
        <v>1.0999999999999999E-2</v>
      </c>
      <c r="T141" s="94">
        <f t="shared" si="24"/>
        <v>8.5247999999999997E-4</v>
      </c>
      <c r="U141" s="107">
        <v>1.3051910354133338</v>
      </c>
      <c r="V141" s="108">
        <v>0</v>
      </c>
      <c r="W141" s="94">
        <f t="shared" si="32"/>
        <v>-8.5247999999999997E-4</v>
      </c>
      <c r="X141" s="94">
        <f t="shared" si="25"/>
        <v>-8.524799999999999E-2</v>
      </c>
      <c r="Y141" s="142">
        <f t="shared" si="26"/>
        <v>41682</v>
      </c>
      <c r="Z141" s="138">
        <v>8.4200000000000005E-7</v>
      </c>
      <c r="AA141" s="144">
        <v>8.3000000000000004E-2</v>
      </c>
      <c r="AB141" s="138">
        <f t="shared" si="27"/>
        <v>1.2124800000000002E-3</v>
      </c>
      <c r="AC141" s="138">
        <v>0.86809103541333377</v>
      </c>
      <c r="AD141" s="138">
        <v>0</v>
      </c>
      <c r="AE141" s="138">
        <f t="shared" si="28"/>
        <v>-1.2124800000000002E-3</v>
      </c>
      <c r="AF141" s="138">
        <f t="shared" si="29"/>
        <v>-0.12124800000000002</v>
      </c>
      <c r="AG141" s="89">
        <f t="shared" si="31"/>
        <v>41682</v>
      </c>
      <c r="AH141" s="180"/>
      <c r="AI141" s="182">
        <v>60</v>
      </c>
    </row>
    <row r="142" spans="1:35">
      <c r="A142" s="4">
        <v>41683</v>
      </c>
      <c r="B142" s="157"/>
      <c r="C142" s="157"/>
      <c r="D142" s="157"/>
      <c r="E142" s="156"/>
      <c r="F142" s="156"/>
      <c r="G142" s="156"/>
      <c r="H142" s="156"/>
      <c r="I142" s="157"/>
      <c r="J142" s="158"/>
      <c r="K142" s="158"/>
      <c r="L142" s="158"/>
      <c r="M142" s="158"/>
      <c r="N142" s="159"/>
      <c r="O142" s="160"/>
      <c r="P142" s="160"/>
      <c r="Q142" s="89">
        <f t="shared" si="30"/>
        <v>41683</v>
      </c>
      <c r="R142" s="97">
        <v>-8.47E-7</v>
      </c>
      <c r="S142" s="98">
        <v>3.3000000000000002E-2</v>
      </c>
      <c r="T142" s="94">
        <f t="shared" si="24"/>
        <v>-1.2196799999999999E-3</v>
      </c>
      <c r="U142" s="107">
        <v>1.2847067908970122</v>
      </c>
      <c r="V142" s="108">
        <v>0</v>
      </c>
      <c r="W142" s="94">
        <f t="shared" si="32"/>
        <v>1.2196799999999999E-3</v>
      </c>
      <c r="X142" s="94">
        <f t="shared" si="25"/>
        <v>0.12196799999999999</v>
      </c>
      <c r="Y142" s="142">
        <f t="shared" si="26"/>
        <v>41683</v>
      </c>
      <c r="Z142" s="138">
        <v>-2.1100000000000001E-6</v>
      </c>
      <c r="AA142" s="144">
        <v>0.19</v>
      </c>
      <c r="AB142" s="138">
        <f t="shared" si="27"/>
        <v>-3.0384000000000001E-3</v>
      </c>
      <c r="AC142" s="138">
        <v>0.84340679089701309</v>
      </c>
      <c r="AD142" s="138">
        <v>0</v>
      </c>
      <c r="AE142" s="138">
        <f t="shared" si="28"/>
        <v>3.0384000000000001E-3</v>
      </c>
      <c r="AF142" s="138">
        <f t="shared" si="29"/>
        <v>0.30384</v>
      </c>
      <c r="AG142" s="89">
        <f t="shared" si="31"/>
        <v>41683</v>
      </c>
      <c r="AH142" s="180"/>
      <c r="AI142" s="182">
        <v>61</v>
      </c>
    </row>
    <row r="143" spans="1:35">
      <c r="A143" s="4">
        <v>41684</v>
      </c>
      <c r="B143" s="157"/>
      <c r="C143" s="157"/>
      <c r="D143" s="157"/>
      <c r="E143" s="156"/>
      <c r="F143" s="156"/>
      <c r="G143" s="156"/>
      <c r="H143" s="156"/>
      <c r="I143" s="157"/>
      <c r="J143" s="158"/>
      <c r="K143" s="158"/>
      <c r="L143" s="158"/>
      <c r="M143" s="158"/>
      <c r="N143" s="159"/>
      <c r="O143" s="160"/>
      <c r="P143" s="160"/>
      <c r="Q143" s="89">
        <f t="shared" si="30"/>
        <v>41684</v>
      </c>
      <c r="R143" s="97">
        <v>-5.1399999999999999E-6</v>
      </c>
      <c r="S143" s="98">
        <v>0.40200000000000002</v>
      </c>
      <c r="T143" s="94">
        <f t="shared" si="24"/>
        <v>-7.4015999999999995E-3</v>
      </c>
      <c r="U143" s="107">
        <v>1.2617270452620954</v>
      </c>
      <c r="V143" s="108">
        <v>0</v>
      </c>
      <c r="W143" s="94">
        <f t="shared" si="32"/>
        <v>7.4015999999999995E-3</v>
      </c>
      <c r="X143" s="94">
        <f t="shared" si="25"/>
        <v>0.74015999999999993</v>
      </c>
      <c r="Y143" s="142">
        <f t="shared" si="26"/>
        <v>41684</v>
      </c>
      <c r="Z143" s="138">
        <v>-1.1800000000000001E-5</v>
      </c>
      <c r="AA143" s="144">
        <v>0.89400000000000002</v>
      </c>
      <c r="AB143" s="138">
        <f t="shared" si="27"/>
        <v>-1.6992E-2</v>
      </c>
      <c r="AC143" s="138">
        <v>0.81532704526209576</v>
      </c>
      <c r="AD143" s="138">
        <v>0</v>
      </c>
      <c r="AE143" s="138">
        <f t="shared" si="28"/>
        <v>1.6992E-2</v>
      </c>
      <c r="AF143" s="138">
        <f t="shared" si="29"/>
        <v>1.6992</v>
      </c>
      <c r="AG143" s="89">
        <f t="shared" si="31"/>
        <v>41684</v>
      </c>
      <c r="AH143" s="180"/>
      <c r="AI143" s="182">
        <v>62</v>
      </c>
    </row>
    <row r="144" spans="1:35">
      <c r="A144" s="4">
        <v>41685</v>
      </c>
      <c r="B144" s="157"/>
      <c r="C144" s="157"/>
      <c r="D144" s="157"/>
      <c r="E144" s="156"/>
      <c r="F144" s="156"/>
      <c r="G144" s="156"/>
      <c r="H144" s="156"/>
      <c r="I144" s="157"/>
      <c r="J144" s="158"/>
      <c r="K144" s="158"/>
      <c r="L144" s="158"/>
      <c r="M144" s="158"/>
      <c r="N144" s="159"/>
      <c r="O144" s="160"/>
      <c r="P144" s="160"/>
      <c r="Q144" s="89">
        <f t="shared" si="30"/>
        <v>41685</v>
      </c>
      <c r="R144" s="97">
        <v>-1.55E-6</v>
      </c>
      <c r="S144" s="98">
        <v>0.06</v>
      </c>
      <c r="T144" s="94">
        <f t="shared" si="24"/>
        <v>-2.232E-3</v>
      </c>
      <c r="U144" s="107">
        <v>1.2418932989521871</v>
      </c>
      <c r="V144" s="108">
        <v>0</v>
      </c>
      <c r="W144" s="94">
        <f t="shared" si="32"/>
        <v>2.232E-3</v>
      </c>
      <c r="X144" s="94">
        <f t="shared" si="25"/>
        <v>0.22320000000000001</v>
      </c>
      <c r="Y144" s="142">
        <f t="shared" si="26"/>
        <v>41685</v>
      </c>
      <c r="Z144" s="138">
        <v>2.0999999999999998E-6</v>
      </c>
      <c r="AA144" s="144">
        <v>0.18</v>
      </c>
      <c r="AB144" s="138">
        <f t="shared" si="27"/>
        <v>3.0239999999999998E-3</v>
      </c>
      <c r="AC144" s="138">
        <v>0.78949329895218723</v>
      </c>
      <c r="AD144" s="138">
        <v>0</v>
      </c>
      <c r="AE144" s="138">
        <f t="shared" si="28"/>
        <v>-3.0239999999999998E-3</v>
      </c>
      <c r="AF144" s="138">
        <f t="shared" si="29"/>
        <v>-0.3024</v>
      </c>
      <c r="AG144" s="89">
        <f t="shared" si="31"/>
        <v>41685</v>
      </c>
      <c r="AH144" s="180"/>
      <c r="AI144" s="182">
        <v>63</v>
      </c>
    </row>
    <row r="145" spans="1:35">
      <c r="A145" s="4">
        <v>41686</v>
      </c>
      <c r="B145" s="157"/>
      <c r="C145" s="157"/>
      <c r="D145" s="157"/>
      <c r="E145" s="156"/>
      <c r="F145" s="156"/>
      <c r="G145" s="156"/>
      <c r="H145" s="156"/>
      <c r="I145" s="157"/>
      <c r="J145" s="158"/>
      <c r="K145" s="158"/>
      <c r="L145" s="158"/>
      <c r="M145" s="158"/>
      <c r="N145" s="159"/>
      <c r="O145" s="160"/>
      <c r="P145" s="160"/>
      <c r="Q145" s="89">
        <f t="shared" si="30"/>
        <v>41686</v>
      </c>
      <c r="R145" s="97">
        <v>-1.3599999999999999E-6</v>
      </c>
      <c r="S145" s="98">
        <v>9.7000000000000003E-2</v>
      </c>
      <c r="T145" s="94">
        <f t="shared" si="24"/>
        <v>-1.9583999999999999E-3</v>
      </c>
      <c r="U145" s="107">
        <v>1.2223783631558125</v>
      </c>
      <c r="V145" s="108">
        <v>0</v>
      </c>
      <c r="W145" s="94">
        <f t="shared" si="32"/>
        <v>1.9583999999999999E-3</v>
      </c>
      <c r="X145" s="94">
        <f t="shared" si="25"/>
        <v>0.19583999999999999</v>
      </c>
      <c r="Y145" s="142">
        <f t="shared" si="26"/>
        <v>41686</v>
      </c>
      <c r="Z145" s="138">
        <v>1.84E-6</v>
      </c>
      <c r="AA145" s="144">
        <v>0.17399999999999999</v>
      </c>
      <c r="AB145" s="138">
        <f t="shared" si="27"/>
        <v>2.6495999999999998E-3</v>
      </c>
      <c r="AC145" s="138">
        <v>0.76517836315581134</v>
      </c>
      <c r="AD145" s="138">
        <v>0</v>
      </c>
      <c r="AE145" s="138">
        <f t="shared" si="28"/>
        <v>-2.6495999999999998E-3</v>
      </c>
      <c r="AF145" s="138">
        <f t="shared" si="29"/>
        <v>-0.26495999999999997</v>
      </c>
      <c r="AG145" s="89">
        <f t="shared" si="31"/>
        <v>41686</v>
      </c>
      <c r="AH145" s="180"/>
      <c r="AI145" s="182">
        <v>64</v>
      </c>
    </row>
    <row r="146" spans="1:35">
      <c r="A146" s="4">
        <v>41687</v>
      </c>
      <c r="B146" s="157"/>
      <c r="C146" s="157"/>
      <c r="D146" s="157"/>
      <c r="E146" s="156"/>
      <c r="F146" s="156"/>
      <c r="G146" s="156"/>
      <c r="H146" s="156"/>
      <c r="I146" s="157"/>
      <c r="J146" s="158"/>
      <c r="K146" s="158"/>
      <c r="L146" s="158"/>
      <c r="M146" s="158"/>
      <c r="N146" s="159"/>
      <c r="O146" s="160"/>
      <c r="P146" s="160"/>
      <c r="Q146" s="89">
        <f t="shared" si="30"/>
        <v>41687</v>
      </c>
      <c r="R146" s="97">
        <v>-3.6200000000000001E-6</v>
      </c>
      <c r="S146" s="98">
        <v>0.33</v>
      </c>
      <c r="T146" s="94">
        <f t="shared" si="24"/>
        <v>-5.2128000000000001E-3</v>
      </c>
      <c r="U146" s="107">
        <v>1.2017894124865713</v>
      </c>
      <c r="V146" s="108">
        <v>0</v>
      </c>
      <c r="W146" s="94">
        <f t="shared" si="32"/>
        <v>5.2128000000000001E-3</v>
      </c>
      <c r="X146" s="94">
        <f t="shared" si="25"/>
        <v>0.52127999999999997</v>
      </c>
      <c r="Y146" s="142">
        <f t="shared" si="26"/>
        <v>41687</v>
      </c>
      <c r="Z146" s="138">
        <v>-4.9799999999999998E-6</v>
      </c>
      <c r="AA146" s="144">
        <v>0.70099999999999996</v>
      </c>
      <c r="AB146" s="138">
        <f t="shared" si="27"/>
        <v>-7.1712E-3</v>
      </c>
      <c r="AC146" s="138">
        <v>0.74098941248656969</v>
      </c>
      <c r="AD146" s="138">
        <v>0</v>
      </c>
      <c r="AE146" s="138">
        <f t="shared" si="28"/>
        <v>7.1712E-3</v>
      </c>
      <c r="AF146" s="138">
        <f t="shared" si="29"/>
        <v>0.71711999999999998</v>
      </c>
      <c r="AG146" s="89">
        <f t="shared" si="31"/>
        <v>41687</v>
      </c>
      <c r="AH146" s="180"/>
      <c r="AI146" s="182">
        <v>65</v>
      </c>
    </row>
    <row r="147" spans="1:35">
      <c r="A147" s="4">
        <v>41688</v>
      </c>
      <c r="B147" s="157"/>
      <c r="C147" s="157"/>
      <c r="D147" s="157"/>
      <c r="E147" s="156"/>
      <c r="F147" s="156"/>
      <c r="G147" s="156"/>
      <c r="H147" s="156"/>
      <c r="I147" s="157"/>
      <c r="J147" s="158"/>
      <c r="K147" s="158"/>
      <c r="L147" s="158"/>
      <c r="M147" s="158"/>
      <c r="N147" s="159"/>
      <c r="O147" s="160"/>
      <c r="P147" s="160"/>
      <c r="Q147" s="89">
        <f t="shared" si="30"/>
        <v>41688</v>
      </c>
      <c r="R147" s="97">
        <v>-5.32E-8</v>
      </c>
      <c r="S147" s="98">
        <v>0</v>
      </c>
      <c r="T147" s="94">
        <f t="shared" si="24"/>
        <v>-7.6607999999999996E-5</v>
      </c>
      <c r="U147" s="107">
        <v>1.1800295043240081</v>
      </c>
      <c r="V147" s="108">
        <v>0</v>
      </c>
      <c r="W147" s="94">
        <f t="shared" si="32"/>
        <v>7.6607999999999996E-5</v>
      </c>
      <c r="X147" s="94">
        <f t="shared" si="25"/>
        <v>7.6607999999999997E-3</v>
      </c>
      <c r="Y147" s="142">
        <f t="shared" si="26"/>
        <v>41688</v>
      </c>
      <c r="Z147" s="138">
        <v>-1.9599999999999999E-6</v>
      </c>
      <c r="AA147" s="144">
        <v>0.219</v>
      </c>
      <c r="AB147" s="138">
        <f t="shared" si="27"/>
        <v>-2.8223999999999996E-3</v>
      </c>
      <c r="AC147" s="138">
        <v>0.71552950432400797</v>
      </c>
      <c r="AD147" s="138">
        <v>0</v>
      </c>
      <c r="AE147" s="138">
        <f t="shared" si="28"/>
        <v>2.8223999999999996E-3</v>
      </c>
      <c r="AF147" s="138">
        <f t="shared" si="29"/>
        <v>0.28223999999999999</v>
      </c>
      <c r="AG147" s="89">
        <f t="shared" si="31"/>
        <v>41688</v>
      </c>
      <c r="AH147" s="180"/>
      <c r="AI147" s="182">
        <v>66</v>
      </c>
    </row>
    <row r="148" spans="1:35">
      <c r="A148" s="4">
        <v>41689</v>
      </c>
      <c r="B148" s="157"/>
      <c r="C148" s="157"/>
      <c r="D148" s="157"/>
      <c r="E148" s="156"/>
      <c r="F148" s="156"/>
      <c r="G148" s="156"/>
      <c r="H148" s="156"/>
      <c r="I148" s="157"/>
      <c r="J148" s="158"/>
      <c r="K148" s="158"/>
      <c r="L148" s="158"/>
      <c r="M148" s="158"/>
      <c r="N148" s="159"/>
      <c r="O148" s="160"/>
      <c r="P148" s="160"/>
      <c r="Q148" s="89">
        <f t="shared" si="30"/>
        <v>41689</v>
      </c>
      <c r="R148" s="97">
        <v>9.6200000000000006E-7</v>
      </c>
      <c r="S148" s="98">
        <v>6.2E-2</v>
      </c>
      <c r="T148" s="94">
        <f t="shared" si="24"/>
        <v>1.38528E-3</v>
      </c>
      <c r="U148" s="107">
        <v>1.1658444354209991</v>
      </c>
      <c r="V148" s="108">
        <v>0</v>
      </c>
      <c r="W148" s="94">
        <f t="shared" si="32"/>
        <v>-1.38528E-3</v>
      </c>
      <c r="X148" s="94">
        <f t="shared" si="25"/>
        <v>-0.13852800000000001</v>
      </c>
      <c r="Y148" s="142">
        <f t="shared" si="26"/>
        <v>41689</v>
      </c>
      <c r="Z148" s="138">
        <v>8.1000000000000004E-6</v>
      </c>
      <c r="AA148" s="144">
        <v>0.86399999999999999</v>
      </c>
      <c r="AB148" s="138">
        <f t="shared" si="27"/>
        <v>1.1664000000000001E-2</v>
      </c>
      <c r="AC148" s="138">
        <v>0.69674443542099906</v>
      </c>
      <c r="AD148" s="138">
        <v>0</v>
      </c>
      <c r="AE148" s="138">
        <f t="shared" si="28"/>
        <v>-1.1664000000000001E-2</v>
      </c>
      <c r="AF148" s="138">
        <f t="shared" si="29"/>
        <v>-1.1664000000000001</v>
      </c>
      <c r="AG148" s="89">
        <f t="shared" si="31"/>
        <v>41689</v>
      </c>
      <c r="AH148" s="180"/>
      <c r="AI148" s="182">
        <v>67</v>
      </c>
    </row>
    <row r="149" spans="1:35">
      <c r="A149" s="4">
        <v>41690</v>
      </c>
      <c r="B149" s="157"/>
      <c r="C149" s="157"/>
      <c r="D149" s="157"/>
      <c r="E149" s="156"/>
      <c r="F149" s="156"/>
      <c r="G149" s="156"/>
      <c r="H149" s="156"/>
      <c r="I149" s="157"/>
      <c r="J149" s="158"/>
      <c r="K149" s="158"/>
      <c r="L149" s="158"/>
      <c r="M149" s="158"/>
      <c r="N149" s="159"/>
      <c r="O149" s="160"/>
      <c r="P149" s="160"/>
      <c r="Q149" s="89">
        <f t="shared" si="30"/>
        <v>41690</v>
      </c>
      <c r="R149" s="97">
        <v>-2.0900000000000001E-7</v>
      </c>
      <c r="S149" s="98">
        <v>1E-3</v>
      </c>
      <c r="T149" s="94">
        <f t="shared" si="24"/>
        <v>-3.0096000000000002E-4</v>
      </c>
      <c r="U149" s="107">
        <v>1.1438027112580298</v>
      </c>
      <c r="V149" s="108">
        <v>0</v>
      </c>
      <c r="W149" s="94">
        <f t="shared" si="32"/>
        <v>3.0096000000000002E-4</v>
      </c>
      <c r="X149" s="94">
        <f t="shared" si="25"/>
        <v>3.0096000000000001E-2</v>
      </c>
      <c r="Y149" s="142">
        <f t="shared" si="26"/>
        <v>41690</v>
      </c>
      <c r="Z149" s="138">
        <v>4.5900000000000002E-7</v>
      </c>
      <c r="AA149" s="144">
        <v>1.4999999999999999E-2</v>
      </c>
      <c r="AB149" s="138">
        <f t="shared" si="27"/>
        <v>6.6096000000000004E-4</v>
      </c>
      <c r="AC149" s="138">
        <v>0.67210271125803045</v>
      </c>
      <c r="AD149" s="138">
        <v>0</v>
      </c>
      <c r="AE149" s="138">
        <f t="shared" si="28"/>
        <v>-6.6096000000000004E-4</v>
      </c>
      <c r="AF149" s="138">
        <f t="shared" si="29"/>
        <v>-6.6096000000000002E-2</v>
      </c>
      <c r="AG149" s="89">
        <f t="shared" si="31"/>
        <v>41690</v>
      </c>
      <c r="AH149" s="180"/>
      <c r="AI149" s="182">
        <v>68</v>
      </c>
    </row>
    <row r="150" spans="1:35">
      <c r="A150" s="4">
        <v>41691</v>
      </c>
      <c r="B150" s="157"/>
      <c r="C150" s="157"/>
      <c r="D150" s="157"/>
      <c r="E150" s="156"/>
      <c r="F150" s="156"/>
      <c r="G150" s="156"/>
      <c r="H150" s="156"/>
      <c r="I150" s="157"/>
      <c r="J150" s="158"/>
      <c r="K150" s="158"/>
      <c r="L150" s="158"/>
      <c r="M150" s="158"/>
      <c r="N150" s="159"/>
      <c r="O150" s="160"/>
      <c r="P150" s="160"/>
      <c r="Q150" s="89">
        <f t="shared" si="30"/>
        <v>41691</v>
      </c>
      <c r="R150" s="97">
        <v>-1.17E-6</v>
      </c>
      <c r="S150" s="98">
        <v>3.7999999999999999E-2</v>
      </c>
      <c r="T150" s="94">
        <f t="shared" si="24"/>
        <v>-1.6848E-3</v>
      </c>
      <c r="U150" s="107">
        <v>1.1231266448172126</v>
      </c>
      <c r="V150" s="108">
        <v>0</v>
      </c>
      <c r="W150" s="94">
        <f t="shared" si="32"/>
        <v>1.6848E-3</v>
      </c>
      <c r="X150" s="94">
        <f t="shared" si="25"/>
        <v>0.16847999999999999</v>
      </c>
      <c r="Y150" s="142">
        <f t="shared" si="26"/>
        <v>41691</v>
      </c>
      <c r="Z150" s="138">
        <v>7.4499999999999998E-6</v>
      </c>
      <c r="AA150" s="144">
        <v>0.79700000000000004</v>
      </c>
      <c r="AB150" s="138">
        <f t="shared" si="27"/>
        <v>1.0728E-2</v>
      </c>
      <c r="AC150" s="138">
        <v>0.52862664481721344</v>
      </c>
      <c r="AD150" s="138">
        <v>0</v>
      </c>
      <c r="AE150" s="138">
        <f t="shared" si="28"/>
        <v>-1.0728E-2</v>
      </c>
      <c r="AF150" s="138">
        <f t="shared" si="29"/>
        <v>-1.0728</v>
      </c>
      <c r="AG150" s="89">
        <f t="shared" si="31"/>
        <v>41691</v>
      </c>
      <c r="AH150" s="180"/>
      <c r="AI150" s="182">
        <v>69</v>
      </c>
    </row>
    <row r="151" spans="1:35">
      <c r="A151" s="4">
        <v>41692</v>
      </c>
      <c r="B151" s="157"/>
      <c r="C151" s="157"/>
      <c r="D151" s="157"/>
      <c r="E151" s="147"/>
      <c r="F151" s="147"/>
      <c r="G151" s="147"/>
      <c r="H151" s="147"/>
      <c r="I151" s="157"/>
      <c r="J151" s="147"/>
      <c r="K151" s="147"/>
      <c r="L151" s="147"/>
      <c r="M151" s="147"/>
      <c r="N151" s="159"/>
      <c r="O151" s="146"/>
      <c r="P151" s="146"/>
      <c r="Q151" s="162"/>
      <c r="R151" s="149"/>
      <c r="S151" s="150"/>
      <c r="T151" s="151"/>
      <c r="U151" s="163"/>
      <c r="V151" s="159"/>
      <c r="W151" s="146"/>
      <c r="X151" s="146"/>
      <c r="Y151" s="145"/>
      <c r="Z151" s="146"/>
      <c r="AA151" s="146"/>
      <c r="AB151" s="146"/>
      <c r="AC151" s="146"/>
      <c r="AD151" s="146"/>
      <c r="AE151" s="146"/>
      <c r="AF151" s="146"/>
      <c r="AG151" s="162"/>
      <c r="AI151" s="125">
        <v>70</v>
      </c>
    </row>
    <row r="152" spans="1:35">
      <c r="A152" s="4">
        <v>41693</v>
      </c>
      <c r="B152" s="43"/>
      <c r="C152" s="43"/>
      <c r="D152" s="43"/>
      <c r="E152" s="147"/>
      <c r="F152" s="147"/>
      <c r="G152" s="147"/>
      <c r="H152" s="147"/>
      <c r="I152" s="157"/>
      <c r="J152" s="147"/>
      <c r="K152" s="147"/>
      <c r="L152" s="147"/>
      <c r="M152" s="147"/>
      <c r="N152" s="159"/>
      <c r="O152" s="146"/>
      <c r="P152" s="146"/>
      <c r="Q152" s="162"/>
      <c r="R152" s="149"/>
      <c r="S152" s="150"/>
      <c r="T152" s="151"/>
      <c r="U152" s="163"/>
      <c r="V152" s="159"/>
      <c r="W152" s="146"/>
      <c r="X152" s="146"/>
      <c r="Y152" s="145"/>
      <c r="Z152" s="146"/>
      <c r="AA152" s="146"/>
      <c r="AB152" s="146"/>
      <c r="AC152" s="146"/>
      <c r="AD152" s="146"/>
      <c r="AE152" s="146"/>
      <c r="AF152" s="146"/>
      <c r="AG152" s="162"/>
      <c r="AI152" s="125">
        <v>71</v>
      </c>
    </row>
    <row r="153" spans="1:35">
      <c r="A153" s="4">
        <v>41694</v>
      </c>
      <c r="B153" s="43"/>
      <c r="C153" s="43"/>
      <c r="D153" s="43"/>
      <c r="E153" s="147"/>
      <c r="F153" s="147"/>
      <c r="G153" s="147"/>
      <c r="H153" s="147"/>
      <c r="I153" s="157"/>
      <c r="J153" s="147"/>
      <c r="K153" s="147"/>
      <c r="L153" s="147"/>
      <c r="M153" s="147"/>
      <c r="N153" s="159"/>
      <c r="O153" s="146"/>
      <c r="P153" s="146"/>
      <c r="Q153" s="162"/>
      <c r="R153" s="149"/>
      <c r="S153" s="150"/>
      <c r="T153" s="151"/>
      <c r="U153" s="163"/>
      <c r="V153" s="159"/>
      <c r="W153" s="146"/>
      <c r="X153" s="146"/>
      <c r="Y153" s="145"/>
      <c r="Z153" s="146"/>
      <c r="AA153" s="146"/>
      <c r="AB153" s="146"/>
      <c r="AC153" s="146"/>
      <c r="AD153" s="146"/>
      <c r="AE153" s="146"/>
      <c r="AF153" s="146"/>
      <c r="AG153" s="162"/>
      <c r="AI153" s="125">
        <v>72</v>
      </c>
    </row>
    <row r="154" spans="1:35">
      <c r="A154" s="4">
        <v>41695</v>
      </c>
      <c r="B154" s="43"/>
      <c r="C154" s="43"/>
      <c r="D154" s="43"/>
      <c r="E154" s="147"/>
      <c r="F154" s="147"/>
      <c r="G154" s="147"/>
      <c r="H154" s="147"/>
      <c r="I154" s="157"/>
      <c r="J154" s="147"/>
      <c r="K154" s="147"/>
      <c r="L154" s="147"/>
      <c r="M154" s="147"/>
      <c r="N154" s="159"/>
      <c r="O154" s="146"/>
      <c r="P154" s="146"/>
      <c r="Q154" s="162"/>
      <c r="R154" s="149"/>
      <c r="S154" s="150"/>
      <c r="T154" s="151"/>
      <c r="U154" s="163"/>
      <c r="V154" s="159"/>
      <c r="W154" s="146"/>
      <c r="X154" s="146"/>
      <c r="Y154" s="145"/>
      <c r="Z154" s="146"/>
      <c r="AA154" s="146"/>
      <c r="AB154" s="146"/>
      <c r="AC154" s="146"/>
      <c r="AD154" s="146"/>
      <c r="AE154" s="146"/>
      <c r="AF154" s="146"/>
      <c r="AG154" s="162"/>
      <c r="AI154" s="125">
        <v>73</v>
      </c>
    </row>
    <row r="155" spans="1:35">
      <c r="A155" s="4">
        <v>41696</v>
      </c>
      <c r="B155" s="43"/>
      <c r="C155" s="43"/>
      <c r="D155" s="43"/>
      <c r="E155" s="147"/>
      <c r="F155" s="147"/>
      <c r="G155" s="147"/>
      <c r="H155" s="147"/>
      <c r="I155" s="157"/>
      <c r="J155" s="147"/>
      <c r="K155" s="147"/>
      <c r="L155" s="147"/>
      <c r="M155" s="147"/>
      <c r="N155" s="159"/>
      <c r="O155" s="146"/>
      <c r="P155" s="146"/>
      <c r="Q155" s="162"/>
      <c r="R155" s="149"/>
      <c r="S155" s="150"/>
      <c r="T155" s="151"/>
      <c r="U155" s="163"/>
      <c r="V155" s="159"/>
      <c r="W155" s="146"/>
      <c r="X155" s="146"/>
      <c r="Y155" s="145"/>
      <c r="Z155" s="146"/>
      <c r="AA155" s="146"/>
      <c r="AB155" s="146"/>
      <c r="AC155" s="146"/>
      <c r="AD155" s="146"/>
      <c r="AE155" s="146"/>
      <c r="AF155" s="146"/>
      <c r="AG155" s="162"/>
      <c r="AI155" s="125">
        <v>74</v>
      </c>
    </row>
    <row r="156" spans="1:35">
      <c r="A156" s="4">
        <v>41697</v>
      </c>
      <c r="B156" s="43"/>
      <c r="C156" s="43"/>
      <c r="D156" s="43"/>
      <c r="E156" s="147"/>
      <c r="F156" s="147"/>
      <c r="G156" s="147"/>
      <c r="H156" s="147"/>
      <c r="I156" s="157"/>
      <c r="J156" s="147"/>
      <c r="K156" s="147"/>
      <c r="L156" s="147"/>
      <c r="M156" s="147"/>
      <c r="N156" s="159"/>
      <c r="O156" s="146"/>
      <c r="P156" s="146"/>
      <c r="Q156" s="162"/>
      <c r="R156" s="149"/>
      <c r="S156" s="150"/>
      <c r="T156" s="151"/>
      <c r="U156" s="163"/>
      <c r="V156" s="159"/>
      <c r="W156" s="146"/>
      <c r="X156" s="146"/>
      <c r="Y156" s="145"/>
      <c r="Z156" s="146"/>
      <c r="AA156" s="146"/>
      <c r="AB156" s="146"/>
      <c r="AC156" s="146"/>
      <c r="AD156" s="146"/>
      <c r="AE156" s="146"/>
      <c r="AF156" s="146"/>
      <c r="AG156" s="162"/>
      <c r="AI156" s="125">
        <v>75</v>
      </c>
    </row>
    <row r="157" spans="1:35">
      <c r="A157" s="4">
        <v>41698</v>
      </c>
      <c r="B157" s="43"/>
      <c r="C157" s="43"/>
      <c r="D157" s="43"/>
      <c r="E157" s="147"/>
      <c r="F157" s="147"/>
      <c r="G157" s="147"/>
      <c r="H157" s="147"/>
      <c r="I157" s="157"/>
      <c r="J157" s="147"/>
      <c r="K157" s="147"/>
      <c r="L157" s="147"/>
      <c r="M157" s="147"/>
      <c r="N157" s="159"/>
      <c r="O157" s="146"/>
      <c r="P157" s="146"/>
      <c r="Q157" s="162"/>
      <c r="R157" s="149"/>
      <c r="S157" s="150"/>
      <c r="T157" s="151"/>
      <c r="U157" s="163"/>
      <c r="V157" s="159"/>
      <c r="W157" s="146"/>
      <c r="X157" s="146"/>
      <c r="Y157" s="145"/>
      <c r="Z157" s="146"/>
      <c r="AA157" s="146"/>
      <c r="AB157" s="146"/>
      <c r="AC157" s="146"/>
      <c r="AD157" s="146"/>
      <c r="AE157" s="146"/>
      <c r="AF157" s="146"/>
      <c r="AG157" s="162"/>
      <c r="AI157" s="125">
        <v>76</v>
      </c>
    </row>
    <row r="158" spans="1:35">
      <c r="A158" s="4">
        <v>41699</v>
      </c>
      <c r="B158" s="43"/>
      <c r="C158" s="43"/>
      <c r="D158" s="43"/>
      <c r="E158" s="147"/>
      <c r="F158" s="147"/>
      <c r="G158" s="147"/>
      <c r="H158" s="147"/>
      <c r="I158" s="157"/>
      <c r="J158" s="147"/>
      <c r="K158" s="147"/>
      <c r="L158" s="147"/>
      <c r="M158" s="147"/>
      <c r="N158" s="159"/>
      <c r="O158" s="146"/>
      <c r="P158" s="146"/>
      <c r="Q158" s="162"/>
      <c r="R158" s="149"/>
      <c r="S158" s="150"/>
      <c r="T158" s="151"/>
      <c r="U158" s="163"/>
      <c r="V158" s="159"/>
      <c r="W158" s="146"/>
      <c r="X158" s="146"/>
      <c r="Y158" s="145"/>
      <c r="Z158" s="146"/>
      <c r="AA158" s="146"/>
      <c r="AB158" s="146"/>
      <c r="AC158" s="146"/>
      <c r="AD158" s="146"/>
      <c r="AE158" s="146"/>
      <c r="AF158" s="146"/>
      <c r="AG158" s="162"/>
      <c r="AI158" s="125">
        <v>77</v>
      </c>
    </row>
    <row r="159" spans="1:35">
      <c r="A159" s="4">
        <v>41700</v>
      </c>
      <c r="B159" s="43"/>
      <c r="C159" s="43"/>
      <c r="D159" s="43"/>
      <c r="E159" s="147"/>
      <c r="F159" s="147"/>
      <c r="G159" s="147"/>
      <c r="H159" s="147"/>
      <c r="I159" s="157"/>
      <c r="J159" s="147"/>
      <c r="K159" s="147"/>
      <c r="L159" s="147"/>
      <c r="M159" s="147"/>
      <c r="N159" s="159"/>
      <c r="O159" s="146"/>
      <c r="P159" s="146"/>
      <c r="Q159" s="162"/>
      <c r="R159" s="149"/>
      <c r="S159" s="150"/>
      <c r="T159" s="151"/>
      <c r="U159" s="163"/>
      <c r="V159" s="159"/>
      <c r="W159" s="146"/>
      <c r="X159" s="146"/>
      <c r="Y159" s="145"/>
      <c r="Z159" s="146"/>
      <c r="AA159" s="146"/>
      <c r="AB159" s="146"/>
      <c r="AC159" s="146"/>
      <c r="AD159" s="146"/>
      <c r="AE159" s="146"/>
      <c r="AF159" s="146"/>
      <c r="AG159" s="162"/>
      <c r="AI159" s="125">
        <v>78</v>
      </c>
    </row>
    <row r="160" spans="1:35">
      <c r="A160" s="4">
        <v>41701</v>
      </c>
      <c r="B160" s="43"/>
      <c r="C160" s="43"/>
      <c r="D160" s="43"/>
      <c r="E160" s="147"/>
      <c r="F160" s="147"/>
      <c r="G160" s="147"/>
      <c r="H160" s="147"/>
      <c r="I160" s="157"/>
      <c r="J160" s="147"/>
      <c r="K160" s="147"/>
      <c r="L160" s="147"/>
      <c r="M160" s="147"/>
      <c r="N160" s="159"/>
      <c r="O160" s="146"/>
      <c r="P160" s="146"/>
      <c r="Q160" s="162"/>
      <c r="R160" s="149"/>
      <c r="S160" s="150"/>
      <c r="T160" s="151"/>
      <c r="U160" s="163"/>
      <c r="V160" s="159"/>
      <c r="W160" s="146"/>
      <c r="X160" s="146"/>
      <c r="Y160" s="145"/>
      <c r="Z160" s="146"/>
      <c r="AA160" s="146"/>
      <c r="AB160" s="146"/>
      <c r="AC160" s="146"/>
      <c r="AD160" s="146"/>
      <c r="AE160" s="146"/>
      <c r="AF160" s="146"/>
      <c r="AG160" s="162"/>
      <c r="AI160" s="125">
        <v>79</v>
      </c>
    </row>
    <row r="161" spans="1:35">
      <c r="A161" s="4">
        <v>41702</v>
      </c>
      <c r="B161" s="43"/>
      <c r="C161" s="43"/>
      <c r="D161" s="43"/>
      <c r="E161" s="147"/>
      <c r="F161" s="147"/>
      <c r="G161" s="147"/>
      <c r="H161" s="147"/>
      <c r="I161" s="157"/>
      <c r="J161" s="147"/>
      <c r="K161" s="147"/>
      <c r="L161" s="147"/>
      <c r="M161" s="147"/>
      <c r="N161" s="159"/>
      <c r="O161" s="146"/>
      <c r="P161" s="146"/>
      <c r="Q161" s="162"/>
      <c r="R161" s="149"/>
      <c r="S161" s="150"/>
      <c r="T161" s="151"/>
      <c r="U161" s="163"/>
      <c r="V161" s="159"/>
      <c r="W161" s="146"/>
      <c r="X161" s="146"/>
      <c r="Y161" s="145"/>
      <c r="Z161" s="146"/>
      <c r="AA161" s="146"/>
      <c r="AB161" s="146"/>
      <c r="AC161" s="146"/>
      <c r="AD161" s="146"/>
      <c r="AE161" s="146"/>
      <c r="AF161" s="146"/>
      <c r="AG161" s="162"/>
      <c r="AI161" s="125">
        <v>80</v>
      </c>
    </row>
    <row r="162" spans="1:35">
      <c r="A162" s="4">
        <v>41703</v>
      </c>
      <c r="B162" s="43"/>
      <c r="C162" s="43"/>
      <c r="D162" s="43"/>
      <c r="E162" s="147"/>
      <c r="F162" s="147"/>
      <c r="G162" s="147"/>
      <c r="H162" s="147"/>
      <c r="I162" s="157"/>
      <c r="J162" s="147"/>
      <c r="K162" s="147"/>
      <c r="L162" s="147"/>
      <c r="M162" s="147"/>
      <c r="N162" s="159"/>
      <c r="O162" s="146"/>
      <c r="P162" s="146"/>
      <c r="Q162" s="162"/>
      <c r="R162" s="149"/>
      <c r="S162" s="150"/>
      <c r="T162" s="151"/>
      <c r="U162" s="163"/>
      <c r="V162" s="159"/>
      <c r="W162" s="146"/>
      <c r="X162" s="146"/>
      <c r="Y162" s="145"/>
      <c r="Z162" s="146"/>
      <c r="AA162" s="146"/>
      <c r="AB162" s="146"/>
      <c r="AC162" s="146"/>
      <c r="AD162" s="146"/>
      <c r="AE162" s="146"/>
      <c r="AF162" s="146"/>
      <c r="AG162" s="162"/>
      <c r="AI162" s="125">
        <v>81</v>
      </c>
    </row>
    <row r="163" spans="1:35">
      <c r="A163" s="4">
        <v>41704</v>
      </c>
      <c r="B163" s="43"/>
      <c r="C163" s="43"/>
      <c r="D163" s="43"/>
      <c r="E163" s="147"/>
      <c r="F163" s="147"/>
      <c r="G163" s="147"/>
      <c r="H163" s="147"/>
      <c r="I163" s="157"/>
      <c r="J163" s="147"/>
      <c r="K163" s="147"/>
      <c r="L163" s="147"/>
      <c r="M163" s="147"/>
      <c r="N163" s="159"/>
      <c r="O163" s="146"/>
      <c r="P163" s="146"/>
      <c r="Q163" s="162"/>
      <c r="R163" s="149"/>
      <c r="S163" s="150"/>
      <c r="T163" s="151"/>
      <c r="U163" s="163"/>
      <c r="V163" s="159"/>
      <c r="W163" s="146"/>
      <c r="X163" s="146"/>
      <c r="Y163" s="145"/>
      <c r="Z163" s="146"/>
      <c r="AA163" s="146"/>
      <c r="AB163" s="146"/>
      <c r="AC163" s="146"/>
      <c r="AD163" s="146"/>
      <c r="AE163" s="146"/>
      <c r="AF163" s="146"/>
      <c r="AG163" s="162"/>
      <c r="AI163" s="125">
        <v>82</v>
      </c>
    </row>
    <row r="164" spans="1:35">
      <c r="A164" s="4">
        <v>41705</v>
      </c>
      <c r="B164" s="43"/>
      <c r="C164" s="43"/>
      <c r="D164" s="43"/>
      <c r="E164" s="147"/>
      <c r="F164" s="147"/>
      <c r="G164" s="147"/>
      <c r="H164" s="147"/>
      <c r="I164" s="157"/>
      <c r="J164" s="147"/>
      <c r="K164" s="147"/>
      <c r="L164" s="147"/>
      <c r="M164" s="147"/>
      <c r="N164" s="159"/>
      <c r="O164" s="146"/>
      <c r="P164" s="146"/>
      <c r="Q164" s="162"/>
      <c r="R164" s="149"/>
      <c r="S164" s="150"/>
      <c r="T164" s="151"/>
      <c r="U164" s="163"/>
      <c r="V164" s="159"/>
      <c r="W164" s="146"/>
      <c r="X164" s="146"/>
      <c r="Y164" s="145"/>
      <c r="Z164" s="146"/>
      <c r="AA164" s="146"/>
      <c r="AB164" s="146"/>
      <c r="AC164" s="146"/>
      <c r="AD164" s="146"/>
      <c r="AE164" s="146"/>
      <c r="AF164" s="146"/>
      <c r="AG164" s="162"/>
      <c r="AI164" s="125">
        <v>83</v>
      </c>
    </row>
    <row r="165" spans="1:35">
      <c r="B165" s="45"/>
      <c r="C165" s="45"/>
      <c r="D165" s="45"/>
      <c r="E165" s="134"/>
      <c r="F165" s="134"/>
      <c r="G165" s="134"/>
      <c r="H165" s="134"/>
      <c r="I165" s="145"/>
      <c r="J165" s="147"/>
      <c r="K165" s="147"/>
      <c r="L165" s="147"/>
      <c r="M165" s="147"/>
      <c r="N165" s="147"/>
      <c r="O165" s="146"/>
      <c r="P165" s="146"/>
      <c r="Q165" s="162"/>
      <c r="R165" s="149"/>
      <c r="S165" s="150"/>
      <c r="T165" s="151"/>
      <c r="U165" s="147"/>
      <c r="V165" s="147"/>
      <c r="W165" s="146"/>
      <c r="X165" s="146"/>
      <c r="Y165" s="145"/>
      <c r="Z165" s="146"/>
      <c r="AA165" s="146"/>
      <c r="AB165" s="146"/>
      <c r="AC165" s="146"/>
      <c r="AD165" s="146"/>
      <c r="AE165" s="146"/>
      <c r="AF165" s="146"/>
      <c r="AG165" s="162"/>
    </row>
    <row r="166" spans="1:35">
      <c r="B166" s="45"/>
      <c r="C166" s="45"/>
      <c r="D166" s="45"/>
      <c r="E166" s="134"/>
      <c r="F166" s="134"/>
      <c r="G166" s="134"/>
      <c r="H166" s="134"/>
      <c r="I166" s="145"/>
      <c r="J166" s="147"/>
      <c r="K166" s="147"/>
      <c r="L166" s="147"/>
      <c r="M166" s="147"/>
      <c r="N166" s="147"/>
      <c r="O166" s="146"/>
      <c r="P166" s="146"/>
      <c r="Q166" s="162"/>
      <c r="R166" s="149"/>
      <c r="S166" s="150"/>
      <c r="T166" s="151"/>
      <c r="U166" s="147"/>
      <c r="V166" s="147"/>
      <c r="W166" s="146"/>
      <c r="X166" s="146"/>
      <c r="Y166" s="145"/>
      <c r="Z166" s="146"/>
      <c r="AA166" s="146"/>
      <c r="AB166" s="146"/>
      <c r="AC166" s="146"/>
      <c r="AD166" s="146"/>
      <c r="AE166" s="146"/>
      <c r="AF166" s="146"/>
      <c r="AG166" s="162"/>
    </row>
    <row r="167" spans="1:35">
      <c r="B167" s="45"/>
      <c r="C167" s="45"/>
      <c r="D167" s="45"/>
      <c r="E167" s="134"/>
      <c r="F167" s="134"/>
      <c r="G167" s="134"/>
      <c r="H167" s="134"/>
      <c r="I167" s="145"/>
      <c r="J167" s="147"/>
      <c r="K167" s="147"/>
      <c r="L167" s="147"/>
      <c r="M167" s="147"/>
      <c r="N167" s="147"/>
      <c r="O167" s="146"/>
      <c r="P167" s="146"/>
      <c r="Q167" s="148"/>
      <c r="R167" s="149"/>
      <c r="S167" s="150"/>
      <c r="T167" s="151"/>
      <c r="U167" s="147"/>
      <c r="V167" s="147"/>
      <c r="W167" s="146"/>
      <c r="X167" s="146"/>
      <c r="Y167" s="145"/>
      <c r="Z167" s="146"/>
      <c r="AA167" s="146"/>
      <c r="AB167" s="146"/>
      <c r="AC167" s="146"/>
      <c r="AD167" s="146"/>
      <c r="AE167" s="146"/>
      <c r="AF167" s="146"/>
      <c r="AG167" s="148"/>
    </row>
    <row r="168" spans="1:35">
      <c r="B168" s="45"/>
      <c r="C168" s="45"/>
      <c r="D168" s="45"/>
      <c r="E168" s="134"/>
      <c r="F168" s="134"/>
      <c r="G168" s="134"/>
      <c r="H168" s="134"/>
      <c r="I168" s="145"/>
      <c r="J168" s="147"/>
      <c r="K168" s="147"/>
      <c r="L168" s="147"/>
      <c r="M168" s="147"/>
      <c r="N168" s="147"/>
      <c r="O168" s="146"/>
      <c r="P168" s="146"/>
      <c r="Q168" s="148"/>
      <c r="R168" s="149"/>
      <c r="S168" s="150"/>
      <c r="T168" s="151"/>
      <c r="U168" s="147"/>
      <c r="V168" s="147"/>
      <c r="W168" s="146"/>
      <c r="X168" s="146"/>
      <c r="Y168" s="145"/>
      <c r="Z168" s="146"/>
      <c r="AA168" s="146"/>
      <c r="AB168" s="146"/>
      <c r="AC168" s="146"/>
      <c r="AD168" s="146"/>
      <c r="AE168" s="146"/>
      <c r="AF168" s="146"/>
      <c r="AG168" s="148"/>
    </row>
    <row r="169" spans="1:35">
      <c r="B169" s="45"/>
      <c r="C169" s="45"/>
      <c r="D169" s="45"/>
      <c r="E169" s="134"/>
      <c r="F169" s="134"/>
      <c r="G169" s="134"/>
      <c r="H169" s="134"/>
      <c r="I169" s="145"/>
      <c r="J169" s="147"/>
      <c r="K169" s="147"/>
      <c r="L169" s="147"/>
      <c r="M169" s="147"/>
      <c r="N169" s="147"/>
      <c r="O169" s="146"/>
      <c r="P169" s="146"/>
      <c r="Q169" s="148"/>
      <c r="R169" s="149"/>
      <c r="S169" s="149"/>
      <c r="T169" s="146"/>
      <c r="U169" s="147"/>
      <c r="V169" s="147"/>
      <c r="W169" s="146"/>
      <c r="X169" s="146"/>
      <c r="Y169" s="145"/>
      <c r="Z169" s="146"/>
      <c r="AA169" s="146"/>
      <c r="AB169" s="146"/>
      <c r="AC169" s="146"/>
      <c r="AD169" s="146"/>
      <c r="AE169" s="146"/>
      <c r="AF169" s="146"/>
      <c r="AG169" s="148"/>
    </row>
    <row r="170" spans="1:35">
      <c r="B170" s="45"/>
      <c r="C170" s="45"/>
      <c r="D170" s="45"/>
      <c r="E170" s="46"/>
      <c r="F170" s="46"/>
      <c r="G170" s="46"/>
      <c r="H170" s="46"/>
      <c r="I170" s="152"/>
      <c r="J170" s="134"/>
      <c r="K170" s="134"/>
      <c r="L170" s="134"/>
      <c r="M170" s="134"/>
      <c r="N170" s="134"/>
      <c r="O170" s="153"/>
      <c r="P170" s="154"/>
      <c r="Q170" s="155"/>
      <c r="R170" s="149"/>
      <c r="S170" s="149"/>
      <c r="T170" s="146"/>
      <c r="U170" s="134"/>
      <c r="V170" s="134"/>
      <c r="W170" s="153"/>
      <c r="X170" s="154"/>
      <c r="Y170" s="145"/>
      <c r="Z170" s="146"/>
      <c r="AA170" s="146"/>
      <c r="AB170" s="146"/>
      <c r="AC170" s="146"/>
      <c r="AD170" s="146"/>
      <c r="AE170" s="146"/>
      <c r="AF170" s="146"/>
      <c r="AG170" s="155"/>
    </row>
    <row r="171" spans="1:35">
      <c r="B171" s="45"/>
      <c r="C171" s="45"/>
      <c r="D171" s="45"/>
      <c r="E171" s="46"/>
      <c r="F171" s="46"/>
      <c r="G171" s="46"/>
      <c r="H171" s="46"/>
      <c r="I171" s="152"/>
      <c r="J171" s="134"/>
      <c r="K171" s="134"/>
      <c r="L171" s="134"/>
      <c r="M171" s="134"/>
      <c r="N171" s="134"/>
      <c r="O171" s="153"/>
      <c r="P171" s="154"/>
      <c r="Q171" s="155"/>
      <c r="R171" s="149"/>
      <c r="S171" s="149"/>
      <c r="T171" s="146"/>
      <c r="U171" s="134"/>
      <c r="V171" s="134"/>
      <c r="W171" s="153"/>
      <c r="X171" s="154"/>
      <c r="Y171" s="145"/>
      <c r="Z171" s="146"/>
      <c r="AA171" s="146"/>
      <c r="AB171" s="146"/>
      <c r="AC171" s="146"/>
      <c r="AD171" s="146"/>
      <c r="AE171" s="146"/>
      <c r="AF171" s="146"/>
      <c r="AG171" s="155"/>
    </row>
    <row r="172" spans="1:35">
      <c r="B172" s="45"/>
      <c r="C172" s="45"/>
      <c r="D172" s="45"/>
      <c r="E172" s="46"/>
      <c r="F172" s="46"/>
      <c r="G172" s="46"/>
      <c r="H172" s="46"/>
      <c r="I172" s="152"/>
      <c r="J172" s="134"/>
      <c r="K172" s="134"/>
      <c r="L172" s="134"/>
      <c r="M172" s="134"/>
      <c r="N172" s="134"/>
      <c r="O172" s="153"/>
      <c r="P172" s="154"/>
      <c r="Q172" s="155"/>
      <c r="R172" s="149"/>
      <c r="S172" s="149"/>
      <c r="T172" s="146"/>
      <c r="U172" s="134"/>
      <c r="V172" s="134"/>
      <c r="W172" s="153"/>
      <c r="X172" s="154"/>
      <c r="Y172" s="145"/>
      <c r="Z172" s="146"/>
      <c r="AA172" s="146"/>
      <c r="AB172" s="146"/>
      <c r="AC172" s="146"/>
      <c r="AD172" s="146"/>
      <c r="AE172" s="146"/>
      <c r="AF172" s="146"/>
      <c r="AG172" s="155"/>
    </row>
    <row r="173" spans="1:35">
      <c r="B173" s="45"/>
      <c r="C173" s="45"/>
      <c r="D173" s="45"/>
      <c r="E173" s="46"/>
      <c r="F173" s="46"/>
      <c r="G173" s="46"/>
      <c r="H173" s="46"/>
      <c r="I173" s="152"/>
      <c r="J173" s="134"/>
      <c r="K173" s="134"/>
      <c r="L173" s="134"/>
      <c r="M173" s="134"/>
      <c r="N173" s="134"/>
      <c r="O173" s="153"/>
      <c r="P173" s="154"/>
      <c r="Q173" s="155"/>
      <c r="R173" s="149"/>
      <c r="S173" s="149"/>
      <c r="T173" s="146"/>
      <c r="U173" s="134"/>
      <c r="V173" s="134"/>
      <c r="W173" s="153"/>
      <c r="X173" s="154"/>
      <c r="Y173" s="145"/>
      <c r="Z173" s="146"/>
      <c r="AA173" s="146"/>
      <c r="AB173" s="146"/>
      <c r="AC173" s="146"/>
      <c r="AD173" s="146"/>
      <c r="AE173" s="146"/>
      <c r="AF173" s="146"/>
      <c r="AG173" s="155"/>
    </row>
    <row r="174" spans="1:35">
      <c r="B174" s="45"/>
      <c r="C174" s="45"/>
      <c r="D174" s="45"/>
      <c r="E174" s="46"/>
      <c r="F174" s="46"/>
      <c r="G174" s="46"/>
      <c r="H174" s="46"/>
      <c r="I174" s="152"/>
      <c r="J174" s="134"/>
      <c r="K174" s="134"/>
      <c r="L174" s="134"/>
      <c r="M174" s="134"/>
      <c r="N174" s="134"/>
      <c r="O174" s="153"/>
      <c r="P174" s="154"/>
      <c r="Q174" s="155"/>
      <c r="R174" s="149"/>
      <c r="S174" s="149"/>
      <c r="T174" s="146"/>
      <c r="U174" s="134"/>
      <c r="V174" s="134"/>
      <c r="W174" s="153"/>
      <c r="X174" s="154"/>
      <c r="Y174" s="145"/>
      <c r="Z174" s="146"/>
      <c r="AA174" s="146"/>
      <c r="AB174" s="146"/>
      <c r="AC174" s="146"/>
      <c r="AD174" s="146"/>
      <c r="AE174" s="146"/>
      <c r="AF174" s="146"/>
      <c r="AG174" s="155"/>
    </row>
    <row r="175" spans="1:35">
      <c r="B175" s="45"/>
      <c r="C175" s="45"/>
      <c r="D175" s="45"/>
      <c r="E175" s="46"/>
      <c r="F175" s="46"/>
      <c r="G175" s="46"/>
      <c r="H175" s="46"/>
      <c r="I175" s="152"/>
      <c r="J175" s="134"/>
      <c r="K175" s="134"/>
      <c r="L175" s="134"/>
      <c r="M175" s="134"/>
      <c r="N175" s="134"/>
      <c r="O175" s="153"/>
      <c r="P175" s="154"/>
      <c r="Q175" s="155"/>
      <c r="R175" s="149"/>
      <c r="S175" s="149"/>
      <c r="T175" s="146"/>
      <c r="U175" s="134"/>
      <c r="V175" s="134"/>
      <c r="W175" s="153"/>
      <c r="X175" s="154"/>
      <c r="Y175" s="145"/>
      <c r="Z175" s="146"/>
      <c r="AA175" s="146"/>
      <c r="AB175" s="146"/>
      <c r="AC175" s="146"/>
      <c r="AD175" s="146"/>
      <c r="AE175" s="146"/>
      <c r="AF175" s="146"/>
      <c r="AG175" s="155"/>
    </row>
    <row r="176" spans="1:35">
      <c r="B176" s="45"/>
      <c r="C176" s="45"/>
      <c r="D176" s="45"/>
      <c r="E176" s="46"/>
      <c r="F176" s="46"/>
      <c r="G176" s="46"/>
      <c r="H176" s="46"/>
      <c r="I176" s="152"/>
      <c r="J176" s="134"/>
      <c r="K176" s="134"/>
      <c r="L176" s="134"/>
      <c r="M176" s="134"/>
      <c r="N176" s="134"/>
      <c r="O176" s="153"/>
      <c r="P176" s="154"/>
      <c r="Q176" s="155"/>
      <c r="R176" s="149"/>
      <c r="S176" s="149"/>
      <c r="T176" s="146"/>
      <c r="U176" s="134"/>
      <c r="V176" s="134"/>
      <c r="W176" s="153"/>
      <c r="X176" s="154"/>
      <c r="Y176" s="145"/>
      <c r="Z176" s="146"/>
      <c r="AA176" s="146"/>
      <c r="AB176" s="146"/>
      <c r="AC176" s="146"/>
      <c r="AD176" s="146"/>
      <c r="AE176" s="146"/>
      <c r="AF176" s="146"/>
      <c r="AG176" s="155"/>
    </row>
    <row r="177" spans="2:33">
      <c r="B177" s="45"/>
      <c r="C177" s="45"/>
      <c r="D177" s="45"/>
      <c r="E177" s="46"/>
      <c r="F177" s="46"/>
      <c r="G177" s="46"/>
      <c r="H177" s="46"/>
      <c r="I177" s="152"/>
      <c r="J177" s="134"/>
      <c r="K177" s="134"/>
      <c r="L177" s="134"/>
      <c r="M177" s="134"/>
      <c r="N177" s="134"/>
      <c r="O177" s="153"/>
      <c r="P177" s="154"/>
      <c r="Q177" s="155"/>
      <c r="R177" s="149"/>
      <c r="S177" s="149"/>
      <c r="T177" s="146"/>
      <c r="U177" s="134"/>
      <c r="V177" s="134"/>
      <c r="W177" s="153"/>
      <c r="X177" s="154"/>
      <c r="Y177" s="145"/>
      <c r="Z177" s="146"/>
      <c r="AA177" s="146"/>
      <c r="AB177" s="146"/>
      <c r="AC177" s="146"/>
      <c r="AD177" s="146"/>
      <c r="AE177" s="146"/>
      <c r="AF177" s="146"/>
      <c r="AG177" s="155"/>
    </row>
    <row r="178" spans="2:33">
      <c r="B178" s="45"/>
      <c r="C178" s="45"/>
      <c r="D178" s="45"/>
      <c r="E178" s="46"/>
      <c r="F178" s="46"/>
      <c r="G178" s="46"/>
      <c r="H178" s="46"/>
      <c r="I178" s="152"/>
      <c r="J178" s="134"/>
      <c r="K178" s="134"/>
      <c r="L178" s="134"/>
      <c r="M178" s="134"/>
      <c r="N178" s="134"/>
      <c r="O178" s="153"/>
      <c r="P178" s="154"/>
      <c r="Q178" s="155"/>
      <c r="R178" s="149"/>
      <c r="S178" s="149"/>
      <c r="T178" s="146"/>
      <c r="U178" s="134"/>
      <c r="V178" s="134"/>
      <c r="W178" s="153"/>
      <c r="X178" s="154"/>
      <c r="Y178" s="145"/>
      <c r="Z178" s="146"/>
      <c r="AA178" s="146"/>
      <c r="AB178" s="146"/>
      <c r="AC178" s="146"/>
      <c r="AD178" s="146"/>
      <c r="AE178" s="146"/>
      <c r="AF178" s="146"/>
      <c r="AG178" s="155"/>
    </row>
    <row r="179" spans="2:33">
      <c r="B179" s="45"/>
      <c r="C179" s="45"/>
      <c r="D179" s="45"/>
      <c r="E179" s="46"/>
      <c r="F179" s="46"/>
      <c r="G179" s="46"/>
      <c r="H179" s="46"/>
      <c r="I179" s="152"/>
      <c r="J179" s="134"/>
      <c r="K179" s="134"/>
      <c r="L179" s="134"/>
      <c r="M179" s="134"/>
      <c r="N179" s="134"/>
      <c r="O179" s="153"/>
      <c r="P179" s="154"/>
      <c r="Q179" s="155"/>
      <c r="R179" s="149"/>
      <c r="S179" s="149"/>
      <c r="T179" s="146"/>
      <c r="U179" s="134"/>
      <c r="V179" s="134"/>
      <c r="W179" s="153"/>
      <c r="X179" s="154"/>
      <c r="Y179" s="145"/>
      <c r="Z179" s="146"/>
      <c r="AA179" s="146"/>
      <c r="AB179" s="146"/>
      <c r="AC179" s="146"/>
      <c r="AD179" s="146"/>
      <c r="AE179" s="146"/>
      <c r="AF179" s="146"/>
      <c r="AG179" s="155"/>
    </row>
    <row r="180" spans="2:33">
      <c r="B180" s="45"/>
      <c r="C180" s="45"/>
      <c r="D180" s="45"/>
      <c r="E180" s="46"/>
      <c r="F180" s="46"/>
      <c r="G180" s="46"/>
      <c r="H180" s="46"/>
      <c r="I180" s="152"/>
      <c r="J180" s="134"/>
      <c r="K180" s="134"/>
      <c r="L180" s="134"/>
      <c r="M180" s="134"/>
      <c r="N180" s="134"/>
      <c r="O180" s="153"/>
      <c r="P180" s="154"/>
      <c r="Q180" s="155"/>
      <c r="R180" s="149"/>
      <c r="S180" s="149"/>
      <c r="T180" s="146"/>
      <c r="U180" s="134"/>
      <c r="V180" s="134"/>
      <c r="W180" s="153"/>
      <c r="X180" s="154"/>
      <c r="Y180" s="145"/>
      <c r="Z180" s="146"/>
      <c r="AA180" s="146"/>
      <c r="AB180" s="146"/>
      <c r="AC180" s="146"/>
      <c r="AD180" s="146"/>
      <c r="AE180" s="146"/>
      <c r="AF180" s="146"/>
      <c r="AG180" s="155"/>
    </row>
    <row r="181" spans="2:33">
      <c r="B181" s="45"/>
      <c r="C181" s="45"/>
      <c r="D181" s="45"/>
      <c r="E181" s="46"/>
      <c r="F181" s="46"/>
      <c r="G181" s="46"/>
      <c r="H181" s="46"/>
      <c r="I181" s="152"/>
      <c r="J181" s="134"/>
      <c r="K181" s="134"/>
      <c r="L181" s="134"/>
      <c r="M181" s="134"/>
      <c r="N181" s="134"/>
      <c r="O181" s="153"/>
      <c r="P181" s="154"/>
      <c r="Q181" s="155"/>
      <c r="R181" s="149"/>
      <c r="S181" s="149"/>
      <c r="T181" s="146"/>
      <c r="U181" s="134"/>
      <c r="V181" s="134"/>
      <c r="W181" s="153"/>
      <c r="X181" s="154"/>
      <c r="Y181" s="145"/>
      <c r="Z181" s="146"/>
      <c r="AA181" s="146"/>
      <c r="AB181" s="146"/>
      <c r="AC181" s="146"/>
      <c r="AD181" s="146"/>
      <c r="AE181" s="146"/>
      <c r="AF181" s="146"/>
      <c r="AG181" s="155"/>
    </row>
    <row r="182" spans="2:33">
      <c r="B182" s="45"/>
      <c r="C182" s="45"/>
      <c r="D182" s="45"/>
      <c r="E182" s="46"/>
      <c r="F182" s="46"/>
      <c r="G182" s="46"/>
      <c r="H182" s="46"/>
      <c r="I182" s="152"/>
      <c r="J182" s="134"/>
      <c r="K182" s="134"/>
      <c r="L182" s="134"/>
      <c r="M182" s="134"/>
      <c r="N182" s="134"/>
      <c r="O182" s="153"/>
      <c r="P182" s="154"/>
      <c r="Q182" s="155"/>
      <c r="R182" s="149"/>
      <c r="S182" s="149"/>
      <c r="T182" s="146"/>
      <c r="U182" s="134"/>
      <c r="V182" s="134"/>
      <c r="W182" s="153"/>
      <c r="X182" s="154"/>
      <c r="Y182" s="145"/>
      <c r="Z182" s="146"/>
      <c r="AA182" s="146"/>
      <c r="AB182" s="146"/>
      <c r="AC182" s="146"/>
      <c r="AD182" s="146"/>
      <c r="AE182" s="146"/>
      <c r="AF182" s="146"/>
      <c r="AG182" s="155"/>
    </row>
    <row r="183" spans="2:33">
      <c r="B183" s="45"/>
      <c r="C183" s="45"/>
      <c r="D183" s="45"/>
      <c r="E183" s="46"/>
      <c r="F183" s="46"/>
      <c r="G183" s="46"/>
      <c r="H183" s="46"/>
      <c r="I183" s="152"/>
      <c r="J183" s="134"/>
      <c r="K183" s="134"/>
      <c r="L183" s="134"/>
      <c r="M183" s="134"/>
      <c r="N183" s="134"/>
      <c r="O183" s="153"/>
      <c r="P183" s="154"/>
      <c r="Q183" s="155"/>
      <c r="R183" s="149"/>
      <c r="S183" s="149"/>
      <c r="T183" s="146"/>
      <c r="U183" s="134"/>
      <c r="V183" s="134"/>
      <c r="W183" s="153"/>
      <c r="X183" s="154"/>
      <c r="Y183" s="145"/>
      <c r="Z183" s="146"/>
      <c r="AA183" s="146"/>
      <c r="AB183" s="146"/>
      <c r="AC183" s="146"/>
      <c r="AD183" s="146"/>
      <c r="AE183" s="146"/>
      <c r="AF183" s="146"/>
      <c r="AG183" s="155"/>
    </row>
    <row r="184" spans="2:33">
      <c r="B184" s="45"/>
      <c r="C184" s="45"/>
      <c r="D184" s="45"/>
      <c r="E184" s="46"/>
      <c r="F184" s="46"/>
      <c r="G184" s="46"/>
      <c r="H184" s="46"/>
      <c r="I184" s="152"/>
      <c r="J184" s="134"/>
      <c r="K184" s="134"/>
      <c r="L184" s="134"/>
      <c r="M184" s="134"/>
      <c r="N184" s="134"/>
      <c r="O184" s="153"/>
      <c r="P184" s="154"/>
      <c r="Q184" s="155"/>
      <c r="R184" s="149"/>
      <c r="S184" s="149"/>
      <c r="T184" s="146"/>
      <c r="U184" s="134"/>
      <c r="V184" s="134"/>
      <c r="W184" s="153"/>
      <c r="X184" s="154"/>
      <c r="Y184" s="145"/>
      <c r="Z184" s="146"/>
      <c r="AA184" s="146"/>
      <c r="AB184" s="146"/>
      <c r="AC184" s="146"/>
      <c r="AD184" s="146"/>
      <c r="AE184" s="146"/>
      <c r="AF184" s="146"/>
      <c r="AG184" s="155"/>
    </row>
    <row r="185" spans="2:33">
      <c r="B185" s="45"/>
      <c r="C185" s="45"/>
      <c r="D185" s="45"/>
      <c r="E185" s="46"/>
      <c r="F185" s="46"/>
      <c r="G185" s="46"/>
      <c r="H185" s="46"/>
      <c r="I185" s="152"/>
      <c r="J185" s="134"/>
      <c r="K185" s="134"/>
      <c r="L185" s="134"/>
      <c r="M185" s="134"/>
      <c r="N185" s="134"/>
      <c r="O185" s="153"/>
      <c r="P185" s="154"/>
      <c r="Q185" s="155"/>
      <c r="R185" s="149"/>
      <c r="S185" s="149"/>
      <c r="T185" s="146"/>
      <c r="U185" s="134"/>
      <c r="V185" s="134"/>
      <c r="W185" s="153"/>
      <c r="X185" s="154"/>
      <c r="Y185" s="145"/>
      <c r="Z185" s="146"/>
      <c r="AA185" s="146"/>
      <c r="AB185" s="146"/>
      <c r="AC185" s="146"/>
      <c r="AD185" s="146"/>
      <c r="AE185" s="146"/>
      <c r="AF185" s="146"/>
      <c r="AG185" s="155"/>
    </row>
    <row r="186" spans="2:33">
      <c r="B186" s="45"/>
      <c r="C186" s="45"/>
      <c r="D186" s="45"/>
      <c r="E186" s="46"/>
      <c r="F186" s="46"/>
      <c r="G186" s="46"/>
      <c r="H186" s="46"/>
      <c r="I186" s="152"/>
      <c r="J186" s="134"/>
      <c r="K186" s="134"/>
      <c r="L186" s="134"/>
      <c r="M186" s="134"/>
      <c r="N186" s="134"/>
      <c r="O186" s="153"/>
      <c r="P186" s="154"/>
      <c r="Q186" s="155"/>
      <c r="R186" s="149"/>
      <c r="S186" s="149"/>
      <c r="T186" s="146"/>
      <c r="U186" s="134"/>
      <c r="V186" s="134"/>
      <c r="W186" s="153"/>
      <c r="X186" s="154"/>
      <c r="Y186" s="145"/>
      <c r="Z186" s="146"/>
      <c r="AA186" s="146"/>
      <c r="AB186" s="146"/>
      <c r="AC186" s="146"/>
      <c r="AD186" s="146"/>
      <c r="AE186" s="146"/>
      <c r="AF186" s="146"/>
      <c r="AG186" s="155"/>
    </row>
    <row r="187" spans="2:33">
      <c r="B187" s="45"/>
      <c r="C187" s="45"/>
      <c r="D187" s="45"/>
      <c r="E187" s="46"/>
      <c r="F187" s="46"/>
      <c r="G187" s="46"/>
      <c r="H187" s="46"/>
      <c r="I187" s="152"/>
      <c r="J187" s="134"/>
      <c r="K187" s="134"/>
      <c r="L187" s="134"/>
      <c r="M187" s="134"/>
      <c r="N187" s="134"/>
      <c r="O187" s="153"/>
      <c r="P187" s="154"/>
      <c r="Q187" s="155"/>
      <c r="R187" s="149"/>
      <c r="S187" s="149"/>
      <c r="T187" s="146"/>
      <c r="U187" s="134"/>
      <c r="V187" s="134"/>
      <c r="W187" s="153"/>
      <c r="X187" s="154"/>
      <c r="Y187" s="145"/>
      <c r="Z187" s="146"/>
      <c r="AA187" s="146"/>
      <c r="AB187" s="146"/>
      <c r="AC187" s="146"/>
      <c r="AD187" s="146"/>
      <c r="AE187" s="146"/>
      <c r="AF187" s="146"/>
      <c r="AG187" s="155"/>
    </row>
    <row r="188" spans="2:33">
      <c r="B188" s="45"/>
      <c r="C188" s="45"/>
      <c r="D188" s="45"/>
      <c r="E188" s="46"/>
      <c r="F188" s="46"/>
      <c r="G188" s="46"/>
      <c r="H188" s="46"/>
      <c r="I188" s="152"/>
      <c r="J188" s="134"/>
      <c r="K188" s="134"/>
      <c r="L188" s="134"/>
      <c r="M188" s="134"/>
      <c r="N188" s="134"/>
      <c r="O188" s="153"/>
      <c r="P188" s="154"/>
      <c r="Q188" s="155"/>
      <c r="R188" s="149"/>
      <c r="S188" s="149"/>
      <c r="T188" s="146"/>
      <c r="U188" s="134"/>
      <c r="V188" s="134"/>
      <c r="W188" s="153"/>
      <c r="X188" s="154"/>
      <c r="Y188" s="145"/>
      <c r="Z188" s="146"/>
      <c r="AA188" s="146"/>
      <c r="AB188" s="146"/>
      <c r="AC188" s="146"/>
      <c r="AD188" s="146"/>
      <c r="AE188" s="146"/>
      <c r="AF188" s="146"/>
      <c r="AG188" s="155"/>
    </row>
    <row r="189" spans="2:33">
      <c r="B189" s="45"/>
      <c r="C189" s="45"/>
      <c r="D189" s="45"/>
      <c r="E189" s="46"/>
      <c r="F189" s="46"/>
      <c r="G189" s="46"/>
      <c r="H189" s="46"/>
      <c r="I189" s="152"/>
      <c r="J189" s="134"/>
      <c r="K189" s="134"/>
      <c r="L189" s="134"/>
      <c r="M189" s="134"/>
      <c r="N189" s="134"/>
      <c r="O189" s="153"/>
      <c r="P189" s="154"/>
      <c r="Q189" s="155"/>
      <c r="R189" s="149"/>
      <c r="S189" s="149"/>
      <c r="T189" s="146"/>
      <c r="U189" s="134"/>
      <c r="V189" s="134"/>
      <c r="W189" s="153"/>
      <c r="X189" s="154"/>
      <c r="Y189" s="145"/>
      <c r="Z189" s="146"/>
      <c r="AA189" s="146"/>
      <c r="AB189" s="146"/>
      <c r="AC189" s="146"/>
      <c r="AD189" s="146"/>
      <c r="AE189" s="146"/>
      <c r="AF189" s="146"/>
      <c r="AG189" s="155"/>
    </row>
    <row r="190" spans="2:33">
      <c r="B190" s="45"/>
      <c r="C190" s="45"/>
      <c r="D190" s="45"/>
      <c r="E190" s="46"/>
      <c r="F190" s="46"/>
      <c r="G190" s="46"/>
      <c r="H190" s="46"/>
      <c r="I190" s="152"/>
      <c r="J190" s="134"/>
      <c r="K190" s="134"/>
      <c r="L190" s="134"/>
      <c r="M190" s="134"/>
      <c r="N190" s="134"/>
      <c r="O190" s="153"/>
      <c r="P190" s="154"/>
      <c r="Q190" s="155"/>
      <c r="R190" s="149"/>
      <c r="S190" s="149"/>
      <c r="T190" s="146"/>
      <c r="U190" s="134"/>
      <c r="V190" s="134"/>
      <c r="W190" s="153"/>
      <c r="X190" s="154"/>
      <c r="Y190" s="145"/>
      <c r="Z190" s="146"/>
      <c r="AA190" s="146"/>
      <c r="AB190" s="146"/>
      <c r="AC190" s="146"/>
      <c r="AD190" s="146"/>
      <c r="AE190" s="146"/>
      <c r="AF190" s="146"/>
      <c r="AG190" s="155"/>
    </row>
    <row r="191" spans="2:33">
      <c r="B191" s="45"/>
      <c r="C191" s="45"/>
      <c r="D191" s="45"/>
      <c r="E191" s="46"/>
      <c r="F191" s="46"/>
      <c r="G191" s="46"/>
      <c r="H191" s="46"/>
      <c r="I191" s="152"/>
      <c r="J191" s="134"/>
      <c r="K191" s="134"/>
      <c r="L191" s="134"/>
      <c r="M191" s="134"/>
      <c r="N191" s="134"/>
      <c r="O191" s="153"/>
      <c r="P191" s="154"/>
      <c r="Q191" s="155"/>
      <c r="R191" s="149"/>
      <c r="S191" s="149"/>
      <c r="T191" s="146"/>
      <c r="U191" s="134"/>
      <c r="V191" s="134"/>
      <c r="W191" s="153"/>
      <c r="X191" s="154"/>
      <c r="Y191" s="145"/>
      <c r="Z191" s="146"/>
      <c r="AA191" s="146"/>
      <c r="AB191" s="146"/>
      <c r="AC191" s="146"/>
      <c r="AD191" s="146"/>
      <c r="AE191" s="146"/>
      <c r="AF191" s="146"/>
      <c r="AG191" s="155"/>
    </row>
    <row r="192" spans="2:33">
      <c r="B192" s="45"/>
      <c r="C192" s="45"/>
      <c r="D192" s="45"/>
      <c r="E192" s="46"/>
      <c r="F192" s="46"/>
      <c r="G192" s="46"/>
      <c r="H192" s="46"/>
      <c r="I192" s="152"/>
      <c r="J192" s="134"/>
      <c r="K192" s="134"/>
      <c r="L192" s="134"/>
      <c r="M192" s="134"/>
      <c r="N192" s="134"/>
      <c r="O192" s="153"/>
      <c r="P192" s="154"/>
      <c r="Q192" s="155"/>
      <c r="R192" s="149"/>
      <c r="S192" s="149"/>
      <c r="T192" s="146"/>
      <c r="U192" s="134"/>
      <c r="V192" s="134"/>
      <c r="W192" s="153"/>
      <c r="X192" s="154"/>
      <c r="Y192" s="145"/>
      <c r="Z192" s="146"/>
      <c r="AA192" s="146"/>
      <c r="AB192" s="146"/>
      <c r="AC192" s="146"/>
      <c r="AD192" s="146"/>
      <c r="AE192" s="146"/>
      <c r="AF192" s="146"/>
      <c r="AG192" s="155"/>
    </row>
    <row r="193" spans="2:33">
      <c r="B193" s="45"/>
      <c r="C193" s="45"/>
      <c r="D193" s="45"/>
      <c r="E193" s="46"/>
      <c r="F193" s="46"/>
      <c r="G193" s="46"/>
      <c r="H193" s="46"/>
      <c r="I193" s="152"/>
      <c r="J193" s="134"/>
      <c r="K193" s="134"/>
      <c r="L193" s="134"/>
      <c r="M193" s="134"/>
      <c r="N193" s="134"/>
      <c r="O193" s="153"/>
      <c r="P193" s="154"/>
      <c r="Q193" s="155"/>
      <c r="R193" s="149"/>
      <c r="S193" s="149"/>
      <c r="T193" s="146"/>
      <c r="U193" s="134"/>
      <c r="V193" s="134"/>
      <c r="W193" s="153"/>
      <c r="X193" s="154"/>
      <c r="Y193" s="145"/>
      <c r="Z193" s="146"/>
      <c r="AA193" s="146"/>
      <c r="AB193" s="146"/>
      <c r="AC193" s="146"/>
      <c r="AD193" s="146"/>
      <c r="AE193" s="146"/>
      <c r="AF193" s="146"/>
      <c r="AG193" s="155"/>
    </row>
    <row r="194" spans="2:33">
      <c r="B194" s="45"/>
      <c r="C194" s="45"/>
      <c r="D194" s="45"/>
      <c r="E194" s="46"/>
      <c r="F194" s="46"/>
      <c r="G194" s="46"/>
      <c r="H194" s="46"/>
      <c r="I194" s="152"/>
      <c r="J194" s="134"/>
      <c r="K194" s="134"/>
      <c r="L194" s="134"/>
      <c r="M194" s="134"/>
      <c r="N194" s="134"/>
      <c r="O194" s="153"/>
      <c r="P194" s="154"/>
      <c r="Q194" s="155"/>
      <c r="R194" s="149"/>
      <c r="S194" s="149"/>
      <c r="T194" s="146"/>
      <c r="U194" s="134"/>
      <c r="V194" s="134"/>
      <c r="W194" s="153"/>
      <c r="X194" s="154"/>
      <c r="Y194" s="145"/>
      <c r="Z194" s="146"/>
      <c r="AA194" s="146"/>
      <c r="AB194" s="146"/>
      <c r="AC194" s="146"/>
      <c r="AD194" s="146"/>
      <c r="AE194" s="146"/>
      <c r="AF194" s="146"/>
      <c r="AG194" s="155"/>
    </row>
    <row r="195" spans="2:33">
      <c r="B195" s="45"/>
      <c r="C195" s="45"/>
      <c r="D195" s="45"/>
      <c r="E195" s="46"/>
      <c r="F195" s="46"/>
      <c r="G195" s="46"/>
      <c r="H195" s="46"/>
      <c r="I195" s="152"/>
      <c r="J195" s="134"/>
      <c r="K195" s="134"/>
      <c r="L195" s="134"/>
      <c r="M195" s="134"/>
      <c r="N195" s="134"/>
      <c r="O195" s="153"/>
      <c r="P195" s="154"/>
      <c r="Q195" s="155"/>
      <c r="R195" s="149"/>
      <c r="S195" s="149"/>
      <c r="T195" s="146"/>
      <c r="U195" s="134"/>
      <c r="V195" s="134"/>
      <c r="W195" s="153"/>
      <c r="X195" s="154"/>
      <c r="Y195" s="145"/>
      <c r="Z195" s="146"/>
      <c r="AA195" s="146"/>
      <c r="AB195" s="146"/>
      <c r="AC195" s="146"/>
      <c r="AD195" s="146"/>
      <c r="AE195" s="146"/>
      <c r="AF195" s="146"/>
      <c r="AG195" s="155"/>
    </row>
    <row r="196" spans="2:33">
      <c r="B196" s="45"/>
      <c r="C196" s="45"/>
      <c r="D196" s="45"/>
      <c r="E196" s="46"/>
      <c r="F196" s="46"/>
      <c r="G196" s="46"/>
      <c r="H196" s="46"/>
      <c r="I196" s="152"/>
      <c r="J196" s="134"/>
      <c r="K196" s="134"/>
      <c r="L196" s="134"/>
      <c r="M196" s="134"/>
      <c r="N196" s="134"/>
      <c r="O196" s="153"/>
      <c r="P196" s="154"/>
      <c r="Q196" s="155"/>
      <c r="R196" s="149"/>
      <c r="S196" s="149"/>
      <c r="T196" s="146"/>
      <c r="U196" s="134"/>
      <c r="V196" s="134"/>
      <c r="W196" s="153"/>
      <c r="X196" s="154"/>
      <c r="Y196" s="145"/>
      <c r="Z196" s="146"/>
      <c r="AA196" s="146"/>
      <c r="AB196" s="146"/>
      <c r="AC196" s="146"/>
      <c r="AD196" s="146"/>
      <c r="AE196" s="146"/>
      <c r="AF196" s="146"/>
      <c r="AG196" s="155"/>
    </row>
    <row r="197" spans="2:33">
      <c r="B197" s="45"/>
      <c r="C197" s="45"/>
      <c r="D197" s="45"/>
      <c r="E197" s="46"/>
      <c r="F197" s="46"/>
      <c r="G197" s="46"/>
      <c r="H197" s="46"/>
      <c r="I197" s="152"/>
      <c r="J197" s="134"/>
      <c r="K197" s="134"/>
      <c r="L197" s="134"/>
      <c r="M197" s="134"/>
      <c r="N197" s="134"/>
      <c r="O197" s="153"/>
      <c r="P197" s="154"/>
      <c r="Q197" s="155"/>
      <c r="R197" s="149"/>
      <c r="S197" s="149"/>
      <c r="T197" s="146"/>
      <c r="U197" s="134"/>
      <c r="V197" s="134"/>
      <c r="W197" s="153"/>
      <c r="X197" s="154"/>
      <c r="Y197" s="145"/>
      <c r="Z197" s="146"/>
      <c r="AA197" s="146"/>
      <c r="AB197" s="146"/>
      <c r="AC197" s="146"/>
      <c r="AD197" s="146"/>
      <c r="AE197" s="146"/>
      <c r="AF197" s="146"/>
      <c r="AG197" s="155"/>
    </row>
    <row r="198" spans="2:33">
      <c r="I198" s="152"/>
      <c r="J198" s="134"/>
      <c r="K198" s="134"/>
      <c r="L198" s="134"/>
      <c r="M198" s="134"/>
      <c r="N198" s="134"/>
      <c r="O198" s="153"/>
      <c r="P198" s="154"/>
      <c r="Q198" s="155"/>
      <c r="R198" s="149"/>
      <c r="S198" s="149"/>
      <c r="T198" s="146"/>
      <c r="U198" s="134"/>
      <c r="V198" s="134"/>
      <c r="W198" s="153"/>
      <c r="X198" s="154"/>
      <c r="Y198" s="145"/>
      <c r="Z198" s="146"/>
      <c r="AA198" s="146"/>
      <c r="AB198" s="146"/>
      <c r="AC198" s="146"/>
      <c r="AD198" s="146"/>
      <c r="AE198" s="146"/>
      <c r="AF198" s="146"/>
      <c r="AG198" s="155"/>
    </row>
    <row r="199" spans="2:33">
      <c r="I199" s="152"/>
      <c r="J199" s="134"/>
      <c r="K199" s="134"/>
      <c r="L199" s="134"/>
      <c r="M199" s="134"/>
      <c r="N199" s="134"/>
      <c r="O199" s="153"/>
      <c r="P199" s="154"/>
      <c r="Q199" s="155"/>
      <c r="R199" s="149"/>
      <c r="S199" s="149"/>
      <c r="T199" s="146"/>
      <c r="U199" s="134"/>
      <c r="V199" s="134"/>
      <c r="W199" s="153"/>
      <c r="X199" s="154"/>
      <c r="Y199" s="145"/>
      <c r="Z199" s="146"/>
      <c r="AA199" s="146"/>
      <c r="AB199" s="146"/>
      <c r="AC199" s="146"/>
      <c r="AD199" s="146"/>
      <c r="AE199" s="146"/>
      <c r="AF199" s="146"/>
      <c r="AG199" s="155"/>
    </row>
    <row r="200" spans="2:33">
      <c r="I200" s="152"/>
      <c r="J200" s="134"/>
      <c r="K200" s="134"/>
      <c r="L200" s="134"/>
      <c r="M200" s="134"/>
      <c r="N200" s="134"/>
      <c r="O200" s="153"/>
      <c r="P200" s="154"/>
      <c r="Q200" s="155"/>
      <c r="R200" s="149"/>
      <c r="S200" s="149"/>
      <c r="T200" s="146"/>
      <c r="U200" s="134"/>
      <c r="V200" s="134"/>
      <c r="W200" s="153"/>
      <c r="X200" s="154"/>
      <c r="Y200" s="145"/>
      <c r="Z200" s="146"/>
      <c r="AA200" s="146"/>
      <c r="AB200" s="146"/>
      <c r="AC200" s="146"/>
      <c r="AD200" s="146"/>
      <c r="AE200" s="146"/>
      <c r="AF200" s="146"/>
      <c r="AG200" s="155"/>
    </row>
    <row r="201" spans="2:33">
      <c r="I201" s="152"/>
      <c r="J201" s="134"/>
      <c r="K201" s="134"/>
      <c r="L201" s="134"/>
      <c r="M201" s="134"/>
      <c r="N201" s="134"/>
      <c r="O201" s="153"/>
      <c r="P201" s="154"/>
      <c r="Q201" s="155"/>
      <c r="R201" s="149"/>
      <c r="S201" s="149"/>
      <c r="T201" s="146"/>
      <c r="U201" s="134"/>
      <c r="V201" s="134"/>
      <c r="W201" s="153"/>
      <c r="X201" s="154"/>
      <c r="Y201" s="145"/>
      <c r="Z201" s="146"/>
      <c r="AA201" s="146"/>
      <c r="AB201" s="146"/>
      <c r="AC201" s="146"/>
      <c r="AD201" s="146"/>
      <c r="AE201" s="146"/>
      <c r="AF201" s="146"/>
      <c r="AG201" s="155"/>
    </row>
    <row r="202" spans="2:33">
      <c r="I202" s="152"/>
      <c r="J202" s="134"/>
      <c r="K202" s="134"/>
      <c r="L202" s="134"/>
      <c r="M202" s="134"/>
      <c r="N202" s="134"/>
      <c r="O202" s="153"/>
      <c r="P202" s="154"/>
      <c r="Q202" s="155"/>
      <c r="R202" s="149"/>
      <c r="S202" s="149"/>
      <c r="T202" s="146"/>
      <c r="U202" s="134"/>
      <c r="V202" s="134"/>
      <c r="W202" s="153"/>
      <c r="X202" s="154"/>
      <c r="Y202" s="145"/>
      <c r="Z202" s="146"/>
      <c r="AA202" s="146"/>
      <c r="AB202" s="146"/>
      <c r="AC202" s="146"/>
      <c r="AD202" s="146"/>
      <c r="AE202" s="146"/>
      <c r="AF202" s="146"/>
      <c r="AG202" s="155"/>
    </row>
    <row r="203" spans="2:33">
      <c r="I203" s="152"/>
      <c r="J203" s="134"/>
      <c r="K203" s="134"/>
      <c r="L203" s="134"/>
      <c r="M203" s="134"/>
      <c r="N203" s="134"/>
      <c r="O203" s="153"/>
      <c r="P203" s="154"/>
      <c r="Q203" s="155"/>
      <c r="R203" s="149"/>
      <c r="S203" s="149"/>
      <c r="T203" s="146"/>
      <c r="U203" s="134"/>
      <c r="V203" s="134"/>
      <c r="W203" s="153"/>
      <c r="X203" s="154"/>
      <c r="Y203" s="145"/>
      <c r="Z203" s="146"/>
      <c r="AA203" s="146"/>
      <c r="AB203" s="146"/>
      <c r="AC203" s="146"/>
      <c r="AD203" s="146"/>
      <c r="AE203" s="146"/>
      <c r="AF203" s="146"/>
      <c r="AG203" s="155"/>
    </row>
    <row r="204" spans="2:33">
      <c r="I204" s="152"/>
      <c r="J204" s="134"/>
      <c r="K204" s="134"/>
      <c r="L204" s="134"/>
      <c r="M204" s="134"/>
      <c r="N204" s="134"/>
      <c r="O204" s="153"/>
      <c r="P204" s="154"/>
      <c r="Q204" s="155"/>
      <c r="R204" s="149"/>
      <c r="S204" s="149"/>
      <c r="T204" s="146"/>
      <c r="U204" s="134"/>
      <c r="V204" s="134"/>
      <c r="W204" s="153"/>
      <c r="X204" s="154"/>
      <c r="Y204" s="145"/>
      <c r="Z204" s="146"/>
      <c r="AA204" s="146"/>
      <c r="AB204" s="146"/>
      <c r="AC204" s="146"/>
      <c r="AD204" s="146"/>
      <c r="AE204" s="146"/>
      <c r="AF204" s="146"/>
      <c r="AG204" s="155"/>
    </row>
    <row r="205" spans="2:33">
      <c r="I205" s="152"/>
      <c r="J205" s="134"/>
      <c r="K205" s="134"/>
      <c r="L205" s="134"/>
      <c r="M205" s="134"/>
      <c r="N205" s="134"/>
      <c r="O205" s="153"/>
      <c r="P205" s="154"/>
      <c r="Q205" s="155"/>
      <c r="R205" s="149"/>
      <c r="S205" s="149"/>
      <c r="T205" s="146"/>
      <c r="U205" s="134"/>
      <c r="V205" s="134"/>
      <c r="W205" s="153"/>
      <c r="X205" s="154"/>
      <c r="Y205" s="145"/>
      <c r="Z205" s="146"/>
      <c r="AA205" s="146"/>
      <c r="AB205" s="146"/>
      <c r="AC205" s="146"/>
      <c r="AD205" s="146"/>
      <c r="AE205" s="146"/>
      <c r="AF205" s="146"/>
      <c r="AG205" s="155"/>
    </row>
    <row r="206" spans="2:33">
      <c r="I206" s="152"/>
      <c r="J206" s="134"/>
      <c r="K206" s="134"/>
      <c r="L206" s="134"/>
      <c r="M206" s="134"/>
      <c r="N206" s="134"/>
      <c r="O206" s="153"/>
      <c r="P206" s="154"/>
      <c r="Q206" s="155"/>
      <c r="R206" s="149"/>
      <c r="S206" s="149"/>
      <c r="T206" s="146"/>
      <c r="U206" s="134"/>
      <c r="V206" s="134"/>
      <c r="W206" s="153"/>
      <c r="X206" s="154"/>
      <c r="Y206" s="145"/>
      <c r="Z206" s="146"/>
      <c r="AA206" s="146"/>
      <c r="AB206" s="146"/>
      <c r="AC206" s="146"/>
      <c r="AD206" s="146"/>
      <c r="AE206" s="146"/>
      <c r="AF206" s="146"/>
      <c r="AG206" s="155"/>
    </row>
    <row r="207" spans="2:33">
      <c r="I207" s="152"/>
      <c r="J207" s="134"/>
      <c r="K207" s="134"/>
      <c r="L207" s="134"/>
      <c r="M207" s="134"/>
      <c r="N207" s="134"/>
      <c r="O207" s="153"/>
      <c r="P207" s="154"/>
      <c r="Q207" s="155"/>
      <c r="R207" s="149"/>
      <c r="S207" s="149"/>
      <c r="T207" s="146"/>
      <c r="U207" s="134"/>
      <c r="V207" s="134"/>
      <c r="W207" s="153"/>
      <c r="X207" s="154"/>
      <c r="Y207" s="145"/>
      <c r="Z207" s="146"/>
      <c r="AA207" s="146"/>
      <c r="AB207" s="146"/>
      <c r="AC207" s="146"/>
      <c r="AD207" s="146"/>
      <c r="AE207" s="146"/>
      <c r="AF207" s="146"/>
      <c r="AG207" s="155"/>
    </row>
    <row r="208" spans="2:33">
      <c r="I208" s="152"/>
      <c r="J208" s="134"/>
      <c r="K208" s="134"/>
      <c r="L208" s="134"/>
      <c r="M208" s="134"/>
      <c r="N208" s="134"/>
      <c r="O208" s="153"/>
      <c r="P208" s="154"/>
      <c r="Q208" s="155"/>
      <c r="R208" s="149"/>
      <c r="S208" s="149"/>
      <c r="T208" s="146"/>
      <c r="U208" s="134"/>
      <c r="V208" s="134"/>
      <c r="W208" s="153"/>
      <c r="X208" s="154"/>
      <c r="Y208" s="145"/>
      <c r="Z208" s="146"/>
      <c r="AA208" s="146"/>
      <c r="AB208" s="146"/>
      <c r="AC208" s="146"/>
      <c r="AD208" s="146"/>
      <c r="AE208" s="146"/>
      <c r="AF208" s="146"/>
      <c r="AG208" s="155"/>
    </row>
    <row r="209" spans="9:33">
      <c r="I209" s="152"/>
      <c r="J209" s="134"/>
      <c r="K209" s="134"/>
      <c r="L209" s="134"/>
      <c r="M209" s="134"/>
      <c r="N209" s="134"/>
      <c r="O209" s="153"/>
      <c r="P209" s="154"/>
      <c r="Q209" s="155"/>
      <c r="R209" s="149"/>
      <c r="S209" s="149"/>
      <c r="T209" s="146"/>
      <c r="U209" s="134"/>
      <c r="V209" s="134"/>
      <c r="W209" s="153"/>
      <c r="X209" s="154"/>
      <c r="Y209" s="145"/>
      <c r="Z209" s="146"/>
      <c r="AA209" s="146"/>
      <c r="AB209" s="146"/>
      <c r="AC209" s="146"/>
      <c r="AD209" s="146"/>
      <c r="AE209" s="146"/>
      <c r="AF209" s="146"/>
      <c r="AG209" s="155"/>
    </row>
    <row r="210" spans="9:33">
      <c r="I210" s="152"/>
      <c r="J210" s="134"/>
      <c r="K210" s="134"/>
      <c r="L210" s="134"/>
      <c r="M210" s="134"/>
      <c r="N210" s="134"/>
      <c r="O210" s="153"/>
      <c r="P210" s="154"/>
      <c r="Q210" s="155"/>
      <c r="R210" s="149"/>
      <c r="S210" s="149"/>
      <c r="T210" s="146"/>
      <c r="U210" s="134"/>
      <c r="V210" s="134"/>
      <c r="W210" s="153"/>
      <c r="X210" s="154"/>
      <c r="Y210" s="145"/>
      <c r="Z210" s="146"/>
      <c r="AA210" s="146"/>
      <c r="AB210" s="146"/>
      <c r="AC210" s="146"/>
      <c r="AD210" s="146"/>
      <c r="AE210" s="146"/>
      <c r="AF210" s="146"/>
      <c r="AG210" s="155"/>
    </row>
    <row r="211" spans="9:33">
      <c r="I211" s="152"/>
      <c r="J211" s="134"/>
      <c r="K211" s="134"/>
      <c r="L211" s="134"/>
      <c r="M211" s="134"/>
      <c r="N211" s="134"/>
      <c r="O211" s="153"/>
      <c r="P211" s="154"/>
      <c r="Q211" s="155"/>
      <c r="R211" s="149"/>
      <c r="S211" s="149"/>
      <c r="T211" s="146"/>
      <c r="U211" s="134"/>
      <c r="V211" s="134"/>
      <c r="W211" s="153"/>
      <c r="X211" s="154"/>
      <c r="Y211" s="145"/>
      <c r="Z211" s="146"/>
      <c r="AA211" s="146"/>
      <c r="AB211" s="146"/>
      <c r="AC211" s="146"/>
      <c r="AD211" s="146"/>
      <c r="AE211" s="146"/>
      <c r="AF211" s="146"/>
      <c r="AG211" s="155"/>
    </row>
    <row r="212" spans="9:33">
      <c r="I212" s="152"/>
      <c r="J212" s="134"/>
      <c r="K212" s="134"/>
      <c r="L212" s="134"/>
      <c r="M212" s="134"/>
      <c r="N212" s="134"/>
      <c r="O212" s="153"/>
      <c r="P212" s="154"/>
      <c r="Q212" s="155"/>
      <c r="R212" s="149"/>
      <c r="S212" s="149"/>
      <c r="T212" s="146"/>
      <c r="U212" s="134"/>
      <c r="V212" s="134"/>
      <c r="W212" s="153"/>
      <c r="X212" s="154"/>
      <c r="Y212" s="145"/>
      <c r="Z212" s="146"/>
      <c r="AA212" s="146"/>
      <c r="AB212" s="146"/>
      <c r="AC212" s="146"/>
      <c r="AD212" s="146"/>
      <c r="AE212" s="146"/>
      <c r="AF212" s="146"/>
      <c r="AG212" s="155"/>
    </row>
    <row r="213" spans="9:33">
      <c r="I213" s="152"/>
      <c r="J213" s="134"/>
      <c r="K213" s="134"/>
      <c r="L213" s="134"/>
      <c r="M213" s="134"/>
      <c r="N213" s="134"/>
      <c r="O213" s="153"/>
      <c r="P213" s="154"/>
      <c r="Q213" s="155"/>
      <c r="R213" s="149"/>
      <c r="S213" s="149"/>
      <c r="T213" s="146"/>
      <c r="U213" s="134"/>
      <c r="V213" s="134"/>
      <c r="W213" s="153"/>
      <c r="X213" s="154"/>
      <c r="Y213" s="145"/>
      <c r="Z213" s="146"/>
      <c r="AA213" s="146"/>
      <c r="AB213" s="146"/>
      <c r="AC213" s="146"/>
      <c r="AD213" s="146"/>
      <c r="AE213" s="146"/>
      <c r="AF213" s="146"/>
      <c r="AG213" s="155"/>
    </row>
    <row r="214" spans="9:33">
      <c r="I214" s="152"/>
      <c r="J214" s="134"/>
      <c r="K214" s="134"/>
      <c r="L214" s="134"/>
      <c r="M214" s="134"/>
      <c r="N214" s="134"/>
      <c r="O214" s="153"/>
      <c r="P214" s="154"/>
      <c r="Q214" s="155"/>
      <c r="R214" s="149"/>
      <c r="S214" s="149"/>
      <c r="T214" s="146"/>
      <c r="U214" s="134"/>
      <c r="V214" s="134"/>
      <c r="W214" s="153"/>
      <c r="X214" s="154"/>
      <c r="Y214" s="145"/>
      <c r="Z214" s="146"/>
      <c r="AA214" s="146"/>
      <c r="AB214" s="146"/>
      <c r="AC214" s="146"/>
      <c r="AD214" s="146"/>
      <c r="AE214" s="146"/>
      <c r="AF214" s="146"/>
      <c r="AG214" s="155"/>
    </row>
    <row r="215" spans="9:33">
      <c r="I215" s="152"/>
      <c r="J215" s="134"/>
      <c r="K215" s="134"/>
      <c r="L215" s="134"/>
      <c r="M215" s="134"/>
      <c r="N215" s="134"/>
      <c r="O215" s="153"/>
      <c r="P215" s="154"/>
      <c r="Q215" s="155"/>
      <c r="R215" s="149"/>
      <c r="S215" s="149"/>
      <c r="T215" s="146"/>
      <c r="U215" s="134"/>
      <c r="V215" s="134"/>
      <c r="W215" s="153"/>
      <c r="X215" s="154"/>
      <c r="Y215" s="145"/>
      <c r="Z215" s="146"/>
      <c r="AA215" s="146"/>
      <c r="AB215" s="146"/>
      <c r="AC215" s="146"/>
      <c r="AD215" s="146"/>
      <c r="AE215" s="146"/>
      <c r="AF215" s="146"/>
      <c r="AG215" s="155"/>
    </row>
    <row r="216" spans="9:33">
      <c r="I216" s="152"/>
      <c r="J216" s="134"/>
      <c r="K216" s="134"/>
      <c r="L216" s="134"/>
      <c r="M216" s="134"/>
      <c r="N216" s="134"/>
      <c r="O216" s="153"/>
      <c r="P216" s="154"/>
      <c r="Q216" s="155"/>
      <c r="R216" s="149"/>
      <c r="S216" s="149"/>
      <c r="T216" s="146"/>
      <c r="U216" s="134"/>
      <c r="V216" s="134"/>
      <c r="W216" s="153"/>
      <c r="X216" s="154"/>
      <c r="Y216" s="145"/>
      <c r="Z216" s="146"/>
      <c r="AA216" s="146"/>
      <c r="AB216" s="146"/>
      <c r="AC216" s="146"/>
      <c r="AD216" s="146"/>
      <c r="AE216" s="146"/>
      <c r="AF216" s="146"/>
      <c r="AG216" s="155"/>
    </row>
    <row r="217" spans="9:33">
      <c r="I217" s="152"/>
      <c r="J217" s="134"/>
      <c r="K217" s="134"/>
      <c r="L217" s="134"/>
      <c r="M217" s="134"/>
      <c r="N217" s="134"/>
      <c r="O217" s="153"/>
      <c r="P217" s="154"/>
      <c r="Q217" s="155"/>
      <c r="R217" s="149"/>
      <c r="S217" s="149"/>
      <c r="T217" s="146"/>
      <c r="U217" s="134"/>
      <c r="V217" s="134"/>
      <c r="W217" s="153"/>
      <c r="X217" s="154"/>
      <c r="Y217" s="145"/>
      <c r="Z217" s="146"/>
      <c r="AA217" s="146"/>
      <c r="AB217" s="146"/>
      <c r="AC217" s="146"/>
      <c r="AD217" s="146"/>
      <c r="AE217" s="146"/>
      <c r="AF217" s="146"/>
      <c r="AG217" s="155"/>
    </row>
    <row r="218" spans="9:33">
      <c r="I218" s="152"/>
      <c r="J218" s="134"/>
      <c r="K218" s="134"/>
      <c r="L218" s="134"/>
      <c r="M218" s="134"/>
      <c r="N218" s="134"/>
      <c r="O218" s="153"/>
      <c r="P218" s="154"/>
      <c r="Q218" s="155"/>
      <c r="R218" s="149"/>
      <c r="S218" s="149"/>
      <c r="T218" s="146"/>
      <c r="U218" s="134"/>
      <c r="V218" s="134"/>
      <c r="W218" s="153"/>
      <c r="X218" s="154"/>
      <c r="Y218" s="145"/>
      <c r="Z218" s="146"/>
      <c r="AA218" s="146"/>
      <c r="AB218" s="146"/>
      <c r="AC218" s="146"/>
      <c r="AD218" s="146"/>
      <c r="AE218" s="146"/>
      <c r="AF218" s="146"/>
      <c r="AG218" s="155"/>
    </row>
    <row r="219" spans="9:33">
      <c r="I219" s="152"/>
      <c r="J219" s="134"/>
      <c r="K219" s="134"/>
      <c r="L219" s="134"/>
      <c r="M219" s="134"/>
      <c r="N219" s="134"/>
      <c r="O219" s="153"/>
      <c r="P219" s="154"/>
      <c r="Q219" s="155"/>
      <c r="R219" s="149"/>
      <c r="S219" s="149"/>
      <c r="T219" s="146"/>
      <c r="U219" s="134"/>
      <c r="V219" s="134"/>
      <c r="W219" s="153"/>
      <c r="X219" s="154"/>
      <c r="Y219" s="145"/>
      <c r="Z219" s="146"/>
      <c r="AA219" s="146"/>
      <c r="AB219" s="146"/>
      <c r="AC219" s="146"/>
      <c r="AD219" s="146"/>
      <c r="AE219" s="146"/>
      <c r="AF219" s="146"/>
      <c r="AG219" s="155"/>
    </row>
    <row r="220" spans="9:33">
      <c r="I220" s="152"/>
      <c r="J220" s="134"/>
      <c r="K220" s="134"/>
      <c r="L220" s="134"/>
      <c r="M220" s="134"/>
      <c r="N220" s="134"/>
      <c r="O220" s="153"/>
      <c r="P220" s="154"/>
      <c r="Q220" s="155"/>
      <c r="R220" s="149"/>
      <c r="S220" s="149"/>
      <c r="T220" s="146"/>
      <c r="U220" s="134"/>
      <c r="V220" s="134"/>
      <c r="W220" s="153"/>
      <c r="X220" s="154"/>
      <c r="Y220" s="145"/>
      <c r="Z220" s="146"/>
      <c r="AA220" s="146"/>
      <c r="AB220" s="146"/>
      <c r="AC220" s="146"/>
      <c r="AD220" s="146"/>
      <c r="AE220" s="146"/>
      <c r="AF220" s="146"/>
      <c r="AG220" s="155"/>
    </row>
    <row r="221" spans="9:33">
      <c r="I221" s="152"/>
      <c r="J221" s="134"/>
      <c r="K221" s="134"/>
      <c r="L221" s="134"/>
      <c r="M221" s="134"/>
      <c r="N221" s="134"/>
      <c r="O221" s="153"/>
      <c r="P221" s="154"/>
      <c r="Q221" s="155"/>
      <c r="R221" s="149"/>
      <c r="S221" s="149"/>
      <c r="T221" s="146"/>
      <c r="U221" s="134"/>
      <c r="V221" s="134"/>
      <c r="W221" s="153"/>
      <c r="X221" s="154"/>
      <c r="Y221" s="145"/>
      <c r="Z221" s="146"/>
      <c r="AA221" s="146"/>
      <c r="AB221" s="146"/>
      <c r="AC221" s="146"/>
      <c r="AD221" s="146"/>
      <c r="AE221" s="146"/>
      <c r="AF221" s="146"/>
      <c r="AG221" s="155"/>
    </row>
    <row r="222" spans="9:33">
      <c r="I222" s="152"/>
      <c r="J222" s="134"/>
      <c r="K222" s="134"/>
      <c r="L222" s="134"/>
      <c r="M222" s="134"/>
      <c r="N222" s="134"/>
      <c r="O222" s="153"/>
      <c r="P222" s="154"/>
      <c r="Q222" s="155"/>
      <c r="R222" s="149"/>
      <c r="S222" s="149"/>
      <c r="T222" s="146"/>
      <c r="U222" s="134"/>
      <c r="V222" s="134"/>
      <c r="W222" s="153"/>
      <c r="X222" s="154"/>
      <c r="Y222" s="145"/>
      <c r="Z222" s="146"/>
      <c r="AA222" s="146"/>
      <c r="AB222" s="146"/>
      <c r="AC222" s="146"/>
      <c r="AD222" s="146"/>
      <c r="AE222" s="146"/>
      <c r="AF222" s="146"/>
      <c r="AG222" s="155"/>
    </row>
    <row r="223" spans="9:33">
      <c r="I223" s="152"/>
      <c r="J223" s="134"/>
      <c r="K223" s="134"/>
      <c r="L223" s="134"/>
      <c r="M223" s="134"/>
      <c r="N223" s="134"/>
      <c r="O223" s="153"/>
      <c r="P223" s="154"/>
      <c r="Q223" s="155"/>
      <c r="R223" s="149"/>
      <c r="S223" s="149"/>
      <c r="T223" s="146"/>
      <c r="U223" s="134"/>
      <c r="V223" s="134"/>
      <c r="W223" s="153"/>
      <c r="X223" s="154"/>
      <c r="Y223" s="145"/>
      <c r="Z223" s="146"/>
      <c r="AA223" s="146"/>
      <c r="AB223" s="146"/>
      <c r="AC223" s="146"/>
      <c r="AD223" s="146"/>
      <c r="AE223" s="146"/>
      <c r="AF223" s="146"/>
      <c r="AG223" s="155"/>
    </row>
    <row r="224" spans="9:33">
      <c r="I224" s="152"/>
      <c r="J224" s="134"/>
      <c r="K224" s="134"/>
      <c r="L224" s="134"/>
      <c r="M224" s="134"/>
      <c r="N224" s="134"/>
      <c r="O224" s="153"/>
      <c r="P224" s="154"/>
      <c r="Q224" s="155"/>
      <c r="R224" s="149"/>
      <c r="S224" s="149"/>
      <c r="T224" s="146"/>
      <c r="U224" s="134"/>
      <c r="V224" s="134"/>
      <c r="W224" s="153"/>
      <c r="X224" s="154"/>
      <c r="Y224" s="145"/>
      <c r="Z224" s="146"/>
      <c r="AA224" s="146"/>
      <c r="AB224" s="146"/>
      <c r="AC224" s="146"/>
      <c r="AD224" s="146"/>
      <c r="AE224" s="146"/>
      <c r="AF224" s="146"/>
      <c r="AG224" s="155"/>
    </row>
    <row r="225" spans="9:33">
      <c r="I225" s="152"/>
      <c r="J225" s="134"/>
      <c r="K225" s="134"/>
      <c r="L225" s="134"/>
      <c r="M225" s="134"/>
      <c r="N225" s="134"/>
      <c r="O225" s="153"/>
      <c r="P225" s="154"/>
      <c r="Q225" s="155"/>
      <c r="R225" s="149"/>
      <c r="S225" s="149"/>
      <c r="T225" s="146"/>
      <c r="U225" s="134"/>
      <c r="V225" s="134"/>
      <c r="W225" s="153"/>
      <c r="X225" s="154"/>
      <c r="Y225" s="145"/>
      <c r="Z225" s="146"/>
      <c r="AA225" s="146"/>
      <c r="AB225" s="146"/>
      <c r="AC225" s="146"/>
      <c r="AD225" s="146"/>
      <c r="AE225" s="146"/>
      <c r="AF225" s="146"/>
      <c r="AG225" s="155"/>
    </row>
    <row r="226" spans="9:33">
      <c r="I226" s="152"/>
      <c r="J226" s="134"/>
      <c r="K226" s="134"/>
      <c r="L226" s="134"/>
      <c r="M226" s="134"/>
      <c r="N226" s="134"/>
      <c r="O226" s="153"/>
      <c r="P226" s="154"/>
      <c r="Q226" s="155"/>
      <c r="R226" s="149"/>
      <c r="S226" s="149"/>
      <c r="T226" s="146"/>
      <c r="U226" s="134"/>
      <c r="V226" s="134"/>
      <c r="W226" s="153"/>
      <c r="X226" s="154"/>
      <c r="Y226" s="145"/>
      <c r="Z226" s="146"/>
      <c r="AA226" s="146"/>
      <c r="AB226" s="146"/>
      <c r="AC226" s="146"/>
      <c r="AD226" s="146"/>
      <c r="AE226" s="146"/>
      <c r="AF226" s="146"/>
      <c r="AG226" s="155"/>
    </row>
    <row r="227" spans="9:33">
      <c r="I227" s="152"/>
      <c r="J227" s="134"/>
      <c r="K227" s="134"/>
      <c r="L227" s="134"/>
      <c r="M227" s="134"/>
      <c r="N227" s="134"/>
      <c r="O227" s="153"/>
      <c r="P227" s="154"/>
      <c r="Q227" s="155"/>
      <c r="R227" s="149"/>
      <c r="S227" s="149"/>
      <c r="T227" s="146"/>
      <c r="U227" s="134"/>
      <c r="V227" s="134"/>
      <c r="W227" s="153"/>
      <c r="X227" s="154"/>
      <c r="Y227" s="145"/>
      <c r="Z227" s="146"/>
      <c r="AA227" s="146"/>
      <c r="AB227" s="146"/>
      <c r="AC227" s="146"/>
      <c r="AD227" s="146"/>
      <c r="AE227" s="146"/>
      <c r="AF227" s="146"/>
      <c r="AG227" s="155"/>
    </row>
    <row r="228" spans="9:33">
      <c r="I228" s="152"/>
      <c r="J228" s="134"/>
      <c r="K228" s="134"/>
      <c r="L228" s="134"/>
      <c r="M228" s="134"/>
      <c r="N228" s="134"/>
      <c r="O228" s="153"/>
      <c r="P228" s="154"/>
      <c r="Q228" s="155"/>
      <c r="R228" s="149"/>
      <c r="S228" s="149"/>
      <c r="T228" s="146"/>
      <c r="U228" s="134"/>
      <c r="V228" s="134"/>
      <c r="W228" s="153"/>
      <c r="X228" s="154"/>
      <c r="Y228" s="145"/>
      <c r="Z228" s="146"/>
      <c r="AA228" s="146"/>
      <c r="AB228" s="146"/>
      <c r="AC228" s="146"/>
      <c r="AD228" s="146"/>
      <c r="AE228" s="146"/>
      <c r="AF228" s="146"/>
      <c r="AG228" s="155"/>
    </row>
    <row r="229" spans="9:33">
      <c r="I229" s="152"/>
      <c r="J229" s="134"/>
      <c r="K229" s="134"/>
      <c r="L229" s="134"/>
      <c r="M229" s="134"/>
      <c r="N229" s="134"/>
      <c r="O229" s="153"/>
      <c r="P229" s="154"/>
      <c r="Q229" s="155"/>
      <c r="R229" s="149"/>
      <c r="S229" s="149"/>
      <c r="T229" s="146"/>
      <c r="U229" s="134"/>
      <c r="V229" s="134"/>
      <c r="W229" s="153"/>
      <c r="X229" s="154"/>
      <c r="Y229" s="145"/>
      <c r="Z229" s="146"/>
      <c r="AA229" s="146"/>
      <c r="AB229" s="146"/>
      <c r="AC229" s="146"/>
      <c r="AD229" s="146"/>
      <c r="AE229" s="146"/>
      <c r="AF229" s="146"/>
      <c r="AG229" s="155"/>
    </row>
    <row r="230" spans="9:33">
      <c r="I230" s="152"/>
      <c r="J230" s="134"/>
      <c r="K230" s="134"/>
      <c r="L230" s="134"/>
      <c r="M230" s="134"/>
      <c r="N230" s="134"/>
      <c r="O230" s="153"/>
      <c r="P230" s="154"/>
      <c r="Q230" s="155"/>
      <c r="R230" s="149"/>
      <c r="S230" s="149"/>
      <c r="T230" s="146"/>
      <c r="U230" s="134"/>
      <c r="V230" s="134"/>
      <c r="W230" s="153"/>
      <c r="X230" s="154"/>
      <c r="Y230" s="145"/>
      <c r="Z230" s="146"/>
      <c r="AA230" s="146"/>
      <c r="AB230" s="146"/>
      <c r="AC230" s="146"/>
      <c r="AD230" s="146"/>
      <c r="AE230" s="146"/>
      <c r="AF230" s="146"/>
      <c r="AG230" s="155"/>
    </row>
    <row r="231" spans="9:33">
      <c r="I231" s="152"/>
      <c r="J231" s="134"/>
      <c r="K231" s="134"/>
      <c r="L231" s="134"/>
      <c r="M231" s="134"/>
      <c r="N231" s="134"/>
      <c r="O231" s="153"/>
      <c r="P231" s="154"/>
      <c r="Q231" s="155"/>
      <c r="R231" s="149"/>
      <c r="S231" s="149"/>
      <c r="T231" s="146"/>
      <c r="U231" s="134"/>
      <c r="V231" s="134"/>
      <c r="W231" s="153"/>
      <c r="X231" s="154"/>
      <c r="Y231" s="145"/>
      <c r="Z231" s="146"/>
      <c r="AA231" s="146"/>
      <c r="AB231" s="146"/>
      <c r="AC231" s="146"/>
      <c r="AD231" s="146"/>
      <c r="AE231" s="146"/>
      <c r="AF231" s="146"/>
      <c r="AG231" s="155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L1616"/>
  <sheetViews>
    <sheetView topLeftCell="CL220" workbookViewId="0">
      <pane ySplit="560" activePane="bottomLeft"/>
      <selection activeCell="DP1" sqref="DP1:DR1048576"/>
      <selection pane="bottomLeft" activeCell="C23" sqref="C23:C117"/>
    </sheetView>
  </sheetViews>
  <sheetFormatPr baseColWidth="10" defaultRowHeight="16"/>
  <cols>
    <col min="1" max="1" width="10.7109375" style="3"/>
    <col min="2" max="4" width="10.7109375" style="10"/>
    <col min="5" max="5" width="10.7109375" style="35"/>
    <col min="6" max="8" width="10.7109375" style="36"/>
    <col min="9" max="11" width="10.7109375" style="101"/>
    <col min="12" max="12" width="10.7109375" style="84"/>
    <col min="13" max="15" width="10.7109375" style="167"/>
    <col min="16" max="16" width="10.7109375" style="169"/>
    <col min="34" max="34" width="10.7109375" style="2"/>
    <col min="35" max="35" width="20.85546875" customWidth="1"/>
    <col min="38" max="38" width="14.42578125" customWidth="1"/>
    <col min="50" max="50" width="10.7109375" style="12"/>
    <col min="62" max="62" width="10.7109375" style="2"/>
    <col min="63" max="63" width="11.7109375" customWidth="1"/>
    <col min="64" max="64" width="21.28515625" customWidth="1"/>
    <col min="75" max="75" width="10.7109375" style="2"/>
    <col min="77" max="77" width="14.7109375" style="34" customWidth="1"/>
    <col min="78" max="78" width="22.7109375" customWidth="1"/>
  </cols>
  <sheetData>
    <row r="1" spans="1:116">
      <c r="A1" s="3" t="s">
        <v>0</v>
      </c>
      <c r="B1" s="5" t="s">
        <v>16</v>
      </c>
      <c r="C1" s="5" t="s">
        <v>17</v>
      </c>
      <c r="D1" s="5" t="s">
        <v>18</v>
      </c>
      <c r="E1" s="35" t="s">
        <v>0</v>
      </c>
      <c r="F1" s="102" t="s">
        <v>19</v>
      </c>
      <c r="G1" s="102" t="s">
        <v>33</v>
      </c>
      <c r="H1" s="102" t="s">
        <v>18</v>
      </c>
      <c r="I1" s="101" t="s">
        <v>0</v>
      </c>
      <c r="J1" s="101" t="s">
        <v>42</v>
      </c>
      <c r="K1" s="101" t="s">
        <v>22</v>
      </c>
      <c r="L1" s="110" t="s">
        <v>18</v>
      </c>
      <c r="M1" s="167" t="s">
        <v>0</v>
      </c>
      <c r="N1" s="167" t="s">
        <v>20</v>
      </c>
      <c r="O1" s="167" t="s">
        <v>21</v>
      </c>
      <c r="P1" s="168" t="s">
        <v>18</v>
      </c>
      <c r="Q1" s="8"/>
      <c r="R1" s="8"/>
      <c r="S1" s="8"/>
      <c r="T1" s="8"/>
      <c r="U1" s="8"/>
      <c r="V1" s="8"/>
      <c r="W1" s="8"/>
      <c r="X1" s="8"/>
      <c r="Y1" s="8"/>
      <c r="AH1" s="17" t="s">
        <v>63</v>
      </c>
      <c r="AI1" s="18"/>
      <c r="AJ1" s="19"/>
      <c r="AV1" s="17" t="s">
        <v>34</v>
      </c>
      <c r="AW1" s="18"/>
      <c r="AX1" s="19"/>
      <c r="BK1" s="33" t="s">
        <v>43</v>
      </c>
      <c r="BL1" s="28"/>
      <c r="BM1" s="39"/>
      <c r="BY1" s="26" t="s">
        <v>35</v>
      </c>
      <c r="BZ1" s="28"/>
      <c r="CA1" s="39"/>
      <c r="CO1" t="s">
        <v>71</v>
      </c>
    </row>
    <row r="2" spans="1:116">
      <c r="A2" s="3">
        <f t="shared" ref="A2:A42" si="0">A3-1</f>
        <v>41543</v>
      </c>
      <c r="E2" s="35">
        <f t="shared" ref="E2:E42" si="1">E3-1</f>
        <v>41543</v>
      </c>
      <c r="I2" s="101">
        <f t="shared" ref="I2:I42" si="2">I3-1</f>
        <v>41543</v>
      </c>
      <c r="M2" s="167">
        <f t="shared" ref="M2:M42" si="3">M3-1</f>
        <v>41543</v>
      </c>
      <c r="AH2" s="1" t="s">
        <v>23</v>
      </c>
      <c r="AI2" s="1"/>
      <c r="AJ2" s="32" t="s">
        <v>25</v>
      </c>
      <c r="AV2" s="1" t="s">
        <v>23</v>
      </c>
      <c r="AW2" s="1"/>
      <c r="AX2" s="32" t="s">
        <v>25</v>
      </c>
      <c r="BK2" s="33" t="s">
        <v>23</v>
      </c>
      <c r="BL2" s="28"/>
      <c r="BM2" s="32" t="s">
        <v>25</v>
      </c>
      <c r="BY2" s="26" t="s">
        <v>23</v>
      </c>
      <c r="BZ2" s="28"/>
      <c r="CA2" s="32" t="s">
        <v>25</v>
      </c>
    </row>
    <row r="3" spans="1:116">
      <c r="A3" s="3">
        <f t="shared" si="0"/>
        <v>41544</v>
      </c>
      <c r="E3" s="35">
        <f t="shared" si="1"/>
        <v>41544</v>
      </c>
      <c r="I3" s="101">
        <f t="shared" si="2"/>
        <v>41544</v>
      </c>
      <c r="M3" s="167">
        <f t="shared" si="3"/>
        <v>41544</v>
      </c>
      <c r="AH3" s="111" t="s">
        <v>64</v>
      </c>
      <c r="AI3" s="112" t="s">
        <v>2</v>
      </c>
      <c r="AJ3" s="31"/>
      <c r="AV3" s="111" t="s">
        <v>46</v>
      </c>
      <c r="AW3" s="112" t="s">
        <v>2</v>
      </c>
      <c r="AX3" s="31"/>
      <c r="BK3" s="33" t="s">
        <v>46</v>
      </c>
      <c r="BL3" s="28" t="s">
        <v>2</v>
      </c>
      <c r="BM3" s="32"/>
      <c r="BY3" s="27" t="s">
        <v>50</v>
      </c>
      <c r="BZ3" s="28" t="s">
        <v>2</v>
      </c>
      <c r="CA3" s="31"/>
    </row>
    <row r="4" spans="1:116">
      <c r="A4" s="3">
        <f t="shared" si="0"/>
        <v>41545</v>
      </c>
      <c r="E4" s="35">
        <f t="shared" si="1"/>
        <v>41545</v>
      </c>
      <c r="I4" s="101">
        <f t="shared" si="2"/>
        <v>41545</v>
      </c>
      <c r="M4" s="167">
        <f t="shared" si="3"/>
        <v>41545</v>
      </c>
      <c r="AH4" s="111">
        <v>41960</v>
      </c>
      <c r="AI4" s="112" t="s">
        <v>65</v>
      </c>
      <c r="AJ4" s="31">
        <v>0.71799999999999997</v>
      </c>
      <c r="AV4" s="111">
        <v>41956</v>
      </c>
      <c r="AW4" s="112"/>
      <c r="AX4" s="31">
        <v>0.32</v>
      </c>
      <c r="BK4" s="27">
        <v>41960</v>
      </c>
      <c r="BL4" s="30" t="s">
        <v>44</v>
      </c>
      <c r="BM4" s="28"/>
      <c r="BY4" s="27">
        <v>41960</v>
      </c>
      <c r="BZ4" s="30" t="s">
        <v>36</v>
      </c>
      <c r="CA4" s="28">
        <v>0.94399999999999995</v>
      </c>
      <c r="CO4" s="1"/>
      <c r="CP4" s="1">
        <v>3.1435810224401641</v>
      </c>
      <c r="CQ4" s="1">
        <v>0</v>
      </c>
      <c r="CS4" s="1">
        <v>3.5424000000000002</v>
      </c>
      <c r="CT4" s="1">
        <v>2.0227156048852222</v>
      </c>
      <c r="CU4" s="1">
        <v>10</v>
      </c>
      <c r="DJ4" s="195"/>
      <c r="DK4" s="196">
        <v>3.001481022440164</v>
      </c>
      <c r="DL4" s="197">
        <v>0</v>
      </c>
    </row>
    <row r="5" spans="1:116" ht="17" customHeight="1">
      <c r="A5" s="3">
        <f t="shared" si="0"/>
        <v>41546</v>
      </c>
      <c r="E5" s="35">
        <f t="shared" si="1"/>
        <v>41546</v>
      </c>
      <c r="I5" s="101">
        <f t="shared" si="2"/>
        <v>41546</v>
      </c>
      <c r="M5" s="167">
        <f t="shared" si="3"/>
        <v>41546</v>
      </c>
      <c r="AH5" s="111"/>
      <c r="AI5" s="112"/>
      <c r="AJ5" s="31"/>
      <c r="AV5" s="111">
        <v>41960</v>
      </c>
      <c r="AW5" s="112" t="s">
        <v>24</v>
      </c>
      <c r="AX5" s="31">
        <v>0.32700000000000001</v>
      </c>
      <c r="BK5" s="27">
        <v>41984</v>
      </c>
      <c r="BL5" s="29" t="s">
        <v>45</v>
      </c>
      <c r="BM5" s="28"/>
      <c r="BY5" s="27">
        <v>41986</v>
      </c>
      <c r="BZ5" s="28" t="s">
        <v>37</v>
      </c>
      <c r="CA5" s="31">
        <v>0.77700000000000002</v>
      </c>
      <c r="CO5" s="1"/>
      <c r="CP5" s="1">
        <v>3.2043143565567305</v>
      </c>
      <c r="CQ5" s="1">
        <v>0</v>
      </c>
      <c r="CS5" s="1">
        <v>3.4416000000000002</v>
      </c>
      <c r="CT5" s="1">
        <v>1.9766434202106367</v>
      </c>
      <c r="CU5" s="1">
        <v>11</v>
      </c>
      <c r="DJ5" s="195"/>
      <c r="DK5" s="196">
        <v>3.0295143565567302</v>
      </c>
      <c r="DL5" s="197">
        <v>0</v>
      </c>
    </row>
    <row r="6" spans="1:116">
      <c r="A6" s="3">
        <f t="shared" si="0"/>
        <v>41547</v>
      </c>
      <c r="E6" s="35">
        <f t="shared" si="1"/>
        <v>41547</v>
      </c>
      <c r="I6" s="101">
        <f t="shared" si="2"/>
        <v>41547</v>
      </c>
      <c r="M6" s="167">
        <f t="shared" si="3"/>
        <v>41547</v>
      </c>
      <c r="AH6" s="111">
        <v>41993</v>
      </c>
      <c r="AI6" s="112" t="s">
        <v>66</v>
      </c>
      <c r="AJ6" s="31"/>
      <c r="AV6" s="111">
        <v>41975</v>
      </c>
      <c r="AW6" s="112" t="s">
        <v>24</v>
      </c>
      <c r="AX6" s="39">
        <v>0.6</v>
      </c>
      <c r="BK6" s="27"/>
      <c r="BL6" s="28"/>
      <c r="BM6" s="28"/>
      <c r="BY6" s="27">
        <v>41647</v>
      </c>
      <c r="BZ6" s="29" t="s">
        <v>38</v>
      </c>
      <c r="CA6" s="28">
        <v>0.997</v>
      </c>
      <c r="CO6" s="1"/>
      <c r="CP6" s="1">
        <v>3.3996063881024372</v>
      </c>
      <c r="CQ6" s="1">
        <v>0</v>
      </c>
      <c r="CS6" s="1">
        <v>1.6847999999999999</v>
      </c>
      <c r="CT6" s="1">
        <v>1.9459010906809602</v>
      </c>
      <c r="CU6" s="1">
        <v>12</v>
      </c>
      <c r="DJ6" s="195"/>
      <c r="DK6" s="196">
        <v>3.1727063881024375</v>
      </c>
      <c r="DL6" s="197">
        <v>0</v>
      </c>
    </row>
    <row r="7" spans="1:116" ht="17" customHeight="1">
      <c r="A7" s="3">
        <f t="shared" si="0"/>
        <v>41548</v>
      </c>
      <c r="E7" s="35">
        <f t="shared" si="1"/>
        <v>41548</v>
      </c>
      <c r="I7" s="101">
        <f t="shared" si="2"/>
        <v>41548</v>
      </c>
      <c r="M7" s="167">
        <f t="shared" si="3"/>
        <v>41548</v>
      </c>
      <c r="AH7" s="111">
        <v>41994</v>
      </c>
      <c r="AI7" s="112" t="s">
        <v>67</v>
      </c>
      <c r="AJ7" s="31"/>
      <c r="AV7" s="111"/>
      <c r="AW7" s="112"/>
      <c r="AX7" s="31"/>
      <c r="BK7" s="122">
        <v>41956</v>
      </c>
      <c r="BL7" s="112"/>
      <c r="BM7" s="112">
        <v>0.32</v>
      </c>
      <c r="BY7" s="121"/>
      <c r="BZ7" s="24"/>
      <c r="CA7" s="23"/>
      <c r="CO7" s="1"/>
      <c r="CP7" s="1">
        <v>3.2055503382091852</v>
      </c>
      <c r="CQ7" s="1">
        <v>0</v>
      </c>
      <c r="CS7" s="1">
        <v>0.91871999999999998</v>
      </c>
      <c r="CT7" s="1">
        <v>1.9260965847504816</v>
      </c>
      <c r="CU7" s="1">
        <v>13</v>
      </c>
      <c r="DJ7" s="195"/>
      <c r="DK7" s="196">
        <v>3.1319503382091853</v>
      </c>
      <c r="DL7" s="197">
        <v>0</v>
      </c>
    </row>
    <row r="8" spans="1:116">
      <c r="A8" s="3">
        <f t="shared" si="0"/>
        <v>41549</v>
      </c>
      <c r="E8" s="35">
        <f t="shared" si="1"/>
        <v>41549</v>
      </c>
      <c r="I8" s="101">
        <f t="shared" si="2"/>
        <v>41549</v>
      </c>
      <c r="M8" s="167">
        <f t="shared" si="3"/>
        <v>41549</v>
      </c>
      <c r="AH8" s="111">
        <v>41995</v>
      </c>
      <c r="AI8" s="112" t="s">
        <v>68</v>
      </c>
      <c r="AJ8" s="112"/>
      <c r="AV8" s="111">
        <v>41975</v>
      </c>
      <c r="AW8" s="112" t="s">
        <v>24</v>
      </c>
      <c r="AX8" s="112">
        <v>0.6</v>
      </c>
      <c r="BK8" s="121"/>
      <c r="BL8" s="24"/>
      <c r="BM8" s="23"/>
      <c r="BY8" s="121" t="s">
        <v>56</v>
      </c>
      <c r="BZ8" s="23"/>
      <c r="CA8" s="25"/>
      <c r="CO8" s="1">
        <v>5.7906656274811161E-2</v>
      </c>
      <c r="CP8" s="1">
        <v>3.1485337677375855</v>
      </c>
      <c r="CQ8" s="1">
        <v>0</v>
      </c>
      <c r="CS8" s="1">
        <v>0.97055999999999998</v>
      </c>
      <c r="CT8" s="1">
        <v>1.9073867673003693</v>
      </c>
      <c r="CU8" s="1">
        <v>14</v>
      </c>
      <c r="DJ8" s="195"/>
      <c r="DK8" s="196">
        <v>2.9996337677375871</v>
      </c>
      <c r="DL8" s="197">
        <v>0</v>
      </c>
    </row>
    <row r="9" spans="1:116">
      <c r="A9" s="3">
        <f t="shared" si="0"/>
        <v>41550</v>
      </c>
      <c r="E9" s="35">
        <f t="shared" si="1"/>
        <v>41550</v>
      </c>
      <c r="I9" s="101">
        <f t="shared" si="2"/>
        <v>41550</v>
      </c>
      <c r="M9" s="167">
        <f t="shared" si="3"/>
        <v>41550</v>
      </c>
      <c r="AH9" s="111">
        <v>41996</v>
      </c>
      <c r="AI9" s="112" t="s">
        <v>69</v>
      </c>
      <c r="AJ9" s="112"/>
      <c r="AV9" s="111">
        <v>41974</v>
      </c>
      <c r="AW9" s="112" t="s">
        <v>24</v>
      </c>
      <c r="AX9" s="112">
        <v>0.50873000000000002</v>
      </c>
      <c r="BK9" s="121" t="s">
        <v>51</v>
      </c>
      <c r="BL9" s="23"/>
      <c r="BM9" s="25"/>
      <c r="BY9" s="121"/>
      <c r="BZ9" s="24"/>
      <c r="CA9" s="23"/>
      <c r="CO9" s="1">
        <v>-0.79545390828986051</v>
      </c>
      <c r="CP9" s="1">
        <v>3.1297229280280372</v>
      </c>
      <c r="CQ9" s="1">
        <v>0</v>
      </c>
      <c r="CS9" s="1">
        <v>0.99791999999999992</v>
      </c>
      <c r="CT9" s="1">
        <v>1.8889540455995912</v>
      </c>
      <c r="CU9" s="1">
        <v>15</v>
      </c>
      <c r="DJ9" s="195"/>
      <c r="DK9" s="196">
        <v>2.9609229280280371</v>
      </c>
      <c r="DL9" s="197">
        <v>0</v>
      </c>
    </row>
    <row r="10" spans="1:116">
      <c r="A10" s="3">
        <f t="shared" si="0"/>
        <v>41551</v>
      </c>
      <c r="E10" s="35">
        <f t="shared" si="1"/>
        <v>41551</v>
      </c>
      <c r="I10" s="101">
        <f t="shared" si="2"/>
        <v>41551</v>
      </c>
      <c r="M10" s="167">
        <f t="shared" si="3"/>
        <v>41551</v>
      </c>
      <c r="AH10" s="177"/>
      <c r="AI10" s="178"/>
      <c r="AJ10" s="123"/>
      <c r="AV10" s="111">
        <v>41652</v>
      </c>
      <c r="AW10" s="864" t="s">
        <v>26</v>
      </c>
      <c r="AX10" s="112">
        <v>0.94499999999999995</v>
      </c>
      <c r="BK10" s="121"/>
      <c r="BL10" s="24"/>
      <c r="BM10" s="23"/>
      <c r="BY10" s="124"/>
      <c r="BZ10" s="9"/>
      <c r="CA10" s="21"/>
      <c r="CO10" s="1">
        <v>0.23953170807214652</v>
      </c>
      <c r="CP10" s="1">
        <v>3.1196341775812395</v>
      </c>
      <c r="CQ10" s="1">
        <v>0</v>
      </c>
      <c r="CS10" s="1">
        <v>3.528</v>
      </c>
      <c r="CT10" s="1">
        <v>1.8552609988435225</v>
      </c>
      <c r="CU10" s="1">
        <v>16</v>
      </c>
      <c r="DJ10" s="195"/>
      <c r="DK10" s="196">
        <v>2.9154341775812385</v>
      </c>
      <c r="DL10" s="197">
        <v>0</v>
      </c>
    </row>
    <row r="11" spans="1:116">
      <c r="A11" s="3">
        <f t="shared" si="0"/>
        <v>41552</v>
      </c>
      <c r="E11" s="35">
        <f t="shared" si="1"/>
        <v>41552</v>
      </c>
      <c r="I11" s="101">
        <f t="shared" si="2"/>
        <v>41552</v>
      </c>
      <c r="M11" s="167">
        <f t="shared" si="3"/>
        <v>41552</v>
      </c>
      <c r="AH11" s="177"/>
      <c r="AI11" s="179"/>
      <c r="AJ11" s="123"/>
      <c r="AV11" s="111">
        <v>41653</v>
      </c>
      <c r="AW11" s="864"/>
      <c r="AX11" s="112">
        <v>0.95</v>
      </c>
      <c r="BY11" s="124"/>
      <c r="BZ11" s="9"/>
      <c r="CA11" s="21"/>
      <c r="CO11" s="1">
        <v>-1.0351261824847269</v>
      </c>
      <c r="CP11" s="1">
        <v>2.9733710094669976</v>
      </c>
      <c r="CQ11" s="1">
        <v>0</v>
      </c>
      <c r="CS11" s="1">
        <v>2.8512</v>
      </c>
      <c r="CT11" s="1">
        <v>1.8162505713273176</v>
      </c>
      <c r="CU11" s="1">
        <v>17</v>
      </c>
      <c r="DJ11" s="195">
        <v>1.2391627813077115</v>
      </c>
      <c r="DK11" s="196">
        <v>2.6588710094669961</v>
      </c>
      <c r="DL11" s="197">
        <v>0</v>
      </c>
    </row>
    <row r="12" spans="1:116">
      <c r="A12" s="3">
        <f t="shared" si="0"/>
        <v>41553</v>
      </c>
      <c r="E12" s="35">
        <f t="shared" si="1"/>
        <v>41553</v>
      </c>
      <c r="I12" s="101">
        <f t="shared" si="2"/>
        <v>41553</v>
      </c>
      <c r="M12" s="167">
        <f t="shared" si="3"/>
        <v>41553</v>
      </c>
      <c r="AH12" s="177"/>
      <c r="AI12" s="179"/>
      <c r="AJ12" s="123"/>
      <c r="AV12" s="111">
        <v>41655</v>
      </c>
      <c r="AW12" s="864"/>
      <c r="AX12" s="112">
        <v>0.99199999999999999</v>
      </c>
      <c r="BY12" s="2"/>
      <c r="BZ12" s="22"/>
      <c r="CA12" s="20"/>
      <c r="CB12" s="9"/>
      <c r="CO12" s="1">
        <v>0.40960138061237988</v>
      </c>
      <c r="CP12" s="1">
        <v>2.9368771477230093</v>
      </c>
      <c r="CQ12" s="1">
        <v>0</v>
      </c>
      <c r="CS12" s="1">
        <v>2.5775999999999999</v>
      </c>
      <c r="CT12" s="1">
        <v>1.7785331858677984</v>
      </c>
      <c r="CU12" s="1">
        <v>18</v>
      </c>
      <c r="DJ12" s="195">
        <v>1.3690966106416618</v>
      </c>
      <c r="DK12" s="196">
        <v>2.5902771477230098</v>
      </c>
      <c r="DL12" s="197">
        <v>0</v>
      </c>
    </row>
    <row r="13" spans="1:116" ht="15" customHeight="1">
      <c r="A13" s="3">
        <f t="shared" si="0"/>
        <v>41554</v>
      </c>
      <c r="E13" s="35">
        <f t="shared" si="1"/>
        <v>41554</v>
      </c>
      <c r="I13" s="101">
        <f t="shared" si="2"/>
        <v>41554</v>
      </c>
      <c r="M13" s="167">
        <f t="shared" si="3"/>
        <v>41554</v>
      </c>
      <c r="AH13" s="177"/>
      <c r="AI13" s="179"/>
      <c r="AJ13" s="123"/>
      <c r="AV13" s="111">
        <v>41656</v>
      </c>
      <c r="AW13" s="864"/>
      <c r="AX13" s="112">
        <v>0.99299999999999999</v>
      </c>
      <c r="BY13" s="2"/>
      <c r="BZ13" s="22"/>
      <c r="CA13" s="21"/>
      <c r="CB13" s="9"/>
      <c r="CO13" s="1">
        <v>-2.0403830948889263</v>
      </c>
      <c r="CP13" s="1">
        <v>2.9495194843017631</v>
      </c>
      <c r="CQ13" s="1">
        <v>0</v>
      </c>
      <c r="CS13" s="1">
        <v>1.7568000000000001</v>
      </c>
      <c r="CT13" s="1">
        <v>1.744879811706745</v>
      </c>
      <c r="CU13" s="1">
        <v>19</v>
      </c>
      <c r="DJ13" s="195">
        <v>0.23723239823112835</v>
      </c>
      <c r="DK13" s="196">
        <v>2.6102194843017643</v>
      </c>
      <c r="DL13" s="197">
        <v>0</v>
      </c>
    </row>
    <row r="14" spans="1:116">
      <c r="A14" s="3">
        <f t="shared" si="0"/>
        <v>41555</v>
      </c>
      <c r="E14" s="35">
        <f t="shared" si="1"/>
        <v>41555</v>
      </c>
      <c r="I14" s="101">
        <f t="shared" si="2"/>
        <v>41555</v>
      </c>
      <c r="M14" s="167">
        <f t="shared" si="3"/>
        <v>41555</v>
      </c>
      <c r="AH14" s="177"/>
      <c r="AI14" s="179"/>
      <c r="AJ14" s="123"/>
      <c r="AV14" s="111">
        <v>41657</v>
      </c>
      <c r="AW14" s="864"/>
      <c r="AX14" s="112">
        <v>0.94899999999999995</v>
      </c>
      <c r="BY14" s="2"/>
      <c r="BZ14" s="22"/>
      <c r="CA14" s="21"/>
      <c r="CB14" s="9"/>
      <c r="CO14" s="1">
        <v>-1.5695544001749746</v>
      </c>
      <c r="CP14" s="1">
        <v>2.9404288895585302</v>
      </c>
      <c r="CQ14" s="1">
        <v>0</v>
      </c>
      <c r="CS14" s="1">
        <v>1.8863999999999999</v>
      </c>
      <c r="CT14" s="1">
        <v>1.7175538406777657</v>
      </c>
      <c r="CU14" s="1">
        <v>20</v>
      </c>
      <c r="DJ14" s="195">
        <v>-9.0125096165409244E-2</v>
      </c>
      <c r="DK14" s="196">
        <v>2.6013288895585291</v>
      </c>
      <c r="DL14" s="197">
        <v>0</v>
      </c>
    </row>
    <row r="15" spans="1:116">
      <c r="A15" s="3">
        <f>A16-1</f>
        <v>41556</v>
      </c>
      <c r="E15" s="35">
        <f>E16-1</f>
        <v>41556</v>
      </c>
      <c r="I15" s="101">
        <f>I16-1</f>
        <v>41556</v>
      </c>
      <c r="M15" s="167">
        <f>M16-1</f>
        <v>41556</v>
      </c>
      <c r="AH15" s="177"/>
      <c r="AI15" s="179"/>
      <c r="AJ15" s="123"/>
      <c r="AV15" s="111">
        <v>41658</v>
      </c>
      <c r="AW15" s="864"/>
      <c r="AX15" s="112">
        <v>0.94199999999999995</v>
      </c>
      <c r="BK15" s="867" t="s">
        <v>0</v>
      </c>
      <c r="BL15" s="866" t="s">
        <v>47</v>
      </c>
      <c r="BM15" s="866" t="s">
        <v>48</v>
      </c>
      <c r="BN15" s="864" t="s">
        <v>49</v>
      </c>
      <c r="BY15" s="2"/>
      <c r="CA15" s="34"/>
      <c r="CO15" s="1">
        <v>0.16564679449580372</v>
      </c>
      <c r="CP15" s="1">
        <v>2.681026623669982</v>
      </c>
      <c r="CQ15" s="1">
        <v>0</v>
      </c>
      <c r="CS15" s="1">
        <v>1.4327999999999999</v>
      </c>
      <c r="CT15" s="1">
        <v>1.6927980098044944</v>
      </c>
      <c r="CU15" s="1">
        <v>21</v>
      </c>
      <c r="DJ15" s="195">
        <v>1.6406077059297679</v>
      </c>
      <c r="DK15" s="196">
        <v>2.2373266236699831</v>
      </c>
      <c r="DL15" s="197">
        <v>0</v>
      </c>
    </row>
    <row r="16" spans="1:116">
      <c r="A16" s="3">
        <f t="shared" si="0"/>
        <v>41557</v>
      </c>
      <c r="E16" s="35">
        <f t="shared" si="1"/>
        <v>41557</v>
      </c>
      <c r="I16" s="101">
        <f t="shared" si="2"/>
        <v>41557</v>
      </c>
      <c r="M16" s="167">
        <f t="shared" si="3"/>
        <v>41557</v>
      </c>
      <c r="AV16" s="118"/>
      <c r="AW16" s="21"/>
      <c r="AX16" s="21"/>
      <c r="BK16" s="867"/>
      <c r="BL16" s="866"/>
      <c r="BM16" s="866"/>
      <c r="BN16" s="864"/>
      <c r="BY16" s="2"/>
      <c r="CA16" s="34"/>
      <c r="CO16" s="1">
        <v>-1.5957342214388917</v>
      </c>
      <c r="CP16" s="1">
        <v>3.1592730516361818</v>
      </c>
      <c r="CQ16" s="1">
        <v>0</v>
      </c>
      <c r="CS16" s="1">
        <v>7.9200000000000007E-2</v>
      </c>
      <c r="CT16" s="1">
        <v>1.6738853257985116</v>
      </c>
      <c r="CU16" s="1">
        <v>22</v>
      </c>
      <c r="DJ16" s="195">
        <v>1.3412505342622234</v>
      </c>
      <c r="DK16" s="196">
        <v>2.2556730516361818</v>
      </c>
      <c r="DL16" s="197">
        <v>0</v>
      </c>
    </row>
    <row r="17" spans="1:116">
      <c r="A17" s="3">
        <f t="shared" si="0"/>
        <v>41558</v>
      </c>
      <c r="E17" s="35">
        <f t="shared" si="1"/>
        <v>41558</v>
      </c>
      <c r="I17" s="101">
        <f t="shared" si="2"/>
        <v>41558</v>
      </c>
      <c r="M17" s="167">
        <f t="shared" si="3"/>
        <v>41558</v>
      </c>
      <c r="AV17" s="118" t="s">
        <v>52</v>
      </c>
      <c r="AW17" s="21"/>
      <c r="AX17" s="21"/>
      <c r="BK17" s="115">
        <v>41564</v>
      </c>
      <c r="BL17" s="112"/>
      <c r="BM17" s="112">
        <v>3.402581022440164</v>
      </c>
      <c r="BN17" s="112">
        <v>0</v>
      </c>
      <c r="BY17" s="113" t="s">
        <v>0</v>
      </c>
      <c r="BZ17" s="112" t="s">
        <v>19</v>
      </c>
      <c r="CA17" s="112" t="s">
        <v>33</v>
      </c>
      <c r="CB17" s="1" t="s">
        <v>18</v>
      </c>
      <c r="CO17" s="1">
        <v>-0.80755960410805083</v>
      </c>
      <c r="CP17" s="1">
        <v>3.1414814440322778</v>
      </c>
      <c r="CQ17" s="1">
        <v>0</v>
      </c>
      <c r="CS17" s="1">
        <v>0.7545599999999999</v>
      </c>
      <c r="CT17" s="1">
        <v>1.6540399177420588</v>
      </c>
      <c r="CU17" s="1">
        <v>23</v>
      </c>
      <c r="DJ17" s="195">
        <v>1.4975622033645566</v>
      </c>
      <c r="DK17" s="196">
        <v>2.2130814440322788</v>
      </c>
      <c r="DL17" s="197">
        <v>0</v>
      </c>
    </row>
    <row r="18" spans="1:116">
      <c r="A18" s="3">
        <f t="shared" si="0"/>
        <v>41559</v>
      </c>
      <c r="E18" s="35">
        <f t="shared" si="1"/>
        <v>41559</v>
      </c>
      <c r="I18" s="101">
        <f t="shared" si="2"/>
        <v>41559</v>
      </c>
      <c r="M18" s="167">
        <f t="shared" si="3"/>
        <v>41559</v>
      </c>
      <c r="BK18" s="115">
        <v>41565</v>
      </c>
      <c r="BL18" s="112"/>
      <c r="BM18" s="112">
        <v>3.5956143565567311</v>
      </c>
      <c r="BN18" s="112">
        <v>0</v>
      </c>
      <c r="BY18" s="113">
        <v>41564</v>
      </c>
      <c r="BZ18" s="112"/>
      <c r="CA18" s="112">
        <v>3.1793810224401646</v>
      </c>
      <c r="CB18" s="132">
        <v>0</v>
      </c>
      <c r="CO18" s="1">
        <v>-0.56179775531487108</v>
      </c>
      <c r="CP18" s="1">
        <v>3.0159231540970928</v>
      </c>
      <c r="CQ18" s="1">
        <v>0</v>
      </c>
      <c r="CS18" s="1">
        <v>0.99504000000000004</v>
      </c>
      <c r="CT18" s="1">
        <v>1.6342223344097913</v>
      </c>
      <c r="CU18" s="1">
        <v>24</v>
      </c>
      <c r="DJ18" s="195">
        <v>1.8517498878099174</v>
      </c>
      <c r="DK18" s="196">
        <v>1.9673231540970932</v>
      </c>
      <c r="DL18" s="197">
        <v>0</v>
      </c>
    </row>
    <row r="19" spans="1:116">
      <c r="A19" s="3">
        <f t="shared" si="0"/>
        <v>41560</v>
      </c>
      <c r="E19" s="35">
        <f t="shared" si="1"/>
        <v>41560</v>
      </c>
      <c r="I19" s="101">
        <f t="shared" si="2"/>
        <v>41560</v>
      </c>
      <c r="M19" s="167">
        <f t="shared" si="3"/>
        <v>41560</v>
      </c>
      <c r="BK19" s="115">
        <v>41567</v>
      </c>
      <c r="BL19" s="112"/>
      <c r="BM19" s="112">
        <v>3.9735063881024368</v>
      </c>
      <c r="BN19" s="112">
        <v>0</v>
      </c>
      <c r="BY19" s="113">
        <v>41565</v>
      </c>
      <c r="BZ19" s="112"/>
      <c r="CA19" s="112">
        <v>3.2773143565567313</v>
      </c>
      <c r="CB19" s="132">
        <v>0</v>
      </c>
      <c r="CO19" s="1">
        <v>-1.5749025158820305</v>
      </c>
      <c r="CP19" s="1">
        <v>2.8344742858665231</v>
      </c>
      <c r="CQ19" s="1">
        <v>0</v>
      </c>
      <c r="CS19" s="1">
        <v>-1.2182400000000002</v>
      </c>
      <c r="CT19" s="1">
        <v>1.6170466778126253</v>
      </c>
      <c r="CU19" s="1">
        <v>25</v>
      </c>
      <c r="DJ19" s="195">
        <v>-0.50943277788117691</v>
      </c>
      <c r="DK19" s="196">
        <v>1.6719742858665225</v>
      </c>
      <c r="DL19" s="197">
        <v>0</v>
      </c>
    </row>
    <row r="20" spans="1:116">
      <c r="A20" s="3">
        <f t="shared" si="0"/>
        <v>41561</v>
      </c>
      <c r="E20" s="35">
        <f t="shared" si="1"/>
        <v>41561</v>
      </c>
      <c r="I20" s="101">
        <f t="shared" si="2"/>
        <v>41561</v>
      </c>
      <c r="M20" s="167">
        <f t="shared" si="3"/>
        <v>41561</v>
      </c>
      <c r="AH20" s="114" t="s">
        <v>0</v>
      </c>
      <c r="AI20" s="173" t="s">
        <v>20</v>
      </c>
      <c r="AJ20" s="173" t="s">
        <v>21</v>
      </c>
      <c r="AK20" s="173" t="s">
        <v>62</v>
      </c>
      <c r="BK20" s="115">
        <v>41568</v>
      </c>
      <c r="BL20" s="112"/>
      <c r="BM20" s="112">
        <v>4.0705503382091868</v>
      </c>
      <c r="BN20" s="112">
        <v>0</v>
      </c>
      <c r="BY20" s="113">
        <v>41567</v>
      </c>
      <c r="BZ20" s="112"/>
      <c r="CA20" s="112">
        <v>3.4026063881024378</v>
      </c>
      <c r="CB20" s="132">
        <v>0</v>
      </c>
      <c r="CO20" s="1">
        <v>-1.2738120930003871</v>
      </c>
      <c r="CP20" s="1">
        <v>2.808250769200066</v>
      </c>
      <c r="CQ20" s="1">
        <v>0</v>
      </c>
      <c r="CS20" s="1">
        <v>1.3881599999999998</v>
      </c>
      <c r="CT20" s="1">
        <v>1.6136663127128439</v>
      </c>
      <c r="CU20" s="1">
        <v>26</v>
      </c>
      <c r="DJ20" s="195"/>
      <c r="DK20" s="196">
        <v>1.638650769200066</v>
      </c>
      <c r="DL20" s="197">
        <v>0</v>
      </c>
    </row>
    <row r="21" spans="1:116">
      <c r="A21" s="3">
        <f t="shared" si="0"/>
        <v>41562</v>
      </c>
      <c r="E21" s="35">
        <f t="shared" si="1"/>
        <v>41562</v>
      </c>
      <c r="I21" s="101">
        <f t="shared" si="2"/>
        <v>41562</v>
      </c>
      <c r="M21" s="167">
        <f t="shared" si="3"/>
        <v>41562</v>
      </c>
      <c r="AH21" s="113">
        <v>41564</v>
      </c>
      <c r="AI21" s="1"/>
      <c r="AJ21" s="1">
        <v>3.1435810224401641</v>
      </c>
      <c r="AK21" s="1">
        <v>0</v>
      </c>
      <c r="AV21" s="867" t="s">
        <v>0</v>
      </c>
      <c r="AW21" s="866" t="s">
        <v>47</v>
      </c>
      <c r="AX21" s="865" t="s">
        <v>48</v>
      </c>
      <c r="AY21" s="864" t="s">
        <v>49</v>
      </c>
      <c r="BK21" s="115">
        <v>41571</v>
      </c>
      <c r="BL21" s="112"/>
      <c r="BM21" s="112">
        <v>3.9363337677375876</v>
      </c>
      <c r="BN21" s="112">
        <v>0</v>
      </c>
      <c r="BY21" s="113">
        <v>41568</v>
      </c>
      <c r="BZ21" s="112"/>
      <c r="CA21" s="112">
        <v>3.4228503382091855</v>
      </c>
      <c r="CB21" s="132">
        <v>0</v>
      </c>
      <c r="CO21" s="1">
        <v>-1.556060318742158</v>
      </c>
      <c r="CP21" s="1">
        <v>2.797992491013344</v>
      </c>
      <c r="CQ21" s="1">
        <v>0</v>
      </c>
      <c r="CS21" s="1">
        <v>0.98639999999999994</v>
      </c>
      <c r="CT21" s="1">
        <v>1.5972505666279342</v>
      </c>
      <c r="CU21" s="1">
        <v>27</v>
      </c>
      <c r="DJ21" s="195">
        <v>0.65296018157465396</v>
      </c>
      <c r="DK21" s="196">
        <v>1.6298924910133441</v>
      </c>
      <c r="DL21" s="197">
        <v>0</v>
      </c>
    </row>
    <row r="22" spans="1:116">
      <c r="A22" s="3">
        <f t="shared" si="0"/>
        <v>41563</v>
      </c>
      <c r="E22" s="35">
        <f t="shared" si="1"/>
        <v>41563</v>
      </c>
      <c r="I22" s="101">
        <f t="shared" si="2"/>
        <v>41563</v>
      </c>
      <c r="M22" s="167">
        <f t="shared" si="3"/>
        <v>41563</v>
      </c>
      <c r="AH22" s="113">
        <v>41565</v>
      </c>
      <c r="AI22" s="1"/>
      <c r="AJ22" s="1">
        <v>3.2043143565567305</v>
      </c>
      <c r="AK22" s="1">
        <v>0</v>
      </c>
      <c r="AV22" s="867"/>
      <c r="AW22" s="866"/>
      <c r="AX22" s="865"/>
      <c r="AY22" s="864"/>
      <c r="BK22" s="115">
        <v>41572</v>
      </c>
      <c r="BL22" s="112"/>
      <c r="BM22" s="112">
        <v>3.8828229280280384</v>
      </c>
      <c r="BN22" s="112">
        <v>0</v>
      </c>
      <c r="BY22" s="113">
        <v>41571</v>
      </c>
      <c r="BZ22" s="112"/>
      <c r="CA22" s="112">
        <v>3.371833767737586</v>
      </c>
      <c r="CB22" s="132">
        <v>0</v>
      </c>
      <c r="CO22" s="1">
        <v>4.1422390507913145E-2</v>
      </c>
      <c r="CP22" s="1">
        <v>2.7761663033140755</v>
      </c>
      <c r="CQ22" s="1">
        <v>0</v>
      </c>
      <c r="CS22" s="1">
        <v>0.63648000000000005</v>
      </c>
      <c r="CT22" s="1">
        <v>1.5800470923556609</v>
      </c>
      <c r="CU22" s="1">
        <v>28</v>
      </c>
      <c r="DJ22" s="195">
        <v>0.7389882085370294</v>
      </c>
      <c r="DK22" s="196">
        <v>1.5979663033140761</v>
      </c>
      <c r="DL22" s="197">
        <v>0</v>
      </c>
    </row>
    <row r="23" spans="1:116">
      <c r="A23" s="3">
        <f t="shared" si="0"/>
        <v>41564</v>
      </c>
      <c r="B23" s="13">
        <f>'Tank Data'!H23</f>
        <v>-29.113842827575777</v>
      </c>
      <c r="C23" s="13">
        <f>'Tank Data'!E23</f>
        <v>3.001481022440164</v>
      </c>
      <c r="D23" s="127">
        <v>0</v>
      </c>
      <c r="E23" s="35">
        <f t="shared" si="1"/>
        <v>41564</v>
      </c>
      <c r="F23" s="37">
        <f>'Tank Data'!P23</f>
        <v>-40.14732068659071</v>
      </c>
      <c r="G23" s="37">
        <f>'Tank Data'!M23</f>
        <v>3.1793810224401646</v>
      </c>
      <c r="H23" s="128">
        <v>0</v>
      </c>
      <c r="I23" s="101">
        <f t="shared" si="2"/>
        <v>41564</v>
      </c>
      <c r="J23" s="109">
        <f>'Tank Data'!X23</f>
        <v>-79.973350146190668</v>
      </c>
      <c r="K23" s="109">
        <f>'Tank Data'!U23</f>
        <v>3.402581022440164</v>
      </c>
      <c r="L23" s="130">
        <v>0</v>
      </c>
      <c r="M23" s="167">
        <f t="shared" si="3"/>
        <v>41564</v>
      </c>
      <c r="N23" s="170">
        <f>'Tank Data'!AF23</f>
        <v>-53.439130055378115</v>
      </c>
      <c r="O23" s="170">
        <f>'Tank Data'!AC23</f>
        <v>3.1435810224401641</v>
      </c>
      <c r="P23" s="171">
        <v>0</v>
      </c>
      <c r="AH23" s="113">
        <v>41567</v>
      </c>
      <c r="AI23" s="1"/>
      <c r="AJ23" s="1">
        <v>3.3996063881024372</v>
      </c>
      <c r="AK23" s="1">
        <v>0</v>
      </c>
      <c r="AV23" s="115">
        <v>41564</v>
      </c>
      <c r="AW23" s="112"/>
      <c r="AX23" s="100">
        <v>3.001481022440164</v>
      </c>
      <c r="AY23" s="132">
        <v>0</v>
      </c>
      <c r="BK23" s="115">
        <v>41573</v>
      </c>
      <c r="BL23" s="112"/>
      <c r="BM23" s="112">
        <v>3.8284341775812392</v>
      </c>
      <c r="BN23" s="112">
        <v>0</v>
      </c>
      <c r="BY23" s="113">
        <v>41572</v>
      </c>
      <c r="BZ23" s="112"/>
      <c r="CA23" s="112">
        <v>3.3511229280280386</v>
      </c>
      <c r="CB23" s="132">
        <v>0</v>
      </c>
      <c r="CO23" s="1">
        <v>-3.6344173030996401</v>
      </c>
      <c r="CP23" s="1">
        <v>2.4986572820543489</v>
      </c>
      <c r="CQ23" s="1">
        <v>0</v>
      </c>
      <c r="CS23" s="1">
        <v>0.58608000000000005</v>
      </c>
      <c r="CT23" s="1">
        <v>1.5642311436986165</v>
      </c>
      <c r="CU23" s="1">
        <v>29</v>
      </c>
      <c r="DJ23" s="195">
        <v>0.10292249308495628</v>
      </c>
      <c r="DK23" s="196">
        <v>1.3670572820543492</v>
      </c>
      <c r="DL23" s="197">
        <v>0</v>
      </c>
    </row>
    <row r="24" spans="1:116">
      <c r="A24" s="3">
        <f t="shared" si="0"/>
        <v>41565</v>
      </c>
      <c r="B24" s="13">
        <f>'Tank Data'!H24</f>
        <v>2.716601369125919</v>
      </c>
      <c r="C24" s="13">
        <f>'Tank Data'!E24</f>
        <v>3.0295143565567302</v>
      </c>
      <c r="D24" s="127">
        <v>0</v>
      </c>
      <c r="E24" s="35">
        <f t="shared" si="1"/>
        <v>41565</v>
      </c>
      <c r="F24" s="37">
        <f>'Tank Data'!P24</f>
        <v>-0.6615640898907964</v>
      </c>
      <c r="G24" s="37">
        <f>'Tank Data'!M24</f>
        <v>3.2773143565567313</v>
      </c>
      <c r="H24" s="128">
        <v>0</v>
      </c>
      <c r="I24" s="101">
        <f t="shared" si="2"/>
        <v>41565</v>
      </c>
      <c r="J24" s="109">
        <f>'Tank Data'!X24</f>
        <v>2.6177410127786906</v>
      </c>
      <c r="K24" s="109">
        <f>'Tank Data'!U24</f>
        <v>3.5956143565567311</v>
      </c>
      <c r="L24" s="130">
        <v>0</v>
      </c>
      <c r="M24" s="167">
        <f t="shared" si="3"/>
        <v>41565</v>
      </c>
      <c r="N24" s="170">
        <f>'Tank Data'!AF24</f>
        <v>-0.33147637182707679</v>
      </c>
      <c r="O24" s="170">
        <f>'Tank Data'!AC24</f>
        <v>3.2043143565567305</v>
      </c>
      <c r="P24" s="171">
        <v>0</v>
      </c>
      <c r="AH24" s="113">
        <v>41568</v>
      </c>
      <c r="AI24" s="1"/>
      <c r="AJ24" s="1">
        <v>3.2055503382091852</v>
      </c>
      <c r="AK24" s="1">
        <v>0</v>
      </c>
      <c r="AV24" s="115">
        <v>41565</v>
      </c>
      <c r="AW24" s="112"/>
      <c r="AX24" s="100">
        <v>3.0295143565567302</v>
      </c>
      <c r="AY24" s="132">
        <v>0</v>
      </c>
      <c r="BK24" s="115">
        <v>41580</v>
      </c>
      <c r="BL24" s="112">
        <v>2.4968238271798624</v>
      </c>
      <c r="BM24" s="112">
        <v>3.5144710094669973</v>
      </c>
      <c r="BN24" s="112">
        <v>0</v>
      </c>
      <c r="BY24" s="113">
        <v>41573</v>
      </c>
      <c r="BZ24" s="112"/>
      <c r="CA24" s="112">
        <v>3.3322341775812401</v>
      </c>
      <c r="CB24" s="132">
        <v>0</v>
      </c>
      <c r="CO24" s="1">
        <v>-0.85800801115005854</v>
      </c>
      <c r="CP24" s="1">
        <v>2.5224521919043883</v>
      </c>
      <c r="CQ24" s="1">
        <v>0</v>
      </c>
      <c r="CS24" s="175">
        <v>0.78335999999999995</v>
      </c>
      <c r="CT24" s="175">
        <v>1.5474288942579135</v>
      </c>
      <c r="CU24" s="176">
        <v>30</v>
      </c>
      <c r="DJ24" s="195">
        <v>0.39759845246897624</v>
      </c>
      <c r="DK24" s="196">
        <v>1.3745521919043875</v>
      </c>
      <c r="DL24" s="197">
        <v>0</v>
      </c>
    </row>
    <row r="25" spans="1:116">
      <c r="A25" s="3">
        <f t="shared" si="0"/>
        <v>41566</v>
      </c>
      <c r="B25" s="13">
        <f>'Tank Data'!H25</f>
        <v>-6.9865281303983009</v>
      </c>
      <c r="C25" s="13">
        <f>'Tank Data'!E25</f>
        <v>3.1842159959313361</v>
      </c>
      <c r="D25" s="127">
        <v>1</v>
      </c>
      <c r="E25" s="35">
        <f t="shared" si="1"/>
        <v>41566</v>
      </c>
      <c r="F25" s="37">
        <f>'Tank Data'!P25</f>
        <v>-6.8159109733490268</v>
      </c>
      <c r="G25" s="37">
        <f>'Tank Data'!M25</f>
        <v>3.3345159959313371</v>
      </c>
      <c r="H25" s="128">
        <v>1</v>
      </c>
      <c r="I25" s="101">
        <f t="shared" si="2"/>
        <v>41566</v>
      </c>
      <c r="J25" s="109">
        <f>'Tank Data'!X25</f>
        <v>-0.56387212943336684</v>
      </c>
      <c r="K25" s="109">
        <f>'Tank Data'!U25</f>
        <v>3.7167159959313372</v>
      </c>
      <c r="L25" s="130">
        <v>1</v>
      </c>
      <c r="M25" s="167">
        <f t="shared" si="3"/>
        <v>41566</v>
      </c>
      <c r="N25" s="170">
        <f>'Tank Data'!AF25</f>
        <v>12.550215143008876</v>
      </c>
      <c r="O25" s="170">
        <f>'Tank Data'!AC25</f>
        <v>3.2750159959313367</v>
      </c>
      <c r="P25" s="171">
        <v>1</v>
      </c>
      <c r="AH25" s="113">
        <v>41571</v>
      </c>
      <c r="AI25" s="1">
        <v>5.7906656274811161E-2</v>
      </c>
      <c r="AJ25" s="1">
        <v>3.1485337677375855</v>
      </c>
      <c r="AK25" s="1">
        <v>0</v>
      </c>
      <c r="AV25" s="117">
        <v>41567</v>
      </c>
      <c r="AW25" s="28"/>
      <c r="AX25" s="100">
        <v>3.1727063881024375</v>
      </c>
      <c r="AY25" s="132">
        <v>0</v>
      </c>
      <c r="BK25" s="115">
        <v>41582</v>
      </c>
      <c r="BL25" s="112">
        <v>2.6144485453752178</v>
      </c>
      <c r="BM25" s="112">
        <v>3.4474771477230091</v>
      </c>
      <c r="BN25" s="112">
        <v>0</v>
      </c>
      <c r="BY25" s="113">
        <v>41580</v>
      </c>
      <c r="BZ25" s="112">
        <v>0.50279075182196653</v>
      </c>
      <c r="CA25" s="112">
        <v>3.1945710094669977</v>
      </c>
      <c r="CB25" s="132">
        <v>0</v>
      </c>
      <c r="CO25" s="1"/>
      <c r="CP25" s="1">
        <v>3.2750159959313367</v>
      </c>
      <c r="CQ25" s="1">
        <v>1</v>
      </c>
      <c r="CS25" s="1">
        <v>0.62783999999999995</v>
      </c>
      <c r="CT25" s="1">
        <v>1.5286434131615603</v>
      </c>
      <c r="CU25" s="1">
        <v>31</v>
      </c>
      <c r="DJ25" s="191"/>
      <c r="DK25" s="191">
        <v>3.1435810224401641</v>
      </c>
      <c r="DL25" s="191">
        <v>0</v>
      </c>
    </row>
    <row r="26" spans="1:116">
      <c r="A26" s="3">
        <f t="shared" si="0"/>
        <v>41567</v>
      </c>
      <c r="B26" s="13">
        <f>'Tank Data'!H26</f>
        <v>0.21632796069424831</v>
      </c>
      <c r="C26" s="13">
        <f>'Tank Data'!E26</f>
        <v>3.1727063881024375</v>
      </c>
      <c r="D26" s="127">
        <v>0</v>
      </c>
      <c r="E26" s="35">
        <f t="shared" si="1"/>
        <v>41567</v>
      </c>
      <c r="F26" s="37">
        <f>'Tank Data'!P26</f>
        <v>-8.3333378152627002</v>
      </c>
      <c r="G26" s="37">
        <f>'Tank Data'!M26</f>
        <v>3.4026063881024378</v>
      </c>
      <c r="H26" s="128">
        <v>0</v>
      </c>
      <c r="I26" s="101">
        <f t="shared" si="2"/>
        <v>41567</v>
      </c>
      <c r="J26" s="109">
        <f>'Tank Data'!X26</f>
        <v>-58.238376605933176</v>
      </c>
      <c r="K26" s="109">
        <f>'Tank Data'!U26</f>
        <v>3.9735063881024368</v>
      </c>
      <c r="L26" s="130">
        <v>0</v>
      </c>
      <c r="M26" s="167">
        <f t="shared" si="3"/>
        <v>41567</v>
      </c>
      <c r="N26" s="170">
        <f>'Tank Data'!AF26</f>
        <v>49.032408985437151</v>
      </c>
      <c r="O26" s="170">
        <f>'Tank Data'!AC26</f>
        <v>3.3996063881024372</v>
      </c>
      <c r="P26" s="171">
        <v>0</v>
      </c>
      <c r="AH26" s="113">
        <v>41572</v>
      </c>
      <c r="AI26" s="1">
        <v>-0.79545390828986051</v>
      </c>
      <c r="AJ26" s="1">
        <v>3.1297229280280372</v>
      </c>
      <c r="AK26" s="1">
        <v>0</v>
      </c>
      <c r="AV26" s="115">
        <v>41568</v>
      </c>
      <c r="AW26" s="112"/>
      <c r="AX26" s="100">
        <v>3.1319503382091853</v>
      </c>
      <c r="AY26" s="132">
        <v>0</v>
      </c>
      <c r="BK26" s="115">
        <v>41583</v>
      </c>
      <c r="BL26" s="112">
        <v>2.4849697336963619</v>
      </c>
      <c r="BM26" s="112">
        <v>3.4445194843017637</v>
      </c>
      <c r="BN26" s="112">
        <v>0</v>
      </c>
      <c r="BY26" s="113">
        <v>41582</v>
      </c>
      <c r="BZ26" s="112">
        <v>1.4949716434717337</v>
      </c>
      <c r="CA26" s="112">
        <v>3.1596771477230092</v>
      </c>
      <c r="CB26" s="132">
        <v>0</v>
      </c>
      <c r="CO26" s="1"/>
      <c r="CP26" s="1">
        <v>3.2147947052086621</v>
      </c>
      <c r="CQ26" s="1">
        <v>1</v>
      </c>
      <c r="CS26" s="1">
        <v>0.54143999999999992</v>
      </c>
      <c r="CT26" s="1">
        <v>1.5106092617073847</v>
      </c>
      <c r="CU26" s="1">
        <v>32</v>
      </c>
      <c r="DJ26" s="191"/>
      <c r="DK26" s="191">
        <v>3.2043143565567305</v>
      </c>
      <c r="DL26" s="191">
        <v>0</v>
      </c>
    </row>
    <row r="27" spans="1:116">
      <c r="A27" s="3">
        <f t="shared" si="0"/>
        <v>41568</v>
      </c>
      <c r="B27" s="13">
        <f>'Tank Data'!H27</f>
        <v>3.466658489390702</v>
      </c>
      <c r="C27" s="13">
        <f>'Tank Data'!E27</f>
        <v>3.1319503382091853</v>
      </c>
      <c r="D27" s="127">
        <v>0</v>
      </c>
      <c r="E27" s="35">
        <f t="shared" si="1"/>
        <v>41568</v>
      </c>
      <c r="F27" s="37">
        <f>'Tank Data'!P27</f>
        <v>-0.63448691881859731</v>
      </c>
      <c r="G27" s="37">
        <f>'Tank Data'!M27</f>
        <v>3.4228503382091855</v>
      </c>
      <c r="H27" s="128">
        <v>0</v>
      </c>
      <c r="I27" s="101">
        <f t="shared" si="2"/>
        <v>41568</v>
      </c>
      <c r="J27" s="109">
        <f>'Tank Data'!X27</f>
        <v>5.5839163343111604</v>
      </c>
      <c r="K27" s="109">
        <f>'Tank Data'!U27</f>
        <v>4.0705503382091868</v>
      </c>
      <c r="L27" s="130">
        <v>0</v>
      </c>
      <c r="M27" s="167">
        <f t="shared" si="3"/>
        <v>41568</v>
      </c>
      <c r="N27" s="170">
        <f>'Tank Data'!AF27</f>
        <v>-0.14392828975426342</v>
      </c>
      <c r="O27" s="170">
        <f>'Tank Data'!AC27</f>
        <v>3.2055503382091852</v>
      </c>
      <c r="P27" s="171">
        <v>0</v>
      </c>
      <c r="AH27" s="113">
        <v>41573</v>
      </c>
      <c r="AI27" s="1">
        <v>0.23953170807214652</v>
      </c>
      <c r="AJ27" s="1">
        <v>3.1196341775812395</v>
      </c>
      <c r="AK27" s="1">
        <v>0</v>
      </c>
      <c r="AV27" s="115">
        <v>41571</v>
      </c>
      <c r="AW27" s="112"/>
      <c r="AX27" s="100">
        <v>2.9996337677375871</v>
      </c>
      <c r="AY27" s="132">
        <v>0</v>
      </c>
      <c r="BK27" s="115">
        <v>41584</v>
      </c>
      <c r="BL27" s="112">
        <v>2.4427990299302671</v>
      </c>
      <c r="BM27" s="112">
        <v>3.42052888955853</v>
      </c>
      <c r="BN27" s="119">
        <v>0</v>
      </c>
      <c r="BY27" s="113">
        <v>41583</v>
      </c>
      <c r="BZ27" s="112">
        <v>0.42338980618710281</v>
      </c>
      <c r="CA27" s="112">
        <v>3.1680194843017642</v>
      </c>
      <c r="CB27" s="132">
        <v>0</v>
      </c>
      <c r="CO27" s="1">
        <v>0.10653296367176025</v>
      </c>
      <c r="CP27" s="1">
        <v>3.0979409376518041</v>
      </c>
      <c r="CQ27" s="1">
        <v>1</v>
      </c>
      <c r="CS27" s="1">
        <v>0.64512000000000003</v>
      </c>
      <c r="CT27" s="1">
        <v>1.4923460747956052</v>
      </c>
      <c r="CU27" s="1">
        <v>33</v>
      </c>
      <c r="DJ27" s="191"/>
      <c r="DK27" s="191">
        <v>3.3996063881024372</v>
      </c>
      <c r="DL27" s="191">
        <v>0</v>
      </c>
    </row>
    <row r="28" spans="1:116">
      <c r="A28" s="3">
        <f t="shared" si="0"/>
        <v>41569</v>
      </c>
      <c r="B28" s="13">
        <f>'Tank Data'!H28</f>
        <v>3.3920863402552461</v>
      </c>
      <c r="C28" s="13">
        <f>'Tank Data'!E28</f>
        <v>3.0868947052086626</v>
      </c>
      <c r="D28" s="127">
        <v>1</v>
      </c>
      <c r="E28" s="35">
        <f t="shared" si="1"/>
        <v>41569</v>
      </c>
      <c r="F28" s="37">
        <f>'Tank Data'!P28</f>
        <v>1.0394279105713664</v>
      </c>
      <c r="G28" s="37">
        <f>'Tank Data'!M28</f>
        <v>3.4088947052086631</v>
      </c>
      <c r="H28" s="128">
        <v>1</v>
      </c>
      <c r="I28" s="101">
        <f t="shared" si="2"/>
        <v>41569</v>
      </c>
      <c r="J28" s="109">
        <f>'Tank Data'!X28</f>
        <v>5.0937353449505034</v>
      </c>
      <c r="K28" s="109">
        <f>'Tank Data'!U28</f>
        <v>4.0373947052086629</v>
      </c>
      <c r="L28" s="130">
        <v>1</v>
      </c>
      <c r="M28" s="167">
        <f t="shared" si="3"/>
        <v>41569</v>
      </c>
      <c r="N28" s="170">
        <f>'Tank Data'!AF28</f>
        <v>1.8891291210258447</v>
      </c>
      <c r="O28" s="170">
        <f>'Tank Data'!AC28</f>
        <v>3.2147947052086621</v>
      </c>
      <c r="P28" s="171">
        <v>1</v>
      </c>
      <c r="AH28" s="113">
        <v>41580</v>
      </c>
      <c r="AI28" s="1">
        <v>-1.0351261824847269</v>
      </c>
      <c r="AJ28" s="1">
        <v>2.9733710094669976</v>
      </c>
      <c r="AK28" s="1">
        <v>0</v>
      </c>
      <c r="AV28" s="115">
        <v>41572</v>
      </c>
      <c r="AW28" s="112"/>
      <c r="AX28" s="100">
        <v>2.9609229280280371</v>
      </c>
      <c r="AY28" s="132">
        <v>0</v>
      </c>
      <c r="BK28" s="115">
        <v>41593</v>
      </c>
      <c r="BL28" s="112">
        <v>2.5974172480089561</v>
      </c>
      <c r="BM28" s="112">
        <v>3.0834939113679729</v>
      </c>
      <c r="BN28" s="119">
        <v>0</v>
      </c>
      <c r="BY28" s="113">
        <v>41584</v>
      </c>
      <c r="BZ28" s="112">
        <v>-1.3908210673903559E-2</v>
      </c>
      <c r="CA28" s="112">
        <v>3.1691288895585306</v>
      </c>
      <c r="CB28" s="132">
        <v>0</v>
      </c>
      <c r="CO28" s="1">
        <v>-1.0332019764012534</v>
      </c>
      <c r="CP28" s="1">
        <v>2.9555802121516304</v>
      </c>
      <c r="CQ28" s="1">
        <v>1</v>
      </c>
      <c r="CS28" s="1">
        <v>1.1059199999999998</v>
      </c>
      <c r="CT28" s="1">
        <v>1.4737438253549064</v>
      </c>
      <c r="CU28" s="1">
        <v>34</v>
      </c>
      <c r="DJ28" s="191"/>
      <c r="DK28" s="191">
        <v>3.2055503382091852</v>
      </c>
      <c r="DL28" s="191">
        <v>0</v>
      </c>
    </row>
    <row r="29" spans="1:116">
      <c r="A29" s="3">
        <f t="shared" si="0"/>
        <v>41570</v>
      </c>
      <c r="B29" s="13">
        <f>'Tank Data'!H29</f>
        <v>2.1658642810269448</v>
      </c>
      <c r="C29" s="13">
        <f>'Tank Data'!E29</f>
        <v>3.0421924557679625</v>
      </c>
      <c r="D29" s="127">
        <v>2</v>
      </c>
      <c r="E29" s="35">
        <f t="shared" si="1"/>
        <v>41570</v>
      </c>
      <c r="F29" s="37">
        <f>'Tank Data'!P29</f>
        <v>1.1592289323187195</v>
      </c>
      <c r="G29" s="37">
        <f>'Tank Data'!M29</f>
        <v>3.3914924557679615</v>
      </c>
      <c r="H29" s="128">
        <v>2</v>
      </c>
      <c r="I29" s="101">
        <f t="shared" si="2"/>
        <v>41570</v>
      </c>
      <c r="J29" s="109">
        <f>'Tank Data'!X29</f>
        <v>4.1857935013886101</v>
      </c>
      <c r="K29" s="109">
        <f>'Tank Data'!U29</f>
        <v>3.9870924557679617</v>
      </c>
      <c r="L29" s="130">
        <v>2</v>
      </c>
      <c r="M29" s="167">
        <f t="shared" si="3"/>
        <v>41570</v>
      </c>
      <c r="N29" s="170">
        <f>'Tank Data'!AF29</f>
        <v>-0.81316758730067096</v>
      </c>
      <c r="O29" s="170">
        <f>'Tank Data'!AC29</f>
        <v>3.179992455767962</v>
      </c>
      <c r="P29" s="171">
        <v>2</v>
      </c>
      <c r="AH29" s="113">
        <v>41582</v>
      </c>
      <c r="AI29" s="1">
        <v>0.40960138061237988</v>
      </c>
      <c r="AJ29" s="1">
        <v>2.9368771477230093</v>
      </c>
      <c r="AK29" s="1">
        <v>0</v>
      </c>
      <c r="AV29" s="115">
        <v>41573</v>
      </c>
      <c r="AW29" s="112"/>
      <c r="AX29" s="100">
        <v>2.9154341775812385</v>
      </c>
      <c r="AY29" s="132">
        <v>0</v>
      </c>
      <c r="BK29" s="115">
        <v>41595</v>
      </c>
      <c r="BL29" s="112"/>
      <c r="BM29" s="112">
        <v>3.0008783584564283</v>
      </c>
      <c r="BN29" s="112">
        <v>0</v>
      </c>
      <c r="BY29" s="113">
        <v>41594</v>
      </c>
      <c r="BZ29" s="112">
        <v>0.50772944608594051</v>
      </c>
      <c r="CA29" s="112">
        <v>2.9560266236699828</v>
      </c>
      <c r="CB29" s="132">
        <v>0</v>
      </c>
      <c r="CO29" s="1">
        <v>-1.4589227979861892</v>
      </c>
      <c r="CP29" s="1">
        <v>2.9189530186407686</v>
      </c>
      <c r="CQ29" s="1">
        <v>1</v>
      </c>
      <c r="CS29" s="1">
        <v>0.93024000000000007</v>
      </c>
      <c r="CT29" s="1">
        <v>1.4548272572329988</v>
      </c>
      <c r="CU29" s="1">
        <v>35</v>
      </c>
      <c r="DJ29" s="191">
        <v>5.7906656274811161E-2</v>
      </c>
      <c r="DK29" s="191">
        <v>3.1485337677375855</v>
      </c>
      <c r="DL29" s="191">
        <v>0</v>
      </c>
    </row>
    <row r="30" spans="1:116">
      <c r="A30" s="3">
        <f t="shared" si="0"/>
        <v>41571</v>
      </c>
      <c r="B30" s="13">
        <f>'Tank Data'!H30</f>
        <v>2.4658880369421148</v>
      </c>
      <c r="C30" s="13">
        <f>'Tank Data'!E30</f>
        <v>2.9996337677375871</v>
      </c>
      <c r="D30" s="127">
        <v>0</v>
      </c>
      <c r="E30" s="35">
        <f t="shared" si="1"/>
        <v>41571</v>
      </c>
      <c r="F30" s="37">
        <f>'Tank Data'!P30</f>
        <v>1.4383277025029755</v>
      </c>
      <c r="G30" s="37">
        <f>'Tank Data'!M30</f>
        <v>3.371833767737586</v>
      </c>
      <c r="H30" s="128">
        <v>0</v>
      </c>
      <c r="I30" s="101">
        <f t="shared" si="2"/>
        <v>41571</v>
      </c>
      <c r="J30" s="109">
        <f>'Tank Data'!X30</f>
        <v>5.5388270426736348</v>
      </c>
      <c r="K30" s="109">
        <f>'Tank Data'!U30</f>
        <v>3.9363337677375876</v>
      </c>
      <c r="L30" s="130">
        <v>0</v>
      </c>
      <c r="M30" s="167">
        <f t="shared" si="3"/>
        <v>41571</v>
      </c>
      <c r="N30" s="170">
        <f>'Tank Data'!AF30</f>
        <v>5.7906656274811161E-2</v>
      </c>
      <c r="O30" s="170">
        <f>'Tank Data'!AC30</f>
        <v>3.1485337677375855</v>
      </c>
      <c r="P30" s="171">
        <v>0</v>
      </c>
      <c r="AH30" s="113">
        <v>41583</v>
      </c>
      <c r="AI30" s="1">
        <v>-2.0403830948889263</v>
      </c>
      <c r="AJ30" s="1">
        <v>2.9495194843017631</v>
      </c>
      <c r="AK30" s="1">
        <v>0</v>
      </c>
      <c r="AV30" s="116">
        <v>41580</v>
      </c>
      <c r="AW30" s="112">
        <v>1.2391627813077115</v>
      </c>
      <c r="AX30" s="100">
        <v>2.6588710094669961</v>
      </c>
      <c r="AY30" s="132">
        <v>0</v>
      </c>
      <c r="BK30" s="115">
        <v>41596</v>
      </c>
      <c r="BL30" s="112">
        <v>-3.71</v>
      </c>
      <c r="BM30" s="112">
        <v>3.7856730516361816</v>
      </c>
      <c r="BN30" s="112">
        <v>0</v>
      </c>
      <c r="BY30" s="113">
        <v>41596</v>
      </c>
      <c r="BZ30" s="112">
        <v>0.65789852459403453</v>
      </c>
      <c r="CA30" s="112">
        <v>3.230673051636181</v>
      </c>
      <c r="CB30" s="132">
        <v>0</v>
      </c>
      <c r="CO30" s="1"/>
      <c r="CP30" s="1">
        <v>2.6427783584564284</v>
      </c>
      <c r="CQ30" s="1">
        <v>1</v>
      </c>
      <c r="CS30" s="1">
        <v>0.70992</v>
      </c>
      <c r="CT30" s="1">
        <v>1.434738718757099</v>
      </c>
      <c r="CU30" s="1">
        <v>36</v>
      </c>
      <c r="DJ30" s="191">
        <v>-0.79545390828986051</v>
      </c>
      <c r="DK30" s="191">
        <v>3.1297229280280372</v>
      </c>
      <c r="DL30" s="191">
        <v>0</v>
      </c>
    </row>
    <row r="31" spans="1:116">
      <c r="A31" s="3">
        <f t="shared" si="0"/>
        <v>41572</v>
      </c>
      <c r="B31" s="13">
        <f>'Tank Data'!H31</f>
        <v>2.3188057761894143</v>
      </c>
      <c r="C31" s="13">
        <f>'Tank Data'!E31</f>
        <v>2.9609229280280371</v>
      </c>
      <c r="D31" s="127">
        <v>0</v>
      </c>
      <c r="E31" s="35">
        <f t="shared" si="1"/>
        <v>41572</v>
      </c>
      <c r="F31" s="37">
        <f>'Tank Data'!P31</f>
        <v>1.7180797601324966</v>
      </c>
      <c r="G31" s="37">
        <f>'Tank Data'!M31</f>
        <v>3.3511229280280386</v>
      </c>
      <c r="H31" s="128">
        <v>0</v>
      </c>
      <c r="I31" s="101">
        <f t="shared" si="2"/>
        <v>41572</v>
      </c>
      <c r="J31" s="109">
        <f>'Tank Data'!X31</f>
        <v>4.3432434144931031</v>
      </c>
      <c r="K31" s="109">
        <f>'Tank Data'!U31</f>
        <v>3.8828229280280384</v>
      </c>
      <c r="L31" s="130">
        <v>0</v>
      </c>
      <c r="M31" s="167">
        <f t="shared" si="3"/>
        <v>41572</v>
      </c>
      <c r="N31" s="170">
        <f>'Tank Data'!AF31</f>
        <v>-0.79545390828986051</v>
      </c>
      <c r="O31" s="170">
        <f>'Tank Data'!AC31</f>
        <v>3.1297229280280372</v>
      </c>
      <c r="P31" s="171">
        <v>0</v>
      </c>
      <c r="AH31" s="113">
        <v>41584</v>
      </c>
      <c r="AI31" s="1">
        <v>-1.5695544001749746</v>
      </c>
      <c r="AJ31" s="1">
        <v>2.9404288895585302</v>
      </c>
      <c r="AK31" s="1">
        <v>0</v>
      </c>
      <c r="AV31" s="116">
        <v>41582</v>
      </c>
      <c r="AW31" s="112">
        <v>1.3690966106416618</v>
      </c>
      <c r="AX31" s="100">
        <v>2.5902771477230098</v>
      </c>
      <c r="AY31" s="132">
        <v>0</v>
      </c>
      <c r="BK31" s="115">
        <v>41601</v>
      </c>
      <c r="BL31" s="112">
        <v>2.609304577817432</v>
      </c>
      <c r="BM31" s="112">
        <v>3.6221720246773588</v>
      </c>
      <c r="BN31" s="112">
        <v>0</v>
      </c>
      <c r="BY31" s="113">
        <v>41597</v>
      </c>
      <c r="BZ31" s="112">
        <v>-1.6312359796333313</v>
      </c>
      <c r="CA31" s="112">
        <v>3.2119814440322791</v>
      </c>
      <c r="CB31" s="132">
        <v>0</v>
      </c>
      <c r="CO31" s="1">
        <v>-0.37989048676427656</v>
      </c>
      <c r="CP31" s="1">
        <v>3.1183401297129616</v>
      </c>
      <c r="CQ31" s="1">
        <v>1</v>
      </c>
      <c r="CS31" s="1">
        <v>0.60624000000000011</v>
      </c>
      <c r="CT31" s="1">
        <v>1.4139307456034245</v>
      </c>
      <c r="CU31" s="1">
        <v>37</v>
      </c>
      <c r="DJ31" s="191">
        <v>0.23953170807214652</v>
      </c>
      <c r="DK31" s="191">
        <v>3.1196341775812395</v>
      </c>
      <c r="DL31" s="191">
        <v>0</v>
      </c>
    </row>
    <row r="32" spans="1:116">
      <c r="A32" s="3">
        <f t="shared" si="0"/>
        <v>41573</v>
      </c>
      <c r="B32" s="13">
        <f>'Tank Data'!H32</f>
        <v>2.5485912338155376</v>
      </c>
      <c r="C32" s="13">
        <f>'Tank Data'!E32</f>
        <v>2.9154341775812385</v>
      </c>
      <c r="D32" s="127">
        <v>0</v>
      </c>
      <c r="E32" s="35">
        <f t="shared" si="1"/>
        <v>41573</v>
      </c>
      <c r="F32" s="37">
        <f>'Tank Data'!P32</f>
        <v>2.372024507120182</v>
      </c>
      <c r="G32" s="37">
        <f>'Tank Data'!M32</f>
        <v>3.3322341775812401</v>
      </c>
      <c r="H32" s="128">
        <v>0</v>
      </c>
      <c r="I32" s="101">
        <f t="shared" si="2"/>
        <v>41573</v>
      </c>
      <c r="J32" s="109">
        <f>'Tank Data'!X32</f>
        <v>5.0342961067394389</v>
      </c>
      <c r="K32" s="109">
        <f>'Tank Data'!U32</f>
        <v>3.8284341775812392</v>
      </c>
      <c r="L32" s="130">
        <v>0</v>
      </c>
      <c r="M32" s="167">
        <f t="shared" si="3"/>
        <v>41573</v>
      </c>
      <c r="N32" s="170">
        <f>'Tank Data'!AF32</f>
        <v>0.23953170807214652</v>
      </c>
      <c r="O32" s="170">
        <f>'Tank Data'!AC32</f>
        <v>3.1196341775812395</v>
      </c>
      <c r="P32" s="171">
        <v>0</v>
      </c>
      <c r="AH32" s="113">
        <v>41594</v>
      </c>
      <c r="AI32" s="1">
        <v>0.16564679449580372</v>
      </c>
      <c r="AJ32" s="1">
        <v>2.681026623669982</v>
      </c>
      <c r="AK32" s="1">
        <v>0</v>
      </c>
      <c r="AV32" s="116">
        <v>41583</v>
      </c>
      <c r="AW32" s="112">
        <v>0.23723239823112835</v>
      </c>
      <c r="AX32" s="100">
        <v>2.6102194843017643</v>
      </c>
      <c r="AY32" s="132">
        <v>0</v>
      </c>
      <c r="BK32" s="115">
        <v>41608</v>
      </c>
      <c r="BL32" s="112">
        <v>1.7413050798229988</v>
      </c>
      <c r="BM32" s="112">
        <v>3.339745248059228</v>
      </c>
      <c r="BN32" s="119">
        <v>0</v>
      </c>
      <c r="BY32" s="113">
        <v>41602</v>
      </c>
      <c r="BZ32" s="112">
        <v>2.4109397683936313</v>
      </c>
      <c r="CA32" s="112">
        <v>3.1047231540970941</v>
      </c>
      <c r="CB32" s="132">
        <v>0</v>
      </c>
      <c r="CO32" s="1">
        <v>-0.58996450647456522</v>
      </c>
      <c r="CP32" s="1">
        <v>2.9912139537621534</v>
      </c>
      <c r="CQ32" s="1">
        <v>1</v>
      </c>
      <c r="CS32" s="1">
        <v>0.48527999999999999</v>
      </c>
      <c r="CT32" s="1">
        <v>1.3935712355360539</v>
      </c>
      <c r="CU32" s="1">
        <v>38</v>
      </c>
      <c r="DJ32" s="191">
        <v>-1.0351261824847269</v>
      </c>
      <c r="DK32" s="191">
        <v>2.9733710094669976</v>
      </c>
      <c r="DL32" s="191">
        <v>0</v>
      </c>
    </row>
    <row r="33" spans="1:116">
      <c r="A33" s="3">
        <f t="shared" si="0"/>
        <v>41574</v>
      </c>
      <c r="B33" s="13">
        <f>'Tank Data'!H33</f>
        <v>0.83246256511395056</v>
      </c>
      <c r="C33" s="13">
        <f>'Tank Data'!E33</f>
        <v>2.8776409376518033</v>
      </c>
      <c r="D33" s="127">
        <v>1</v>
      </c>
      <c r="E33" s="35">
        <f t="shared" si="1"/>
        <v>41574</v>
      </c>
      <c r="F33" s="37">
        <f>'Tank Data'!P33</f>
        <v>0.54089600162749185</v>
      </c>
      <c r="G33" s="37">
        <f>'Tank Data'!M33</f>
        <v>3.3132409376518037</v>
      </c>
      <c r="H33" s="128">
        <v>1</v>
      </c>
      <c r="I33" s="101">
        <f t="shared" si="2"/>
        <v>41574</v>
      </c>
      <c r="J33" s="109">
        <f>'Tank Data'!X33</f>
        <v>-5.7800455448740902</v>
      </c>
      <c r="K33" s="109">
        <f>'Tank Data'!U33</f>
        <v>3.7887409376518049</v>
      </c>
      <c r="L33" s="130">
        <v>1</v>
      </c>
      <c r="M33" s="167">
        <f t="shared" si="3"/>
        <v>41574</v>
      </c>
      <c r="N33" s="170">
        <f>'Tank Data'!AF33</f>
        <v>0.10653296367176025</v>
      </c>
      <c r="O33" s="170">
        <f>'Tank Data'!AC33</f>
        <v>3.0979409376518041</v>
      </c>
      <c r="P33" s="171">
        <v>1</v>
      </c>
      <c r="AH33" s="113">
        <v>41596</v>
      </c>
      <c r="AI33" s="1">
        <v>-1.5957342214388917</v>
      </c>
      <c r="AJ33" s="1">
        <v>3.1592730516361818</v>
      </c>
      <c r="AK33" s="1">
        <v>0</v>
      </c>
      <c r="AM33" t="s">
        <v>70</v>
      </c>
      <c r="AV33" s="116">
        <v>41584</v>
      </c>
      <c r="AW33" s="112">
        <v>-9.0125096165409244E-2</v>
      </c>
      <c r="AX33" s="100">
        <v>2.6013288895585291</v>
      </c>
      <c r="AY33" s="132">
        <v>0</v>
      </c>
      <c r="BK33" s="115">
        <v>41609</v>
      </c>
      <c r="BL33" s="112">
        <v>0.99414174912606978</v>
      </c>
      <c r="BM33" s="112">
        <v>3.3122742858665228</v>
      </c>
      <c r="BN33" s="119">
        <v>0</v>
      </c>
      <c r="BY33" s="113">
        <v>41609</v>
      </c>
      <c r="BZ33" s="112">
        <v>-0.31362669262713816</v>
      </c>
      <c r="CA33" s="112">
        <v>2.9242742858665238</v>
      </c>
      <c r="CB33" s="132">
        <v>0</v>
      </c>
      <c r="CO33" s="1">
        <v>-0.51649129679547001</v>
      </c>
      <c r="CP33" s="1">
        <v>2.7505693677426968</v>
      </c>
      <c r="CQ33" s="1">
        <v>1</v>
      </c>
      <c r="CS33" s="1">
        <v>0.36144000000000004</v>
      </c>
      <c r="CT33" s="1">
        <v>1.3718448476143439</v>
      </c>
      <c r="CU33" s="1">
        <v>39</v>
      </c>
      <c r="DJ33" s="191">
        <v>0.40960138061237988</v>
      </c>
      <c r="DK33" s="191">
        <v>2.9368771477230093</v>
      </c>
      <c r="DL33" s="191">
        <v>0</v>
      </c>
    </row>
    <row r="34" spans="1:116">
      <c r="A34" s="3">
        <f t="shared" si="0"/>
        <v>41575</v>
      </c>
      <c r="B34" s="13">
        <f>'Tank Data'!H34</f>
        <v>2.4574444869481429</v>
      </c>
      <c r="C34" s="13">
        <f>'Tank Data'!E34</f>
        <v>2.8401098576753268</v>
      </c>
      <c r="D34" s="127">
        <v>2</v>
      </c>
      <c r="E34" s="35">
        <f t="shared" si="1"/>
        <v>41575</v>
      </c>
      <c r="F34" s="37">
        <f>'Tank Data'!P34</f>
        <v>0.55405076621011184</v>
      </c>
      <c r="G34" s="37">
        <f>'Tank Data'!M34</f>
        <v>3.292209857675326</v>
      </c>
      <c r="H34" s="128">
        <v>2</v>
      </c>
      <c r="I34" s="101">
        <f t="shared" si="2"/>
        <v>41575</v>
      </c>
      <c r="J34" s="109">
        <f>'Tank Data'!X34</f>
        <v>3.4074644537712251</v>
      </c>
      <c r="K34" s="109">
        <f>'Tank Data'!U34</f>
        <v>3.7360098576753265</v>
      </c>
      <c r="L34" s="130">
        <v>2</v>
      </c>
      <c r="M34" s="167">
        <f t="shared" si="3"/>
        <v>41575</v>
      </c>
      <c r="N34" s="170">
        <f>'Tank Data'!AF34</f>
        <v>-0.18437699289918197</v>
      </c>
      <c r="O34" s="170">
        <f>'Tank Data'!AC34</f>
        <v>3.0740098576753261</v>
      </c>
      <c r="P34" s="171">
        <v>2</v>
      </c>
      <c r="AH34" s="113">
        <v>41597</v>
      </c>
      <c r="AI34" s="1">
        <v>-0.80755960410805083</v>
      </c>
      <c r="AJ34" s="1">
        <v>3.1414814440322778</v>
      </c>
      <c r="AK34" s="1">
        <v>0</v>
      </c>
      <c r="AV34" s="116">
        <v>41594</v>
      </c>
      <c r="AW34" s="112">
        <v>1.6406077059297679</v>
      </c>
      <c r="AX34" s="100">
        <v>2.2373266236699831</v>
      </c>
      <c r="AY34" s="132">
        <v>0</v>
      </c>
      <c r="BK34" s="115">
        <v>41610</v>
      </c>
      <c r="BL34" s="112">
        <v>-2.2578653552395642</v>
      </c>
      <c r="BM34" s="112">
        <v>3.2755507692000672</v>
      </c>
      <c r="BN34" s="119">
        <v>0</v>
      </c>
      <c r="BY34" s="113">
        <v>41610</v>
      </c>
      <c r="BZ34" s="112">
        <v>-1.2892189741377256</v>
      </c>
      <c r="CA34" s="112">
        <v>2.9012507692000664</v>
      </c>
      <c r="CB34" s="132">
        <v>0</v>
      </c>
      <c r="CO34" s="1">
        <v>-0.26824852694965379</v>
      </c>
      <c r="CP34" s="1">
        <v>2.500216203202855</v>
      </c>
      <c r="CQ34" s="1">
        <v>1</v>
      </c>
      <c r="CS34" s="1">
        <v>6.3072000000000003E-2</v>
      </c>
      <c r="CT34" s="1">
        <v>1.3499583466082465</v>
      </c>
      <c r="CU34" s="1">
        <v>40</v>
      </c>
      <c r="DJ34" s="191">
        <v>-2.0403830948889263</v>
      </c>
      <c r="DK34" s="191">
        <v>2.9495194843017631</v>
      </c>
      <c r="DL34" s="191">
        <v>0</v>
      </c>
    </row>
    <row r="35" spans="1:116">
      <c r="A35" s="3">
        <f t="shared" si="0"/>
        <v>41576</v>
      </c>
      <c r="B35" s="13">
        <f>'Tank Data'!H35</f>
        <v>0.82967068513196685</v>
      </c>
      <c r="C35" s="13">
        <f>'Tank Data'!E35</f>
        <v>2.7989624191981517</v>
      </c>
      <c r="D35" s="127">
        <v>3</v>
      </c>
      <c r="E35" s="35">
        <f t="shared" si="1"/>
        <v>41576</v>
      </c>
      <c r="F35" s="37">
        <f>'Tank Data'!P35</f>
        <v>0.88096372110154575</v>
      </c>
      <c r="G35" s="37">
        <f>'Tank Data'!M35</f>
        <v>3.2727624191981519</v>
      </c>
      <c r="H35" s="128">
        <v>3</v>
      </c>
      <c r="I35" s="101">
        <f t="shared" si="2"/>
        <v>41576</v>
      </c>
      <c r="J35" s="109">
        <f>'Tank Data'!X35</f>
        <v>3.1631793989667374</v>
      </c>
      <c r="K35" s="109">
        <f>'Tank Data'!U35</f>
        <v>3.6890624191981507</v>
      </c>
      <c r="L35" s="130">
        <v>3</v>
      </c>
      <c r="M35" s="167">
        <f t="shared" si="3"/>
        <v>41576</v>
      </c>
      <c r="N35" s="170">
        <f>'Tank Data'!AF35</f>
        <v>-0.47444989878023047</v>
      </c>
      <c r="O35" s="170">
        <f>'Tank Data'!AC35</f>
        <v>3.0483624191981504</v>
      </c>
      <c r="P35" s="171">
        <v>3</v>
      </c>
      <c r="AH35" s="113">
        <v>41602</v>
      </c>
      <c r="AI35" s="1">
        <v>-0.56179775531487108</v>
      </c>
      <c r="AJ35" s="1">
        <v>3.0159231540970928</v>
      </c>
      <c r="AK35" s="1">
        <v>0</v>
      </c>
      <c r="AV35" s="115">
        <v>41596</v>
      </c>
      <c r="AW35" s="112">
        <v>1.3412505342622234</v>
      </c>
      <c r="AX35" s="100">
        <v>2.2556730516361818</v>
      </c>
      <c r="AY35" s="132">
        <v>0</v>
      </c>
      <c r="BK35" s="115">
        <v>41611</v>
      </c>
      <c r="BL35" s="112">
        <v>-1.2488918376506521</v>
      </c>
      <c r="BM35" s="112">
        <v>3.2615924910133449</v>
      </c>
      <c r="BN35" s="119">
        <v>0</v>
      </c>
      <c r="BY35" s="113">
        <v>41611</v>
      </c>
      <c r="BZ35" s="112">
        <v>1.3637236714245365E-2</v>
      </c>
      <c r="CA35" s="112">
        <v>2.8964924910133441</v>
      </c>
      <c r="CB35" s="132">
        <v>0</v>
      </c>
      <c r="CO35" s="1">
        <v>-0.81316758730067096</v>
      </c>
      <c r="CP35" s="1">
        <v>3.179992455767962</v>
      </c>
      <c r="CQ35" s="1">
        <v>2</v>
      </c>
      <c r="CS35" s="1">
        <v>0.42624000000000006</v>
      </c>
      <c r="CT35" s="1">
        <v>1.3276139702099985</v>
      </c>
      <c r="CU35" s="1">
        <v>41</v>
      </c>
      <c r="DJ35" s="191">
        <v>-1.5695544001749746</v>
      </c>
      <c r="DK35" s="191">
        <v>2.9404288895585302</v>
      </c>
      <c r="DL35" s="191">
        <v>0</v>
      </c>
    </row>
    <row r="36" spans="1:116">
      <c r="A36" s="3">
        <f t="shared" si="0"/>
        <v>41577</v>
      </c>
      <c r="B36" s="13">
        <f>'Tank Data'!H36</f>
        <v>7.777790457327155E-3</v>
      </c>
      <c r="C36" s="13">
        <f>'Tank Data'!E36</f>
        <v>2.7607329762465871</v>
      </c>
      <c r="D36" s="127">
        <v>4</v>
      </c>
      <c r="E36" s="35">
        <f t="shared" si="1"/>
        <v>41577</v>
      </c>
      <c r="F36" s="37">
        <f>'Tank Data'!P36</f>
        <v>0.58902411285490686</v>
      </c>
      <c r="G36" s="37">
        <f>'Tank Data'!M36</f>
        <v>3.2534329762465877</v>
      </c>
      <c r="H36" s="128">
        <v>4</v>
      </c>
      <c r="I36" s="101">
        <f t="shared" si="2"/>
        <v>41577</v>
      </c>
      <c r="J36" s="109">
        <f>'Tank Data'!X36</f>
        <v>3.7827943980309602</v>
      </c>
      <c r="K36" s="109">
        <f>'Tank Data'!U36</f>
        <v>3.661432976246588</v>
      </c>
      <c r="L36" s="130">
        <v>4</v>
      </c>
      <c r="M36" s="167">
        <f t="shared" si="3"/>
        <v>41577</v>
      </c>
      <c r="N36" s="170">
        <f>'Tank Data'!AF36</f>
        <v>-1.3680144254648863</v>
      </c>
      <c r="O36" s="170">
        <f>'Tank Data'!AC36</f>
        <v>3.0304329762465883</v>
      </c>
      <c r="P36" s="171">
        <v>4</v>
      </c>
      <c r="AH36" s="113">
        <v>41609</v>
      </c>
      <c r="AI36" s="1">
        <v>-1.5749025158820305</v>
      </c>
      <c r="AJ36" s="1">
        <v>2.8344742858665231</v>
      </c>
      <c r="AK36" s="1">
        <v>0</v>
      </c>
      <c r="AV36" s="116">
        <v>41597</v>
      </c>
      <c r="AW36" s="112">
        <v>1.4975622033645566</v>
      </c>
      <c r="AX36" s="100">
        <v>2.2130814440322788</v>
      </c>
      <c r="AY36" s="132">
        <v>0</v>
      </c>
      <c r="BK36" s="115">
        <v>41620</v>
      </c>
      <c r="BL36" s="112">
        <v>2.2826679007830104</v>
      </c>
      <c r="BM36" s="112">
        <v>2.9535202734430692</v>
      </c>
      <c r="BN36" s="119">
        <v>0</v>
      </c>
      <c r="BY36" s="113">
        <v>41612</v>
      </c>
      <c r="BZ36" s="112">
        <v>1.4266914446650907</v>
      </c>
      <c r="CA36" s="112">
        <v>2.8756663033140768</v>
      </c>
      <c r="CB36" s="132">
        <v>0</v>
      </c>
      <c r="CO36" s="1">
        <v>-0.18437699289918197</v>
      </c>
      <c r="CP36" s="1">
        <v>3.0740098576753261</v>
      </c>
      <c r="CQ36" s="1">
        <v>2</v>
      </c>
      <c r="CS36" s="1">
        <v>1.0396800000000002</v>
      </c>
      <c r="CT36" s="1">
        <v>1.305385945263374</v>
      </c>
      <c r="CU36" s="1">
        <v>42</v>
      </c>
      <c r="DJ36" s="191">
        <v>0.16564679449580372</v>
      </c>
      <c r="DK36" s="191">
        <v>2.681026623669982</v>
      </c>
      <c r="DL36" s="191">
        <v>0</v>
      </c>
    </row>
    <row r="37" spans="1:116">
      <c r="A37" s="3">
        <f t="shared" si="0"/>
        <v>41578</v>
      </c>
      <c r="B37" s="13">
        <f>'Tank Data'!H37</f>
        <v>0.41022454911389916</v>
      </c>
      <c r="C37" s="13">
        <f>'Tank Data'!E37</f>
        <v>2.7228466778126248</v>
      </c>
      <c r="D37" s="127">
        <v>5</v>
      </c>
      <c r="E37" s="35">
        <f t="shared" si="1"/>
        <v>41578</v>
      </c>
      <c r="F37" s="37">
        <f>'Tank Data'!P37</f>
        <v>0.911208677765174</v>
      </c>
      <c r="G37" s="37">
        <f>'Tank Data'!M37</f>
        <v>3.2334466778126245</v>
      </c>
      <c r="H37" s="128">
        <v>5</v>
      </c>
      <c r="I37" s="101">
        <f t="shared" si="2"/>
        <v>41578</v>
      </c>
      <c r="J37" s="109">
        <f>'Tank Data'!X37</f>
        <v>3.7836626571571248</v>
      </c>
      <c r="K37" s="109">
        <f>'Tank Data'!U37</f>
        <v>3.616246677812625</v>
      </c>
      <c r="L37" s="130">
        <v>5</v>
      </c>
      <c r="M37" s="167">
        <f t="shared" si="3"/>
        <v>41578</v>
      </c>
      <c r="N37" s="170">
        <f>'Tank Data'!AF37</f>
        <v>-1.0369758377861031</v>
      </c>
      <c r="O37" s="170">
        <f>'Tank Data'!AC37</f>
        <v>3.0117466778126238</v>
      </c>
      <c r="P37" s="171">
        <v>5</v>
      </c>
      <c r="AH37" s="113">
        <v>41610</v>
      </c>
      <c r="AI37" s="1">
        <v>-1.2738120930003871</v>
      </c>
      <c r="AJ37" s="1">
        <v>2.808250769200066</v>
      </c>
      <c r="AK37" s="1">
        <v>0</v>
      </c>
      <c r="AV37" s="115">
        <v>41602</v>
      </c>
      <c r="AW37" s="112">
        <v>1.8517498878099174</v>
      </c>
      <c r="AX37" s="100">
        <v>1.9673231540970932</v>
      </c>
      <c r="AY37" s="132">
        <v>0</v>
      </c>
      <c r="BK37" s="115">
        <v>41621</v>
      </c>
      <c r="BL37" s="112">
        <v>-6.9377187857936479E-3</v>
      </c>
      <c r="BM37" s="112">
        <v>2.9459572820543505</v>
      </c>
      <c r="BN37" s="119">
        <v>0</v>
      </c>
      <c r="BY37" s="113">
        <v>41621</v>
      </c>
      <c r="BZ37" s="112">
        <v>-3.8487165118392443</v>
      </c>
      <c r="CA37" s="112">
        <v>2.588757282054349</v>
      </c>
      <c r="CB37" s="132">
        <v>0</v>
      </c>
      <c r="CO37" s="1">
        <v>-2.2699938135866562</v>
      </c>
      <c r="CP37" s="1">
        <v>2.8968487199818074</v>
      </c>
      <c r="CQ37" s="1">
        <v>2</v>
      </c>
      <c r="CS37" s="1">
        <v>2.6783999999999999E-2</v>
      </c>
      <c r="CT37" s="1">
        <v>1.2829575198718639</v>
      </c>
      <c r="CU37" s="1">
        <v>43</v>
      </c>
      <c r="DJ37" s="191">
        <v>-1.5957342214388917</v>
      </c>
      <c r="DK37" s="191">
        <v>3.1592730516361818</v>
      </c>
      <c r="DL37" s="191">
        <v>0</v>
      </c>
    </row>
    <row r="38" spans="1:116">
      <c r="A38" s="3">
        <f t="shared" si="0"/>
        <v>41579</v>
      </c>
      <c r="B38" s="13">
        <f>'Tank Data'!H38</f>
        <v>0.18976332453145039</v>
      </c>
      <c r="C38" s="13">
        <f>'Tank Data'!E38</f>
        <v>2.6960524038752909</v>
      </c>
      <c r="D38" s="127">
        <v>6</v>
      </c>
      <c r="E38" s="35">
        <f t="shared" si="1"/>
        <v>41579</v>
      </c>
      <c r="F38" s="37">
        <f>'Tank Data'!P38</f>
        <v>0.57275372908752198</v>
      </c>
      <c r="G38" s="37">
        <f>'Tank Data'!M38</f>
        <v>3.2137524038752918</v>
      </c>
      <c r="H38" s="128">
        <v>6</v>
      </c>
      <c r="I38" s="101">
        <f t="shared" si="2"/>
        <v>41579</v>
      </c>
      <c r="J38" s="109">
        <f>'Tank Data'!X38</f>
        <v>4.7209456837530226</v>
      </c>
      <c r="K38" s="109">
        <f>'Tank Data'!U38</f>
        <v>3.5651524038752909</v>
      </c>
      <c r="L38" s="130">
        <v>6</v>
      </c>
      <c r="M38" s="167">
        <f t="shared" si="3"/>
        <v>41579</v>
      </c>
      <c r="N38" s="170">
        <f>'Tank Data'!AF38</f>
        <v>-1.4684863639916124</v>
      </c>
      <c r="O38" s="170">
        <f>'Tank Data'!AC38</f>
        <v>2.9937524038752907</v>
      </c>
      <c r="P38" s="171">
        <v>6</v>
      </c>
      <c r="AH38" s="113">
        <v>41611</v>
      </c>
      <c r="AI38" s="1">
        <v>-1.556060318742158</v>
      </c>
      <c r="AJ38" s="1">
        <v>2.797992491013344</v>
      </c>
      <c r="AK38" s="1">
        <v>0</v>
      </c>
      <c r="AV38" s="32">
        <v>41609</v>
      </c>
      <c r="AW38" s="28">
        <v>-0.50943277788117691</v>
      </c>
      <c r="AX38" s="100">
        <v>1.6719742858665225</v>
      </c>
      <c r="AY38" s="132">
        <v>0</v>
      </c>
      <c r="BK38" s="115">
        <v>41566</v>
      </c>
      <c r="BL38" s="112"/>
      <c r="BM38" s="112">
        <v>3.7167159959313372</v>
      </c>
      <c r="BN38" s="112">
        <v>1</v>
      </c>
      <c r="BY38" s="113">
        <v>41622</v>
      </c>
      <c r="BZ38" s="112">
        <v>1.79830026085901</v>
      </c>
      <c r="CA38" s="112">
        <v>2.6219521919043878</v>
      </c>
      <c r="CB38" s="132">
        <v>0</v>
      </c>
      <c r="CO38" s="1">
        <v>-9.5686504933702524E-2</v>
      </c>
      <c r="CP38" s="1">
        <v>3.0934155743392249</v>
      </c>
      <c r="CQ38" s="1">
        <v>2</v>
      </c>
      <c r="CS38" s="1">
        <v>-1.2830399999999999E-2</v>
      </c>
      <c r="CT38" s="1">
        <v>1.2593783796036564</v>
      </c>
      <c r="CU38" s="1">
        <v>44</v>
      </c>
      <c r="DJ38" s="191">
        <v>-0.80755960410805083</v>
      </c>
      <c r="DK38" s="191">
        <v>3.1414814440322778</v>
      </c>
      <c r="DL38" s="191">
        <v>0</v>
      </c>
    </row>
    <row r="39" spans="1:116">
      <c r="A39" s="3">
        <f t="shared" si="0"/>
        <v>41580</v>
      </c>
      <c r="B39" s="13">
        <f>'Tank Data'!H39</f>
        <v>1.3991659247795396</v>
      </c>
      <c r="C39" s="13">
        <f>'Tank Data'!E39</f>
        <v>2.6588710094669961</v>
      </c>
      <c r="D39" s="127">
        <v>0</v>
      </c>
      <c r="E39" s="35">
        <f t="shared" si="1"/>
        <v>41580</v>
      </c>
      <c r="F39" s="37">
        <f>'Tank Data'!P39</f>
        <v>0.5570731036384573</v>
      </c>
      <c r="G39" s="37">
        <f>'Tank Data'!M39</f>
        <v>3.1945710094669977</v>
      </c>
      <c r="H39" s="128">
        <v>0</v>
      </c>
      <c r="I39" s="101">
        <f t="shared" si="2"/>
        <v>41580</v>
      </c>
      <c r="J39" s="109">
        <f>'Tank Data'!X39</f>
        <v>2.4041579503754762</v>
      </c>
      <c r="K39" s="109">
        <f>'Tank Data'!U39</f>
        <v>3.5144710094669973</v>
      </c>
      <c r="L39" s="130">
        <v>0</v>
      </c>
      <c r="M39" s="167">
        <f t="shared" si="3"/>
        <v>41580</v>
      </c>
      <c r="N39" s="170">
        <f>'Tank Data'!AF39</f>
        <v>-1.0351261824847269</v>
      </c>
      <c r="O39" s="170">
        <f>'Tank Data'!AC39</f>
        <v>2.9733710094669976</v>
      </c>
      <c r="P39" s="171">
        <v>0</v>
      </c>
      <c r="AH39" s="113">
        <v>41612</v>
      </c>
      <c r="AI39" s="1">
        <v>4.1422390507913145E-2</v>
      </c>
      <c r="AJ39" s="1">
        <v>2.7761663033140755</v>
      </c>
      <c r="AK39" s="1">
        <v>0</v>
      </c>
      <c r="AV39" s="32">
        <v>41610</v>
      </c>
      <c r="AW39" s="28"/>
      <c r="AX39" s="100">
        <v>1.638650769200066</v>
      </c>
      <c r="AY39" s="132">
        <v>0</v>
      </c>
      <c r="BK39" s="115">
        <v>41569</v>
      </c>
      <c r="BL39" s="112"/>
      <c r="BM39" s="112">
        <v>4.0373947052086629</v>
      </c>
      <c r="BN39" s="112">
        <v>1</v>
      </c>
      <c r="BY39" s="113">
        <v>41566</v>
      </c>
      <c r="BZ39" s="112"/>
      <c r="CA39" s="112">
        <v>3.3345159959313371</v>
      </c>
      <c r="CB39" s="132">
        <v>1</v>
      </c>
      <c r="CO39" s="1">
        <v>-0.35767398137029927</v>
      </c>
      <c r="CP39" s="1">
        <v>2.9665722295991848</v>
      </c>
      <c r="CQ39" s="1">
        <v>2</v>
      </c>
      <c r="CS39" s="1">
        <v>9.6192E-2</v>
      </c>
      <c r="CT39" s="1">
        <v>1.2354814463819692</v>
      </c>
      <c r="CU39" s="1">
        <v>45</v>
      </c>
      <c r="DJ39" s="191">
        <v>-0.56179775531487108</v>
      </c>
      <c r="DK39" s="191">
        <v>3.0159231540970928</v>
      </c>
      <c r="DL39" s="191">
        <v>0</v>
      </c>
    </row>
    <row r="40" spans="1:116">
      <c r="A40" s="3">
        <f t="shared" si="0"/>
        <v>41581</v>
      </c>
      <c r="B40" s="13">
        <f>'Tank Data'!H40</f>
        <v>1.3982649265098575</v>
      </c>
      <c r="C40" s="13">
        <f>'Tank Data'!E40</f>
        <v>2.6246802121516297</v>
      </c>
      <c r="D40" s="127">
        <v>1</v>
      </c>
      <c r="E40" s="35">
        <f t="shared" si="1"/>
        <v>41581</v>
      </c>
      <c r="F40" s="37">
        <f>'Tank Data'!P40</f>
        <v>1.6999130614841298</v>
      </c>
      <c r="G40" s="37">
        <f>'Tank Data'!M40</f>
        <v>3.1776802121516301</v>
      </c>
      <c r="H40" s="128">
        <v>1</v>
      </c>
      <c r="I40" s="101">
        <f t="shared" si="2"/>
        <v>41581</v>
      </c>
      <c r="J40" s="109">
        <f>'Tank Data'!X40</f>
        <v>2.8229936699320426</v>
      </c>
      <c r="K40" s="109">
        <f>'Tank Data'!U40</f>
        <v>3.4816802121516313</v>
      </c>
      <c r="L40" s="130">
        <v>1</v>
      </c>
      <c r="M40" s="167">
        <f t="shared" si="3"/>
        <v>41581</v>
      </c>
      <c r="N40" s="170">
        <f>'Tank Data'!AF40</f>
        <v>-1.0332019764012534</v>
      </c>
      <c r="O40" s="170">
        <f>'Tank Data'!AC40</f>
        <v>2.9555802121516304</v>
      </c>
      <c r="P40" s="171">
        <v>1</v>
      </c>
      <c r="AH40" s="113">
        <v>41621</v>
      </c>
      <c r="AI40" s="1">
        <v>-3.6344173030996401</v>
      </c>
      <c r="AJ40" s="1">
        <v>2.4986572820543489</v>
      </c>
      <c r="AK40" s="1">
        <v>0</v>
      </c>
      <c r="AV40" s="116">
        <v>41611</v>
      </c>
      <c r="AW40" s="112">
        <v>0.65296018157465396</v>
      </c>
      <c r="AX40" s="100">
        <v>1.6298924910133441</v>
      </c>
      <c r="AY40" s="132">
        <v>0</v>
      </c>
      <c r="BK40" s="115">
        <v>41570</v>
      </c>
      <c r="BL40" s="112"/>
      <c r="BM40" s="112">
        <v>3.9870924557679617</v>
      </c>
      <c r="BN40" s="119">
        <v>1</v>
      </c>
      <c r="BY40" s="113">
        <v>41569</v>
      </c>
      <c r="BZ40" s="112"/>
      <c r="CA40" s="112">
        <v>3.4088947052086631</v>
      </c>
      <c r="CB40" s="132">
        <v>1</v>
      </c>
      <c r="CO40" s="1">
        <v>0.63153638159846492</v>
      </c>
      <c r="CP40" s="1">
        <v>2.7202550443621063</v>
      </c>
      <c r="CQ40" s="1">
        <v>2</v>
      </c>
      <c r="CS40" s="1">
        <v>0.18432000000000001</v>
      </c>
      <c r="CT40" s="1">
        <v>1.2124260277020418</v>
      </c>
      <c r="CU40" s="1">
        <v>46</v>
      </c>
      <c r="DJ40" s="191">
        <v>-1.5749025158820305</v>
      </c>
      <c r="DK40" s="191">
        <v>2.8344742858665231</v>
      </c>
      <c r="DL40" s="191">
        <v>0</v>
      </c>
    </row>
    <row r="41" spans="1:116">
      <c r="A41" s="3">
        <f t="shared" si="0"/>
        <v>41582</v>
      </c>
      <c r="B41" s="13">
        <f>'Tank Data'!H41</f>
        <v>1.5274908896857891</v>
      </c>
      <c r="C41" s="13">
        <f>'Tank Data'!E41</f>
        <v>2.5902771477230098</v>
      </c>
      <c r="D41" s="127">
        <v>0</v>
      </c>
      <c r="E41" s="35">
        <f t="shared" si="1"/>
        <v>41582</v>
      </c>
      <c r="F41" s="37">
        <f>'Tank Data'!P41</f>
        <v>1.5361647611557454</v>
      </c>
      <c r="G41" s="37">
        <f>'Tank Data'!M41</f>
        <v>3.1596771477230092</v>
      </c>
      <c r="H41" s="128">
        <v>0</v>
      </c>
      <c r="I41" s="101">
        <f t="shared" si="2"/>
        <v>41582</v>
      </c>
      <c r="J41" s="109">
        <f>'Tank Data'!X41</f>
        <v>2.5220535160769892</v>
      </c>
      <c r="K41" s="109">
        <f>'Tank Data'!U41</f>
        <v>3.4474771477230091</v>
      </c>
      <c r="L41" s="130">
        <v>0</v>
      </c>
      <c r="M41" s="167">
        <f t="shared" si="3"/>
        <v>41582</v>
      </c>
      <c r="N41" s="170">
        <f>'Tank Data'!AF41</f>
        <v>0.40960138061237988</v>
      </c>
      <c r="O41" s="170">
        <f>'Tank Data'!AC41</f>
        <v>2.9368771477230093</v>
      </c>
      <c r="P41" s="171">
        <v>0</v>
      </c>
      <c r="AH41" s="113">
        <v>41622</v>
      </c>
      <c r="AI41" s="1">
        <v>-0.85800801115005854</v>
      </c>
      <c r="AJ41" s="1">
        <v>2.5224521919043883</v>
      </c>
      <c r="AK41" s="1">
        <v>0</v>
      </c>
      <c r="AV41" s="116">
        <v>41612</v>
      </c>
      <c r="AW41" s="112">
        <v>0.7389882085370294</v>
      </c>
      <c r="AX41" s="100">
        <v>1.5979663033140761</v>
      </c>
      <c r="AY41" s="132">
        <v>0</v>
      </c>
      <c r="BK41" s="115">
        <v>41574</v>
      </c>
      <c r="BL41" s="112"/>
      <c r="BM41" s="112">
        <v>3.7887409376518049</v>
      </c>
      <c r="BN41" s="112">
        <v>1</v>
      </c>
      <c r="BY41" s="113">
        <v>41574</v>
      </c>
      <c r="BZ41" s="112"/>
      <c r="CA41" s="112">
        <v>3.3132409376518037</v>
      </c>
      <c r="CB41" s="132">
        <v>1</v>
      </c>
      <c r="CO41" s="1">
        <v>0.23573368904136854</v>
      </c>
      <c r="CP41" s="1">
        <v>2.4751452457095353</v>
      </c>
      <c r="CQ41" s="1">
        <v>2</v>
      </c>
      <c r="CS41" s="1">
        <v>-3.8736E-2</v>
      </c>
      <c r="CT41" s="1">
        <v>1.1877430056676022</v>
      </c>
      <c r="CU41" s="1">
        <v>47</v>
      </c>
      <c r="DJ41" s="191">
        <v>-1.2738120930003871</v>
      </c>
      <c r="DK41" s="191">
        <v>2.808250769200066</v>
      </c>
      <c r="DL41" s="191">
        <v>0</v>
      </c>
    </row>
    <row r="42" spans="1:116">
      <c r="A42" s="3">
        <f t="shared" si="0"/>
        <v>41583</v>
      </c>
      <c r="B42" s="13">
        <f>'Tank Data'!H42</f>
        <v>0.39610524332319919</v>
      </c>
      <c r="C42" s="13">
        <f>'Tank Data'!E42</f>
        <v>2.6102194843017643</v>
      </c>
      <c r="D42" s="127">
        <v>0</v>
      </c>
      <c r="E42" s="35">
        <f t="shared" si="1"/>
        <v>41583</v>
      </c>
      <c r="F42" s="37">
        <f>'Tank Data'!P42</f>
        <v>0.46775849688989307</v>
      </c>
      <c r="G42" s="37">
        <f>'Tank Data'!M42</f>
        <v>3.1680194843017642</v>
      </c>
      <c r="H42" s="128">
        <v>0</v>
      </c>
      <c r="I42" s="101">
        <f t="shared" si="2"/>
        <v>41583</v>
      </c>
      <c r="J42" s="109">
        <f>'Tank Data'!X42</f>
        <v>2.3925882414576654</v>
      </c>
      <c r="K42" s="109">
        <f>'Tank Data'!U42</f>
        <v>3.4445194843017637</v>
      </c>
      <c r="L42" s="130">
        <v>0</v>
      </c>
      <c r="M42" s="167">
        <f t="shared" si="3"/>
        <v>41583</v>
      </c>
      <c r="N42" s="170">
        <f>'Tank Data'!AF42</f>
        <v>-2.0403830948889263</v>
      </c>
      <c r="O42" s="170">
        <f>'Tank Data'!AC42</f>
        <v>2.9495194843017631</v>
      </c>
      <c r="P42" s="171">
        <v>0</v>
      </c>
      <c r="AH42" s="113">
        <v>41566</v>
      </c>
      <c r="AI42" s="1"/>
      <c r="AJ42" s="1">
        <v>3.2750159959313367</v>
      </c>
      <c r="AK42" s="1">
        <v>1</v>
      </c>
      <c r="AV42" s="116">
        <v>41621</v>
      </c>
      <c r="AW42" s="112">
        <v>0.10292249308495628</v>
      </c>
      <c r="AX42" s="100">
        <v>1.3670572820543492</v>
      </c>
      <c r="AY42" s="132">
        <v>0</v>
      </c>
      <c r="BK42" s="115">
        <v>41581</v>
      </c>
      <c r="BL42" s="112">
        <v>2.9155353829811101</v>
      </c>
      <c r="BM42" s="112">
        <v>3.4816802121516313</v>
      </c>
      <c r="BN42" s="112">
        <v>1</v>
      </c>
      <c r="BY42" s="113">
        <v>41581</v>
      </c>
      <c r="BZ42" s="112">
        <v>1.6519032736952086</v>
      </c>
      <c r="CA42" s="112">
        <v>3.1776802121516301</v>
      </c>
      <c r="CB42" s="132">
        <v>1</v>
      </c>
      <c r="CO42" s="1">
        <v>-0.47444989878023047</v>
      </c>
      <c r="CP42" s="1">
        <v>3.0483624191981504</v>
      </c>
      <c r="CQ42" s="1">
        <v>3</v>
      </c>
      <c r="CS42" s="1">
        <v>0.11232</v>
      </c>
      <c r="CT42" s="1">
        <v>1.1624562973899848</v>
      </c>
      <c r="CU42" s="1">
        <v>48</v>
      </c>
      <c r="DJ42" s="191">
        <v>-1.556060318742158</v>
      </c>
      <c r="DK42" s="191">
        <v>2.797992491013344</v>
      </c>
      <c r="DL42" s="191">
        <v>0</v>
      </c>
    </row>
    <row r="43" spans="1:116">
      <c r="A43" s="3">
        <f>A44-1</f>
        <v>41584</v>
      </c>
      <c r="B43" s="13">
        <f>'Tank Data'!H43</f>
        <v>6.8535519120552571E-2</v>
      </c>
      <c r="C43" s="13">
        <f>'Tank Data'!E43</f>
        <v>2.6013288895585291</v>
      </c>
      <c r="D43" s="127">
        <v>0</v>
      </c>
      <c r="E43" s="35">
        <f>E44-1</f>
        <v>41584</v>
      </c>
      <c r="F43" s="37">
        <f>'Tank Data'!P43</f>
        <v>3.0880592362979385E-2</v>
      </c>
      <c r="G43" s="37">
        <f>'Tank Data'!M43</f>
        <v>3.1691288895585306</v>
      </c>
      <c r="H43" s="128">
        <v>0</v>
      </c>
      <c r="I43" s="101">
        <f>I44-1</f>
        <v>41584</v>
      </c>
      <c r="J43" s="109">
        <f>'Tank Data'!X43</f>
        <v>2.3505325128332526</v>
      </c>
      <c r="K43" s="109">
        <f>'Tank Data'!U43</f>
        <v>3.42052888955853</v>
      </c>
      <c r="L43" s="130">
        <v>0</v>
      </c>
      <c r="M43" s="167">
        <f>M44-1</f>
        <v>41584</v>
      </c>
      <c r="N43" s="170">
        <f>'Tank Data'!AF43</f>
        <v>-1.5695544001749746</v>
      </c>
      <c r="O43" s="170">
        <f>'Tank Data'!AC43</f>
        <v>2.9404288895585302</v>
      </c>
      <c r="P43" s="171">
        <v>0</v>
      </c>
      <c r="AH43" s="113">
        <v>41569</v>
      </c>
      <c r="AI43" s="1"/>
      <c r="AJ43" s="1">
        <v>3.2147947052086621</v>
      </c>
      <c r="AK43" s="1">
        <v>1</v>
      </c>
      <c r="AV43" s="116">
        <v>41622</v>
      </c>
      <c r="AW43" s="112">
        <v>0.39759845246897624</v>
      </c>
      <c r="AX43" s="100">
        <v>1.3745521919043875</v>
      </c>
      <c r="AY43" s="132">
        <v>0</v>
      </c>
      <c r="BK43" s="115">
        <v>41585</v>
      </c>
      <c r="BL43" s="112">
        <v>2.5020071347161839</v>
      </c>
      <c r="BM43" s="112">
        <v>3.3864530186407693</v>
      </c>
      <c r="BN43" s="112">
        <v>1</v>
      </c>
      <c r="BY43" s="113">
        <v>41585</v>
      </c>
      <c r="BZ43" s="112">
        <v>0.72846457203397852</v>
      </c>
      <c r="CA43" s="112">
        <v>3.1474530186407694</v>
      </c>
      <c r="CB43" s="132">
        <v>1</v>
      </c>
      <c r="CO43" s="1">
        <v>-6.363185087767502E-2</v>
      </c>
      <c r="CP43" s="1">
        <v>2.8724953411213714</v>
      </c>
      <c r="CQ43" s="1">
        <v>3</v>
      </c>
      <c r="CS43" s="1">
        <v>0.30528</v>
      </c>
      <c r="CT43" s="1">
        <v>1.1376661054413257</v>
      </c>
      <c r="CU43" s="1">
        <v>49</v>
      </c>
      <c r="DJ43" s="191">
        <v>4.1422390507913145E-2</v>
      </c>
      <c r="DK43" s="191">
        <v>2.7761663033140755</v>
      </c>
      <c r="DL43" s="191">
        <v>0</v>
      </c>
    </row>
    <row r="44" spans="1:116">
      <c r="A44" s="3">
        <v>41585</v>
      </c>
      <c r="B44" s="13">
        <f>'Tank Data'!H44</f>
        <v>0.25180894600578124</v>
      </c>
      <c r="C44" s="10">
        <v>2.56585301864077</v>
      </c>
      <c r="D44" s="127">
        <v>1</v>
      </c>
      <c r="E44" s="35">
        <v>41585</v>
      </c>
      <c r="F44" s="37">
        <f>'Tank Data'!P44</f>
        <v>0.76495192792049382</v>
      </c>
      <c r="G44" s="37">
        <f>'Tank Data'!M44</f>
        <v>3.1474530186407694</v>
      </c>
      <c r="H44" s="128">
        <v>1</v>
      </c>
      <c r="I44" s="101">
        <v>41585</v>
      </c>
      <c r="J44" s="109">
        <f>'Tank Data'!X44</f>
        <v>2.4099202472238552</v>
      </c>
      <c r="K44" s="109">
        <f>'Tank Data'!U44</f>
        <v>3.3864530186407693</v>
      </c>
      <c r="L44" s="130">
        <v>1</v>
      </c>
      <c r="M44" s="167">
        <v>41585</v>
      </c>
      <c r="N44" s="170">
        <f>'Tank Data'!AF44</f>
        <v>-1.4589227979861892</v>
      </c>
      <c r="O44" s="170">
        <f>'Tank Data'!AC44</f>
        <v>2.9189530186407686</v>
      </c>
      <c r="P44" s="171">
        <v>1</v>
      </c>
      <c r="R44" s="184"/>
      <c r="S44" s="161"/>
      <c r="T44" s="134"/>
      <c r="U44" s="134"/>
      <c r="V44" s="134"/>
      <c r="W44" s="134"/>
      <c r="X44" s="161"/>
      <c r="AH44" s="113">
        <v>41574</v>
      </c>
      <c r="AI44" s="1">
        <v>0.10653296367176025</v>
      </c>
      <c r="AJ44" s="1">
        <v>3.0979409376518041</v>
      </c>
      <c r="AK44" s="1">
        <v>1</v>
      </c>
      <c r="AV44" s="115">
        <v>41566</v>
      </c>
      <c r="AW44" s="112"/>
      <c r="AX44" s="100">
        <v>3.1842159959313361</v>
      </c>
      <c r="AY44" s="132">
        <v>1</v>
      </c>
      <c r="BK44" s="115">
        <v>41594</v>
      </c>
      <c r="BL44" s="112">
        <v>2.5158057343657654</v>
      </c>
      <c r="BM44" s="112">
        <v>3.0417266236699829</v>
      </c>
      <c r="BN44" s="112">
        <v>1</v>
      </c>
      <c r="BY44" s="113">
        <v>41595</v>
      </c>
      <c r="BZ44" s="112"/>
      <c r="CA44" s="112">
        <v>2.928978358456428</v>
      </c>
      <c r="CB44" s="132">
        <v>1</v>
      </c>
      <c r="CO44" s="1">
        <v>-0.31456925909300187</v>
      </c>
      <c r="CP44" s="1">
        <v>3.0679272337360763</v>
      </c>
      <c r="CQ44" s="1">
        <v>3</v>
      </c>
      <c r="CS44" s="1">
        <v>-0.17712</v>
      </c>
      <c r="CT44" s="1">
        <v>1.112165702646752</v>
      </c>
      <c r="CU44" s="1">
        <v>50</v>
      </c>
      <c r="DJ44" s="191">
        <v>-3.6344173030996401</v>
      </c>
      <c r="DK44" s="191">
        <v>2.4986572820543489</v>
      </c>
      <c r="DL44" s="191">
        <v>0</v>
      </c>
    </row>
    <row r="45" spans="1:116">
      <c r="A45" s="3">
        <f>A44+1</f>
        <v>41586</v>
      </c>
      <c r="B45" s="13">
        <f>'Tank Data'!H45</f>
        <v>1.0469022626295983</v>
      </c>
      <c r="C45" s="10">
        <v>2.531948719981806</v>
      </c>
      <c r="D45" s="127">
        <v>2</v>
      </c>
      <c r="E45" s="35">
        <f>E44+1</f>
        <v>41586</v>
      </c>
      <c r="F45" s="37">
        <f>'Tank Data'!P45</f>
        <v>0.77406069785108023</v>
      </c>
      <c r="G45" s="37">
        <f>'Tank Data'!M45</f>
        <v>3.1306487199818065</v>
      </c>
      <c r="H45" s="128">
        <v>2</v>
      </c>
      <c r="I45" s="101">
        <f>I44+1</f>
        <v>41586</v>
      </c>
      <c r="J45" s="109">
        <f>'Tank Data'!X45</f>
        <v>2.5849687140150812</v>
      </c>
      <c r="K45" s="109">
        <f>'Tank Data'!U45</f>
        <v>3.3481487199818067</v>
      </c>
      <c r="L45" s="130">
        <v>2</v>
      </c>
      <c r="M45" s="167">
        <f>M44+1</f>
        <v>41586</v>
      </c>
      <c r="N45" s="170">
        <f>'Tank Data'!AF45</f>
        <v>-2.2699938135866562</v>
      </c>
      <c r="O45" s="170">
        <f>'Tank Data'!AC45</f>
        <v>2.8968487199818074</v>
      </c>
      <c r="P45" s="171">
        <v>2</v>
      </c>
      <c r="R45" s="185"/>
      <c r="S45" s="161"/>
      <c r="T45" s="134"/>
      <c r="U45" s="134"/>
      <c r="V45" s="134"/>
      <c r="W45" s="134"/>
      <c r="X45" s="161"/>
      <c r="AH45" s="113">
        <v>41581</v>
      </c>
      <c r="AI45" s="1">
        <v>-1.0332019764012534</v>
      </c>
      <c r="AJ45" s="1">
        <v>2.9555802121516304</v>
      </c>
      <c r="AK45" s="1">
        <v>1</v>
      </c>
      <c r="AV45" s="115">
        <v>41569</v>
      </c>
      <c r="AW45" s="112"/>
      <c r="AX45" s="100">
        <v>3.0868947052086626</v>
      </c>
      <c r="AY45" s="132">
        <v>1</v>
      </c>
      <c r="BK45" s="115">
        <v>41597</v>
      </c>
      <c r="BL45" s="112">
        <v>1.7147574073897422</v>
      </c>
      <c r="BM45" s="112">
        <v>3.7786814440322791</v>
      </c>
      <c r="BN45" s="112">
        <v>1</v>
      </c>
      <c r="BY45" s="113">
        <v>41598</v>
      </c>
      <c r="BZ45" s="112">
        <v>0.68898463782179731</v>
      </c>
      <c r="CA45" s="112">
        <v>3.1923401297129619</v>
      </c>
      <c r="CB45" s="132">
        <v>1</v>
      </c>
      <c r="CO45" s="1">
        <v>-0.45512925890862677</v>
      </c>
      <c r="CP45" s="1">
        <v>2.9412587306052838</v>
      </c>
      <c r="CQ45" s="1">
        <v>3</v>
      </c>
      <c r="CS45" s="1">
        <v>-4.8528000000000002E-2</v>
      </c>
      <c r="CT45" s="1">
        <v>1.08927653295753</v>
      </c>
      <c r="CU45" s="1">
        <v>51</v>
      </c>
      <c r="DJ45" s="191">
        <v>-0.85800801115005854</v>
      </c>
      <c r="DK45" s="191">
        <v>2.5224521919043883</v>
      </c>
      <c r="DL45" s="191">
        <v>0</v>
      </c>
    </row>
    <row r="46" spans="1:116">
      <c r="A46" s="3">
        <f t="shared" ref="A46:A109" si="4">A45+1</f>
        <v>41587</v>
      </c>
      <c r="B46" s="13">
        <f>'Tank Data'!H46</f>
        <v>1.2644297557785247</v>
      </c>
      <c r="C46" s="10">
        <v>2.4993953411213714</v>
      </c>
      <c r="D46" s="127">
        <v>3</v>
      </c>
      <c r="E46" s="35">
        <f t="shared" ref="E46:E109" si="5">E45+1</f>
        <v>41587</v>
      </c>
      <c r="F46" s="37">
        <f>'Tank Data'!P46</f>
        <v>0.91539453249542757</v>
      </c>
      <c r="G46" s="37">
        <f>'Tank Data'!M46</f>
        <v>3.1099953411213708</v>
      </c>
      <c r="H46" s="128">
        <v>3</v>
      </c>
      <c r="I46" s="101">
        <f t="shared" ref="I46:I109" si="6">I45+1</f>
        <v>41587</v>
      </c>
      <c r="J46" s="109">
        <f>'Tank Data'!X46</f>
        <v>2.357247889535663</v>
      </c>
      <c r="K46" s="109">
        <f>'Tank Data'!U46</f>
        <v>3.3074953411213714</v>
      </c>
      <c r="L46" s="130">
        <v>3</v>
      </c>
      <c r="M46" s="167">
        <f t="shared" ref="M46:M109" si="7">M45+1</f>
        <v>41587</v>
      </c>
      <c r="N46" s="170">
        <f>'Tank Data'!AF46</f>
        <v>-6.363185087767502E-2</v>
      </c>
      <c r="O46" s="170">
        <f>'Tank Data'!AC46</f>
        <v>2.8724953411213714</v>
      </c>
      <c r="P46" s="171">
        <v>3</v>
      </c>
      <c r="R46" s="185"/>
      <c r="S46" s="161"/>
      <c r="T46" s="134"/>
      <c r="U46" s="134"/>
      <c r="V46" s="134"/>
      <c r="W46" s="134"/>
      <c r="X46" s="161"/>
      <c r="AH46" s="113">
        <v>41585</v>
      </c>
      <c r="AI46" s="1">
        <v>-1.4589227979861892</v>
      </c>
      <c r="AJ46" s="1">
        <v>2.9189530186407686</v>
      </c>
      <c r="AK46" s="1">
        <v>1</v>
      </c>
      <c r="AV46" s="115">
        <v>41574</v>
      </c>
      <c r="AW46" s="112"/>
      <c r="AX46" s="100">
        <v>2.8776409376518033</v>
      </c>
      <c r="AY46" s="132">
        <v>1</v>
      </c>
      <c r="BK46" s="115">
        <v>41602</v>
      </c>
      <c r="BL46" s="112">
        <v>2.9701925284258746</v>
      </c>
      <c r="BM46" s="112">
        <v>3.5806231540970943</v>
      </c>
      <c r="BN46" s="112">
        <v>1</v>
      </c>
      <c r="BY46" s="113">
        <v>41603</v>
      </c>
      <c r="BZ46" s="112">
        <v>1.9593647523468638</v>
      </c>
      <c r="CA46" s="112">
        <v>3.081513953762153</v>
      </c>
      <c r="CB46" s="132">
        <v>1</v>
      </c>
      <c r="CO46" s="1">
        <v>0.94155290821139181</v>
      </c>
      <c r="CP46" s="1">
        <v>2.6826257992832949</v>
      </c>
      <c r="CQ46" s="1">
        <v>3</v>
      </c>
      <c r="CS46" s="1">
        <v>0.12844800000000001</v>
      </c>
      <c r="CT46" s="1">
        <v>1.0646573055512696</v>
      </c>
      <c r="CU46" s="1">
        <v>52</v>
      </c>
      <c r="DJ46" s="191"/>
      <c r="DK46" s="191">
        <v>3.402581022440164</v>
      </c>
      <c r="DL46" s="191">
        <v>0</v>
      </c>
    </row>
    <row r="47" spans="1:116">
      <c r="A47" s="3">
        <f t="shared" si="4"/>
        <v>41588</v>
      </c>
      <c r="B47" s="13">
        <f>'Tank Data'!H47</f>
        <v>1.4826781827594009</v>
      </c>
      <c r="C47" s="10">
        <v>2.4632184455944803</v>
      </c>
      <c r="D47" s="127">
        <v>4</v>
      </c>
      <c r="E47" s="35">
        <f t="shared" si="5"/>
        <v>41588</v>
      </c>
      <c r="F47" s="37">
        <f>'Tank Data'!P47</f>
        <v>1.4157707347119952</v>
      </c>
      <c r="G47" s="37">
        <f>'Tank Data'!M47</f>
        <v>3.0919184455944819</v>
      </c>
      <c r="H47" s="128">
        <v>4</v>
      </c>
      <c r="I47" s="101">
        <f t="shared" si="6"/>
        <v>41588</v>
      </c>
      <c r="J47" s="109">
        <f>'Tank Data'!X47</f>
        <v>2.4177093906381546</v>
      </c>
      <c r="K47" s="109">
        <f>'Tank Data'!U47</f>
        <v>3.2686184455944813</v>
      </c>
      <c r="L47" s="130">
        <v>4</v>
      </c>
      <c r="M47" s="167">
        <f t="shared" si="7"/>
        <v>41588</v>
      </c>
      <c r="N47" s="170">
        <f>'Tank Data'!AF47</f>
        <v>0.72275058579618356</v>
      </c>
      <c r="O47" s="170">
        <f>'Tank Data'!AC47</f>
        <v>2.8491184455944807</v>
      </c>
      <c r="P47" s="171">
        <v>4</v>
      </c>
      <c r="R47" s="185"/>
      <c r="S47" s="161"/>
      <c r="T47" s="134"/>
      <c r="U47" s="134"/>
      <c r="V47" s="134"/>
      <c r="W47" s="134"/>
      <c r="X47" s="161"/>
      <c r="AH47" s="113">
        <v>41595</v>
      </c>
      <c r="AI47" s="1"/>
      <c r="AJ47" s="1">
        <v>2.6427783584564284</v>
      </c>
      <c r="AK47" s="1">
        <v>1</v>
      </c>
      <c r="AV47" s="116">
        <v>41581</v>
      </c>
      <c r="AW47" s="112">
        <v>1.2390506869590545</v>
      </c>
      <c r="AX47" s="100">
        <v>2.6246802121516297</v>
      </c>
      <c r="AY47" s="132">
        <v>1</v>
      </c>
      <c r="BK47" s="115">
        <v>41612</v>
      </c>
      <c r="BL47" s="112">
        <v>0.62515837733408564</v>
      </c>
      <c r="BM47" s="112">
        <v>3.2337663033140762</v>
      </c>
      <c r="BN47" s="119">
        <v>1</v>
      </c>
      <c r="BY47" s="113">
        <v>41613</v>
      </c>
      <c r="BZ47" s="112">
        <v>1.9871863646742542</v>
      </c>
      <c r="CA47" s="112">
        <v>2.8481693677426971</v>
      </c>
      <c r="CB47" s="132">
        <v>1</v>
      </c>
      <c r="CO47" s="1">
        <v>9.6746017342390703E-2</v>
      </c>
      <c r="CP47" s="1">
        <v>2.4447566978348667</v>
      </c>
      <c r="CQ47" s="1">
        <v>3</v>
      </c>
      <c r="CS47" s="1">
        <v>0.22320000000000001</v>
      </c>
      <c r="CT47" s="1">
        <v>1.0399552539833183</v>
      </c>
      <c r="CU47" s="1">
        <v>53</v>
      </c>
      <c r="DJ47" s="191"/>
      <c r="DK47" s="191">
        <v>3.5956143565567311</v>
      </c>
      <c r="DL47" s="191">
        <v>0</v>
      </c>
    </row>
    <row r="48" spans="1:116">
      <c r="A48" s="3">
        <f t="shared" si="4"/>
        <v>41589</v>
      </c>
      <c r="B48" s="13">
        <f>'Tank Data'!H48</f>
        <v>0.9970202387254643</v>
      </c>
      <c r="C48" s="10">
        <v>2.4248004524185611</v>
      </c>
      <c r="D48" s="127">
        <v>5</v>
      </c>
      <c r="E48" s="35">
        <f t="shared" si="5"/>
        <v>41589</v>
      </c>
      <c r="F48" s="37">
        <f>'Tank Data'!P48</f>
        <v>0.80971881854580408</v>
      </c>
      <c r="G48" s="37">
        <f>'Tank Data'!M48</f>
        <v>3.0709004524185612</v>
      </c>
      <c r="H48" s="128">
        <v>5</v>
      </c>
      <c r="I48" s="101">
        <f t="shared" si="6"/>
        <v>41589</v>
      </c>
      <c r="J48" s="109">
        <f>'Tank Data'!X48</f>
        <v>2.4786486742017049</v>
      </c>
      <c r="K48" s="109">
        <f>'Tank Data'!U48</f>
        <v>3.2278004524185606</v>
      </c>
      <c r="L48" s="130">
        <v>5</v>
      </c>
      <c r="M48" s="167">
        <f t="shared" si="7"/>
        <v>41589</v>
      </c>
      <c r="N48" s="170">
        <f>'Tank Data'!AF48</f>
        <v>0.4183905468843514</v>
      </c>
      <c r="O48" s="170">
        <f>'Tank Data'!AC48</f>
        <v>2.8217004524185607</v>
      </c>
      <c r="P48" s="171">
        <v>5</v>
      </c>
      <c r="R48" s="185"/>
      <c r="S48" s="161"/>
      <c r="T48" s="134"/>
      <c r="U48" s="134"/>
      <c r="V48" s="134"/>
      <c r="W48" s="134"/>
      <c r="X48" s="161"/>
      <c r="AH48" s="113">
        <v>41598</v>
      </c>
      <c r="AI48" s="1">
        <v>-0.37989048676427656</v>
      </c>
      <c r="AJ48" s="1">
        <v>3.1183401297129616</v>
      </c>
      <c r="AK48" s="1">
        <v>1</v>
      </c>
      <c r="AV48" s="115">
        <v>41585</v>
      </c>
      <c r="AW48" s="112">
        <v>9.4013346896085551E-2</v>
      </c>
      <c r="AX48" s="100">
        <v>2.56585301864077</v>
      </c>
      <c r="AY48" s="132">
        <v>1</v>
      </c>
      <c r="BK48" s="115">
        <v>41622</v>
      </c>
      <c r="BL48" s="112">
        <v>-0.64131519526710967</v>
      </c>
      <c r="BM48" s="112">
        <v>2.9589521919043884</v>
      </c>
      <c r="BN48" s="119">
        <v>1</v>
      </c>
      <c r="BY48" s="113">
        <v>41623</v>
      </c>
      <c r="BZ48" s="112">
        <v>1.3</v>
      </c>
      <c r="CA48" s="112">
        <v>2.5973162032028565</v>
      </c>
      <c r="CB48" s="132">
        <v>1</v>
      </c>
      <c r="CO48" s="1">
        <v>-1.3680144254648863</v>
      </c>
      <c r="CP48" s="1">
        <v>3.0304329762465883</v>
      </c>
      <c r="CQ48" s="1">
        <v>4</v>
      </c>
      <c r="CS48" s="1">
        <v>-0.97776000000000007</v>
      </c>
      <c r="CT48" s="1">
        <v>1.0165198800472619</v>
      </c>
      <c r="CU48" s="1">
        <v>54</v>
      </c>
      <c r="DJ48" s="191"/>
      <c r="DK48" s="191">
        <v>3.9735063881024368</v>
      </c>
      <c r="DL48" s="191">
        <v>0</v>
      </c>
    </row>
    <row r="49" spans="1:116">
      <c r="A49" s="3">
        <f t="shared" si="4"/>
        <v>41590</v>
      </c>
      <c r="B49" s="13">
        <f>'Tank Data'!H49</f>
        <v>1.0585549051520822</v>
      </c>
      <c r="C49" s="10">
        <v>2.3878161938040869</v>
      </c>
      <c r="D49" s="127">
        <v>6</v>
      </c>
      <c r="E49" s="35">
        <f t="shared" si="5"/>
        <v>41590</v>
      </c>
      <c r="F49" s="37">
        <f>'Tank Data'!P49</f>
        <v>0.82340197041009222</v>
      </c>
      <c r="G49" s="37">
        <f>'Tank Data'!M49</f>
        <v>3.0501161938040884</v>
      </c>
      <c r="H49" s="128">
        <v>6</v>
      </c>
      <c r="I49" s="101">
        <f t="shared" si="6"/>
        <v>41590</v>
      </c>
      <c r="J49" s="109">
        <f>'Tank Data'!X49</f>
        <v>2.5400356092888066</v>
      </c>
      <c r="K49" s="109">
        <f>'Tank Data'!U49</f>
        <v>3.1861161938040867</v>
      </c>
      <c r="L49" s="130">
        <v>6</v>
      </c>
      <c r="M49" s="167">
        <f t="shared" si="7"/>
        <v>41590</v>
      </c>
      <c r="N49" s="170">
        <f>'Tank Data'!AF49</f>
        <v>1.0451309710629426</v>
      </c>
      <c r="O49" s="170">
        <f>'Tank Data'!AC49</f>
        <v>2.7828161938040874</v>
      </c>
      <c r="P49" s="171">
        <v>6</v>
      </c>
      <c r="R49" s="185"/>
      <c r="S49" s="161"/>
      <c r="T49" s="134"/>
      <c r="U49" s="134"/>
      <c r="V49" s="134"/>
      <c r="W49" s="134"/>
      <c r="X49" s="161"/>
      <c r="AH49" s="113">
        <v>41603</v>
      </c>
      <c r="AI49" s="1">
        <v>-0.58996450647456522</v>
      </c>
      <c r="AJ49" s="1">
        <v>2.9912139537621534</v>
      </c>
      <c r="AK49" s="1">
        <v>1</v>
      </c>
      <c r="AV49" s="116">
        <v>41595</v>
      </c>
      <c r="AW49" s="112"/>
      <c r="AX49" s="100">
        <v>2.1916783584564272</v>
      </c>
      <c r="AY49" s="132">
        <v>1</v>
      </c>
      <c r="BK49" s="115">
        <v>41575</v>
      </c>
      <c r="BL49" s="112"/>
      <c r="BM49" s="112">
        <v>3.7360098576753265</v>
      </c>
      <c r="BN49" s="112">
        <v>2</v>
      </c>
      <c r="BY49" s="113">
        <v>41570</v>
      </c>
      <c r="BZ49" s="112"/>
      <c r="CA49" s="112">
        <v>3.3914924557679615</v>
      </c>
      <c r="CB49" s="132">
        <v>2</v>
      </c>
      <c r="CO49" s="1">
        <v>0.72275058579618356</v>
      </c>
      <c r="CP49" s="1">
        <v>2.8491184455944807</v>
      </c>
      <c r="CQ49" s="1">
        <v>4</v>
      </c>
      <c r="CS49" s="1">
        <v>-0.54576000000000002</v>
      </c>
      <c r="CT49" s="1">
        <v>0.99477406919623368</v>
      </c>
      <c r="CU49" s="1">
        <v>55</v>
      </c>
      <c r="DJ49" s="191"/>
      <c r="DK49" s="191">
        <v>4.0705503382091868</v>
      </c>
      <c r="DL49" s="191">
        <v>0</v>
      </c>
    </row>
    <row r="50" spans="1:116">
      <c r="A50" s="3">
        <f t="shared" si="4"/>
        <v>41591</v>
      </c>
      <c r="B50" s="13">
        <f>'Tank Data'!H50</f>
        <v>-2.2786927870812557</v>
      </c>
      <c r="C50" s="10">
        <v>2.3528955413438131</v>
      </c>
      <c r="D50" s="127">
        <v>7</v>
      </c>
      <c r="E50" s="35">
        <f t="shared" si="5"/>
        <v>41591</v>
      </c>
      <c r="F50" s="37">
        <f>'Tank Data'!P50</f>
        <v>2.279526715602247</v>
      </c>
      <c r="G50" s="37">
        <f>'Tank Data'!M50</f>
        <v>3.0268955413438121</v>
      </c>
      <c r="H50" s="128">
        <v>7</v>
      </c>
      <c r="I50" s="101">
        <f t="shared" si="6"/>
        <v>41591</v>
      </c>
      <c r="J50" s="109">
        <f>'Tank Data'!X50</f>
        <v>0.25386746483055578</v>
      </c>
      <c r="K50" s="109">
        <f>'Tank Data'!U50</f>
        <v>3.1516955413438135</v>
      </c>
      <c r="L50" s="130">
        <v>7</v>
      </c>
      <c r="M50" s="167">
        <f t="shared" si="7"/>
        <v>41591</v>
      </c>
      <c r="N50" s="170">
        <f>'Tank Data'!AF50</f>
        <v>-2.6838063946914672</v>
      </c>
      <c r="O50" s="170">
        <f>'Tank Data'!AC50</f>
        <v>2.7604955413438126</v>
      </c>
      <c r="P50" s="171">
        <v>7</v>
      </c>
      <c r="R50" s="185"/>
      <c r="S50" s="161"/>
      <c r="T50" s="134"/>
      <c r="U50" s="134"/>
      <c r="V50" s="134"/>
      <c r="W50" s="134"/>
      <c r="X50" s="161"/>
      <c r="AH50" s="113">
        <v>41613</v>
      </c>
      <c r="AI50" s="1">
        <v>-0.51649129679547001</v>
      </c>
      <c r="AJ50" s="1">
        <v>2.7505693677426968</v>
      </c>
      <c r="AK50" s="1">
        <v>1</v>
      </c>
      <c r="AV50" s="116">
        <v>41598</v>
      </c>
      <c r="AW50" s="112">
        <v>1.699573283312289</v>
      </c>
      <c r="AX50" s="100">
        <v>2.1686401297129607</v>
      </c>
      <c r="AY50" s="132">
        <v>1</v>
      </c>
      <c r="BK50" s="115">
        <v>41586</v>
      </c>
      <c r="BL50" s="112">
        <v>2.6768296780128575</v>
      </c>
      <c r="BM50" s="112">
        <v>3.3481487199818067</v>
      </c>
      <c r="BN50" s="112">
        <v>2</v>
      </c>
      <c r="BY50" s="113">
        <v>41575</v>
      </c>
      <c r="BZ50" s="112"/>
      <c r="CA50" s="112">
        <v>3.292209857675326</v>
      </c>
      <c r="CB50" s="132">
        <v>2</v>
      </c>
      <c r="CO50" s="1">
        <v>-0.30200307620411071</v>
      </c>
      <c r="CP50" s="1">
        <v>3.0416720246773585</v>
      </c>
      <c r="CQ50" s="1">
        <v>4</v>
      </c>
      <c r="CS50" s="1">
        <v>-0.30528</v>
      </c>
      <c r="CT50" s="1">
        <v>0.97102928765371876</v>
      </c>
      <c r="CU50" s="1">
        <v>56</v>
      </c>
      <c r="DJ50" s="191"/>
      <c r="DK50" s="191">
        <v>3.9363337677375876</v>
      </c>
      <c r="DL50" s="191">
        <v>0</v>
      </c>
    </row>
    <row r="51" spans="1:116">
      <c r="A51" s="3">
        <f t="shared" si="4"/>
        <v>41592</v>
      </c>
      <c r="B51" s="13">
        <f>'Tank Data'!H51</f>
        <v>1.2074456943418108</v>
      </c>
      <c r="C51" s="10">
        <v>2.3232748912332295</v>
      </c>
      <c r="D51" s="127">
        <v>8</v>
      </c>
      <c r="E51" s="35">
        <f t="shared" si="5"/>
        <v>41592</v>
      </c>
      <c r="F51" s="37">
        <f>'Tank Data'!P51</f>
        <v>2.294470562958959</v>
      </c>
      <c r="G51" s="37">
        <f>'Tank Data'!M51</f>
        <v>3.0064748912332302</v>
      </c>
      <c r="H51" s="128">
        <v>8</v>
      </c>
      <c r="I51" s="101">
        <f t="shared" si="6"/>
        <v>41592</v>
      </c>
      <c r="J51" s="109">
        <f>'Tank Data'!X51</f>
        <v>2.5324211692552661</v>
      </c>
      <c r="K51" s="109">
        <f>'Tank Data'!U51</f>
        <v>3.1205748912332298</v>
      </c>
      <c r="L51" s="130">
        <v>8</v>
      </c>
      <c r="M51" s="167">
        <f t="shared" si="7"/>
        <v>41592</v>
      </c>
      <c r="N51" s="170">
        <f>'Tank Data'!AF51</f>
        <v>0.42655682172897669</v>
      </c>
      <c r="O51" s="170">
        <f>'Tank Data'!AC51</f>
        <v>2.7414748912332292</v>
      </c>
      <c r="P51" s="171">
        <v>8</v>
      </c>
      <c r="R51" s="185"/>
      <c r="S51" s="161"/>
      <c r="T51" s="134"/>
      <c r="U51" s="134"/>
      <c r="V51" s="134"/>
      <c r="W51" s="134"/>
      <c r="X51" s="161"/>
      <c r="AH51" s="113">
        <v>41623</v>
      </c>
      <c r="AI51" s="1">
        <v>-0.26824852694965379</v>
      </c>
      <c r="AJ51" s="1">
        <v>2.500216203202855</v>
      </c>
      <c r="AK51" s="1">
        <v>1</v>
      </c>
      <c r="AV51" s="116">
        <v>41603</v>
      </c>
      <c r="AW51" s="112">
        <v>2.2683063199733988</v>
      </c>
      <c r="AX51" s="100">
        <v>1.919013953762152</v>
      </c>
      <c r="AY51" s="132">
        <v>1</v>
      </c>
      <c r="BK51" s="115">
        <v>41598</v>
      </c>
      <c r="BL51" s="112">
        <v>3.6013645854884548</v>
      </c>
      <c r="BM51" s="112">
        <v>3.7410401297129612</v>
      </c>
      <c r="BN51" s="119">
        <v>2</v>
      </c>
      <c r="BY51" s="113">
        <v>41586</v>
      </c>
      <c r="BZ51" s="112">
        <v>0.74414422672680225</v>
      </c>
      <c r="CA51" s="112">
        <v>3.1306487199818065</v>
      </c>
      <c r="CB51" s="132">
        <v>2</v>
      </c>
      <c r="CO51" s="1">
        <v>-0.37774367011921411</v>
      </c>
      <c r="CP51" s="1">
        <v>2.9136634391078959</v>
      </c>
      <c r="CQ51" s="1">
        <v>4</v>
      </c>
      <c r="CS51" s="1">
        <v>-0.4536</v>
      </c>
      <c r="CT51" s="1">
        <v>0.94512253463223272</v>
      </c>
      <c r="CU51" s="1">
        <v>57</v>
      </c>
      <c r="DJ51" s="191"/>
      <c r="DK51" s="191">
        <v>3.8828229280280384</v>
      </c>
      <c r="DL51" s="191">
        <v>0</v>
      </c>
    </row>
    <row r="52" spans="1:116">
      <c r="A52" s="3">
        <f t="shared" si="4"/>
        <v>41593</v>
      </c>
      <c r="B52" s="13">
        <f>'Tank Data'!H52</f>
        <v>1.5902010483746121</v>
      </c>
      <c r="C52" s="10">
        <v>2.2819939113679717</v>
      </c>
      <c r="D52" s="127">
        <v>9</v>
      </c>
      <c r="E52" s="35">
        <f t="shared" si="5"/>
        <v>41593</v>
      </c>
      <c r="F52" s="37">
        <f>'Tank Data'!P52</f>
        <v>1.0487128470330551E-2</v>
      </c>
      <c r="G52" s="37">
        <f>'Tank Data'!M52</f>
        <v>2.9805939113679738</v>
      </c>
      <c r="H52" s="128">
        <v>9</v>
      </c>
      <c r="I52" s="101">
        <f t="shared" si="6"/>
        <v>41593</v>
      </c>
      <c r="J52" s="109">
        <f>'Tank Data'!X52</f>
        <v>2.5079453327704595</v>
      </c>
      <c r="K52" s="109">
        <f>'Tank Data'!U52</f>
        <v>3.0834939113679729</v>
      </c>
      <c r="L52" s="130">
        <v>9</v>
      </c>
      <c r="M52" s="167">
        <f t="shared" si="7"/>
        <v>41593</v>
      </c>
      <c r="N52" s="170">
        <f>'Tank Data'!AF52</f>
        <v>0.14474981881563398</v>
      </c>
      <c r="O52" s="170">
        <f>'Tank Data'!AC52</f>
        <v>2.7170939113679728</v>
      </c>
      <c r="P52" s="171">
        <v>9</v>
      </c>
      <c r="R52" s="185"/>
      <c r="S52" s="161"/>
      <c r="T52" s="134"/>
      <c r="U52" s="134"/>
      <c r="V52" s="134"/>
      <c r="W52" s="134"/>
      <c r="X52" s="161"/>
      <c r="AH52" s="113">
        <v>41570</v>
      </c>
      <c r="AI52" s="1">
        <v>-0.81316758730067096</v>
      </c>
      <c r="AJ52" s="1">
        <v>3.179992455767962</v>
      </c>
      <c r="AK52" s="1">
        <v>2</v>
      </c>
      <c r="AV52" s="116">
        <v>41613</v>
      </c>
      <c r="AW52" s="112">
        <v>0.89740077424436304</v>
      </c>
      <c r="AX52" s="100">
        <v>1.567169367742697</v>
      </c>
      <c r="AY52" s="132">
        <v>1</v>
      </c>
      <c r="BK52" s="115">
        <v>41603</v>
      </c>
      <c r="BL52" s="112">
        <v>2.582459148903713</v>
      </c>
      <c r="BM52" s="112">
        <v>3.5398139537621534</v>
      </c>
      <c r="BN52" s="112">
        <v>2</v>
      </c>
      <c r="BY52" s="113">
        <v>41599</v>
      </c>
      <c r="BZ52" s="112">
        <v>1.5567379084738564</v>
      </c>
      <c r="CA52" s="112">
        <v>3.1712155743392252</v>
      </c>
      <c r="CB52" s="132">
        <v>2</v>
      </c>
      <c r="CO52" s="1">
        <v>0.85241886971706882</v>
      </c>
      <c r="CP52" s="1">
        <v>2.6472350043176198</v>
      </c>
      <c r="CQ52" s="1">
        <v>4</v>
      </c>
      <c r="CS52" s="1">
        <v>-0.61199999999999999</v>
      </c>
      <c r="CT52" s="1">
        <v>0.92076568619890642</v>
      </c>
      <c r="CU52" s="1">
        <v>58</v>
      </c>
      <c r="DJ52" s="191"/>
      <c r="DK52" s="191">
        <v>3.8284341775812392</v>
      </c>
      <c r="DL52" s="191">
        <v>0</v>
      </c>
    </row>
    <row r="53" spans="1:116">
      <c r="A53" s="3">
        <f t="shared" si="4"/>
        <v>41594</v>
      </c>
      <c r="B53" s="13">
        <f>'Tank Data'!H53</f>
        <v>1.7887605156449635</v>
      </c>
      <c r="C53" s="10">
        <v>2.2373266236699831</v>
      </c>
      <c r="D53" s="127">
        <v>0</v>
      </c>
      <c r="E53" s="35">
        <f t="shared" si="5"/>
        <v>41594</v>
      </c>
      <c r="F53" s="37">
        <f>'Tank Data'!P53</f>
        <v>0.46265724384605811</v>
      </c>
      <c r="G53" s="37">
        <f>'Tank Data'!M53</f>
        <v>2.9560266236699828</v>
      </c>
      <c r="H53" s="128">
        <v>0</v>
      </c>
      <c r="I53" s="101">
        <f t="shared" si="6"/>
        <v>41594</v>
      </c>
      <c r="J53" s="109">
        <f>'Tank Data'!X53</f>
        <v>2.4268687058578156</v>
      </c>
      <c r="K53" s="109">
        <f>'Tank Data'!U53</f>
        <v>3.0417266236699829</v>
      </c>
      <c r="L53" s="130">
        <v>0</v>
      </c>
      <c r="M53" s="167">
        <f t="shared" si="7"/>
        <v>41594</v>
      </c>
      <c r="N53" s="170">
        <f>'Tank Data'!AF53</f>
        <v>0.16564679449580372</v>
      </c>
      <c r="O53" s="170">
        <f>'Tank Data'!AC53</f>
        <v>2.681026623669982</v>
      </c>
      <c r="P53" s="171">
        <v>0</v>
      </c>
      <c r="R53" s="185"/>
      <c r="S53" s="161"/>
      <c r="T53" s="134"/>
      <c r="U53" s="134"/>
      <c r="V53" s="134"/>
      <c r="W53" s="134"/>
      <c r="X53" s="161"/>
      <c r="AH53" s="113">
        <v>41575</v>
      </c>
      <c r="AI53" s="1">
        <v>-0.18437699289918197</v>
      </c>
      <c r="AJ53" s="1">
        <v>3.0740098576753261</v>
      </c>
      <c r="AK53" s="1">
        <v>2</v>
      </c>
      <c r="AV53" s="116">
        <v>41623</v>
      </c>
      <c r="AW53" s="112">
        <v>0.75627580459359456</v>
      </c>
      <c r="AX53" s="100">
        <v>1.3461162032028562</v>
      </c>
      <c r="AY53" s="132">
        <v>1</v>
      </c>
      <c r="AZ53" s="11"/>
      <c r="BK53" s="115">
        <v>41613</v>
      </c>
      <c r="BL53" s="112">
        <v>1.2180204389017413</v>
      </c>
      <c r="BM53" s="112">
        <v>3.2027693677426976</v>
      </c>
      <c r="BN53" s="119">
        <v>2</v>
      </c>
      <c r="BY53" s="113">
        <v>41604</v>
      </c>
      <c r="BZ53" s="112">
        <v>1.5712702284108773</v>
      </c>
      <c r="CA53" s="112">
        <v>3.0538722295991843</v>
      </c>
      <c r="CB53" s="132">
        <v>2</v>
      </c>
      <c r="CO53" s="1">
        <v>1.1696818889693983</v>
      </c>
      <c r="CP53" s="1">
        <v>2.4068575104730967</v>
      </c>
      <c r="CQ53" s="1">
        <v>4</v>
      </c>
      <c r="CS53" s="1">
        <v>-0.93455999999999995</v>
      </c>
      <c r="CT53" s="1">
        <v>0.89365014268613008</v>
      </c>
      <c r="CU53" s="1">
        <v>59</v>
      </c>
      <c r="DJ53" s="191">
        <v>2.4968238271798624</v>
      </c>
      <c r="DK53" s="191">
        <v>3.5144710094669973</v>
      </c>
      <c r="DL53" s="191">
        <v>0</v>
      </c>
    </row>
    <row r="54" spans="1:116">
      <c r="A54" s="3">
        <f t="shared" si="4"/>
        <v>41595</v>
      </c>
      <c r="B54" s="13">
        <f>'Tank Data'!H54</f>
        <v>-34.961213517434622</v>
      </c>
      <c r="C54" s="10">
        <v>2.1916783584564272</v>
      </c>
      <c r="D54" s="127">
        <v>1</v>
      </c>
      <c r="E54" s="35">
        <f t="shared" si="5"/>
        <v>41595</v>
      </c>
      <c r="F54" s="37">
        <f>'Tank Data'!P54</f>
        <v>-95.129745562685159</v>
      </c>
      <c r="G54" s="37">
        <f>'Tank Data'!M54</f>
        <v>2.928978358456428</v>
      </c>
      <c r="H54" s="128">
        <v>1</v>
      </c>
      <c r="I54" s="101">
        <f t="shared" si="6"/>
        <v>41595</v>
      </c>
      <c r="J54" s="109">
        <f>'Tank Data'!X54</f>
        <v>-97.647430864124217</v>
      </c>
      <c r="K54" s="109">
        <f>'Tank Data'!U54</f>
        <v>3.0008783584564283</v>
      </c>
      <c r="L54" s="130">
        <v>1</v>
      </c>
      <c r="M54" s="167">
        <f t="shared" si="7"/>
        <v>41595</v>
      </c>
      <c r="N54" s="170">
        <f>'Tank Data'!AF54</f>
        <v>-88.681227314746309</v>
      </c>
      <c r="O54" s="170">
        <f>'Tank Data'!AC54</f>
        <v>2.6427783584564284</v>
      </c>
      <c r="P54" s="171">
        <v>1</v>
      </c>
      <c r="R54" s="185"/>
      <c r="S54" s="161"/>
      <c r="T54" s="134"/>
      <c r="U54" s="134"/>
      <c r="V54" s="134"/>
      <c r="W54" s="134"/>
      <c r="X54" s="161"/>
      <c r="AH54" s="113">
        <v>41586</v>
      </c>
      <c r="AI54" s="1">
        <v>-2.2699938135866562</v>
      </c>
      <c r="AJ54" s="1">
        <v>2.8968487199818074</v>
      </c>
      <c r="AK54" s="1">
        <v>2</v>
      </c>
      <c r="AV54" s="115">
        <v>41570</v>
      </c>
      <c r="AW54" s="112"/>
      <c r="AX54" s="100">
        <v>3.0421924557679625</v>
      </c>
      <c r="AY54" s="132">
        <v>2</v>
      </c>
      <c r="BK54" s="115">
        <v>41623</v>
      </c>
      <c r="BL54" s="112">
        <v>0.85900897058280878</v>
      </c>
      <c r="BM54" s="112">
        <v>2.9403162032028556</v>
      </c>
      <c r="BN54" s="119">
        <v>2</v>
      </c>
      <c r="BY54" s="113">
        <v>41614</v>
      </c>
      <c r="BZ54" s="112">
        <v>1.9061340824203516</v>
      </c>
      <c r="CA54" s="112">
        <v>2.8178550443621067</v>
      </c>
      <c r="CB54" s="132">
        <v>2</v>
      </c>
      <c r="CO54" s="1">
        <v>-1.0369758377861031</v>
      </c>
      <c r="CP54" s="1">
        <v>3.0117466778126238</v>
      </c>
      <c r="CQ54" s="1">
        <v>5</v>
      </c>
      <c r="CS54" s="1">
        <v>-0.12124800000000002</v>
      </c>
      <c r="CT54" s="1">
        <v>0.86809103541333377</v>
      </c>
      <c r="CU54" s="1">
        <v>60</v>
      </c>
      <c r="DJ54" s="191">
        <v>2.6144485453752178</v>
      </c>
      <c r="DK54" s="191">
        <v>3.4474771477230091</v>
      </c>
      <c r="DL54" s="191">
        <v>0</v>
      </c>
    </row>
    <row r="55" spans="1:116">
      <c r="A55" s="3">
        <f t="shared" si="4"/>
        <v>41596</v>
      </c>
      <c r="B55" s="13">
        <f>'Tank Data'!H55</f>
        <v>1.4900324925011976</v>
      </c>
      <c r="C55" s="10">
        <v>2.2556730516361818</v>
      </c>
      <c r="D55" s="129">
        <v>0</v>
      </c>
      <c r="E55" s="35">
        <f t="shared" si="5"/>
        <v>41596</v>
      </c>
      <c r="F55" s="37">
        <f>'Tank Data'!P55</f>
        <v>0.725190844925235</v>
      </c>
      <c r="G55" s="37">
        <f>'Tank Data'!M55</f>
        <v>3.230673051636181</v>
      </c>
      <c r="H55" s="126">
        <v>0</v>
      </c>
      <c r="I55" s="101">
        <f t="shared" si="6"/>
        <v>41596</v>
      </c>
      <c r="J55" s="109">
        <f>'Tank Data'!X55</f>
        <v>-3.8072349285506291</v>
      </c>
      <c r="K55" s="109">
        <f>'Tank Data'!U55</f>
        <v>3.7856730516361816</v>
      </c>
      <c r="L55" s="131">
        <v>0</v>
      </c>
      <c r="M55" s="167">
        <f t="shared" si="7"/>
        <v>41596</v>
      </c>
      <c r="N55" s="170">
        <f>'Tank Data'!AF55</f>
        <v>-1.5957342214388917</v>
      </c>
      <c r="O55" s="170">
        <f>'Tank Data'!AC55</f>
        <v>3.1592730516361818</v>
      </c>
      <c r="P55" s="172">
        <v>0</v>
      </c>
      <c r="R55" s="185"/>
      <c r="S55" s="161"/>
      <c r="T55" s="134"/>
      <c r="U55" s="134"/>
      <c r="V55" s="134"/>
      <c r="W55" s="134"/>
      <c r="X55" s="161"/>
      <c r="AH55" s="113">
        <v>41599</v>
      </c>
      <c r="AI55" s="1">
        <v>-9.5686504933702524E-2</v>
      </c>
      <c r="AJ55" s="1">
        <v>3.0934155743392249</v>
      </c>
      <c r="AK55" s="1">
        <v>2</v>
      </c>
      <c r="AV55" s="116">
        <v>41575</v>
      </c>
      <c r="AW55" s="112"/>
      <c r="AX55" s="100">
        <v>2.8401098576753268</v>
      </c>
      <c r="AY55" s="132">
        <v>2</v>
      </c>
      <c r="AZ55" s="11"/>
      <c r="BK55" s="115">
        <v>41576</v>
      </c>
      <c r="BL55" s="112"/>
      <c r="BM55" s="112">
        <v>3.6890624191981507</v>
      </c>
      <c r="BN55" s="112">
        <v>3</v>
      </c>
      <c r="BY55" s="113">
        <v>41624</v>
      </c>
      <c r="BZ55" s="112">
        <v>0.92011709713573064</v>
      </c>
      <c r="CA55" s="112">
        <v>2.5751452457095354</v>
      </c>
      <c r="CB55" s="132">
        <v>2</v>
      </c>
      <c r="CO55" s="1">
        <v>0.4183905468843514</v>
      </c>
      <c r="CP55" s="1">
        <v>2.8217004524185607</v>
      </c>
      <c r="CQ55" s="1">
        <v>5</v>
      </c>
      <c r="CS55" s="1">
        <v>0.30384</v>
      </c>
      <c r="CT55" s="1">
        <v>0.84340679089701309</v>
      </c>
      <c r="CU55" s="1">
        <v>61</v>
      </c>
      <c r="DJ55" s="191">
        <v>2.4849697336963619</v>
      </c>
      <c r="DK55" s="191">
        <v>3.4445194843017637</v>
      </c>
      <c r="DL55" s="191">
        <v>0</v>
      </c>
    </row>
    <row r="56" spans="1:116">
      <c r="A56" s="3">
        <f t="shared" si="4"/>
        <v>41597</v>
      </c>
      <c r="B56" s="13">
        <f>'Tank Data'!H56</f>
        <v>1.6448642839515508</v>
      </c>
      <c r="C56" s="10">
        <v>2.2130814440322788</v>
      </c>
      <c r="D56" s="129">
        <v>0</v>
      </c>
      <c r="E56" s="35">
        <f t="shared" si="5"/>
        <v>41597</v>
      </c>
      <c r="F56" s="37">
        <f>'Tank Data'!P56</f>
        <v>-1.5706122176233204</v>
      </c>
      <c r="G56" s="37">
        <f>'Tank Data'!M56</f>
        <v>3.2119814440322791</v>
      </c>
      <c r="H56" s="126">
        <v>0</v>
      </c>
      <c r="I56" s="101">
        <f t="shared" si="6"/>
        <v>41597</v>
      </c>
      <c r="J56" s="109">
        <f>'Tank Data'!X56</f>
        <v>1.6215926195515196</v>
      </c>
      <c r="K56" s="109">
        <f>'Tank Data'!U56</f>
        <v>3.7786814440322791</v>
      </c>
      <c r="L56" s="131">
        <v>0</v>
      </c>
      <c r="M56" s="167">
        <f t="shared" si="7"/>
        <v>41597</v>
      </c>
      <c r="N56" s="170">
        <f>'Tank Data'!AF56</f>
        <v>-0.80755960410805083</v>
      </c>
      <c r="O56" s="170">
        <f>'Tank Data'!AC56</f>
        <v>3.1414814440322778</v>
      </c>
      <c r="P56" s="172">
        <v>0</v>
      </c>
      <c r="R56" s="185"/>
      <c r="S56" s="161"/>
      <c r="T56" s="134"/>
      <c r="U56" s="134"/>
      <c r="V56" s="134"/>
      <c r="W56" s="134"/>
      <c r="X56" s="161"/>
      <c r="AH56" s="113">
        <v>41604</v>
      </c>
      <c r="AI56" s="1">
        <v>-0.35767398137029927</v>
      </c>
      <c r="AJ56" s="1">
        <v>2.9665722295991848</v>
      </c>
      <c r="AK56" s="1">
        <v>2</v>
      </c>
      <c r="AV56" s="115">
        <v>41586</v>
      </c>
      <c r="AW56" s="112">
        <v>0.88996141782315863</v>
      </c>
      <c r="AX56" s="100">
        <v>2.531948719981806</v>
      </c>
      <c r="AY56" s="132">
        <v>2</v>
      </c>
      <c r="BK56" s="115">
        <v>41587</v>
      </c>
      <c r="BL56" s="112">
        <v>2.4488396528948124</v>
      </c>
      <c r="BM56" s="112">
        <v>3.3074953411213714</v>
      </c>
      <c r="BN56" s="112">
        <v>3</v>
      </c>
      <c r="BY56" s="113">
        <v>41576</v>
      </c>
      <c r="BZ56" s="112"/>
      <c r="CA56" s="112">
        <v>3.2727624191981519</v>
      </c>
      <c r="CB56" s="132">
        <v>3</v>
      </c>
      <c r="CO56" s="1">
        <v>-0.11150776774200913</v>
      </c>
      <c r="CP56" s="1">
        <v>2.8870726488416056</v>
      </c>
      <c r="CQ56" s="1">
        <v>5</v>
      </c>
      <c r="CS56" s="1">
        <v>1.6992</v>
      </c>
      <c r="CT56" s="1">
        <v>0.81532704526209576</v>
      </c>
      <c r="CU56" s="1">
        <v>62</v>
      </c>
      <c r="DJ56" s="191">
        <v>2.4427990299302671</v>
      </c>
      <c r="DK56" s="191">
        <v>3.42052888955853</v>
      </c>
      <c r="DL56" s="192">
        <v>0</v>
      </c>
    </row>
    <row r="57" spans="1:116">
      <c r="A57" s="3">
        <f t="shared" si="4"/>
        <v>41598</v>
      </c>
      <c r="B57" s="13">
        <f>'Tank Data'!H57</f>
        <v>1.8452564641379312</v>
      </c>
      <c r="C57" s="10">
        <v>2.1686401297129607</v>
      </c>
      <c r="D57" s="127">
        <v>1</v>
      </c>
      <c r="E57" s="35">
        <f t="shared" si="5"/>
        <v>41598</v>
      </c>
      <c r="F57" s="37">
        <f>'Tank Data'!P57</f>
        <v>0.74244533955201353</v>
      </c>
      <c r="G57" s="37">
        <f>'Tank Data'!M57</f>
        <v>3.1923401297129619</v>
      </c>
      <c r="H57" s="128">
        <v>1</v>
      </c>
      <c r="I57" s="101">
        <f t="shared" si="6"/>
        <v>41598</v>
      </c>
      <c r="J57" s="109">
        <f>'Tank Data'!X57</f>
        <v>3.5082229399978564</v>
      </c>
      <c r="K57" s="109">
        <f>'Tank Data'!U57</f>
        <v>3.7410401297129612</v>
      </c>
      <c r="L57" s="130">
        <v>1</v>
      </c>
      <c r="M57" s="167">
        <f t="shared" si="7"/>
        <v>41598</v>
      </c>
      <c r="N57" s="170">
        <f>'Tank Data'!AF57</f>
        <v>-0.37989048676427656</v>
      </c>
      <c r="O57" s="170">
        <f>'Tank Data'!AC57</f>
        <v>3.1183401297129616</v>
      </c>
      <c r="P57" s="171">
        <v>1</v>
      </c>
      <c r="R57" s="185"/>
      <c r="S57" s="161"/>
      <c r="T57" s="134"/>
      <c r="U57" s="134"/>
      <c r="V57" s="134"/>
      <c r="W57" s="134"/>
      <c r="X57" s="161"/>
      <c r="AH57" s="113">
        <v>41614</v>
      </c>
      <c r="AI57" s="1">
        <v>0.63153638159846492</v>
      </c>
      <c r="AJ57" s="1">
        <v>2.7202550443621063</v>
      </c>
      <c r="AK57" s="1">
        <v>2</v>
      </c>
      <c r="AV57" s="116">
        <v>41599</v>
      </c>
      <c r="AW57" s="112">
        <v>1.3411488375636851</v>
      </c>
      <c r="AX57" s="100">
        <v>2.1246155743392241</v>
      </c>
      <c r="AY57" s="132">
        <v>2</v>
      </c>
      <c r="BK57" s="115">
        <v>41599</v>
      </c>
      <c r="BL57" s="112">
        <v>2.8241282468994231</v>
      </c>
      <c r="BM57" s="112">
        <v>3.7009155743392244</v>
      </c>
      <c r="BN57" s="112">
        <v>3</v>
      </c>
      <c r="BY57" s="113">
        <v>41587</v>
      </c>
      <c r="BZ57" s="112">
        <v>0.89371537531801359</v>
      </c>
      <c r="CA57" s="112">
        <v>3.1099953411213708</v>
      </c>
      <c r="CB57" s="132">
        <v>3</v>
      </c>
      <c r="CO57" s="1">
        <v>0.65526965992834463</v>
      </c>
      <c r="CP57" s="1">
        <v>2.6114703853027499</v>
      </c>
      <c r="CQ57" s="1">
        <v>5</v>
      </c>
      <c r="CS57" s="1">
        <v>-0.3024</v>
      </c>
      <c r="CT57" s="1">
        <v>0.78949329895218723</v>
      </c>
      <c r="CU57" s="1">
        <v>63</v>
      </c>
      <c r="DJ57" s="191">
        <v>2.5974172480089561</v>
      </c>
      <c r="DK57" s="191">
        <v>3.0834939113679729</v>
      </c>
      <c r="DL57" s="192">
        <v>0</v>
      </c>
    </row>
    <row r="58" spans="1:116">
      <c r="A58" s="3">
        <f t="shared" si="4"/>
        <v>41599</v>
      </c>
      <c r="B58" s="13">
        <f>'Tank Data'!H58</f>
        <v>1.485148008047585</v>
      </c>
      <c r="C58" s="10">
        <v>2.1246155743392241</v>
      </c>
      <c r="D58" s="127">
        <v>2</v>
      </c>
      <c r="E58" s="35">
        <f t="shared" si="5"/>
        <v>41599</v>
      </c>
      <c r="F58" s="37">
        <f>'Tank Data'!P58</f>
        <v>1.602315509407696</v>
      </c>
      <c r="G58" s="37">
        <f>'Tank Data'!M58</f>
        <v>3.1712155743392252</v>
      </c>
      <c r="H58" s="128">
        <v>2</v>
      </c>
      <c r="I58" s="101">
        <f t="shared" si="6"/>
        <v>41599</v>
      </c>
      <c r="J58" s="109">
        <f>'Tank Data'!X58</f>
        <v>2.7310272233608663</v>
      </c>
      <c r="K58" s="109">
        <f>'Tank Data'!U58</f>
        <v>3.7009155743392244</v>
      </c>
      <c r="L58" s="130">
        <v>2</v>
      </c>
      <c r="M58" s="167">
        <f t="shared" si="7"/>
        <v>41599</v>
      </c>
      <c r="N58" s="170">
        <f>'Tank Data'!AF58</f>
        <v>-9.5686504933702524E-2</v>
      </c>
      <c r="O58" s="170">
        <f>'Tank Data'!AC58</f>
        <v>3.0934155743392249</v>
      </c>
      <c r="P58" s="171">
        <v>2</v>
      </c>
      <c r="R58" s="185"/>
      <c r="S58" s="161"/>
      <c r="T58" s="134"/>
      <c r="U58" s="134"/>
      <c r="V58" s="134"/>
      <c r="W58" s="134"/>
      <c r="X58" s="161"/>
      <c r="AH58" s="113">
        <v>41624</v>
      </c>
      <c r="AI58" s="1">
        <v>0.23573368904136854</v>
      </c>
      <c r="AJ58" s="1">
        <v>2.4751452457095353</v>
      </c>
      <c r="AK58" s="1">
        <v>2</v>
      </c>
      <c r="AV58" s="116">
        <v>41604</v>
      </c>
      <c r="AW58" s="112">
        <v>0.94191037495527274</v>
      </c>
      <c r="AX58" s="100">
        <v>1.8739722295991847</v>
      </c>
      <c r="AY58" s="132">
        <v>2</v>
      </c>
      <c r="BK58" s="115">
        <v>41604</v>
      </c>
      <c r="BL58" s="112">
        <v>1.8492811759183909</v>
      </c>
      <c r="BM58" s="112">
        <v>3.5004722295991852</v>
      </c>
      <c r="BN58" s="112">
        <v>3</v>
      </c>
      <c r="BY58" s="113">
        <v>41600</v>
      </c>
      <c r="BZ58" s="112">
        <v>1.5047129258102911</v>
      </c>
      <c r="CA58" s="112">
        <v>3.1489272337360763</v>
      </c>
      <c r="CB58" s="132">
        <v>3</v>
      </c>
      <c r="CO58" s="1">
        <v>1.5622743532361143</v>
      </c>
      <c r="CP58" s="1">
        <v>2.3701082253497936</v>
      </c>
      <c r="CQ58" s="1">
        <v>5</v>
      </c>
      <c r="CS58" s="1">
        <v>-0.26495999999999997</v>
      </c>
      <c r="CT58" s="1">
        <v>0.76517836315581134</v>
      </c>
      <c r="CU58" s="1">
        <v>64</v>
      </c>
      <c r="DJ58" s="191"/>
      <c r="DK58" s="191">
        <v>3.0008783584564283</v>
      </c>
      <c r="DL58" s="191">
        <v>0</v>
      </c>
    </row>
    <row r="59" spans="1:116">
      <c r="A59" s="3">
        <f t="shared" si="4"/>
        <v>41600</v>
      </c>
      <c r="B59" s="13">
        <f>'Tank Data'!H59</f>
        <v>3.53859916157956</v>
      </c>
      <c r="C59" s="10">
        <v>2.0702272337360754</v>
      </c>
      <c r="D59" s="127">
        <v>3</v>
      </c>
      <c r="E59" s="35">
        <f t="shared" si="5"/>
        <v>41600</v>
      </c>
      <c r="F59" s="37">
        <f>'Tank Data'!P59</f>
        <v>1.5417711041648792</v>
      </c>
      <c r="G59" s="37">
        <f>'Tank Data'!M59</f>
        <v>3.1489272337360763</v>
      </c>
      <c r="H59" s="128">
        <v>3</v>
      </c>
      <c r="I59" s="101">
        <f t="shared" si="6"/>
        <v>41600</v>
      </c>
      <c r="J59" s="109">
        <f>'Tank Data'!X59</f>
        <v>2.4868161403737918</v>
      </c>
      <c r="K59" s="109">
        <f>'Tank Data'!U59</f>
        <v>3.660127233736076</v>
      </c>
      <c r="L59" s="130">
        <v>3</v>
      </c>
      <c r="M59" s="167">
        <f t="shared" si="7"/>
        <v>41600</v>
      </c>
      <c r="N59" s="170">
        <f>'Tank Data'!AF59</f>
        <v>-0.31456925909300187</v>
      </c>
      <c r="O59" s="170">
        <f>'Tank Data'!AC59</f>
        <v>3.0679272337360763</v>
      </c>
      <c r="P59" s="171">
        <v>3</v>
      </c>
      <c r="R59" s="185"/>
      <c r="S59" s="161"/>
      <c r="T59" s="134"/>
      <c r="U59" s="134"/>
      <c r="V59" s="134"/>
      <c r="W59" s="134"/>
      <c r="X59" s="161"/>
      <c r="Y59" s="11"/>
      <c r="AH59" s="113">
        <v>41576</v>
      </c>
      <c r="AI59" s="1">
        <v>-0.47444989878023047</v>
      </c>
      <c r="AJ59" s="1">
        <v>3.0483624191981504</v>
      </c>
      <c r="AK59" s="1">
        <v>3</v>
      </c>
      <c r="AV59" s="115">
        <v>41614</v>
      </c>
      <c r="AW59" s="112">
        <v>0.5269791818641737</v>
      </c>
      <c r="AX59" s="100">
        <v>1.5350550443621054</v>
      </c>
      <c r="AY59" s="132">
        <v>2</v>
      </c>
      <c r="BK59" s="115">
        <v>41614</v>
      </c>
      <c r="BL59" s="112">
        <v>1.6244099471257181</v>
      </c>
      <c r="BM59" s="112">
        <v>3.1658550443621065</v>
      </c>
      <c r="BN59" s="119">
        <v>3</v>
      </c>
      <c r="BY59" s="113">
        <v>41605</v>
      </c>
      <c r="BZ59" s="112">
        <v>2.6404716046717125</v>
      </c>
      <c r="CA59" s="112">
        <v>3.0250587306052825</v>
      </c>
      <c r="CB59" s="132">
        <v>3</v>
      </c>
      <c r="CO59" s="1">
        <v>-1.4684863639916124</v>
      </c>
      <c r="CP59" s="1">
        <v>2.9937524038752907</v>
      </c>
      <c r="CQ59" s="1">
        <v>6</v>
      </c>
      <c r="CS59" s="1">
        <v>0.71711999999999998</v>
      </c>
      <c r="CT59" s="1">
        <v>0.74098941248656969</v>
      </c>
      <c r="CU59" s="1">
        <v>65</v>
      </c>
      <c r="DJ59" s="191">
        <v>-3.71</v>
      </c>
      <c r="DK59" s="191">
        <v>3.7856730516361816</v>
      </c>
      <c r="DL59" s="191">
        <v>0</v>
      </c>
    </row>
    <row r="60" spans="1:116">
      <c r="A60" s="3">
        <f t="shared" si="4"/>
        <v>41601</v>
      </c>
      <c r="B60" s="13">
        <f>'Tank Data'!H60</f>
        <v>1.8510278738354182</v>
      </c>
      <c r="C60" s="10">
        <v>2.0150720246773575</v>
      </c>
      <c r="D60" s="127">
        <v>4</v>
      </c>
      <c r="E60" s="35">
        <f t="shared" si="5"/>
        <v>41601</v>
      </c>
      <c r="F60" s="37">
        <f>'Tank Data'!P60</f>
        <v>1.6123134336435554</v>
      </c>
      <c r="G60" s="37">
        <f>'Tank Data'!M60</f>
        <v>3.125172024677358</v>
      </c>
      <c r="H60" s="128">
        <v>4</v>
      </c>
      <c r="I60" s="101">
        <f t="shared" si="6"/>
        <v>41601</v>
      </c>
      <c r="J60" s="109">
        <f>'Tank Data'!X60</f>
        <v>2.5163349535879447</v>
      </c>
      <c r="K60" s="109">
        <f>'Tank Data'!U60</f>
        <v>3.6221720246773588</v>
      </c>
      <c r="L60" s="130">
        <v>4</v>
      </c>
      <c r="M60" s="167">
        <f t="shared" si="7"/>
        <v>41601</v>
      </c>
      <c r="N60" s="170">
        <f>'Tank Data'!AF60</f>
        <v>-0.30200307620411071</v>
      </c>
      <c r="O60" s="170">
        <f>'Tank Data'!AC60</f>
        <v>3.0416720246773585</v>
      </c>
      <c r="P60" s="171">
        <v>4</v>
      </c>
      <c r="R60" s="185"/>
      <c r="S60" s="161"/>
      <c r="T60" s="134"/>
      <c r="U60" s="134"/>
      <c r="V60" s="134"/>
      <c r="W60" s="134"/>
      <c r="X60" s="161"/>
      <c r="AH60" s="113">
        <v>41587</v>
      </c>
      <c r="AI60" s="1">
        <v>-6.363185087767502E-2</v>
      </c>
      <c r="AJ60" s="1">
        <v>2.8724953411213714</v>
      </c>
      <c r="AK60" s="1">
        <v>3</v>
      </c>
      <c r="AV60" s="116">
        <v>41624</v>
      </c>
      <c r="AW60" s="112">
        <v>0.78827700599976136</v>
      </c>
      <c r="AX60" s="100">
        <v>1.3168452457095339</v>
      </c>
      <c r="AY60" s="132">
        <v>2</v>
      </c>
      <c r="BK60" s="115">
        <v>41624</v>
      </c>
      <c r="BL60" s="112">
        <v>1.5981760301666714</v>
      </c>
      <c r="BM60" s="112">
        <v>2.9093452457095355</v>
      </c>
      <c r="BN60" s="119">
        <v>3</v>
      </c>
      <c r="BY60" s="113">
        <v>41615</v>
      </c>
      <c r="BZ60" s="112">
        <v>2.2438871846158799</v>
      </c>
      <c r="CA60" s="112">
        <v>2.7797257992832947</v>
      </c>
      <c r="CB60" s="132">
        <v>3</v>
      </c>
      <c r="CO60" s="1">
        <v>1.0451309710629426</v>
      </c>
      <c r="CP60" s="1">
        <v>2.7828161938040874</v>
      </c>
      <c r="CQ60" s="1">
        <v>6</v>
      </c>
      <c r="CS60" s="1">
        <v>0.28223999999999999</v>
      </c>
      <c r="CT60" s="1">
        <v>0.71552950432400797</v>
      </c>
      <c r="CU60" s="1">
        <v>66</v>
      </c>
      <c r="DJ60" s="191">
        <v>2.609304577817432</v>
      </c>
      <c r="DK60" s="191">
        <v>3.6221720246773588</v>
      </c>
      <c r="DL60" s="191">
        <v>0</v>
      </c>
    </row>
    <row r="61" spans="1:116">
      <c r="A61" s="3">
        <f t="shared" si="4"/>
        <v>41602</v>
      </c>
      <c r="B61" s="13">
        <f>'Tank Data'!H61</f>
        <v>1.9889912044079403</v>
      </c>
      <c r="C61" s="10">
        <v>1.9673231540970932</v>
      </c>
      <c r="D61" s="127">
        <v>0</v>
      </c>
      <c r="E61" s="35">
        <f t="shared" si="5"/>
        <v>41602</v>
      </c>
      <c r="F61" s="37">
        <f>'Tank Data'!P61</f>
        <v>2.4304877833823939</v>
      </c>
      <c r="G61" s="37">
        <f>'Tank Data'!M61</f>
        <v>3.1047231540970941</v>
      </c>
      <c r="H61" s="128">
        <v>0</v>
      </c>
      <c r="I61" s="101">
        <f t="shared" si="6"/>
        <v>41602</v>
      </c>
      <c r="J61" s="109">
        <f>'Tank Data'!X61</f>
        <v>2.8773220906537453</v>
      </c>
      <c r="K61" s="109">
        <f>'Tank Data'!U61</f>
        <v>3.5806231540970943</v>
      </c>
      <c r="L61" s="130">
        <v>0</v>
      </c>
      <c r="M61" s="167">
        <f t="shared" si="7"/>
        <v>41602</v>
      </c>
      <c r="N61" s="170">
        <f>'Tank Data'!AF61</f>
        <v>-0.56179775531487108</v>
      </c>
      <c r="O61" s="170">
        <f>'Tank Data'!AC61</f>
        <v>3.0159231540970928</v>
      </c>
      <c r="P61" s="171">
        <v>0</v>
      </c>
      <c r="R61" s="185"/>
      <c r="S61" s="161"/>
      <c r="T61" s="134"/>
      <c r="U61" s="134"/>
      <c r="V61" s="134"/>
      <c r="W61" s="134"/>
      <c r="X61" s="161"/>
      <c r="AH61" s="113">
        <v>41600</v>
      </c>
      <c r="AI61" s="1">
        <v>-0.31456925909300187</v>
      </c>
      <c r="AJ61" s="1">
        <v>3.0679272337360763</v>
      </c>
      <c r="AK61" s="1">
        <v>3</v>
      </c>
      <c r="AV61" s="116">
        <v>41576</v>
      </c>
      <c r="AW61" s="112"/>
      <c r="AX61" s="100">
        <v>2.7989624191981517</v>
      </c>
      <c r="AY61" s="132">
        <v>3</v>
      </c>
      <c r="BK61" s="115">
        <v>41577</v>
      </c>
      <c r="BL61" s="112">
        <v>3.875838432476332</v>
      </c>
      <c r="BM61" s="112">
        <v>3.661432976246588</v>
      </c>
      <c r="BN61" s="112">
        <v>4</v>
      </c>
      <c r="BY61" s="113">
        <v>41625</v>
      </c>
      <c r="BZ61" s="112">
        <v>1.2111596288873414</v>
      </c>
      <c r="CA61" s="112">
        <v>2.5535566978348676</v>
      </c>
      <c r="CB61" s="132">
        <v>3</v>
      </c>
      <c r="CO61" s="1">
        <v>-0.23206942474571016</v>
      </c>
      <c r="CP61" s="1">
        <v>2.8603452480592284</v>
      </c>
      <c r="CQ61" s="1">
        <v>6</v>
      </c>
      <c r="CS61" s="1">
        <v>-1.1664000000000001</v>
      </c>
      <c r="CT61" s="1">
        <v>0.69674443542099906</v>
      </c>
      <c r="CU61" s="1">
        <v>67</v>
      </c>
      <c r="DJ61" s="191">
        <v>1.7413050798229988</v>
      </c>
      <c r="DK61" s="191">
        <v>3.339745248059228</v>
      </c>
      <c r="DL61" s="192">
        <v>0</v>
      </c>
    </row>
    <row r="62" spans="1:116">
      <c r="A62" s="3">
        <f t="shared" si="4"/>
        <v>41603</v>
      </c>
      <c r="B62" s="13">
        <f>'Tank Data'!H62</f>
        <v>2.4032069433746193</v>
      </c>
      <c r="C62" s="10">
        <v>1.919013953762152</v>
      </c>
      <c r="D62" s="127">
        <v>1</v>
      </c>
      <c r="E62" s="35">
        <f t="shared" si="5"/>
        <v>41603</v>
      </c>
      <c r="F62" s="37">
        <f>'Tank Data'!P62</f>
        <v>1.9693946521314183</v>
      </c>
      <c r="G62" s="37">
        <f>'Tank Data'!M62</f>
        <v>3.081513953762153</v>
      </c>
      <c r="H62" s="128">
        <v>1</v>
      </c>
      <c r="I62" s="101">
        <f t="shared" si="6"/>
        <v>41603</v>
      </c>
      <c r="J62" s="109">
        <f>'Tank Data'!X62</f>
        <v>2.4897078554911189</v>
      </c>
      <c r="K62" s="109">
        <f>'Tank Data'!U62</f>
        <v>3.5398139537621534</v>
      </c>
      <c r="L62" s="130">
        <v>1</v>
      </c>
      <c r="M62" s="167">
        <f t="shared" si="7"/>
        <v>41603</v>
      </c>
      <c r="N62" s="170">
        <f>'Tank Data'!AF62</f>
        <v>-0.58996450647456522</v>
      </c>
      <c r="O62" s="170">
        <f>'Tank Data'!AC62</f>
        <v>2.9912139537621534</v>
      </c>
      <c r="P62" s="171">
        <v>1</v>
      </c>
      <c r="R62" s="185"/>
      <c r="S62" s="161"/>
      <c r="T62" s="134"/>
      <c r="U62" s="134"/>
      <c r="V62" s="134"/>
      <c r="W62" s="134"/>
      <c r="X62" s="161"/>
      <c r="AH62" s="113">
        <v>41605</v>
      </c>
      <c r="AI62" s="1">
        <v>-0.45512925890862677</v>
      </c>
      <c r="AJ62" s="1">
        <v>2.9412587306052838</v>
      </c>
      <c r="AK62" s="1">
        <v>3</v>
      </c>
      <c r="AV62" s="115">
        <v>41587</v>
      </c>
      <c r="AW62" s="112">
        <v>1.1083365594786558</v>
      </c>
      <c r="AX62" s="100">
        <v>2.4993953411213714</v>
      </c>
      <c r="AY62" s="132">
        <v>3</v>
      </c>
      <c r="BK62" s="115">
        <v>41588</v>
      </c>
      <c r="BL62" s="112">
        <v>2.5090136334827631</v>
      </c>
      <c r="BM62" s="112">
        <v>3.2686184455944813</v>
      </c>
      <c r="BN62" s="112">
        <v>4</v>
      </c>
      <c r="BY62" s="113">
        <v>41577</v>
      </c>
      <c r="BZ62" s="112">
        <v>0.51380529982026912</v>
      </c>
      <c r="CA62" s="112">
        <v>3.2534329762465877</v>
      </c>
      <c r="CB62" s="132">
        <v>4</v>
      </c>
      <c r="CO62" s="1">
        <v>0.6949683494215666</v>
      </c>
      <c r="CP62" s="1">
        <v>2.5763358193055388</v>
      </c>
      <c r="CQ62" s="1">
        <v>6</v>
      </c>
      <c r="CS62" s="1">
        <v>-6.6096000000000002E-2</v>
      </c>
      <c r="CT62" s="1">
        <v>0.67210271125803045</v>
      </c>
      <c r="CU62" s="1">
        <v>68</v>
      </c>
      <c r="DJ62" s="191">
        <v>0.99414174912606978</v>
      </c>
      <c r="DK62" s="191">
        <v>3.3122742858665228</v>
      </c>
      <c r="DL62" s="192">
        <v>0</v>
      </c>
    </row>
    <row r="63" spans="1:116">
      <c r="A63" s="3">
        <f t="shared" si="4"/>
        <v>41604</v>
      </c>
      <c r="B63" s="13">
        <f>'Tank Data'!H63</f>
        <v>1.0745001960906984</v>
      </c>
      <c r="C63" s="10">
        <v>1.8739722295991847</v>
      </c>
      <c r="D63" s="127">
        <v>2</v>
      </c>
      <c r="E63" s="35">
        <f t="shared" si="5"/>
        <v>41604</v>
      </c>
      <c r="F63" s="37">
        <f>'Tank Data'!P63</f>
        <v>1.5696777496614089</v>
      </c>
      <c r="G63" s="37">
        <f>'Tank Data'!M63</f>
        <v>3.0538722295991843</v>
      </c>
      <c r="H63" s="128">
        <v>2</v>
      </c>
      <c r="I63" s="101">
        <f t="shared" si="6"/>
        <v>41604</v>
      </c>
      <c r="J63" s="109">
        <f>'Tank Data'!X63</f>
        <v>1.7566663861910563</v>
      </c>
      <c r="K63" s="109">
        <f>'Tank Data'!U63</f>
        <v>3.5004722295991852</v>
      </c>
      <c r="L63" s="130">
        <v>2</v>
      </c>
      <c r="M63" s="167">
        <f t="shared" si="7"/>
        <v>41604</v>
      </c>
      <c r="N63" s="170">
        <f>'Tank Data'!AF63</f>
        <v>-0.35767398137029927</v>
      </c>
      <c r="O63" s="170">
        <f>'Tank Data'!AC63</f>
        <v>2.9665722295991848</v>
      </c>
      <c r="P63" s="171">
        <v>2</v>
      </c>
      <c r="R63" s="185"/>
      <c r="S63" s="161"/>
      <c r="T63" s="134"/>
      <c r="U63" s="134"/>
      <c r="V63" s="134"/>
      <c r="W63" s="134"/>
      <c r="X63" s="161"/>
      <c r="AH63" s="113">
        <v>41615</v>
      </c>
      <c r="AI63" s="1">
        <v>0.94155290821139181</v>
      </c>
      <c r="AJ63" s="1">
        <v>2.6826257992832949</v>
      </c>
      <c r="AK63" s="1">
        <v>3</v>
      </c>
      <c r="AV63" s="116">
        <v>41600</v>
      </c>
      <c r="AW63" s="112">
        <v>3.3967990088736091</v>
      </c>
      <c r="AX63" s="100">
        <v>2.0702272337360754</v>
      </c>
      <c r="AY63" s="132">
        <v>3</v>
      </c>
      <c r="BK63" s="115">
        <v>41600</v>
      </c>
      <c r="BL63" s="112">
        <v>2.5798579901722336</v>
      </c>
      <c r="BM63" s="112">
        <v>3.660127233736076</v>
      </c>
      <c r="BN63" s="112">
        <v>4</v>
      </c>
      <c r="BY63" s="113">
        <v>41588</v>
      </c>
      <c r="BZ63" s="112">
        <v>1.4014465393149891</v>
      </c>
      <c r="CA63" s="112">
        <v>3.0919184455944819</v>
      </c>
      <c r="CB63" s="132">
        <v>4</v>
      </c>
      <c r="CO63" s="1"/>
      <c r="CP63" s="1">
        <v>2.3149875728895206</v>
      </c>
      <c r="CQ63" s="1">
        <v>6</v>
      </c>
      <c r="CS63" s="1">
        <v>-1.0728</v>
      </c>
      <c r="CT63" s="1">
        <v>0.52862664481721344</v>
      </c>
      <c r="CU63" s="1">
        <v>69</v>
      </c>
      <c r="DJ63" s="191">
        <v>-2.2578653552395642</v>
      </c>
      <c r="DK63" s="191">
        <v>3.2755507692000672</v>
      </c>
      <c r="DL63" s="192">
        <v>0</v>
      </c>
    </row>
    <row r="64" spans="1:116">
      <c r="A64" s="3">
        <f t="shared" si="4"/>
        <v>41605</v>
      </c>
      <c r="B64" s="13">
        <f>'Tank Data'!H64</f>
        <v>1.3534649100124276</v>
      </c>
      <c r="C64" s="10">
        <v>1.8367587306052831</v>
      </c>
      <c r="D64" s="127">
        <v>3</v>
      </c>
      <c r="E64" s="35">
        <f t="shared" si="5"/>
        <v>41605</v>
      </c>
      <c r="F64" s="37">
        <f>'Tank Data'!P64</f>
        <v>2.6264411489731012</v>
      </c>
      <c r="G64" s="37">
        <f>'Tank Data'!M64</f>
        <v>3.0250587306052825</v>
      </c>
      <c r="H64" s="128">
        <v>3</v>
      </c>
      <c r="I64" s="101">
        <f t="shared" si="6"/>
        <v>41605</v>
      </c>
      <c r="J64" s="109">
        <f>'Tank Data'!X64</f>
        <v>2.319710623450967</v>
      </c>
      <c r="K64" s="109">
        <f>'Tank Data'!U64</f>
        <v>3.4643587306052828</v>
      </c>
      <c r="L64" s="130">
        <v>3</v>
      </c>
      <c r="M64" s="167">
        <f t="shared" si="7"/>
        <v>41605</v>
      </c>
      <c r="N64" s="170">
        <f>'Tank Data'!AF64</f>
        <v>-0.45512925890862677</v>
      </c>
      <c r="O64" s="170">
        <f>'Tank Data'!AC64</f>
        <v>2.9412587306052838</v>
      </c>
      <c r="P64" s="171">
        <v>3</v>
      </c>
      <c r="R64" s="185"/>
      <c r="S64" s="161"/>
      <c r="T64" s="134"/>
      <c r="U64" s="134"/>
      <c r="V64" s="134"/>
      <c r="W64" s="134"/>
      <c r="X64" s="161"/>
      <c r="Y64" s="11"/>
      <c r="AH64" s="113">
        <v>41625</v>
      </c>
      <c r="AI64" s="1">
        <v>9.6746017342390703E-2</v>
      </c>
      <c r="AJ64" s="1">
        <v>2.4447566978348667</v>
      </c>
      <c r="AK64" s="1">
        <v>3</v>
      </c>
      <c r="AV64" s="116">
        <v>41605</v>
      </c>
      <c r="AW64" s="112">
        <v>1.2228849109255437</v>
      </c>
      <c r="AX64" s="100">
        <v>1.8367587306052831</v>
      </c>
      <c r="AY64" s="132">
        <v>3</v>
      </c>
      <c r="BK64" s="115">
        <v>41605</v>
      </c>
      <c r="BL64" s="112">
        <v>2.412180297791231</v>
      </c>
      <c r="BM64" s="112">
        <v>3.4643587306052828</v>
      </c>
      <c r="BN64" s="112">
        <v>4</v>
      </c>
      <c r="BY64" s="113">
        <v>41601</v>
      </c>
      <c r="BZ64" s="112">
        <v>1.584563958071205</v>
      </c>
      <c r="CA64" s="112">
        <v>3.125172024677358</v>
      </c>
      <c r="CB64" s="132">
        <v>4</v>
      </c>
      <c r="CO64" s="1">
        <v>-2.6838063946914672</v>
      </c>
      <c r="CP64" s="1">
        <v>2.7604955413438126</v>
      </c>
      <c r="CQ64" s="1">
        <v>7</v>
      </c>
      <c r="CS64" s="112"/>
      <c r="CT64" s="100">
        <v>3.001481022440164</v>
      </c>
      <c r="CU64" s="132">
        <v>0</v>
      </c>
      <c r="DJ64" s="191">
        <v>-1.2488918376506521</v>
      </c>
      <c r="DK64" s="191">
        <v>3.2615924910133449</v>
      </c>
      <c r="DL64" s="192">
        <v>0</v>
      </c>
    </row>
    <row r="65" spans="1:116">
      <c r="A65" s="3">
        <f t="shared" si="4"/>
        <v>41606</v>
      </c>
      <c r="B65" s="13">
        <f>'Tank Data'!H65</f>
        <v>0.74135844917414362</v>
      </c>
      <c r="C65" s="10">
        <v>1.7994634391078965</v>
      </c>
      <c r="D65" s="127">
        <v>4</v>
      </c>
      <c r="E65" s="35">
        <f t="shared" si="5"/>
        <v>41606</v>
      </c>
      <c r="F65" s="37">
        <f>'Tank Data'!P65</f>
        <v>2.3019141789377926</v>
      </c>
      <c r="G65" s="37">
        <f>'Tank Data'!M65</f>
        <v>2.9966634391078966</v>
      </c>
      <c r="H65" s="128">
        <v>4</v>
      </c>
      <c r="I65" s="101">
        <f t="shared" si="6"/>
        <v>41606</v>
      </c>
      <c r="J65" s="109">
        <f>'Tank Data'!X65</f>
        <v>2.3794553762568076</v>
      </c>
      <c r="K65" s="109">
        <f>'Tank Data'!U65</f>
        <v>3.4180634391078977</v>
      </c>
      <c r="L65" s="130">
        <v>4</v>
      </c>
      <c r="M65" s="167">
        <f t="shared" si="7"/>
        <v>41606</v>
      </c>
      <c r="N65" s="170">
        <f>'Tank Data'!AF65</f>
        <v>-0.37774367011921411</v>
      </c>
      <c r="O65" s="170">
        <f>'Tank Data'!AC65</f>
        <v>2.9136634391078959</v>
      </c>
      <c r="P65" s="171">
        <v>4</v>
      </c>
      <c r="R65" s="185"/>
      <c r="S65" s="161"/>
      <c r="T65" s="134"/>
      <c r="U65" s="134"/>
      <c r="V65" s="134"/>
      <c r="W65" s="134"/>
      <c r="X65" s="161"/>
      <c r="AH65" s="113">
        <v>41577</v>
      </c>
      <c r="AI65" s="1">
        <v>-1.3680144254648863</v>
      </c>
      <c r="AJ65" s="1">
        <v>3.0304329762465883</v>
      </c>
      <c r="AK65" s="1">
        <v>4</v>
      </c>
      <c r="AV65" s="116">
        <v>41615</v>
      </c>
      <c r="AW65" s="112">
        <v>8.5626331654542129E-2</v>
      </c>
      <c r="AX65" s="100">
        <v>1.5037257992832953</v>
      </c>
      <c r="AY65" s="132">
        <v>3</v>
      </c>
      <c r="BK65" s="115">
        <v>41615</v>
      </c>
      <c r="BL65" s="112">
        <v>2.2329832100365108</v>
      </c>
      <c r="BM65" s="112">
        <v>3.1260257992832949</v>
      </c>
      <c r="BN65" s="119">
        <v>4</v>
      </c>
      <c r="BY65" s="113">
        <v>41606</v>
      </c>
      <c r="BZ65" s="112">
        <v>2.3285108207370135</v>
      </c>
      <c r="CA65" s="112">
        <v>2.9966634391078966</v>
      </c>
      <c r="CB65" s="132">
        <v>4</v>
      </c>
      <c r="CO65" s="1">
        <v>1.7822660783882269</v>
      </c>
      <c r="CP65" s="1">
        <v>2.539699628031872</v>
      </c>
      <c r="CQ65" s="1">
        <v>7</v>
      </c>
      <c r="CS65" s="112"/>
      <c r="CT65" s="100">
        <v>3.0295143565567302</v>
      </c>
      <c r="CU65" s="132">
        <v>0</v>
      </c>
      <c r="DJ65" s="191">
        <v>2.2826679007830104</v>
      </c>
      <c r="DK65" s="191">
        <v>2.9535202734430692</v>
      </c>
      <c r="DL65" s="192">
        <v>0</v>
      </c>
    </row>
    <row r="66" spans="1:116">
      <c r="A66" s="3">
        <f t="shared" si="4"/>
        <v>41607</v>
      </c>
      <c r="B66" s="13">
        <f>'Tank Data'!H66</f>
        <v>0.97947810620428488</v>
      </c>
      <c r="C66" s="10">
        <v>1.7632726488416055</v>
      </c>
      <c r="D66" s="127">
        <v>5</v>
      </c>
      <c r="E66" s="35">
        <f t="shared" si="5"/>
        <v>41607</v>
      </c>
      <c r="F66" s="37">
        <f>'Tank Data'!P66</f>
        <v>1.9612697439769873</v>
      </c>
      <c r="G66" s="37">
        <f>'Tank Data'!M66</f>
        <v>2.9721726488416049</v>
      </c>
      <c r="H66" s="128">
        <v>5</v>
      </c>
      <c r="I66" s="101">
        <f t="shared" si="6"/>
        <v>41607</v>
      </c>
      <c r="J66" s="109">
        <f>'Tank Data'!X66</f>
        <v>1.7914244224558209</v>
      </c>
      <c r="K66" s="109">
        <f>'Tank Data'!U66</f>
        <v>3.3739726488416055</v>
      </c>
      <c r="L66" s="130">
        <v>5</v>
      </c>
      <c r="M66" s="167">
        <f t="shared" si="7"/>
        <v>41607</v>
      </c>
      <c r="N66" s="170">
        <f>'Tank Data'!AF66</f>
        <v>-0.11150776774200913</v>
      </c>
      <c r="O66" s="170">
        <f>'Tank Data'!AC66</f>
        <v>2.8870726488416056</v>
      </c>
      <c r="P66" s="171">
        <v>5</v>
      </c>
      <c r="R66" s="185"/>
      <c r="S66" s="161"/>
      <c r="T66" s="134"/>
      <c r="U66" s="134"/>
      <c r="V66" s="134"/>
      <c r="W66" s="134"/>
      <c r="X66" s="161"/>
      <c r="AH66" s="113">
        <v>41588</v>
      </c>
      <c r="AI66" s="1">
        <v>0.72275058579618356</v>
      </c>
      <c r="AJ66" s="1">
        <v>2.8491184455944807</v>
      </c>
      <c r="AK66" s="1">
        <v>4</v>
      </c>
      <c r="AV66" s="116">
        <v>41625</v>
      </c>
      <c r="AW66" s="112">
        <v>0.6069912813119116</v>
      </c>
      <c r="AX66" s="100">
        <v>1.2877566978348676</v>
      </c>
      <c r="AY66" s="132">
        <v>3</v>
      </c>
      <c r="BK66" s="115">
        <v>41625</v>
      </c>
      <c r="BL66" s="112">
        <v>1.6603022286591682</v>
      </c>
      <c r="BM66" s="112">
        <v>2.8816566978348677</v>
      </c>
      <c r="BN66" s="119">
        <v>4</v>
      </c>
      <c r="BY66" s="113">
        <v>41616</v>
      </c>
      <c r="BZ66" s="112">
        <v>2.4341461905421689</v>
      </c>
      <c r="CA66" s="112">
        <v>2.7452350043176192</v>
      </c>
      <c r="CB66" s="132">
        <v>4</v>
      </c>
      <c r="CO66" s="1"/>
      <c r="CP66" s="1">
        <v>2.2296288895585294</v>
      </c>
      <c r="CQ66" s="1">
        <v>7</v>
      </c>
      <c r="CS66" s="28"/>
      <c r="CT66" s="100">
        <v>3.1727063881024375</v>
      </c>
      <c r="CU66" s="132">
        <v>0</v>
      </c>
      <c r="DJ66" s="191">
        <v>-6.9377187857936479E-3</v>
      </c>
      <c r="DK66" s="191">
        <v>2.9459572820543505</v>
      </c>
      <c r="DL66" s="192">
        <v>0</v>
      </c>
    </row>
    <row r="67" spans="1:116">
      <c r="A67" s="3">
        <f t="shared" si="4"/>
        <v>41608</v>
      </c>
      <c r="B67" s="13">
        <f>'Tank Data'!H67</f>
        <v>1.9958360015556522</v>
      </c>
      <c r="C67" s="10">
        <v>1.7149452480592271</v>
      </c>
      <c r="D67" s="127">
        <v>6</v>
      </c>
      <c r="E67" s="35">
        <f t="shared" si="5"/>
        <v>41608</v>
      </c>
      <c r="F67" s="37">
        <f>'Tank Data'!P67</f>
        <v>1.8356616307483968</v>
      </c>
      <c r="G67" s="37">
        <f>'Tank Data'!M67</f>
        <v>2.9501452480592274</v>
      </c>
      <c r="H67" s="128">
        <v>6</v>
      </c>
      <c r="I67" s="101">
        <f t="shared" si="6"/>
        <v>41608</v>
      </c>
      <c r="J67" s="109">
        <f>'Tank Data'!X67</f>
        <v>1.6494972194786475</v>
      </c>
      <c r="K67" s="109">
        <f>'Tank Data'!U67</f>
        <v>3.339745248059228</v>
      </c>
      <c r="L67" s="130">
        <v>6</v>
      </c>
      <c r="M67" s="167">
        <f t="shared" si="7"/>
        <v>41608</v>
      </c>
      <c r="N67" s="170">
        <f>'Tank Data'!AF67</f>
        <v>-0.23206942474571016</v>
      </c>
      <c r="O67" s="170">
        <f>'Tank Data'!AC67</f>
        <v>2.8603452480592284</v>
      </c>
      <c r="P67" s="171">
        <v>6</v>
      </c>
      <c r="R67" s="185"/>
      <c r="S67" s="161"/>
      <c r="T67" s="134"/>
      <c r="U67" s="134"/>
      <c r="V67" s="134"/>
      <c r="W67" s="134"/>
      <c r="X67" s="161"/>
      <c r="AH67" s="113">
        <v>41601</v>
      </c>
      <c r="AI67" s="1">
        <v>-0.30200307620411071</v>
      </c>
      <c r="AJ67" s="1">
        <v>3.0416720246773585</v>
      </c>
      <c r="AK67" s="1">
        <v>4</v>
      </c>
      <c r="AM67" t="s">
        <v>87</v>
      </c>
      <c r="AN67" t="s">
        <v>88</v>
      </c>
      <c r="AV67" s="116">
        <v>41577</v>
      </c>
      <c r="AW67" s="112"/>
      <c r="AX67" s="100">
        <v>2.7607329762465871</v>
      </c>
      <c r="AY67" s="132">
        <v>4</v>
      </c>
      <c r="BK67" s="115">
        <v>41578</v>
      </c>
      <c r="BL67" s="112">
        <v>3.8766194498710522</v>
      </c>
      <c r="BM67" s="112">
        <v>3.616246677812625</v>
      </c>
      <c r="BN67" s="112">
        <v>5</v>
      </c>
      <c r="BY67" s="113">
        <v>41626</v>
      </c>
      <c r="BZ67" s="112">
        <v>1.6837415385962864</v>
      </c>
      <c r="CA67" s="112">
        <v>2.5267575104730966</v>
      </c>
      <c r="CB67" s="132">
        <v>4</v>
      </c>
      <c r="CO67" s="1">
        <v>0.42655682172897669</v>
      </c>
      <c r="CP67" s="1">
        <v>2.7414748912332292</v>
      </c>
      <c r="CQ67" s="1">
        <v>8</v>
      </c>
      <c r="CS67" s="112"/>
      <c r="CT67" s="100">
        <v>3.1319503382091853</v>
      </c>
      <c r="CU67" s="132">
        <v>0</v>
      </c>
      <c r="DJ67" s="191"/>
      <c r="DK67" s="191">
        <v>3.1793810224401646</v>
      </c>
      <c r="DL67" s="193">
        <v>0</v>
      </c>
    </row>
    <row r="68" spans="1:116">
      <c r="A68" s="3">
        <f t="shared" si="4"/>
        <v>41609</v>
      </c>
      <c r="B68" s="13">
        <f>'Tank Data'!H68</f>
        <v>-0.38902093188312498</v>
      </c>
      <c r="C68" s="10">
        <v>1.6719742858665225</v>
      </c>
      <c r="D68" s="127">
        <v>0</v>
      </c>
      <c r="E68" s="35">
        <f t="shared" si="5"/>
        <v>41609</v>
      </c>
      <c r="F68" s="37">
        <f>'Tank Data'!P68</f>
        <v>-0.37348703267908445</v>
      </c>
      <c r="G68" s="37">
        <f>'Tank Data'!M68</f>
        <v>2.9242742858665238</v>
      </c>
      <c r="H68" s="128">
        <v>0</v>
      </c>
      <c r="I68" s="101">
        <f t="shared" si="6"/>
        <v>41609</v>
      </c>
      <c r="J68" s="109">
        <f>'Tank Data'!X68</f>
        <v>0.90251670911935233</v>
      </c>
      <c r="K68" s="109">
        <f>'Tank Data'!U68</f>
        <v>3.3122742858665228</v>
      </c>
      <c r="L68" s="130">
        <v>0</v>
      </c>
      <c r="M68" s="167">
        <f t="shared" si="7"/>
        <v>41609</v>
      </c>
      <c r="N68" s="170">
        <f>'Tank Data'!AF68</f>
        <v>-1.5749025158820305</v>
      </c>
      <c r="O68" s="170">
        <f>'Tank Data'!AC68</f>
        <v>2.8344742858665231</v>
      </c>
      <c r="P68" s="171">
        <v>0</v>
      </c>
      <c r="R68" s="185"/>
      <c r="S68" s="161"/>
      <c r="T68" s="134"/>
      <c r="U68" s="134"/>
      <c r="V68" s="134"/>
      <c r="W68" s="134"/>
      <c r="X68" s="161"/>
      <c r="AH68" s="113">
        <v>41606</v>
      </c>
      <c r="AI68" s="1">
        <v>-0.37774367011921411</v>
      </c>
      <c r="AJ68" s="1">
        <v>2.9136634391078959</v>
      </c>
      <c r="AK68" s="1">
        <v>4</v>
      </c>
      <c r="AV68" s="115">
        <v>41588</v>
      </c>
      <c r="AW68" s="112">
        <v>1.3275593681271378</v>
      </c>
      <c r="AX68" s="100">
        <v>2.4632184455944803</v>
      </c>
      <c r="AY68" s="132">
        <v>4</v>
      </c>
      <c r="AZ68" s="11"/>
      <c r="BK68" s="115">
        <v>41589</v>
      </c>
      <c r="BL68" s="112">
        <v>2.5696173894704009</v>
      </c>
      <c r="BM68" s="112">
        <v>3.2278004524185606</v>
      </c>
      <c r="BN68" s="112">
        <v>5</v>
      </c>
      <c r="BY68" s="113">
        <v>41578</v>
      </c>
      <c r="BZ68" s="112">
        <v>0.84293906513104155</v>
      </c>
      <c r="CA68" s="112">
        <v>3.2334466778126245</v>
      </c>
      <c r="CB68" s="132">
        <v>5</v>
      </c>
      <c r="CO68" s="1">
        <v>0.99522285914351061</v>
      </c>
      <c r="CP68" s="1">
        <v>2.5019202734430688</v>
      </c>
      <c r="CQ68" s="1">
        <v>8</v>
      </c>
      <c r="CS68" s="112"/>
      <c r="CT68" s="100">
        <v>2.9996337677375871</v>
      </c>
      <c r="CU68" s="132">
        <v>0</v>
      </c>
      <c r="DJ68" s="191"/>
      <c r="DK68" s="191">
        <v>3.2773143565567313</v>
      </c>
      <c r="DL68" s="193">
        <v>0</v>
      </c>
    </row>
    <row r="69" spans="1:116">
      <c r="A69" s="3">
        <f t="shared" si="4"/>
        <v>41610</v>
      </c>
      <c r="B69" s="13">
        <f>'Tank Data'!H69</f>
        <v>-0.34918944060170398</v>
      </c>
      <c r="C69" s="10">
        <v>1.638650769200066</v>
      </c>
      <c r="D69" s="127">
        <v>0</v>
      </c>
      <c r="E69" s="35">
        <f t="shared" si="5"/>
        <v>41610</v>
      </c>
      <c r="F69" s="37">
        <f>'Tank Data'!P69</f>
        <v>-1.3599574728302397</v>
      </c>
      <c r="G69" s="37">
        <f>'Tank Data'!M69</f>
        <v>2.9012507692000664</v>
      </c>
      <c r="H69" s="128">
        <v>0</v>
      </c>
      <c r="I69" s="101">
        <f t="shared" si="6"/>
        <v>41610</v>
      </c>
      <c r="J69" s="109">
        <f>'Tank Data'!X69</f>
        <v>-2.3492231024052805</v>
      </c>
      <c r="K69" s="109">
        <f>'Tank Data'!U69</f>
        <v>3.2755507692000672</v>
      </c>
      <c r="L69" s="130">
        <v>0</v>
      </c>
      <c r="M69" s="167">
        <f t="shared" si="7"/>
        <v>41610</v>
      </c>
      <c r="N69" s="170">
        <f>'Tank Data'!AF69</f>
        <v>-1.2738120930003871</v>
      </c>
      <c r="O69" s="170">
        <f>'Tank Data'!AC69</f>
        <v>2.808250769200066</v>
      </c>
      <c r="P69" s="171">
        <v>0</v>
      </c>
      <c r="R69" s="185"/>
      <c r="S69" s="161"/>
      <c r="T69" s="134"/>
      <c r="U69" s="134"/>
      <c r="V69" s="134"/>
      <c r="W69" s="134"/>
      <c r="X69" s="161"/>
      <c r="Y69" s="11"/>
      <c r="AH69" s="113">
        <v>41616</v>
      </c>
      <c r="AI69" s="1">
        <v>0.85241886971706882</v>
      </c>
      <c r="AJ69" s="1">
        <v>2.6472350043176198</v>
      </c>
      <c r="AK69" s="1">
        <v>4</v>
      </c>
      <c r="AV69" s="116">
        <v>41601</v>
      </c>
      <c r="AW69" s="112">
        <v>1.7116026072613704</v>
      </c>
      <c r="AX69" s="100">
        <v>2.0150720246773575</v>
      </c>
      <c r="AY69" s="132">
        <v>4</v>
      </c>
      <c r="BK69" s="115">
        <v>41606</v>
      </c>
      <c r="BL69" s="112">
        <v>2.471709548170824</v>
      </c>
      <c r="BM69" s="112">
        <v>3.4180634391078977</v>
      </c>
      <c r="BN69" s="112">
        <v>5</v>
      </c>
      <c r="BY69" s="113">
        <v>41589</v>
      </c>
      <c r="BZ69" s="112">
        <v>0.80411502232914134</v>
      </c>
      <c r="CA69" s="112">
        <v>3.0709004524185612</v>
      </c>
      <c r="CB69" s="132">
        <v>5</v>
      </c>
      <c r="CO69" s="1"/>
      <c r="CP69" s="1">
        <v>2.1447933107006487</v>
      </c>
      <c r="CQ69" s="1">
        <v>8</v>
      </c>
      <c r="CS69" s="112"/>
      <c r="CT69" s="100">
        <v>2.9609229280280371</v>
      </c>
      <c r="CU69" s="132">
        <v>0</v>
      </c>
      <c r="DJ69" s="191"/>
      <c r="DK69" s="191">
        <v>3.4026063881024378</v>
      </c>
      <c r="DL69" s="193">
        <v>0</v>
      </c>
    </row>
    <row r="70" spans="1:116">
      <c r="A70" s="3">
        <f t="shared" si="4"/>
        <v>41611</v>
      </c>
      <c r="B70" s="13">
        <f>'Tank Data'!H70</f>
        <v>0.77039023158242992</v>
      </c>
      <c r="C70" s="10">
        <v>1.6298924910133441</v>
      </c>
      <c r="D70" s="127">
        <v>0</v>
      </c>
      <c r="E70" s="35">
        <f t="shared" si="5"/>
        <v>41611</v>
      </c>
      <c r="F70" s="37">
        <f>'Tank Data'!P70</f>
        <v>-5.9362484117227686E-2</v>
      </c>
      <c r="G70" s="37">
        <f>'Tank Data'!M70</f>
        <v>2.8964924910133441</v>
      </c>
      <c r="H70" s="128">
        <v>0</v>
      </c>
      <c r="I70" s="101">
        <f t="shared" si="6"/>
        <v>41611</v>
      </c>
      <c r="J70" s="109">
        <f>'Tank Data'!X70</f>
        <v>-1.3401408402984851</v>
      </c>
      <c r="K70" s="109">
        <f>'Tank Data'!U70</f>
        <v>3.2615924910133449</v>
      </c>
      <c r="L70" s="130">
        <v>0</v>
      </c>
      <c r="M70" s="167">
        <f t="shared" si="7"/>
        <v>41611</v>
      </c>
      <c r="N70" s="170">
        <f>'Tank Data'!AF70</f>
        <v>-1.556060318742158</v>
      </c>
      <c r="O70" s="170">
        <f>'Tank Data'!AC70</f>
        <v>2.797992491013344</v>
      </c>
      <c r="P70" s="171">
        <v>0</v>
      </c>
      <c r="R70" s="185"/>
      <c r="S70" s="161"/>
      <c r="T70" s="134"/>
      <c r="U70" s="134"/>
      <c r="V70" s="134"/>
      <c r="W70" s="134"/>
      <c r="X70" s="161"/>
      <c r="AH70" s="113">
        <v>41626</v>
      </c>
      <c r="AI70" s="1">
        <v>1.1696818889693983</v>
      </c>
      <c r="AJ70" s="1">
        <v>2.4068575104730967</v>
      </c>
      <c r="AK70" s="1">
        <v>4</v>
      </c>
      <c r="AV70" s="116">
        <v>41606</v>
      </c>
      <c r="AW70" s="112">
        <v>0.61289056413976128</v>
      </c>
      <c r="AX70" s="100">
        <v>1.7994634391078965</v>
      </c>
      <c r="AY70" s="132">
        <v>4</v>
      </c>
      <c r="BK70" s="115">
        <v>41616</v>
      </c>
      <c r="BL70" s="112">
        <v>2.2648222436210497</v>
      </c>
      <c r="BM70" s="112">
        <v>3.0964350043176188</v>
      </c>
      <c r="BN70" s="119">
        <v>5</v>
      </c>
      <c r="BY70" s="113">
        <v>41607</v>
      </c>
      <c r="BZ70" s="112">
        <v>1.9989357774816381</v>
      </c>
      <c r="CA70" s="112">
        <v>2.9721726488416049</v>
      </c>
      <c r="CB70" s="132">
        <v>5</v>
      </c>
      <c r="CO70" s="1">
        <v>0.14474981881563398</v>
      </c>
      <c r="CP70" s="1">
        <v>2.7170939113679728</v>
      </c>
      <c r="CQ70" s="1">
        <v>9</v>
      </c>
      <c r="CS70" s="112"/>
      <c r="CT70" s="100">
        <v>2.9154341775812385</v>
      </c>
      <c r="CU70" s="132">
        <v>0</v>
      </c>
      <c r="DJ70" s="191"/>
      <c r="DK70" s="191">
        <v>3.4228503382091855</v>
      </c>
      <c r="DL70" s="193">
        <v>0</v>
      </c>
    </row>
    <row r="71" spans="1:116">
      <c r="A71" s="3">
        <f t="shared" si="4"/>
        <v>41612</v>
      </c>
      <c r="B71" s="13">
        <f>'Tank Data'!H71</f>
        <v>0.85403480825987366</v>
      </c>
      <c r="C71" s="10">
        <v>1.5979663033140761</v>
      </c>
      <c r="D71" s="127">
        <v>0</v>
      </c>
      <c r="E71" s="35">
        <f t="shared" si="5"/>
        <v>41612</v>
      </c>
      <c r="F71" s="37">
        <f>'Tank Data'!P71</f>
        <v>1.3437556730952001</v>
      </c>
      <c r="G71" s="37">
        <f>'Tank Data'!M71</f>
        <v>2.8756663033140768</v>
      </c>
      <c r="H71" s="128">
        <v>0</v>
      </c>
      <c r="I71" s="101">
        <f t="shared" si="6"/>
        <v>41612</v>
      </c>
      <c r="J71" s="109">
        <f>'Tank Data'!X71</f>
        <v>0.53413838918235679</v>
      </c>
      <c r="K71" s="109">
        <f>'Tank Data'!U71</f>
        <v>3.2337663033140762</v>
      </c>
      <c r="L71" s="130">
        <v>0</v>
      </c>
      <c r="M71" s="167">
        <f t="shared" si="7"/>
        <v>41612</v>
      </c>
      <c r="N71" s="170">
        <f>'Tank Data'!AF71</f>
        <v>4.1422390507913145E-2</v>
      </c>
      <c r="O71" s="170">
        <f>'Tank Data'!AC71</f>
        <v>2.7761663033140755</v>
      </c>
      <c r="P71" s="171">
        <v>0</v>
      </c>
      <c r="R71" s="185"/>
      <c r="S71" s="161"/>
      <c r="T71" s="134"/>
      <c r="U71" s="134"/>
      <c r="V71" s="134"/>
      <c r="W71" s="134"/>
      <c r="X71" s="161"/>
      <c r="AH71" s="113">
        <v>41578</v>
      </c>
      <c r="AI71" s="1">
        <v>-1.0369758377861031</v>
      </c>
      <c r="AJ71" s="1">
        <v>3.0117466778126238</v>
      </c>
      <c r="AK71" s="1">
        <v>5</v>
      </c>
      <c r="AV71" s="116">
        <v>41616</v>
      </c>
      <c r="AW71" s="112">
        <v>0.5044529139287639</v>
      </c>
      <c r="AX71" s="100">
        <v>1.4761350043176198</v>
      </c>
      <c r="AY71" s="132">
        <v>4</v>
      </c>
      <c r="BK71" s="115">
        <v>41626</v>
      </c>
      <c r="BL71" s="112">
        <v>1.6955608776319533</v>
      </c>
      <c r="BM71" s="112">
        <v>2.8446575104730956</v>
      </c>
      <c r="BN71" s="119">
        <v>5</v>
      </c>
      <c r="BY71" s="113">
        <v>41617</v>
      </c>
      <c r="BZ71" s="112">
        <v>2.6689105851279873</v>
      </c>
      <c r="CA71" s="112">
        <v>2.7107703853027498</v>
      </c>
      <c r="CB71" s="132">
        <v>5</v>
      </c>
      <c r="CO71" s="1"/>
      <c r="CP71" s="1">
        <v>2.076373885421638</v>
      </c>
      <c r="CQ71" s="1">
        <v>9</v>
      </c>
      <c r="CS71" s="112">
        <v>1.2391627813077115</v>
      </c>
      <c r="CT71" s="100">
        <v>2.6588710094669961</v>
      </c>
      <c r="CU71" s="132">
        <v>0</v>
      </c>
      <c r="DJ71" s="191"/>
      <c r="DK71" s="191">
        <v>3.371833767737586</v>
      </c>
      <c r="DL71" s="193">
        <v>0</v>
      </c>
    </row>
    <row r="72" spans="1:116">
      <c r="A72" s="3">
        <f t="shared" si="4"/>
        <v>41613</v>
      </c>
      <c r="B72" s="13">
        <f>'Tank Data'!H72</f>
        <v>1.0100420205928329</v>
      </c>
      <c r="C72" s="10">
        <v>1.567169367742697</v>
      </c>
      <c r="D72" s="127">
        <v>1</v>
      </c>
      <c r="E72" s="35">
        <f t="shared" si="5"/>
        <v>41613</v>
      </c>
      <c r="F72" s="37">
        <f>'Tank Data'!P72</f>
        <v>1.8910806892071093</v>
      </c>
      <c r="G72" s="37">
        <f>'Tank Data'!M72</f>
        <v>2.8481693677426971</v>
      </c>
      <c r="H72" s="128">
        <v>1</v>
      </c>
      <c r="I72" s="101">
        <f t="shared" si="6"/>
        <v>41613</v>
      </c>
      <c r="J72" s="109">
        <f>'Tank Data'!X72</f>
        <v>1.1272754696107128</v>
      </c>
      <c r="K72" s="109">
        <f>'Tank Data'!U72</f>
        <v>3.2027693677426976</v>
      </c>
      <c r="L72" s="130">
        <v>1</v>
      </c>
      <c r="M72" s="167">
        <f t="shared" si="7"/>
        <v>41613</v>
      </c>
      <c r="N72" s="170">
        <f>'Tank Data'!AF72</f>
        <v>-0.51649129679547001</v>
      </c>
      <c r="O72" s="170">
        <f>'Tank Data'!AC72</f>
        <v>2.7505693677426968</v>
      </c>
      <c r="P72" s="171">
        <v>1</v>
      </c>
      <c r="R72" s="185"/>
      <c r="S72" s="161"/>
      <c r="T72" s="134"/>
      <c r="U72" s="134"/>
      <c r="V72" s="134"/>
      <c r="W72" s="134"/>
      <c r="X72" s="161"/>
      <c r="AH72" s="113">
        <v>41589</v>
      </c>
      <c r="AI72" s="1">
        <v>0.4183905468843514</v>
      </c>
      <c r="AJ72" s="1">
        <v>2.8217004524185607</v>
      </c>
      <c r="AK72" s="1">
        <v>5</v>
      </c>
      <c r="AV72" s="116">
        <v>41626</v>
      </c>
      <c r="AW72" s="112">
        <v>0.74277938754755812</v>
      </c>
      <c r="AX72" s="100">
        <v>1.2599575104730953</v>
      </c>
      <c r="AY72" s="132">
        <v>4</v>
      </c>
      <c r="AZ72" s="11"/>
      <c r="BK72" s="115">
        <v>41579</v>
      </c>
      <c r="BL72" s="112">
        <v>4.8137735593518389</v>
      </c>
      <c r="BM72" s="112">
        <v>3.5651524038752909</v>
      </c>
      <c r="BN72" s="112">
        <v>6</v>
      </c>
      <c r="BY72" s="113">
        <v>41627</v>
      </c>
      <c r="BZ72" s="112">
        <v>5.0999999999999996</v>
      </c>
      <c r="CA72" s="112">
        <v>2.4946082253497934</v>
      </c>
      <c r="CB72" s="132">
        <v>5</v>
      </c>
      <c r="CO72" s="112"/>
      <c r="CP72" s="112">
        <v>3.402581022440164</v>
      </c>
      <c r="CQ72" s="112">
        <v>0</v>
      </c>
      <c r="CS72" s="112">
        <v>1.3690966106416618</v>
      </c>
      <c r="CT72" s="100">
        <v>2.5902771477230098</v>
      </c>
      <c r="CU72" s="132">
        <v>0</v>
      </c>
      <c r="DJ72" s="191"/>
      <c r="DK72" s="191">
        <v>3.3511229280280386</v>
      </c>
      <c r="DL72" s="193">
        <v>0</v>
      </c>
    </row>
    <row r="73" spans="1:116">
      <c r="A73" s="3">
        <f t="shared" si="4"/>
        <v>41614</v>
      </c>
      <c r="B73" s="13">
        <f>'Tank Data'!H73</f>
        <v>0.63699377620157138</v>
      </c>
      <c r="C73" s="10">
        <v>1.5350550443621054</v>
      </c>
      <c r="D73" s="127">
        <v>2</v>
      </c>
      <c r="E73" s="35">
        <f t="shared" si="5"/>
        <v>41614</v>
      </c>
      <c r="F73" s="37">
        <f>'Tank Data'!P73</f>
        <v>1.7955597399709997</v>
      </c>
      <c r="G73" s="37">
        <f>'Tank Data'!M73</f>
        <v>2.8178550443621067</v>
      </c>
      <c r="H73" s="128">
        <v>2</v>
      </c>
      <c r="I73" s="101">
        <f t="shared" si="6"/>
        <v>41614</v>
      </c>
      <c r="J73" s="109">
        <f>'Tank Data'!X73</f>
        <v>1.5340212544321055</v>
      </c>
      <c r="K73" s="109">
        <f>'Tank Data'!U73</f>
        <v>3.1658550443621065</v>
      </c>
      <c r="L73" s="130">
        <v>2</v>
      </c>
      <c r="M73" s="167">
        <f t="shared" si="7"/>
        <v>41614</v>
      </c>
      <c r="N73" s="170">
        <f>'Tank Data'!AF73</f>
        <v>0.63153638159846492</v>
      </c>
      <c r="O73" s="170">
        <f>'Tank Data'!AC73</f>
        <v>2.7202550443621063</v>
      </c>
      <c r="P73" s="171">
        <v>2</v>
      </c>
      <c r="R73" s="185"/>
      <c r="S73" s="161"/>
      <c r="T73" s="134"/>
      <c r="U73" s="134"/>
      <c r="V73" s="134"/>
      <c r="W73" s="134"/>
      <c r="X73" s="161"/>
      <c r="AH73" s="113">
        <v>41607</v>
      </c>
      <c r="AI73" s="1">
        <v>-0.11150776774200913</v>
      </c>
      <c r="AJ73" s="1">
        <v>2.8870726488416056</v>
      </c>
      <c r="AK73" s="1">
        <v>5</v>
      </c>
      <c r="AV73" s="116">
        <v>41578</v>
      </c>
      <c r="AW73" s="112">
        <v>0.24881118929884136</v>
      </c>
      <c r="AX73" s="100">
        <v>2.7228466778126248</v>
      </c>
      <c r="AY73" s="132">
        <v>5</v>
      </c>
      <c r="BK73" s="115">
        <v>41590</v>
      </c>
      <c r="BL73" s="112">
        <v>2.6306238174440071</v>
      </c>
      <c r="BM73" s="112">
        <v>3.1861161938040867</v>
      </c>
      <c r="BN73" s="112">
        <v>6</v>
      </c>
      <c r="BY73" s="113">
        <v>41579</v>
      </c>
      <c r="BZ73" s="112">
        <v>0.51149196568268729</v>
      </c>
      <c r="CA73" s="112">
        <v>3.2137524038752918</v>
      </c>
      <c r="CB73" s="132">
        <v>6</v>
      </c>
      <c r="CO73" s="112"/>
      <c r="CP73" s="112">
        <v>3.5956143565567311</v>
      </c>
      <c r="CQ73" s="112">
        <v>0</v>
      </c>
      <c r="CS73" s="112">
        <v>0.23723239823112835</v>
      </c>
      <c r="CT73" s="100">
        <v>2.6102194843017643</v>
      </c>
      <c r="CU73" s="132">
        <v>0</v>
      </c>
      <c r="DJ73" s="191"/>
      <c r="DK73" s="191">
        <v>3.3322341775812401</v>
      </c>
      <c r="DL73" s="193">
        <v>0</v>
      </c>
    </row>
    <row r="74" spans="1:116">
      <c r="A74" s="3">
        <f t="shared" si="4"/>
        <v>41615</v>
      </c>
      <c r="B74" s="13">
        <f>'Tank Data'!H74</f>
        <v>0.192954212420195</v>
      </c>
      <c r="C74" s="10">
        <v>1.5037257992832953</v>
      </c>
      <c r="D74" s="127">
        <v>3</v>
      </c>
      <c r="E74" s="35">
        <f t="shared" si="5"/>
        <v>41615</v>
      </c>
      <c r="F74" s="37">
        <f>'Tank Data'!P74</f>
        <v>2.1155167385857632</v>
      </c>
      <c r="G74" s="37">
        <f>'Tank Data'!M74</f>
        <v>2.7797257992832947</v>
      </c>
      <c r="H74" s="128">
        <v>3</v>
      </c>
      <c r="I74" s="101">
        <f t="shared" si="6"/>
        <v>41615</v>
      </c>
      <c r="J74" s="109">
        <f>'Tank Data'!X74</f>
        <v>2.1430160008998009</v>
      </c>
      <c r="K74" s="109">
        <f>'Tank Data'!U74</f>
        <v>3.1260257992832949</v>
      </c>
      <c r="L74" s="130">
        <v>3</v>
      </c>
      <c r="M74" s="167">
        <f t="shared" si="7"/>
        <v>41615</v>
      </c>
      <c r="N74" s="170">
        <f>'Tank Data'!AF74</f>
        <v>0.94155290821139181</v>
      </c>
      <c r="O74" s="170">
        <f>'Tank Data'!AC74</f>
        <v>2.6826257992832949</v>
      </c>
      <c r="P74" s="171">
        <v>3</v>
      </c>
      <c r="R74" s="185"/>
      <c r="S74" s="161"/>
      <c r="T74" s="134"/>
      <c r="U74" s="134"/>
      <c r="V74" s="134"/>
      <c r="W74" s="134"/>
      <c r="X74" s="161"/>
      <c r="Y74" s="11"/>
      <c r="AH74" s="113">
        <v>41617</v>
      </c>
      <c r="AI74" s="1">
        <v>0.65526965992834463</v>
      </c>
      <c r="AJ74" s="1">
        <v>2.6114703853027499</v>
      </c>
      <c r="AK74" s="1">
        <v>5</v>
      </c>
      <c r="AV74" s="115">
        <v>41589</v>
      </c>
      <c r="AW74" s="112">
        <v>0.84297528289486756</v>
      </c>
      <c r="AX74" s="100">
        <v>2.4248004524185611</v>
      </c>
      <c r="AY74" s="132">
        <v>5</v>
      </c>
      <c r="BK74" s="115">
        <v>41607</v>
      </c>
      <c r="BL74" s="112">
        <v>1.8834405551877043</v>
      </c>
      <c r="BM74" s="112">
        <v>3.3739726488416055</v>
      </c>
      <c r="BN74" s="119">
        <v>6</v>
      </c>
      <c r="BY74" s="113">
        <v>41590</v>
      </c>
      <c r="BZ74" s="112">
        <v>0.82659738260706006</v>
      </c>
      <c r="CA74" s="112">
        <v>3.0501161938040884</v>
      </c>
      <c r="CB74" s="132">
        <v>6</v>
      </c>
      <c r="CO74" s="112"/>
      <c r="CP74" s="112">
        <v>3.9735063881024368</v>
      </c>
      <c r="CQ74" s="112">
        <v>0</v>
      </c>
      <c r="CS74" s="112">
        <v>-9.0125096165409244E-2</v>
      </c>
      <c r="CT74" s="100">
        <v>2.6013288895585291</v>
      </c>
      <c r="CU74" s="132">
        <v>0</v>
      </c>
      <c r="DJ74" s="191">
        <v>0.50279075182196653</v>
      </c>
      <c r="DK74" s="191">
        <v>3.1945710094669977</v>
      </c>
      <c r="DL74" s="193">
        <v>0</v>
      </c>
    </row>
    <row r="75" spans="1:116">
      <c r="A75" s="3">
        <f t="shared" si="4"/>
        <v>41616</v>
      </c>
      <c r="B75" s="13">
        <f>'Tank Data'!H75</f>
        <v>0.60930636040609598</v>
      </c>
      <c r="C75" s="10">
        <v>1.4761350043176198</v>
      </c>
      <c r="D75" s="127">
        <v>4</v>
      </c>
      <c r="E75" s="35">
        <f t="shared" si="5"/>
        <v>41616</v>
      </c>
      <c r="F75" s="37">
        <f>'Tank Data'!P75</f>
        <v>2.2906588531654606</v>
      </c>
      <c r="G75" s="37">
        <f>'Tank Data'!M75</f>
        <v>2.7452350043176192</v>
      </c>
      <c r="H75" s="128">
        <v>4</v>
      </c>
      <c r="I75" s="101">
        <f t="shared" si="6"/>
        <v>41616</v>
      </c>
      <c r="J75" s="109">
        <f>'Tank Data'!X75</f>
        <v>2.1751945026621589</v>
      </c>
      <c r="K75" s="109">
        <f>'Tank Data'!U75</f>
        <v>3.0964350043176188</v>
      </c>
      <c r="L75" s="130">
        <v>4</v>
      </c>
      <c r="M75" s="167">
        <f t="shared" si="7"/>
        <v>41616</v>
      </c>
      <c r="N75" s="170">
        <f>'Tank Data'!AF75</f>
        <v>0.85241886971706882</v>
      </c>
      <c r="O75" s="170">
        <f>'Tank Data'!AC75</f>
        <v>2.6472350043176198</v>
      </c>
      <c r="P75" s="171">
        <v>4</v>
      </c>
      <c r="R75" s="185"/>
      <c r="S75" s="161"/>
      <c r="T75" s="134"/>
      <c r="U75" s="134"/>
      <c r="V75" s="134"/>
      <c r="W75" s="134"/>
      <c r="X75" s="161"/>
      <c r="AH75" s="113">
        <v>41627</v>
      </c>
      <c r="AI75" s="1">
        <v>1.5622743532361143</v>
      </c>
      <c r="AJ75" s="1">
        <v>2.3701082253497936</v>
      </c>
      <c r="AK75" s="1">
        <v>5</v>
      </c>
      <c r="AV75" s="116">
        <v>41607</v>
      </c>
      <c r="AW75" s="112">
        <v>0.85315976464860199</v>
      </c>
      <c r="AX75" s="100">
        <v>1.7632726488416055</v>
      </c>
      <c r="AY75" s="132">
        <v>5</v>
      </c>
      <c r="BK75" s="115">
        <v>41617</v>
      </c>
      <c r="BL75" s="112">
        <v>2.066153019817675</v>
      </c>
      <c r="BM75" s="112">
        <v>3.0696703853027509</v>
      </c>
      <c r="BN75" s="119">
        <v>6</v>
      </c>
      <c r="BY75" s="113">
        <v>41608</v>
      </c>
      <c r="BZ75" s="112">
        <v>1.8834516113750797</v>
      </c>
      <c r="CA75" s="112">
        <v>2.9501452480592274</v>
      </c>
      <c r="CB75" s="132">
        <v>6</v>
      </c>
      <c r="CO75" s="112"/>
      <c r="CP75" s="112">
        <v>4.0705503382091868</v>
      </c>
      <c r="CQ75" s="112">
        <v>0</v>
      </c>
      <c r="CS75" s="112">
        <v>1.6406077059297679</v>
      </c>
      <c r="CT75" s="100">
        <v>2.2373266236699831</v>
      </c>
      <c r="CU75" s="132">
        <v>0</v>
      </c>
      <c r="DJ75" s="191">
        <v>1.4949716434717337</v>
      </c>
      <c r="DK75" s="191">
        <v>3.1596771477230092</v>
      </c>
      <c r="DL75" s="193">
        <v>0</v>
      </c>
    </row>
    <row r="76" spans="1:116">
      <c r="A76" s="3">
        <f t="shared" si="4"/>
        <v>41617</v>
      </c>
      <c r="B76" s="13">
        <f>'Tank Data'!H76</f>
        <v>0.29336135933377466</v>
      </c>
      <c r="C76" s="10">
        <v>1.4483703853027508</v>
      </c>
      <c r="D76" s="127">
        <v>5</v>
      </c>
      <c r="E76" s="35">
        <f t="shared" si="5"/>
        <v>41617</v>
      </c>
      <c r="F76" s="37">
        <f>'Tank Data'!P76</f>
        <v>2.5126653192386073</v>
      </c>
      <c r="G76" s="37">
        <f>'Tank Data'!M76</f>
        <v>2.7107703853027498</v>
      </c>
      <c r="H76" s="128">
        <v>5</v>
      </c>
      <c r="I76" s="101">
        <f t="shared" si="6"/>
        <v>41617</v>
      </c>
      <c r="J76" s="109">
        <f>'Tank Data'!X76</f>
        <v>1.9768526543968914</v>
      </c>
      <c r="K76" s="109">
        <f>'Tank Data'!U76</f>
        <v>3.0696703853027509</v>
      </c>
      <c r="L76" s="130">
        <v>5</v>
      </c>
      <c r="M76" s="167">
        <f t="shared" si="7"/>
        <v>41617</v>
      </c>
      <c r="N76" s="170">
        <f>'Tank Data'!AF76</f>
        <v>0.65526965992834463</v>
      </c>
      <c r="O76" s="170">
        <f>'Tank Data'!AC76</f>
        <v>2.6114703853027499</v>
      </c>
      <c r="P76" s="171">
        <v>5</v>
      </c>
      <c r="R76" s="185"/>
      <c r="S76" s="161"/>
      <c r="T76" s="134"/>
      <c r="U76" s="134"/>
      <c r="V76" s="134"/>
      <c r="W76" s="134"/>
      <c r="X76" s="161"/>
      <c r="AH76" s="113">
        <v>41579</v>
      </c>
      <c r="AI76" s="1">
        <v>-1.4684863639916124</v>
      </c>
      <c r="AJ76" s="1">
        <v>2.9937524038752907</v>
      </c>
      <c r="AK76" s="1">
        <v>6</v>
      </c>
      <c r="AV76" s="116">
        <v>41617</v>
      </c>
      <c r="AW76" s="112">
        <v>0.19110687114638031</v>
      </c>
      <c r="AX76" s="100">
        <v>1.4483703853027508</v>
      </c>
      <c r="AY76" s="132">
        <v>5</v>
      </c>
      <c r="BK76" s="115">
        <v>41627</v>
      </c>
      <c r="BL76" s="112">
        <v>1.8755405671891781</v>
      </c>
      <c r="BM76" s="112">
        <v>2.8065082253497939</v>
      </c>
      <c r="BN76" s="119">
        <v>6</v>
      </c>
      <c r="BY76" s="113">
        <v>41618</v>
      </c>
      <c r="BZ76" s="112">
        <v>2.2302539133568398</v>
      </c>
      <c r="CA76" s="112">
        <v>2.6747358193055391</v>
      </c>
      <c r="CB76" s="132">
        <v>6</v>
      </c>
      <c r="CO76" s="112"/>
      <c r="CP76" s="112">
        <v>3.9363337677375876</v>
      </c>
      <c r="CQ76" s="112">
        <v>0</v>
      </c>
      <c r="CS76" s="112">
        <v>1.3412505342622234</v>
      </c>
      <c r="CT76" s="100">
        <v>2.2556730516361818</v>
      </c>
      <c r="CU76" s="132">
        <v>0</v>
      </c>
      <c r="DJ76" s="191">
        <v>0.42338980618710281</v>
      </c>
      <c r="DK76" s="191">
        <v>3.1680194843017642</v>
      </c>
      <c r="DL76" s="193">
        <v>0</v>
      </c>
    </row>
    <row r="77" spans="1:116">
      <c r="A77" s="3">
        <f t="shared" si="4"/>
        <v>41618</v>
      </c>
      <c r="B77" s="13">
        <f>'Tank Data'!H77</f>
        <v>0.26580098697347887</v>
      </c>
      <c r="C77" s="10">
        <v>1.4215358193055381</v>
      </c>
      <c r="D77" s="127">
        <v>6</v>
      </c>
      <c r="E77" s="35">
        <f t="shared" si="5"/>
        <v>41618</v>
      </c>
      <c r="F77" s="37">
        <f>'Tank Data'!P77</f>
        <v>2.1075812217741396</v>
      </c>
      <c r="G77" s="37">
        <f>'Tank Data'!M77</f>
        <v>2.6747358193055391</v>
      </c>
      <c r="H77" s="128">
        <v>6</v>
      </c>
      <c r="I77" s="101">
        <f t="shared" si="6"/>
        <v>41618</v>
      </c>
      <c r="J77" s="109">
        <f>'Tank Data'!X77</f>
        <v>1.9099120904236586</v>
      </c>
      <c r="K77" s="109">
        <f>'Tank Data'!U77</f>
        <v>3.0310358193055391</v>
      </c>
      <c r="L77" s="130">
        <v>6</v>
      </c>
      <c r="M77" s="167">
        <f t="shared" si="7"/>
        <v>41618</v>
      </c>
      <c r="N77" s="170">
        <f>'Tank Data'!AF77</f>
        <v>0.6949683494215666</v>
      </c>
      <c r="O77" s="170">
        <f>'Tank Data'!AC77</f>
        <v>2.5763358193055388</v>
      </c>
      <c r="P77" s="171">
        <v>6</v>
      </c>
      <c r="R77" s="185"/>
      <c r="S77" s="161"/>
      <c r="T77" s="134"/>
      <c r="U77" s="134"/>
      <c r="V77" s="134"/>
      <c r="W77" s="134"/>
      <c r="X77" s="161"/>
      <c r="AH77" s="113">
        <v>41590</v>
      </c>
      <c r="AI77" s="1">
        <v>1.0451309710629426</v>
      </c>
      <c r="AJ77" s="1">
        <v>2.7828161938040874</v>
      </c>
      <c r="AK77" s="1">
        <v>6</v>
      </c>
      <c r="AV77" s="116">
        <v>41627</v>
      </c>
      <c r="AW77" s="112">
        <v>0.51025256102702321</v>
      </c>
      <c r="AX77" s="100">
        <v>1.2310082253497936</v>
      </c>
      <c r="AY77" s="132">
        <v>5</v>
      </c>
      <c r="BK77" s="115">
        <v>41591</v>
      </c>
      <c r="BL77" s="112"/>
      <c r="BM77" s="112">
        <v>3.1516955413438135</v>
      </c>
      <c r="BN77" s="119">
        <v>7</v>
      </c>
      <c r="BY77" s="113">
        <v>41628</v>
      </c>
      <c r="BZ77" s="112">
        <v>2.0591776777834614</v>
      </c>
      <c r="CA77" s="112">
        <v>2.456787572889521</v>
      </c>
      <c r="CB77" s="132">
        <v>6</v>
      </c>
      <c r="CO77" s="112"/>
      <c r="CP77" s="112">
        <v>3.8828229280280384</v>
      </c>
      <c r="CQ77" s="112">
        <v>0</v>
      </c>
      <c r="CS77" s="112">
        <v>1.4975622033645566</v>
      </c>
      <c r="CT77" s="100">
        <v>2.2130814440322788</v>
      </c>
      <c r="CU77" s="132">
        <v>0</v>
      </c>
      <c r="DJ77" s="191">
        <v>-1.3908210673903559E-2</v>
      </c>
      <c r="DK77" s="191">
        <v>3.1691288895585306</v>
      </c>
      <c r="DL77" s="193">
        <v>0</v>
      </c>
    </row>
    <row r="78" spans="1:116">
      <c r="A78" s="3">
        <f t="shared" si="4"/>
        <v>41619</v>
      </c>
      <c r="B78" s="13">
        <f>'Tank Data'!H78</f>
        <v>0.73013884999175416</v>
      </c>
      <c r="C78" s="10">
        <v>1.394499628031872</v>
      </c>
      <c r="D78" s="127">
        <v>7</v>
      </c>
      <c r="E78" s="35">
        <f t="shared" si="5"/>
        <v>41619</v>
      </c>
      <c r="F78" s="37">
        <f>'Tank Data'!P78</f>
        <v>2.8650014306715583</v>
      </c>
      <c r="G78" s="37">
        <f>'Tank Data'!M78</f>
        <v>2.6353996280318732</v>
      </c>
      <c r="H78" s="128">
        <v>7</v>
      </c>
      <c r="I78" s="101">
        <f t="shared" si="6"/>
        <v>41619</v>
      </c>
      <c r="J78" s="109">
        <f>'Tank Data'!X78</f>
        <v>-99.978730547639628</v>
      </c>
      <c r="K78" s="109">
        <f>'Tank Data'!U78</f>
        <v>2.9960996280318719</v>
      </c>
      <c r="L78" s="130">
        <v>7</v>
      </c>
      <c r="M78" s="167">
        <f t="shared" si="7"/>
        <v>41619</v>
      </c>
      <c r="N78" s="170">
        <f>'Tank Data'!AF78</f>
        <v>1.7822660783882269</v>
      </c>
      <c r="O78" s="170">
        <f>'Tank Data'!AC78</f>
        <v>2.539699628031872</v>
      </c>
      <c r="P78" s="171">
        <v>7</v>
      </c>
      <c r="R78" s="185"/>
      <c r="S78" s="161"/>
      <c r="T78" s="134"/>
      <c r="U78" s="134"/>
      <c r="V78" s="134"/>
      <c r="W78" s="134"/>
      <c r="X78" s="161"/>
      <c r="Y78" s="11"/>
      <c r="AH78" s="113">
        <v>41608</v>
      </c>
      <c r="AI78" s="1">
        <v>-0.23206942474571016</v>
      </c>
      <c r="AJ78" s="1">
        <v>2.8603452480592284</v>
      </c>
      <c r="AK78" s="1">
        <v>6</v>
      </c>
      <c r="AV78" s="116">
        <v>41579</v>
      </c>
      <c r="AW78" s="112">
        <v>2.8930434227503882E-2</v>
      </c>
      <c r="AX78" s="100">
        <v>2.6960524038752909</v>
      </c>
      <c r="AY78" s="132">
        <v>6</v>
      </c>
      <c r="BK78" s="115">
        <v>41618</v>
      </c>
      <c r="BL78" s="112">
        <v>1.9987040892223098</v>
      </c>
      <c r="BM78" s="112">
        <v>3.0310358193055391</v>
      </c>
      <c r="BN78" s="119">
        <v>7</v>
      </c>
      <c r="BY78" s="113">
        <v>41591</v>
      </c>
      <c r="BZ78" s="112">
        <v>2.2927546764752416</v>
      </c>
      <c r="CA78" s="112">
        <v>3.0268955413438121</v>
      </c>
      <c r="CB78" s="132">
        <v>7</v>
      </c>
      <c r="CO78" s="112"/>
      <c r="CP78" s="112">
        <v>3.8284341775812392</v>
      </c>
      <c r="CQ78" s="112">
        <v>0</v>
      </c>
      <c r="CS78" s="112">
        <v>1.8517498878099174</v>
      </c>
      <c r="CT78" s="100">
        <v>1.9673231540970932</v>
      </c>
      <c r="CU78" s="132">
        <v>0</v>
      </c>
      <c r="DJ78" s="191">
        <v>0.50772944608594051</v>
      </c>
      <c r="DK78" s="191">
        <v>2.9560266236699828</v>
      </c>
      <c r="DL78" s="193">
        <v>0</v>
      </c>
    </row>
    <row r="79" spans="1:116">
      <c r="A79" s="3">
        <f t="shared" si="4"/>
        <v>41620</v>
      </c>
      <c r="B79" s="13">
        <f>'Tank Data'!H79</f>
        <v>2.1110633027836452E-2</v>
      </c>
      <c r="C79" s="10">
        <v>1.3708202734430697</v>
      </c>
      <c r="D79" s="127">
        <v>8</v>
      </c>
      <c r="E79" s="35">
        <f t="shared" si="5"/>
        <v>41620</v>
      </c>
      <c r="F79" s="37">
        <f>'Tank Data'!P79</f>
        <v>3.8552695079968808</v>
      </c>
      <c r="G79" s="37">
        <f>'Tank Data'!M79</f>
        <v>2.5918202734430693</v>
      </c>
      <c r="H79" s="128">
        <v>8</v>
      </c>
      <c r="I79" s="101">
        <f t="shared" si="6"/>
        <v>41620</v>
      </c>
      <c r="J79" s="109">
        <f>'Tank Data'!X79</f>
        <v>2.195033567448692</v>
      </c>
      <c r="K79" s="109">
        <f>'Tank Data'!U79</f>
        <v>2.9535202734430692</v>
      </c>
      <c r="L79" s="130">
        <v>8</v>
      </c>
      <c r="M79" s="167">
        <f t="shared" si="7"/>
        <v>41620</v>
      </c>
      <c r="N79" s="170">
        <f>'Tank Data'!AF79</f>
        <v>0.99522285914351061</v>
      </c>
      <c r="O79" s="170">
        <f>'Tank Data'!AC79</f>
        <v>2.5019202734430688</v>
      </c>
      <c r="P79" s="171">
        <v>8</v>
      </c>
      <c r="R79" s="185"/>
      <c r="S79" s="161"/>
      <c r="T79" s="134"/>
      <c r="U79" s="134"/>
      <c r="V79" s="134"/>
      <c r="W79" s="134"/>
      <c r="X79" s="161"/>
      <c r="AH79" s="113">
        <v>41618</v>
      </c>
      <c r="AI79" s="1">
        <v>0.6949683494215666</v>
      </c>
      <c r="AJ79" s="1">
        <v>2.5763358193055388</v>
      </c>
      <c r="AK79" s="1">
        <v>6</v>
      </c>
      <c r="AV79" s="116">
        <v>41590</v>
      </c>
      <c r="AW79" s="112">
        <v>0.9055837296409921</v>
      </c>
      <c r="AX79" s="100">
        <v>2.3878161938040869</v>
      </c>
      <c r="AY79" s="132">
        <v>6</v>
      </c>
      <c r="BK79" s="115">
        <v>41628</v>
      </c>
      <c r="BL79" s="112">
        <v>2.0854468580534853</v>
      </c>
      <c r="BM79" s="112">
        <v>2.7656875728895214</v>
      </c>
      <c r="BN79" s="119">
        <v>7</v>
      </c>
      <c r="BY79" s="113">
        <v>41619</v>
      </c>
      <c r="BZ79" s="112">
        <v>2.9214696641984412</v>
      </c>
      <c r="CA79" s="112">
        <v>2.6353996280318732</v>
      </c>
      <c r="CB79" s="132">
        <v>7</v>
      </c>
      <c r="CO79" s="112">
        <v>2.4968238271798624</v>
      </c>
      <c r="CP79" s="112">
        <v>3.5144710094669973</v>
      </c>
      <c r="CQ79" s="112">
        <v>0</v>
      </c>
      <c r="CS79" s="28">
        <v>-0.50943277788117691</v>
      </c>
      <c r="CT79" s="100">
        <v>1.6719742858665225</v>
      </c>
      <c r="CU79" s="132">
        <v>0</v>
      </c>
      <c r="DJ79" s="191">
        <v>0.65789852459403453</v>
      </c>
      <c r="DK79" s="191">
        <v>3.230673051636181</v>
      </c>
      <c r="DL79" s="193">
        <v>0</v>
      </c>
    </row>
    <row r="80" spans="1:116">
      <c r="A80" s="3">
        <f t="shared" si="4"/>
        <v>41621</v>
      </c>
      <c r="B80" s="13">
        <f>'Tank Data'!H80</f>
        <v>0.10292249308495628</v>
      </c>
      <c r="C80" s="10">
        <v>1.3670572820543492</v>
      </c>
      <c r="D80" s="127">
        <v>0</v>
      </c>
      <c r="E80" s="35">
        <f t="shared" si="5"/>
        <v>41621</v>
      </c>
      <c r="F80" s="37">
        <f>'Tank Data'!P80</f>
        <v>-3.8487165118392443</v>
      </c>
      <c r="G80" s="37">
        <f>'Tank Data'!M80</f>
        <v>2.588757282054349</v>
      </c>
      <c r="H80" s="128">
        <v>0</v>
      </c>
      <c r="I80" s="101">
        <f t="shared" si="6"/>
        <v>41621</v>
      </c>
      <c r="J80" s="109">
        <f>'Tank Data'!X80</f>
        <v>-6.9377187857936479E-3</v>
      </c>
      <c r="K80" s="109">
        <f>'Tank Data'!U80</f>
        <v>2.9459572820543505</v>
      </c>
      <c r="L80" s="130">
        <v>0</v>
      </c>
      <c r="M80" s="167">
        <f t="shared" si="7"/>
        <v>41621</v>
      </c>
      <c r="N80" s="170">
        <f>'Tank Data'!AF80</f>
        <v>-3.6344173030996392</v>
      </c>
      <c r="O80" s="170">
        <f>'Tank Data'!AC80</f>
        <v>2.4986572820543489</v>
      </c>
      <c r="P80" s="171">
        <v>0</v>
      </c>
      <c r="R80" s="185"/>
      <c r="S80" s="161"/>
      <c r="T80" s="134"/>
      <c r="U80" s="134"/>
      <c r="V80" s="134"/>
      <c r="W80" s="134"/>
      <c r="X80" s="161"/>
      <c r="AH80" s="113">
        <v>41628</v>
      </c>
      <c r="AI80" s="1"/>
      <c r="AJ80" s="1">
        <v>2.3149875728895206</v>
      </c>
      <c r="AK80" s="1">
        <v>6</v>
      </c>
      <c r="AV80" s="115">
        <v>41608</v>
      </c>
      <c r="AW80" s="112">
        <v>1.8725532979813202</v>
      </c>
      <c r="AX80" s="100">
        <v>1.7149452480592271</v>
      </c>
      <c r="AY80" s="132">
        <v>6</v>
      </c>
      <c r="BK80" s="115">
        <v>41592</v>
      </c>
      <c r="BL80" s="112">
        <v>2.6223275717346604</v>
      </c>
      <c r="BM80" s="112">
        <v>3.1205748912332298</v>
      </c>
      <c r="BN80" s="119">
        <v>8</v>
      </c>
      <c r="BY80" s="113">
        <v>41629</v>
      </c>
      <c r="BZ80" s="112">
        <v>2.3478108219588796</v>
      </c>
      <c r="CA80" s="112">
        <v>2.42622888955853</v>
      </c>
      <c r="CB80" s="132">
        <v>7</v>
      </c>
      <c r="CO80" s="112">
        <v>2.6144485453752178</v>
      </c>
      <c r="CP80" s="112">
        <v>3.4474771477230091</v>
      </c>
      <c r="CQ80" s="112">
        <v>0</v>
      </c>
      <c r="CS80" s="28"/>
      <c r="CT80" s="100">
        <v>1.638650769200066</v>
      </c>
      <c r="CU80" s="132">
        <v>0</v>
      </c>
      <c r="DJ80" s="191">
        <v>-1.6312359796333313</v>
      </c>
      <c r="DK80" s="191">
        <v>3.2119814440322791</v>
      </c>
      <c r="DL80" s="193">
        <v>0</v>
      </c>
    </row>
    <row r="81" spans="1:116">
      <c r="A81" s="3">
        <f t="shared" si="4"/>
        <v>41622</v>
      </c>
      <c r="B81" s="13">
        <f>'Tank Data'!H81</f>
        <v>0.49235833221796743</v>
      </c>
      <c r="C81" s="10">
        <v>1.3745521919043875</v>
      </c>
      <c r="D81" s="127">
        <v>0</v>
      </c>
      <c r="E81" s="35">
        <f t="shared" si="5"/>
        <v>41622</v>
      </c>
      <c r="F81" s="37">
        <f>'Tank Data'!P81</f>
        <v>1.765819430275458</v>
      </c>
      <c r="G81" s="37">
        <f>'Tank Data'!M81</f>
        <v>2.6219521919043878</v>
      </c>
      <c r="H81" s="128">
        <v>0</v>
      </c>
      <c r="I81" s="101">
        <f t="shared" si="6"/>
        <v>41622</v>
      </c>
      <c r="J81" s="109">
        <f>'Tank Data'!X81</f>
        <v>-0.72903700252423786</v>
      </c>
      <c r="K81" s="109">
        <f>'Tank Data'!U81</f>
        <v>2.9589521919043884</v>
      </c>
      <c r="L81" s="130">
        <v>0</v>
      </c>
      <c r="M81" s="167">
        <f t="shared" si="7"/>
        <v>41622</v>
      </c>
      <c r="N81" s="170">
        <f>'Tank Data'!AF81</f>
        <v>-0.85800801115005854</v>
      </c>
      <c r="O81" s="170">
        <f>'Tank Data'!AC81</f>
        <v>2.5224521919043883</v>
      </c>
      <c r="P81" s="171">
        <v>0</v>
      </c>
      <c r="R81" s="185"/>
      <c r="S81" s="161"/>
      <c r="T81" s="186"/>
      <c r="U81" s="134"/>
      <c r="V81" s="134"/>
      <c r="W81" s="134"/>
      <c r="X81" s="161"/>
      <c r="AH81" s="113">
        <v>41591</v>
      </c>
      <c r="AI81" s="1">
        <v>-2.6838063946914672</v>
      </c>
      <c r="AJ81" s="1">
        <v>2.7604955413438126</v>
      </c>
      <c r="AK81" s="1">
        <v>7</v>
      </c>
      <c r="AV81" s="116">
        <v>41618</v>
      </c>
      <c r="AW81" s="112">
        <v>0.16616863489916991</v>
      </c>
      <c r="AX81" s="100">
        <v>1.4215358193055381</v>
      </c>
      <c r="AY81" s="132">
        <v>6</v>
      </c>
      <c r="BK81" s="115">
        <v>41619</v>
      </c>
      <c r="BL81" s="112"/>
      <c r="BM81" s="112">
        <v>2.9960996280318719</v>
      </c>
      <c r="BN81" s="119">
        <v>8</v>
      </c>
      <c r="BY81" s="113">
        <v>41592</v>
      </c>
      <c r="BZ81" s="112">
        <v>2.3166916414504501</v>
      </c>
      <c r="CA81" s="112">
        <v>3.0064748912332302</v>
      </c>
      <c r="CB81" s="132">
        <v>8</v>
      </c>
      <c r="CO81" s="112">
        <v>2.4849697336963619</v>
      </c>
      <c r="CP81" s="112">
        <v>3.4445194843017637</v>
      </c>
      <c r="CQ81" s="112">
        <v>0</v>
      </c>
      <c r="CS81" s="112">
        <v>0.65296018157465396</v>
      </c>
      <c r="CT81" s="100">
        <v>1.6298924910133441</v>
      </c>
      <c r="CU81" s="132">
        <v>0</v>
      </c>
      <c r="DJ81" s="191">
        <v>2.4109397683936313</v>
      </c>
      <c r="DK81" s="191">
        <v>3.1047231540970941</v>
      </c>
      <c r="DL81" s="193">
        <v>0</v>
      </c>
    </row>
    <row r="82" spans="1:116">
      <c r="A82" s="3">
        <f t="shared" si="4"/>
        <v>41623</v>
      </c>
      <c r="B82" s="13">
        <f>'Tank Data'!H82</f>
        <v>0.84789859757544928</v>
      </c>
      <c r="C82" s="10">
        <v>1.3461162032028562</v>
      </c>
      <c r="D82" s="127">
        <v>1</v>
      </c>
      <c r="E82" s="35">
        <f t="shared" si="5"/>
        <v>41623</v>
      </c>
      <c r="F82" s="37">
        <f>'Tank Data'!P82</f>
        <v>1.3107660964389327</v>
      </c>
      <c r="G82" s="37">
        <f>'Tank Data'!M82</f>
        <v>2.5973162032028565</v>
      </c>
      <c r="H82" s="128">
        <v>1</v>
      </c>
      <c r="I82" s="101">
        <f t="shared" si="6"/>
        <v>41623</v>
      </c>
      <c r="J82" s="109">
        <f>'Tank Data'!X82</f>
        <v>0.77159145993558076</v>
      </c>
      <c r="K82" s="109">
        <f>'Tank Data'!U82</f>
        <v>2.9403162032028556</v>
      </c>
      <c r="L82" s="130">
        <v>1</v>
      </c>
      <c r="M82" s="167">
        <f t="shared" si="7"/>
        <v>41623</v>
      </c>
      <c r="N82" s="170">
        <f>'Tank Data'!AF82</f>
        <v>-0.26824852694965379</v>
      </c>
      <c r="O82" s="170">
        <f>'Tank Data'!AC82</f>
        <v>2.500216203202855</v>
      </c>
      <c r="P82" s="171">
        <v>1</v>
      </c>
      <c r="R82" s="185"/>
      <c r="S82" s="161"/>
      <c r="T82" s="186"/>
      <c r="U82" s="134"/>
      <c r="V82" s="134"/>
      <c r="W82" s="134"/>
      <c r="X82" s="161"/>
      <c r="Y82" s="11"/>
      <c r="AH82" s="113">
        <v>41619</v>
      </c>
      <c r="AI82" s="1">
        <v>1.7822660783882269</v>
      </c>
      <c r="AJ82" s="1">
        <v>2.539699628031872</v>
      </c>
      <c r="AK82" s="1">
        <v>7</v>
      </c>
      <c r="AV82" s="116">
        <v>41628</v>
      </c>
      <c r="AW82" s="112">
        <v>0.48779815138875576</v>
      </c>
      <c r="AX82" s="100">
        <v>1.2057875728895202</v>
      </c>
      <c r="AY82" s="132">
        <v>6</v>
      </c>
      <c r="BK82" s="115">
        <v>41629</v>
      </c>
      <c r="BL82" s="112">
        <v>3.0022490055545559</v>
      </c>
      <c r="BM82" s="112">
        <v>2.7222288895585303</v>
      </c>
      <c r="BN82" s="119">
        <v>8</v>
      </c>
      <c r="BY82" s="113">
        <v>41620</v>
      </c>
      <c r="BZ82" s="112">
        <v>3.843219353434244</v>
      </c>
      <c r="CA82" s="112">
        <v>2.5918202734430693</v>
      </c>
      <c r="CB82" s="132">
        <v>8</v>
      </c>
      <c r="CO82" s="112">
        <v>2.4427990299302671</v>
      </c>
      <c r="CP82" s="112">
        <v>3.42052888955853</v>
      </c>
      <c r="CQ82" s="119">
        <v>0</v>
      </c>
      <c r="CS82" s="112">
        <v>0.7389882085370294</v>
      </c>
      <c r="CT82" s="100">
        <v>1.5979663033140761</v>
      </c>
      <c r="CU82" s="132">
        <v>0</v>
      </c>
      <c r="DJ82" s="191">
        <v>-0.31362669262713816</v>
      </c>
      <c r="DK82" s="191">
        <v>2.9242742858665238</v>
      </c>
      <c r="DL82" s="193">
        <v>0</v>
      </c>
    </row>
    <row r="83" spans="1:116">
      <c r="A83" s="3">
        <f t="shared" si="4"/>
        <v>41624</v>
      </c>
      <c r="B83" s="13">
        <f>'Tank Data'!H83</f>
        <v>0.87650992421113672</v>
      </c>
      <c r="C83" s="10">
        <v>1.3168452457095339</v>
      </c>
      <c r="D83" s="127">
        <v>2</v>
      </c>
      <c r="E83" s="35">
        <f t="shared" si="5"/>
        <v>41624</v>
      </c>
      <c r="F83" s="37">
        <f>'Tank Data'!P83</f>
        <v>0.93215386435971481</v>
      </c>
      <c r="G83" s="37">
        <f>'Tank Data'!M83</f>
        <v>2.5751452457095354</v>
      </c>
      <c r="H83" s="128">
        <v>2</v>
      </c>
      <c r="I83" s="101">
        <f t="shared" si="6"/>
        <v>41624</v>
      </c>
      <c r="J83" s="109">
        <f>'Tank Data'!X83</f>
        <v>1.5112910128221568</v>
      </c>
      <c r="K83" s="109">
        <f>'Tank Data'!U83</f>
        <v>2.9093452457095355</v>
      </c>
      <c r="L83" s="130">
        <v>2</v>
      </c>
      <c r="M83" s="167">
        <f t="shared" si="7"/>
        <v>41624</v>
      </c>
      <c r="N83" s="170">
        <f>'Tank Data'!AF83</f>
        <v>0.23573368904136854</v>
      </c>
      <c r="O83" s="170">
        <f>'Tank Data'!AC83</f>
        <v>2.4751452457095353</v>
      </c>
      <c r="P83" s="171">
        <v>2</v>
      </c>
      <c r="R83" s="185"/>
      <c r="S83" s="161"/>
      <c r="T83" s="186"/>
      <c r="U83" s="134"/>
      <c r="V83" s="134"/>
      <c r="W83" s="134"/>
      <c r="X83" s="161"/>
      <c r="AH83" s="113">
        <v>41629</v>
      </c>
      <c r="AI83" s="1"/>
      <c r="AJ83" s="1">
        <v>2.2296288895585294</v>
      </c>
      <c r="AK83" s="1">
        <v>7</v>
      </c>
      <c r="AV83" s="116">
        <v>41591</v>
      </c>
      <c r="AW83" s="112"/>
      <c r="AX83" s="100">
        <v>2.3528955413438131</v>
      </c>
      <c r="AY83" s="132">
        <v>7</v>
      </c>
      <c r="BK83" s="115">
        <v>41630</v>
      </c>
      <c r="BL83" s="112">
        <v>1.6593625441544424</v>
      </c>
      <c r="BM83" s="112">
        <v>2.677693310700648</v>
      </c>
      <c r="BN83" s="119">
        <v>9</v>
      </c>
      <c r="BY83" s="113">
        <v>41630</v>
      </c>
      <c r="BZ83" s="112">
        <v>4.7102246114428912</v>
      </c>
      <c r="CA83" s="112">
        <v>2.3935933107006484</v>
      </c>
      <c r="CB83" s="132">
        <v>8</v>
      </c>
      <c r="CO83" s="112">
        <v>2.5974172480089561</v>
      </c>
      <c r="CP83" s="112">
        <v>3.0834939113679729</v>
      </c>
      <c r="CQ83" s="119">
        <v>0</v>
      </c>
      <c r="CS83" s="112">
        <v>0.10292249308495628</v>
      </c>
      <c r="CT83" s="100">
        <v>1.3670572820543492</v>
      </c>
      <c r="CU83" s="132">
        <v>0</v>
      </c>
      <c r="DJ83" s="191">
        <v>-1.2892189741377256</v>
      </c>
      <c r="DK83" s="191">
        <v>2.9012507692000664</v>
      </c>
      <c r="DL83" s="193">
        <v>0</v>
      </c>
    </row>
    <row r="84" spans="1:116">
      <c r="A84" s="3">
        <f t="shared" si="4"/>
        <v>41625</v>
      </c>
      <c r="B84" s="13">
        <f>'Tank Data'!H84</f>
        <v>0.69168241790556972</v>
      </c>
      <c r="C84" s="10">
        <v>1.2877566978348676</v>
      </c>
      <c r="D84" s="127">
        <v>3</v>
      </c>
      <c r="E84" s="35">
        <f t="shared" si="5"/>
        <v>41625</v>
      </c>
      <c r="F84" s="37">
        <f>'Tank Data'!P84</f>
        <v>1.2231741351618473</v>
      </c>
      <c r="G84" s="37">
        <f>'Tank Data'!M84</f>
        <v>2.5535566978348676</v>
      </c>
      <c r="H84" s="128">
        <v>3</v>
      </c>
      <c r="I84" s="101">
        <f t="shared" si="6"/>
        <v>41625</v>
      </c>
      <c r="J84" s="109">
        <f>'Tank Data'!X84</f>
        <v>1.573922799789395</v>
      </c>
      <c r="K84" s="109">
        <f>'Tank Data'!U84</f>
        <v>2.8816566978348677</v>
      </c>
      <c r="L84" s="130">
        <v>3</v>
      </c>
      <c r="M84" s="167">
        <f t="shared" si="7"/>
        <v>41625</v>
      </c>
      <c r="N84" s="170">
        <f>'Tank Data'!AF84</f>
        <v>9.6746017342390703E-2</v>
      </c>
      <c r="O84" s="170">
        <f>'Tank Data'!AC84</f>
        <v>2.4447566978348667</v>
      </c>
      <c r="P84" s="171">
        <v>3</v>
      </c>
      <c r="R84" s="185"/>
      <c r="S84" s="161"/>
      <c r="T84" s="186"/>
      <c r="U84" s="134"/>
      <c r="V84" s="134"/>
      <c r="W84" s="134"/>
      <c r="X84" s="161"/>
      <c r="AH84" s="113">
        <v>41592</v>
      </c>
      <c r="AI84" s="1">
        <v>0.42655682172897669</v>
      </c>
      <c r="AJ84" s="1">
        <v>2.7414748912332292</v>
      </c>
      <c r="AK84" s="1">
        <v>8</v>
      </c>
      <c r="AV84" s="115">
        <v>41619</v>
      </c>
      <c r="AW84" s="112">
        <v>0.6332647426895861</v>
      </c>
      <c r="AX84" s="100">
        <v>1.394499628031872</v>
      </c>
      <c r="AY84" s="132">
        <v>7</v>
      </c>
      <c r="AZ84" s="11"/>
      <c r="BK84" s="115">
        <v>41631</v>
      </c>
      <c r="BL84" s="112">
        <v>1.5671439458434091</v>
      </c>
      <c r="BM84" s="112">
        <v>2.6445738854216385</v>
      </c>
      <c r="BN84" s="119">
        <v>10</v>
      </c>
      <c r="BY84" s="113">
        <v>41593</v>
      </c>
      <c r="BZ84" s="112">
        <v>4.4323818414022678E-2</v>
      </c>
      <c r="CA84" s="112">
        <v>2.9805939113679738</v>
      </c>
      <c r="CB84" s="132">
        <v>9</v>
      </c>
      <c r="CO84" s="112"/>
      <c r="CP84" s="112">
        <v>3.0008783584564283</v>
      </c>
      <c r="CQ84" s="112">
        <v>0</v>
      </c>
      <c r="CS84" s="112">
        <v>0.39759845246897624</v>
      </c>
      <c r="CT84" s="100">
        <v>1.3745521919043875</v>
      </c>
      <c r="CU84" s="132">
        <v>0</v>
      </c>
      <c r="DJ84" s="191">
        <v>1.3637236714245365E-2</v>
      </c>
      <c r="DK84" s="191">
        <v>2.8964924910133441</v>
      </c>
      <c r="DL84" s="193">
        <v>0</v>
      </c>
    </row>
    <row r="85" spans="1:116">
      <c r="A85" s="3">
        <f t="shared" si="4"/>
        <v>41626</v>
      </c>
      <c r="B85" s="13">
        <f>'Tank Data'!H85</f>
        <v>0.82391284694074296</v>
      </c>
      <c r="C85" s="10">
        <v>1.2599575104730953</v>
      </c>
      <c r="D85" s="127">
        <v>4</v>
      </c>
      <c r="E85" s="35">
        <f t="shared" si="5"/>
        <v>41626</v>
      </c>
      <c r="F85" s="37">
        <f>'Tank Data'!P85</f>
        <v>1.6957201727489404</v>
      </c>
      <c r="G85" s="37">
        <f>'Tank Data'!M85</f>
        <v>2.5267575104730966</v>
      </c>
      <c r="H85" s="128">
        <v>4</v>
      </c>
      <c r="I85" s="101">
        <f t="shared" si="6"/>
        <v>41626</v>
      </c>
      <c r="J85" s="109">
        <f>'Tank Data'!X85</f>
        <v>1.6099028971229741</v>
      </c>
      <c r="K85" s="109">
        <f>'Tank Data'!U85</f>
        <v>2.8446575104730956</v>
      </c>
      <c r="L85" s="130">
        <v>4</v>
      </c>
      <c r="M85" s="167">
        <f t="shared" si="7"/>
        <v>41626</v>
      </c>
      <c r="N85" s="170">
        <f>'Tank Data'!AF85</f>
        <v>1.1696818889693983</v>
      </c>
      <c r="O85" s="170">
        <f>'Tank Data'!AC85</f>
        <v>2.4068575104730967</v>
      </c>
      <c r="P85" s="171">
        <v>4</v>
      </c>
      <c r="R85" s="185"/>
      <c r="S85" s="161"/>
      <c r="T85" s="186"/>
      <c r="U85" s="134"/>
      <c r="V85" s="134"/>
      <c r="W85" s="134"/>
      <c r="X85" s="161"/>
      <c r="Y85" s="11"/>
      <c r="AH85" s="113">
        <v>41620</v>
      </c>
      <c r="AI85" s="1">
        <v>0.99522285914351061</v>
      </c>
      <c r="AJ85" s="1">
        <v>2.5019202734430688</v>
      </c>
      <c r="AK85" s="1">
        <v>8</v>
      </c>
      <c r="AV85" s="116">
        <v>41629</v>
      </c>
      <c r="AW85" s="112">
        <v>0.53833640298860119</v>
      </c>
      <c r="AX85" s="100">
        <v>1.1813288895585292</v>
      </c>
      <c r="AY85" s="132">
        <v>7</v>
      </c>
      <c r="AZ85" s="11"/>
      <c r="BK85" s="115">
        <v>41632</v>
      </c>
      <c r="BL85" s="112">
        <v>1.4895534092264633</v>
      </c>
      <c r="BM85" s="112">
        <v>2.6126156048852236</v>
      </c>
      <c r="BN85" s="119">
        <v>11</v>
      </c>
      <c r="BY85" s="113">
        <v>41631</v>
      </c>
      <c r="BZ85" s="112">
        <v>2.6235378764828159</v>
      </c>
      <c r="CA85" s="112">
        <v>2.3505738854216389</v>
      </c>
      <c r="CB85" s="132">
        <v>9</v>
      </c>
      <c r="CO85" s="112">
        <v>-3.71</v>
      </c>
      <c r="CP85" s="112">
        <v>3.7856730516361816</v>
      </c>
      <c r="CQ85" s="112">
        <v>0</v>
      </c>
      <c r="CS85" s="112"/>
      <c r="CT85" s="100">
        <v>3.1842159959313361</v>
      </c>
      <c r="CU85" s="132">
        <v>1</v>
      </c>
      <c r="DJ85" s="191">
        <v>1.4266914446650907</v>
      </c>
      <c r="DK85" s="191">
        <v>2.8756663033140768</v>
      </c>
      <c r="DL85" s="193">
        <v>0</v>
      </c>
    </row>
    <row r="86" spans="1:116">
      <c r="A86" s="3">
        <f t="shared" si="4"/>
        <v>41627</v>
      </c>
      <c r="B86" s="13">
        <f>'Tank Data'!H86</f>
        <v>0.58748827874951015</v>
      </c>
      <c r="C86" s="10">
        <v>1.2310082253497936</v>
      </c>
      <c r="D86" s="127">
        <v>5</v>
      </c>
      <c r="E86" s="35">
        <f t="shared" si="5"/>
        <v>41627</v>
      </c>
      <c r="F86" s="38">
        <f>'Tank Data'!P86</f>
        <v>5.1088733172965268</v>
      </c>
      <c r="G86" s="37">
        <f>'Tank Data'!M86</f>
        <v>2.4946082253497934</v>
      </c>
      <c r="H86" s="128">
        <v>5</v>
      </c>
      <c r="I86" s="101">
        <f t="shared" si="6"/>
        <v>41627</v>
      </c>
      <c r="J86" s="109">
        <f>'Tank Data'!X86</f>
        <v>1.7906845772023492</v>
      </c>
      <c r="K86" s="109">
        <f>'Tank Data'!U86</f>
        <v>2.8065082253497939</v>
      </c>
      <c r="L86" s="130">
        <v>5</v>
      </c>
      <c r="M86" s="167">
        <f t="shared" si="7"/>
        <v>41627</v>
      </c>
      <c r="N86" s="170">
        <f>'Tank Data'!AF86</f>
        <v>1.5622743532361143</v>
      </c>
      <c r="O86" s="170">
        <f>'Tank Data'!AC86</f>
        <v>2.3701082253497936</v>
      </c>
      <c r="P86" s="171">
        <v>5</v>
      </c>
      <c r="R86" s="185"/>
      <c r="S86" s="161"/>
      <c r="T86" s="186"/>
      <c r="U86" s="134"/>
      <c r="V86" s="134"/>
      <c r="W86" s="134"/>
      <c r="X86" s="161"/>
      <c r="AH86" s="113">
        <v>41630</v>
      </c>
      <c r="AI86" s="1"/>
      <c r="AJ86" s="1">
        <v>2.1447933107006487</v>
      </c>
      <c r="AK86" s="1">
        <v>8</v>
      </c>
      <c r="AV86" s="116">
        <v>41592</v>
      </c>
      <c r="AW86" s="112">
        <v>1.0564485090813018</v>
      </c>
      <c r="AX86" s="100">
        <v>2.3232748912332295</v>
      </c>
      <c r="AY86" s="132">
        <v>8</v>
      </c>
      <c r="AZ86" s="11"/>
      <c r="BK86" s="115">
        <v>41633</v>
      </c>
      <c r="BL86" s="112">
        <v>1.571703238561184</v>
      </c>
      <c r="BM86" s="112">
        <v>2.5780434202106379</v>
      </c>
      <c r="BN86" s="119">
        <v>12</v>
      </c>
      <c r="BY86" s="113">
        <v>41632</v>
      </c>
      <c r="BZ86" s="112">
        <v>2.0489826084066736</v>
      </c>
      <c r="CA86" s="112">
        <v>2.3118156048852239</v>
      </c>
      <c r="CB86" s="132">
        <v>10</v>
      </c>
      <c r="CO86" s="112">
        <v>2.609304577817432</v>
      </c>
      <c r="CP86" s="112">
        <v>3.6221720246773588</v>
      </c>
      <c r="CQ86" s="112">
        <v>0</v>
      </c>
      <c r="CS86" s="112"/>
      <c r="CT86" s="100">
        <v>3.0868947052086626</v>
      </c>
      <c r="CU86" s="132">
        <v>1</v>
      </c>
      <c r="DJ86" s="191">
        <v>-3.8487165118392443</v>
      </c>
      <c r="DK86" s="191">
        <v>2.588757282054349</v>
      </c>
      <c r="DL86" s="193">
        <v>0</v>
      </c>
    </row>
    <row r="87" spans="1:116">
      <c r="A87" s="3">
        <f t="shared" si="4"/>
        <v>41628</v>
      </c>
      <c r="B87" s="13">
        <f>'Tank Data'!H87</f>
        <v>0.56146619707861634</v>
      </c>
      <c r="C87" s="10">
        <v>1.2057875728895202</v>
      </c>
      <c r="D87" s="127">
        <v>6</v>
      </c>
      <c r="E87" s="35">
        <f t="shared" si="5"/>
        <v>41628</v>
      </c>
      <c r="F87" s="37">
        <f>'Tank Data'!P87</f>
        <v>2.0710143984830864</v>
      </c>
      <c r="G87" s="37">
        <f>'Tank Data'!M87</f>
        <v>2.456787572889521</v>
      </c>
      <c r="H87" s="128">
        <v>6</v>
      </c>
      <c r="I87" s="101">
        <f t="shared" si="6"/>
        <v>41628</v>
      </c>
      <c r="J87" s="109">
        <f>'Tank Data'!X87</f>
        <v>2.0015187029673589</v>
      </c>
      <c r="K87" s="109">
        <f>'Tank Data'!U87</f>
        <v>2.7656875728895214</v>
      </c>
      <c r="L87" s="130">
        <v>6</v>
      </c>
      <c r="M87" s="167">
        <f t="shared" si="7"/>
        <v>41628</v>
      </c>
      <c r="N87" s="170">
        <f>'Tank Data'!AF87</f>
        <v>7.3862516395388251</v>
      </c>
      <c r="O87" s="170">
        <f>'Tank Data'!AC87</f>
        <v>2.3149875728895206</v>
      </c>
      <c r="P87" s="171">
        <v>6</v>
      </c>
      <c r="R87" s="185"/>
      <c r="S87" s="161"/>
      <c r="T87" s="186"/>
      <c r="U87" s="134"/>
      <c r="V87" s="134"/>
      <c r="W87" s="134"/>
      <c r="X87" s="161"/>
      <c r="AH87" s="113">
        <v>41593</v>
      </c>
      <c r="AI87" s="1">
        <v>0.14474981881563398</v>
      </c>
      <c r="AJ87" s="1">
        <v>2.7170939113679728</v>
      </c>
      <c r="AK87" s="1">
        <v>9</v>
      </c>
      <c r="AV87" s="116">
        <v>41620</v>
      </c>
      <c r="AW87" s="112">
        <v>-7.3245941647176627E-2</v>
      </c>
      <c r="AX87" s="100">
        <v>1.3708202734430697</v>
      </c>
      <c r="AY87" s="132">
        <v>8</v>
      </c>
      <c r="BK87" s="115">
        <v>41634</v>
      </c>
      <c r="BL87" s="112">
        <v>1.250745385728202</v>
      </c>
      <c r="BM87" s="112">
        <v>2.5453010906809608</v>
      </c>
      <c r="BN87" s="119">
        <v>13</v>
      </c>
      <c r="BY87" s="113">
        <v>41633</v>
      </c>
      <c r="BZ87" s="112">
        <v>2.8425290510197669</v>
      </c>
      <c r="CA87" s="112">
        <v>2.2767434202106376</v>
      </c>
      <c r="CB87" s="132">
        <v>11</v>
      </c>
      <c r="CO87" s="112">
        <v>1.7413050798229988</v>
      </c>
      <c r="CP87" s="112">
        <v>3.339745248059228</v>
      </c>
      <c r="CQ87" s="119">
        <v>0</v>
      </c>
      <c r="CS87" s="112"/>
      <c r="CT87" s="100">
        <v>2.8776409376518033</v>
      </c>
      <c r="CU87" s="132">
        <v>1</v>
      </c>
      <c r="DJ87" s="191">
        <v>1.79830026085901</v>
      </c>
      <c r="DK87" s="191">
        <v>2.6219521919043878</v>
      </c>
      <c r="DL87" s="193">
        <v>0</v>
      </c>
    </row>
    <row r="88" spans="1:116">
      <c r="A88" s="3">
        <f t="shared" si="4"/>
        <v>41629</v>
      </c>
      <c r="B88" s="13">
        <f>'Tank Data'!H88</f>
        <v>0.60838084777314272</v>
      </c>
      <c r="C88" s="10">
        <v>1.1813288895585292</v>
      </c>
      <c r="D88" s="127">
        <v>7</v>
      </c>
      <c r="E88" s="35">
        <f t="shared" si="5"/>
        <v>41629</v>
      </c>
      <c r="F88" s="37">
        <f>'Tank Data'!P88</f>
        <v>2.3595608248919042</v>
      </c>
      <c r="G88" s="37">
        <f>'Tank Data'!M88</f>
        <v>2.42622888955853</v>
      </c>
      <c r="H88" s="128">
        <v>7</v>
      </c>
      <c r="I88" s="101">
        <f t="shared" si="6"/>
        <v>41629</v>
      </c>
      <c r="J88" s="109">
        <f>'Tank Data'!X88</f>
        <v>2.9193934360205995</v>
      </c>
      <c r="K88" s="109">
        <f>'Tank Data'!U88</f>
        <v>2.7222288895585303</v>
      </c>
      <c r="L88" s="130">
        <v>7</v>
      </c>
      <c r="M88" s="167">
        <f t="shared" si="7"/>
        <v>41629</v>
      </c>
      <c r="N88" s="170">
        <f>'Tank Data'!AF88</f>
        <v>7.8199520547144363</v>
      </c>
      <c r="O88" s="170">
        <f>'Tank Data'!AC88</f>
        <v>2.2296288895585294</v>
      </c>
      <c r="P88" s="171">
        <v>7</v>
      </c>
      <c r="R88" s="185"/>
      <c r="S88" s="161"/>
      <c r="T88" s="186"/>
      <c r="U88" s="134"/>
      <c r="V88" s="134"/>
      <c r="W88" s="134"/>
      <c r="X88" s="161"/>
      <c r="Y88" s="11"/>
      <c r="AH88" s="113">
        <v>41631</v>
      </c>
      <c r="AI88" s="1"/>
      <c r="AJ88" s="1">
        <v>2.076373885421638</v>
      </c>
      <c r="AK88" s="1">
        <v>9</v>
      </c>
      <c r="AL88" t="s">
        <v>77</v>
      </c>
      <c r="AM88">
        <f>AVERAGE(AI21:AI88)</f>
        <v>-0.36426181430737559</v>
      </c>
      <c r="AN88" t="s">
        <v>78</v>
      </c>
      <c r="AV88" s="116">
        <v>41630</v>
      </c>
      <c r="AW88" s="112">
        <v>1.0346279026653047</v>
      </c>
      <c r="AX88" s="100">
        <v>1.1558933107006486</v>
      </c>
      <c r="AY88" s="132">
        <v>8</v>
      </c>
      <c r="AZ88" s="11"/>
      <c r="BK88" s="115">
        <v>41635</v>
      </c>
      <c r="BL88" s="112">
        <v>1.464739505291748</v>
      </c>
      <c r="BM88" s="112">
        <v>2.5081965847504817</v>
      </c>
      <c r="BN88" s="119">
        <v>14</v>
      </c>
      <c r="BY88" s="113">
        <v>41634</v>
      </c>
      <c r="BZ88" s="112">
        <v>2.2107042221066235</v>
      </c>
      <c r="CA88" s="112">
        <v>2.2421010906809613</v>
      </c>
      <c r="CB88" s="132">
        <v>12</v>
      </c>
      <c r="CO88" s="112">
        <v>0.99414174912606978</v>
      </c>
      <c r="CP88" s="112">
        <v>3.3122742858665228</v>
      </c>
      <c r="CQ88" s="119">
        <v>0</v>
      </c>
      <c r="CS88" s="112">
        <v>1.2390506869590545</v>
      </c>
      <c r="CT88" s="100">
        <v>2.6246802121516297</v>
      </c>
      <c r="CU88" s="132">
        <v>1</v>
      </c>
      <c r="DJ88" s="195"/>
      <c r="DK88" s="196">
        <v>3.1842159959313361</v>
      </c>
      <c r="DL88" s="197">
        <v>1</v>
      </c>
    </row>
    <row r="89" spans="1:116">
      <c r="A89" s="3">
        <f t="shared" si="4"/>
        <v>41630</v>
      </c>
      <c r="B89" s="13">
        <f>'Tank Data'!H89</f>
        <v>1.1015175688425534</v>
      </c>
      <c r="C89" s="10">
        <v>1.1558933107006486</v>
      </c>
      <c r="D89" s="127">
        <v>8</v>
      </c>
      <c r="E89" s="35">
        <f t="shared" si="5"/>
        <v>41630</v>
      </c>
      <c r="F89" s="37">
        <f>'Tank Data'!P89</f>
        <v>4.7218631547601193</v>
      </c>
      <c r="G89" s="37">
        <f>'Tank Data'!M89</f>
        <v>2.3935933107006484</v>
      </c>
      <c r="H89" s="128">
        <v>8</v>
      </c>
      <c r="I89" s="101">
        <f t="shared" si="6"/>
        <v>41630</v>
      </c>
      <c r="J89" s="109">
        <f>'Tank Data'!X89</f>
        <v>1.5777037055302721</v>
      </c>
      <c r="K89" s="109">
        <f>'Tank Data'!U89</f>
        <v>2.677693310700648</v>
      </c>
      <c r="L89" s="130">
        <v>8</v>
      </c>
      <c r="M89" s="167">
        <f t="shared" si="7"/>
        <v>41630</v>
      </c>
      <c r="N89" s="170">
        <f>'Tank Data'!AF89</f>
        <v>7.1657100245320375</v>
      </c>
      <c r="O89" s="170">
        <f>'Tank Data'!AC89</f>
        <v>2.1447933107006487</v>
      </c>
      <c r="P89" s="171">
        <v>8</v>
      </c>
      <c r="R89" s="185"/>
      <c r="S89" s="161"/>
      <c r="T89" s="186"/>
      <c r="U89" s="134"/>
      <c r="V89" s="134"/>
      <c r="W89" s="134"/>
      <c r="X89" s="161"/>
      <c r="Y89" s="11"/>
      <c r="AH89" s="113">
        <v>41632</v>
      </c>
      <c r="AI89" s="1">
        <v>3.5424000000000002</v>
      </c>
      <c r="AJ89" s="1">
        <v>2.0227156048852222</v>
      </c>
      <c r="AK89" s="1">
        <v>10</v>
      </c>
      <c r="AM89">
        <f>AVERAGE(AI42:AI88)</f>
        <v>-0.10935557342272173</v>
      </c>
      <c r="AN89" t="s">
        <v>79</v>
      </c>
      <c r="AV89" s="116">
        <v>41593</v>
      </c>
      <c r="AW89" s="112">
        <v>1.440537730474329</v>
      </c>
      <c r="AX89" s="100">
        <v>2.2819939113679717</v>
      </c>
      <c r="AY89" s="132">
        <v>9</v>
      </c>
      <c r="AZ89" s="11"/>
      <c r="BK89" s="115">
        <v>41636</v>
      </c>
      <c r="BL89" s="112">
        <v>2.083570124941847</v>
      </c>
      <c r="BM89" s="112">
        <v>2.4690867673003689</v>
      </c>
      <c r="BN89" s="119">
        <v>15</v>
      </c>
      <c r="BY89" s="113">
        <v>41635</v>
      </c>
      <c r="BZ89" s="112">
        <v>1.8384510459079579</v>
      </c>
      <c r="CA89" s="112">
        <v>2.2058965847504819</v>
      </c>
      <c r="CB89" s="132">
        <v>13</v>
      </c>
      <c r="CO89" s="112">
        <v>-2.2578653552395642</v>
      </c>
      <c r="CP89" s="112">
        <v>3.2755507692000672</v>
      </c>
      <c r="CQ89" s="119">
        <v>0</v>
      </c>
      <c r="CS89" s="112">
        <v>9.4013346896085551E-2</v>
      </c>
      <c r="CT89" s="100">
        <v>2.56585301864077</v>
      </c>
      <c r="CU89" s="132">
        <v>1</v>
      </c>
      <c r="DJ89" s="195"/>
      <c r="DK89" s="196">
        <v>3.0868947052086626</v>
      </c>
      <c r="DL89" s="197">
        <v>1</v>
      </c>
    </row>
    <row r="90" spans="1:116">
      <c r="A90" s="3">
        <f t="shared" si="4"/>
        <v>41631</v>
      </c>
      <c r="B90" s="13">
        <f>'Tank Data'!H90</f>
        <v>0.56947444958647375</v>
      </c>
      <c r="C90" s="10">
        <v>1.1294738854216377</v>
      </c>
      <c r="D90" s="127">
        <v>9</v>
      </c>
      <c r="E90" s="35">
        <f t="shared" si="5"/>
        <v>41631</v>
      </c>
      <c r="F90" s="37">
        <f>'Tank Data'!P90</f>
        <v>2.6349965501658628</v>
      </c>
      <c r="G90" s="37">
        <f>'Tank Data'!M90</f>
        <v>2.3505738854216389</v>
      </c>
      <c r="H90" s="128">
        <v>9</v>
      </c>
      <c r="I90" s="101">
        <f t="shared" si="6"/>
        <v>41631</v>
      </c>
      <c r="J90" s="109">
        <f>'Tank Data'!X90</f>
        <v>1.4864436727347066</v>
      </c>
      <c r="K90" s="109">
        <f>'Tank Data'!U90</f>
        <v>2.6445738854216385</v>
      </c>
      <c r="L90" s="130">
        <v>9</v>
      </c>
      <c r="M90" s="167">
        <f t="shared" si="7"/>
        <v>41631</v>
      </c>
      <c r="N90" s="170">
        <f>'Tank Data'!AF90</f>
        <v>4.9679999999999991</v>
      </c>
      <c r="O90" s="170">
        <f>'Tank Data'!AC90</f>
        <v>2.076373885421638</v>
      </c>
      <c r="P90" s="171">
        <v>9</v>
      </c>
      <c r="R90" s="185"/>
      <c r="S90" s="161"/>
      <c r="T90" s="186"/>
      <c r="U90" s="134"/>
      <c r="V90" s="134"/>
      <c r="W90" s="134"/>
      <c r="X90" s="161"/>
      <c r="Y90" s="11"/>
      <c r="AH90" s="113">
        <v>41633</v>
      </c>
      <c r="AI90" s="1">
        <v>3.4416000000000002</v>
      </c>
      <c r="AJ90" s="1">
        <v>1.9766434202106367</v>
      </c>
      <c r="AK90" s="1">
        <v>11</v>
      </c>
      <c r="AM90">
        <f>AVERAGE(AI42:AI51)</f>
        <v>-0.59145523252852106</v>
      </c>
      <c r="AN90" t="s">
        <v>80</v>
      </c>
      <c r="AV90" s="116">
        <v>41631</v>
      </c>
      <c r="AW90" s="112">
        <v>0.50575015825164782</v>
      </c>
      <c r="AX90" s="100">
        <v>1.1294738854216377</v>
      </c>
      <c r="AY90" s="132">
        <v>9</v>
      </c>
      <c r="AZ90" s="11"/>
      <c r="BK90" s="115">
        <v>41637</v>
      </c>
      <c r="BL90" s="112">
        <v>1.0475136367000291</v>
      </c>
      <c r="BM90" s="112">
        <v>2.4298540455995914</v>
      </c>
      <c r="BN90" s="119">
        <v>16</v>
      </c>
      <c r="BY90" s="113">
        <v>41636</v>
      </c>
      <c r="BZ90" s="112">
        <v>1.6537291770201885</v>
      </c>
      <c r="CA90" s="112">
        <v>2.1696867673003695</v>
      </c>
      <c r="CB90" s="132">
        <v>14</v>
      </c>
      <c r="CO90" s="112">
        <v>-1.2488918376506521</v>
      </c>
      <c r="CP90" s="112">
        <v>3.2615924910133449</v>
      </c>
      <c r="CQ90" s="119">
        <v>0</v>
      </c>
      <c r="CS90" s="112"/>
      <c r="CT90" s="100">
        <v>2.1916783584564272</v>
      </c>
      <c r="CU90" s="132">
        <v>1</v>
      </c>
      <c r="DJ90" s="195"/>
      <c r="DK90" s="196">
        <v>2.8776409376518033</v>
      </c>
      <c r="DL90" s="197">
        <v>1</v>
      </c>
    </row>
    <row r="91" spans="1:116">
      <c r="A91" s="3">
        <f t="shared" si="4"/>
        <v>41632</v>
      </c>
      <c r="B91" s="13">
        <f>'Tank Data'!H91</f>
        <v>0.39303599212225993</v>
      </c>
      <c r="C91" s="10">
        <v>1.1028156048852229</v>
      </c>
      <c r="D91" s="127">
        <v>10</v>
      </c>
      <c r="E91" s="35">
        <f t="shared" si="5"/>
        <v>41632</v>
      </c>
      <c r="F91" s="37">
        <f>'Tank Data'!P91</f>
        <v>2.0602434062651653</v>
      </c>
      <c r="G91" s="37">
        <f>'Tank Data'!M91</f>
        <v>2.3118156048852239</v>
      </c>
      <c r="H91" s="128">
        <v>10</v>
      </c>
      <c r="I91" s="101">
        <f t="shared" si="6"/>
        <v>41632</v>
      </c>
      <c r="J91" s="109">
        <f>'Tank Data'!X91</f>
        <v>1.4098371767342981</v>
      </c>
      <c r="K91" s="109">
        <f>'Tank Data'!U91</f>
        <v>2.6126156048852236</v>
      </c>
      <c r="L91" s="130">
        <v>10</v>
      </c>
      <c r="M91" s="167">
        <f t="shared" si="7"/>
        <v>41632</v>
      </c>
      <c r="N91" s="170">
        <f>'Tank Data'!AF91</f>
        <v>3.5424000000000002</v>
      </c>
      <c r="O91" s="170">
        <f>'Tank Data'!AC91</f>
        <v>2.0227156048852222</v>
      </c>
      <c r="P91" s="171">
        <v>10</v>
      </c>
      <c r="R91" s="185"/>
      <c r="S91" s="161"/>
      <c r="T91" s="186"/>
      <c r="U91" s="134"/>
      <c r="V91" s="134"/>
      <c r="W91" s="134"/>
      <c r="X91" s="161"/>
      <c r="Y91" s="11"/>
      <c r="AH91" s="113">
        <v>41634</v>
      </c>
      <c r="AI91" s="1">
        <v>1.6847999999999999</v>
      </c>
      <c r="AJ91" s="1">
        <v>1.9459010906809602</v>
      </c>
      <c r="AK91" s="1">
        <v>12</v>
      </c>
      <c r="AM91">
        <f>AVERAGE(AI52:AI58)</f>
        <v>-0.40766125849295393</v>
      </c>
      <c r="AN91" t="s">
        <v>81</v>
      </c>
      <c r="AV91" s="116">
        <v>41632</v>
      </c>
      <c r="AW91" s="112">
        <v>0.33267904186875269</v>
      </c>
      <c r="AX91" s="100">
        <v>1.1028156048852229</v>
      </c>
      <c r="AY91" s="132">
        <v>10</v>
      </c>
      <c r="AZ91" s="11"/>
      <c r="BK91" s="115">
        <v>41638</v>
      </c>
      <c r="BL91" s="112">
        <v>2.1283161418985697</v>
      </c>
      <c r="BM91" s="112">
        <v>2.3931609988435225</v>
      </c>
      <c r="BN91" s="119">
        <v>17</v>
      </c>
      <c r="BY91" s="113">
        <v>41637</v>
      </c>
      <c r="BZ91" s="112">
        <v>3.4714275734752733</v>
      </c>
      <c r="CA91" s="112">
        <v>2.1281540455995902</v>
      </c>
      <c r="CB91" s="132">
        <v>15</v>
      </c>
      <c r="CO91" s="112">
        <v>2.2826679007830104</v>
      </c>
      <c r="CP91" s="112">
        <v>2.9535202734430692</v>
      </c>
      <c r="CQ91" s="119">
        <v>0</v>
      </c>
      <c r="CS91" s="112">
        <v>1.699573283312289</v>
      </c>
      <c r="CT91" s="100">
        <v>2.1686401297129607</v>
      </c>
      <c r="CU91" s="132">
        <v>1</v>
      </c>
      <c r="DJ91" s="195">
        <v>1.2390506869590545</v>
      </c>
      <c r="DK91" s="196">
        <v>2.6246802121516297</v>
      </c>
      <c r="DL91" s="197">
        <v>1</v>
      </c>
    </row>
    <row r="92" spans="1:116">
      <c r="A92" s="3">
        <f t="shared" si="4"/>
        <v>41633</v>
      </c>
      <c r="B92" s="13">
        <f>'Tank Data'!H92</f>
        <v>0.5057443635654395</v>
      </c>
      <c r="C92" s="10">
        <v>1.0784434202106383</v>
      </c>
      <c r="D92" s="127">
        <v>11</v>
      </c>
      <c r="E92" s="35">
        <f t="shared" si="5"/>
        <v>41633</v>
      </c>
      <c r="F92" s="37">
        <f>'Tank Data'!P92</f>
        <v>2.8535780423817458</v>
      </c>
      <c r="G92" s="37">
        <f>'Tank Data'!M92</f>
        <v>2.2767434202106376</v>
      </c>
      <c r="H92" s="128">
        <v>11</v>
      </c>
      <c r="I92" s="101">
        <f t="shared" si="6"/>
        <v>41633</v>
      </c>
      <c r="J92" s="109">
        <f>'Tank Data'!X92</f>
        <v>1.4931207691465183</v>
      </c>
      <c r="K92" s="109">
        <f>'Tank Data'!U92</f>
        <v>2.5780434202106379</v>
      </c>
      <c r="L92" s="130">
        <v>11</v>
      </c>
      <c r="M92" s="167">
        <f t="shared" si="7"/>
        <v>41633</v>
      </c>
      <c r="N92" s="170">
        <f>'Tank Data'!AF92</f>
        <v>3.4416000000000002</v>
      </c>
      <c r="O92" s="170">
        <f>'Tank Data'!AC92</f>
        <v>1.9766434202106367</v>
      </c>
      <c r="P92" s="171">
        <v>11</v>
      </c>
      <c r="R92" s="185"/>
      <c r="S92" s="161"/>
      <c r="T92" s="186"/>
      <c r="U92" s="134"/>
      <c r="V92" s="134"/>
      <c r="W92" s="134"/>
      <c r="X92" s="161"/>
      <c r="Y92" s="11"/>
      <c r="AH92" s="113">
        <v>41635</v>
      </c>
      <c r="AI92" s="1">
        <v>0.91871999999999998</v>
      </c>
      <c r="AJ92" s="1">
        <v>1.9260965847504816</v>
      </c>
      <c r="AK92" s="1">
        <v>13</v>
      </c>
      <c r="AM92">
        <f>AVERAGE(AI59:AI64)</f>
        <v>-4.491355701762529E-2</v>
      </c>
      <c r="AN92" t="s">
        <v>82</v>
      </c>
      <c r="AV92" s="116">
        <v>41633</v>
      </c>
      <c r="AW92" s="112">
        <v>0.44862994717123472</v>
      </c>
      <c r="AX92" s="100">
        <v>1.0784434202106383</v>
      </c>
      <c r="AY92" s="132">
        <v>11</v>
      </c>
      <c r="AZ92" s="11"/>
      <c r="BK92" s="115">
        <v>41639</v>
      </c>
      <c r="BL92" s="112">
        <v>2.3634660871940931</v>
      </c>
      <c r="BM92" s="112">
        <v>2.3502505713273179</v>
      </c>
      <c r="BN92" s="119">
        <v>18</v>
      </c>
      <c r="BY92" s="113">
        <v>41638</v>
      </c>
      <c r="BZ92" s="112">
        <v>0.89456185607044503</v>
      </c>
      <c r="CA92" s="112">
        <v>2.0889609988435236</v>
      </c>
      <c r="CB92" s="132">
        <v>16</v>
      </c>
      <c r="CO92" s="112">
        <v>-6.9377187857936479E-3</v>
      </c>
      <c r="CP92" s="112">
        <v>2.9459572820543505</v>
      </c>
      <c r="CQ92" s="119">
        <v>0</v>
      </c>
      <c r="CS92" s="112">
        <v>2.2683063199733988</v>
      </c>
      <c r="CT92" s="100">
        <v>1.919013953762152</v>
      </c>
      <c r="CU92" s="132">
        <v>1</v>
      </c>
      <c r="DJ92" s="195">
        <v>9.4013346896085551E-2</v>
      </c>
      <c r="DK92" s="196">
        <v>2.56585301864077</v>
      </c>
      <c r="DL92" s="197">
        <v>1</v>
      </c>
    </row>
    <row r="93" spans="1:116">
      <c r="A93" s="3">
        <f t="shared" si="4"/>
        <v>41634</v>
      </c>
      <c r="B93" s="13">
        <f>'Tank Data'!H93</f>
        <v>1.6355713718672651</v>
      </c>
      <c r="C93" s="10">
        <v>1.0514010906809603</v>
      </c>
      <c r="D93" s="127">
        <v>12</v>
      </c>
      <c r="E93" s="35">
        <f t="shared" si="5"/>
        <v>41634</v>
      </c>
      <c r="F93" s="37">
        <f>'Tank Data'!P93</f>
        <v>2.2215100794748581</v>
      </c>
      <c r="G93" s="37">
        <f>'Tank Data'!M93</f>
        <v>2.2421010906809613</v>
      </c>
      <c r="H93" s="128">
        <v>12</v>
      </c>
      <c r="I93" s="101">
        <f t="shared" si="6"/>
        <v>41634</v>
      </c>
      <c r="J93" s="109">
        <f>'Tank Data'!X93</f>
        <v>1.1733069915397627</v>
      </c>
      <c r="K93" s="109">
        <f>'Tank Data'!U93</f>
        <v>2.5453010906809608</v>
      </c>
      <c r="L93" s="130">
        <v>12</v>
      </c>
      <c r="M93" s="167">
        <f t="shared" si="7"/>
        <v>41634</v>
      </c>
      <c r="N93" s="170">
        <f>'Tank Data'!AF93</f>
        <v>1.6847999999999999</v>
      </c>
      <c r="O93" s="170">
        <f>'Tank Data'!AC93</f>
        <v>1.9459010906809602</v>
      </c>
      <c r="P93" s="171">
        <v>12</v>
      </c>
      <c r="R93" s="185"/>
      <c r="S93" s="161"/>
      <c r="T93" s="186"/>
      <c r="U93" s="134"/>
      <c r="V93" s="134"/>
      <c r="W93" s="134"/>
      <c r="X93" s="161"/>
      <c r="Y93" s="11"/>
      <c r="AH93" s="113">
        <v>41636</v>
      </c>
      <c r="AI93" s="1">
        <v>0.97055999999999998</v>
      </c>
      <c r="AJ93" s="1">
        <v>1.9073867673003693</v>
      </c>
      <c r="AK93" s="1">
        <v>14</v>
      </c>
      <c r="AM93">
        <f>AVERAGE(AI65:AI70)</f>
        <v>0.11618169544907325</v>
      </c>
      <c r="AN93" t="s">
        <v>83</v>
      </c>
      <c r="AV93" s="116">
        <v>41634</v>
      </c>
      <c r="AW93" s="112">
        <v>1.582252434935534</v>
      </c>
      <c r="AX93" s="100">
        <v>1.0514010906809603</v>
      </c>
      <c r="AY93" s="132">
        <v>12</v>
      </c>
      <c r="AZ93" s="11"/>
      <c r="BK93" s="115">
        <v>41640</v>
      </c>
      <c r="BL93" s="112">
        <v>3.3083435945081701</v>
      </c>
      <c r="BM93" s="112">
        <v>2.3023331858677993</v>
      </c>
      <c r="BN93" s="119">
        <v>19</v>
      </c>
      <c r="BY93" s="113">
        <v>41639</v>
      </c>
      <c r="BZ93" s="112">
        <v>1.5641440361088665</v>
      </c>
      <c r="CA93" s="112">
        <v>2.0485505713273184</v>
      </c>
      <c r="CB93" s="132">
        <v>17</v>
      </c>
      <c r="CO93" s="112"/>
      <c r="CP93" s="112">
        <v>3.7167159959313372</v>
      </c>
      <c r="CQ93" s="112">
        <v>1</v>
      </c>
      <c r="CS93" s="112">
        <v>0.89740077424436304</v>
      </c>
      <c r="CT93" s="100">
        <v>1.567169367742697</v>
      </c>
      <c r="CU93" s="132">
        <v>1</v>
      </c>
      <c r="DJ93" s="195"/>
      <c r="DK93" s="196">
        <v>2.1916783584564272</v>
      </c>
      <c r="DL93" s="197">
        <v>1</v>
      </c>
    </row>
    <row r="94" spans="1:116">
      <c r="A94" s="3">
        <f t="shared" si="4"/>
        <v>41635</v>
      </c>
      <c r="B94" s="13">
        <f>'Tank Data'!H94</f>
        <v>0.87777292866804757</v>
      </c>
      <c r="C94" s="10">
        <v>1.0209965847504816</v>
      </c>
      <c r="D94" s="127">
        <v>13</v>
      </c>
      <c r="E94" s="35">
        <f t="shared" si="5"/>
        <v>41635</v>
      </c>
      <c r="F94" s="37">
        <f>'Tank Data'!P94</f>
        <v>1.8489628663529076</v>
      </c>
      <c r="G94" s="37">
        <f>'Tank Data'!M94</f>
        <v>2.2058965847504819</v>
      </c>
      <c r="H94" s="128">
        <v>13</v>
      </c>
      <c r="I94" s="101">
        <f t="shared" si="6"/>
        <v>41635</v>
      </c>
      <c r="J94" s="109">
        <f>'Tank Data'!X94</f>
        <v>1.3886855674006375</v>
      </c>
      <c r="K94" s="109">
        <f>'Tank Data'!U94</f>
        <v>2.5081965847504817</v>
      </c>
      <c r="L94" s="130">
        <v>13</v>
      </c>
      <c r="M94" s="167">
        <f t="shared" si="7"/>
        <v>41635</v>
      </c>
      <c r="N94" s="170">
        <f>'Tank Data'!AF94</f>
        <v>0.91871999999999998</v>
      </c>
      <c r="O94" s="170">
        <f>'Tank Data'!AC94</f>
        <v>1.9260965847504816</v>
      </c>
      <c r="P94" s="171">
        <v>13</v>
      </c>
      <c r="R94" s="185"/>
      <c r="S94" s="187"/>
      <c r="T94" s="186"/>
      <c r="U94" s="134"/>
      <c r="V94" s="134"/>
      <c r="W94" s="134"/>
      <c r="X94" s="187"/>
      <c r="Y94" s="11"/>
      <c r="AH94" s="113">
        <v>41637</v>
      </c>
      <c r="AI94" s="1">
        <v>0.99791999999999992</v>
      </c>
      <c r="AJ94" s="1">
        <v>1.8889540455995912</v>
      </c>
      <c r="AK94" s="1">
        <v>15</v>
      </c>
      <c r="AM94">
        <f>AVERAGE(AI71:AI75)</f>
        <v>0.29749019090413958</v>
      </c>
      <c r="AN94" t="s">
        <v>84</v>
      </c>
      <c r="AV94" s="116">
        <v>41635</v>
      </c>
      <c r="AW94" s="112">
        <v>0.82899079097128558</v>
      </c>
      <c r="AX94" s="100">
        <v>1.0209965847504816</v>
      </c>
      <c r="AY94" s="132">
        <v>13</v>
      </c>
      <c r="AZ94" s="11"/>
      <c r="BK94" s="115">
        <v>41641</v>
      </c>
      <c r="BL94" s="112">
        <v>0.8774975652972371</v>
      </c>
      <c r="BM94" s="112">
        <v>2.2695798117067456</v>
      </c>
      <c r="BN94" s="119">
        <v>20</v>
      </c>
      <c r="BY94" s="113">
        <v>41640</v>
      </c>
      <c r="BZ94" s="112">
        <v>1.9583835563531857</v>
      </c>
      <c r="CA94" s="112">
        <v>2.0045331858677997</v>
      </c>
      <c r="CB94" s="132">
        <v>18</v>
      </c>
      <c r="CO94" s="112"/>
      <c r="CP94" s="112">
        <v>4.0373947052086629</v>
      </c>
      <c r="CQ94" s="112">
        <v>1</v>
      </c>
      <c r="CS94" s="112">
        <v>0.75627580459359456</v>
      </c>
      <c r="CT94" s="100">
        <v>1.3461162032028562</v>
      </c>
      <c r="CU94" s="132">
        <v>1</v>
      </c>
      <c r="DJ94" s="195">
        <v>1.699573283312289</v>
      </c>
      <c r="DK94" s="196">
        <v>2.1686401297129607</v>
      </c>
      <c r="DL94" s="197">
        <v>1</v>
      </c>
    </row>
    <row r="95" spans="1:116">
      <c r="A95" s="3">
        <f t="shared" si="4"/>
        <v>41636</v>
      </c>
      <c r="B95" s="13">
        <f>'Tank Data'!H95</f>
        <v>0.76843228316337775</v>
      </c>
      <c r="C95" s="10">
        <v>0.99228676730036958</v>
      </c>
      <c r="D95" s="127">
        <v>14</v>
      </c>
      <c r="E95" s="35">
        <f t="shared" si="5"/>
        <v>41636</v>
      </c>
      <c r="F95" s="37">
        <f>'Tank Data'!P95</f>
        <v>1.6639015834679183</v>
      </c>
      <c r="G95" s="37">
        <f>'Tank Data'!M95</f>
        <v>2.1696867673003695</v>
      </c>
      <c r="H95" s="128">
        <v>14</v>
      </c>
      <c r="I95" s="101">
        <f t="shared" si="6"/>
        <v>41636</v>
      </c>
      <c r="J95" s="109">
        <f>'Tank Data'!X95</f>
        <v>2.0090834447837609</v>
      </c>
      <c r="K95" s="109">
        <f>'Tank Data'!U95</f>
        <v>2.4690867673003689</v>
      </c>
      <c r="L95" s="130">
        <v>14</v>
      </c>
      <c r="M95" s="167">
        <f t="shared" si="7"/>
        <v>41636</v>
      </c>
      <c r="N95" s="170">
        <f>'Tank Data'!AF95</f>
        <v>0.97055999999999998</v>
      </c>
      <c r="O95" s="170">
        <f>'Tank Data'!AC95</f>
        <v>1.9073867673003693</v>
      </c>
      <c r="P95" s="171">
        <v>14</v>
      </c>
      <c r="R95" s="185"/>
      <c r="S95" s="187"/>
      <c r="T95" s="186"/>
      <c r="U95" s="134"/>
      <c r="V95" s="134"/>
      <c r="W95" s="134"/>
      <c r="X95" s="187"/>
      <c r="Y95" s="11"/>
      <c r="AH95" s="113">
        <v>41638</v>
      </c>
      <c r="AI95" s="1">
        <v>3.528</v>
      </c>
      <c r="AJ95" s="1">
        <v>1.8552609988435225</v>
      </c>
      <c r="AK95" s="1">
        <v>16</v>
      </c>
      <c r="AM95">
        <f>AVERAGE(AI76:AI80)</f>
        <v>9.8858829367966805E-3</v>
      </c>
      <c r="AN95" t="s">
        <v>85</v>
      </c>
      <c r="AV95" s="116">
        <v>41636</v>
      </c>
      <c r="AW95" s="112">
        <v>0.72421991112869977</v>
      </c>
      <c r="AX95" s="100">
        <v>0.99228676730036958</v>
      </c>
      <c r="AY95" s="132">
        <v>14</v>
      </c>
      <c r="AZ95" s="11"/>
      <c r="BK95" s="115">
        <v>41642</v>
      </c>
      <c r="BL95" s="112">
        <v>0.9228607880143378</v>
      </c>
      <c r="BM95" s="112">
        <v>2.2397538406777668</v>
      </c>
      <c r="BN95" s="119">
        <v>21</v>
      </c>
      <c r="BY95" s="113">
        <v>41641</v>
      </c>
      <c r="BZ95" s="112">
        <v>0.98534853979044112</v>
      </c>
      <c r="CA95" s="112">
        <v>1.9808798117067459</v>
      </c>
      <c r="CB95" s="132">
        <v>19</v>
      </c>
      <c r="CO95" s="112"/>
      <c r="CP95" s="112">
        <v>3.9870924557679617</v>
      </c>
      <c r="CQ95" s="119">
        <v>1</v>
      </c>
      <c r="CS95" s="112"/>
      <c r="CT95" s="100">
        <v>3.0421924557679625</v>
      </c>
      <c r="CU95" s="132">
        <v>2</v>
      </c>
      <c r="DJ95" s="195">
        <v>2.2683063199733988</v>
      </c>
      <c r="DK95" s="196">
        <v>1.919013953762152</v>
      </c>
      <c r="DL95" s="197">
        <v>1</v>
      </c>
    </row>
    <row r="96" spans="1:116">
      <c r="A96" s="3">
        <f t="shared" si="4"/>
        <v>41637</v>
      </c>
      <c r="B96" s="13">
        <f>'Tank Data'!H96</f>
        <v>0.16242659840085255</v>
      </c>
      <c r="C96" s="10">
        <v>0.96585404559959065</v>
      </c>
      <c r="D96" s="127">
        <v>15</v>
      </c>
      <c r="E96" s="35">
        <f t="shared" si="5"/>
        <v>41637</v>
      </c>
      <c r="F96" s="37">
        <f>'Tank Data'!P96</f>
        <v>3.481148219352423</v>
      </c>
      <c r="G96" s="37">
        <f>'Tank Data'!M96</f>
        <v>2.1281540455995902</v>
      </c>
      <c r="H96" s="128">
        <v>15</v>
      </c>
      <c r="I96" s="101">
        <f t="shared" si="6"/>
        <v>41637</v>
      </c>
      <c r="J96" s="109">
        <f>'Tank Data'!X96</f>
        <v>0.97471852729933206</v>
      </c>
      <c r="K96" s="109">
        <f>'Tank Data'!U96</f>
        <v>2.4298540455995914</v>
      </c>
      <c r="L96" s="130">
        <v>15</v>
      </c>
      <c r="M96" s="167">
        <f t="shared" si="7"/>
        <v>41637</v>
      </c>
      <c r="N96" s="170">
        <f>'Tank Data'!AF96</f>
        <v>0.99791999999999992</v>
      </c>
      <c r="O96" s="170">
        <f>'Tank Data'!AC96</f>
        <v>1.8889540455995912</v>
      </c>
      <c r="P96" s="171">
        <v>15</v>
      </c>
      <c r="R96" s="185"/>
      <c r="S96" s="187"/>
      <c r="T96" s="186"/>
      <c r="U96" s="134"/>
      <c r="V96" s="134"/>
      <c r="W96" s="134"/>
      <c r="X96" s="187"/>
      <c r="Y96" s="11"/>
      <c r="AH96" s="113">
        <v>41639</v>
      </c>
      <c r="AI96" s="1">
        <v>2.8512</v>
      </c>
      <c r="AJ96" s="1">
        <v>1.8162505713273176</v>
      </c>
      <c r="AK96" s="1">
        <v>17</v>
      </c>
      <c r="AM96">
        <f>AVERAGE(AI81:AI83)</f>
        <v>-0.45077015815162014</v>
      </c>
      <c r="AN96" t="s">
        <v>86</v>
      </c>
      <c r="AV96" s="116">
        <v>41637</v>
      </c>
      <c r="AW96" s="112">
        <v>0.12269001496789197</v>
      </c>
      <c r="AX96" s="100">
        <v>0.96585404559959065</v>
      </c>
      <c r="AY96" s="132">
        <v>15</v>
      </c>
      <c r="AZ96" s="11"/>
      <c r="BK96" s="115">
        <v>41643</v>
      </c>
      <c r="BL96" s="112">
        <v>1.1553708950288122</v>
      </c>
      <c r="BM96" s="112">
        <v>2.2115980098044945</v>
      </c>
      <c r="BN96" s="119">
        <v>22</v>
      </c>
      <c r="BY96" s="113">
        <v>41642</v>
      </c>
      <c r="BZ96" s="112">
        <v>0.52513301210067431</v>
      </c>
      <c r="CA96" s="112">
        <v>1.9578538406777672</v>
      </c>
      <c r="CB96" s="132">
        <v>20</v>
      </c>
      <c r="CO96" s="112"/>
      <c r="CP96" s="112">
        <v>3.7887409376518049</v>
      </c>
      <c r="CQ96" s="112">
        <v>1</v>
      </c>
      <c r="CS96" s="112"/>
      <c r="CT96" s="100">
        <v>2.8401098576753268</v>
      </c>
      <c r="CU96" s="132">
        <v>2</v>
      </c>
      <c r="DJ96" s="195">
        <v>0.89740077424436304</v>
      </c>
      <c r="DK96" s="196">
        <v>1.567169367742697</v>
      </c>
      <c r="DL96" s="197">
        <v>1</v>
      </c>
    </row>
    <row r="97" spans="1:116">
      <c r="A97" s="3">
        <f t="shared" si="4"/>
        <v>41638</v>
      </c>
      <c r="B97" s="13">
        <f>'Tank Data'!H97</f>
        <v>0.27139643798940749</v>
      </c>
      <c r="C97" s="10">
        <v>0.94686099884352315</v>
      </c>
      <c r="D97" s="127">
        <v>16</v>
      </c>
      <c r="E97" s="35">
        <f t="shared" si="5"/>
        <v>41638</v>
      </c>
      <c r="F97" s="37">
        <f>'Tank Data'!P97</f>
        <v>0.90378747644363489</v>
      </c>
      <c r="G97" s="37">
        <f>'Tank Data'!M97</f>
        <v>2.0889609988435236</v>
      </c>
      <c r="H97" s="128">
        <v>16</v>
      </c>
      <c r="I97" s="101">
        <f t="shared" si="6"/>
        <v>41638</v>
      </c>
      <c r="J97" s="109">
        <f>'Tank Data'!X97</f>
        <v>2.0572191929802996</v>
      </c>
      <c r="K97" s="109">
        <f>'Tank Data'!U97</f>
        <v>2.3931609988435225</v>
      </c>
      <c r="L97" s="130">
        <v>16</v>
      </c>
      <c r="M97" s="167">
        <f t="shared" si="7"/>
        <v>41638</v>
      </c>
      <c r="N97" s="170">
        <f>'Tank Data'!AF97</f>
        <v>3.528</v>
      </c>
      <c r="O97" s="170">
        <f>'Tank Data'!AC97</f>
        <v>1.8552609988435225</v>
      </c>
      <c r="P97" s="171">
        <v>16</v>
      </c>
      <c r="R97" s="185"/>
      <c r="S97" s="187"/>
      <c r="T97" s="186"/>
      <c r="U97" s="134"/>
      <c r="V97" s="134"/>
      <c r="W97" s="134"/>
      <c r="X97" s="187"/>
      <c r="Y97" s="11"/>
      <c r="AH97" s="113">
        <v>41640</v>
      </c>
      <c r="AI97" s="1">
        <v>2.5775999999999999</v>
      </c>
      <c r="AJ97" s="1">
        <v>1.7785331858677984</v>
      </c>
      <c r="AK97" s="1">
        <v>18</v>
      </c>
      <c r="AV97" s="116">
        <v>41638</v>
      </c>
      <c r="AW97" s="112">
        <v>0.2350479561699633</v>
      </c>
      <c r="AX97" s="100">
        <v>0.94686099884352315</v>
      </c>
      <c r="AY97" s="132">
        <v>16</v>
      </c>
      <c r="AZ97" s="11"/>
      <c r="BK97" s="115">
        <v>41644</v>
      </c>
      <c r="BL97" s="112">
        <v>1.4177427230363291</v>
      </c>
      <c r="BM97" s="112">
        <v>2.1831853257985108</v>
      </c>
      <c r="BN97" s="119">
        <v>23</v>
      </c>
      <c r="BY97" s="113">
        <v>41643</v>
      </c>
      <c r="BZ97" s="112">
        <v>0.95058575030211956</v>
      </c>
      <c r="CA97" s="112">
        <v>1.9360980098044942</v>
      </c>
      <c r="CB97" s="132">
        <v>21</v>
      </c>
      <c r="CO97" s="112">
        <v>2.9155353829811101</v>
      </c>
      <c r="CP97" s="112">
        <v>3.4816802121516313</v>
      </c>
      <c r="CQ97" s="112">
        <v>1</v>
      </c>
      <c r="CS97" s="112">
        <v>0.88996141782315863</v>
      </c>
      <c r="CT97" s="100">
        <v>2.531948719981806</v>
      </c>
      <c r="CU97" s="132">
        <v>2</v>
      </c>
      <c r="DJ97" s="195">
        <v>0.75627580459359456</v>
      </c>
      <c r="DK97" s="196">
        <v>1.3461162032028562</v>
      </c>
      <c r="DL97" s="197">
        <v>1</v>
      </c>
    </row>
    <row r="98" spans="1:116">
      <c r="A98" s="3">
        <f t="shared" si="4"/>
        <v>41639</v>
      </c>
      <c r="B98" s="13">
        <f>'Tank Data'!H98</f>
        <v>-0.28833269867627037</v>
      </c>
      <c r="C98" s="10">
        <v>0.92725057132731747</v>
      </c>
      <c r="D98" s="127">
        <v>17</v>
      </c>
      <c r="E98" s="35">
        <f t="shared" si="5"/>
        <v>41639</v>
      </c>
      <c r="F98" s="37">
        <f>'Tank Data'!P98</f>
        <v>1.5727804140015467</v>
      </c>
      <c r="G98" s="37">
        <f>'Tank Data'!M98</f>
        <v>2.0485505713273184</v>
      </c>
      <c r="H98" s="128">
        <v>17</v>
      </c>
      <c r="I98" s="101">
        <f t="shared" si="6"/>
        <v>41639</v>
      </c>
      <c r="J98" s="109">
        <f>'Tank Data'!X98</f>
        <v>2.294508238372603</v>
      </c>
      <c r="K98" s="109">
        <f>'Tank Data'!U98</f>
        <v>2.3502505713273179</v>
      </c>
      <c r="L98" s="130">
        <v>17</v>
      </c>
      <c r="M98" s="167">
        <f t="shared" si="7"/>
        <v>41639</v>
      </c>
      <c r="N98" s="170">
        <f>'Tank Data'!AF98</f>
        <v>2.8512</v>
      </c>
      <c r="O98" s="170">
        <f>'Tank Data'!AC98</f>
        <v>1.8162505713273176</v>
      </c>
      <c r="P98" s="171">
        <v>17</v>
      </c>
      <c r="R98" s="185"/>
      <c r="S98" s="187"/>
      <c r="T98" s="186"/>
      <c r="U98" s="134"/>
      <c r="V98" s="134"/>
      <c r="W98" s="134"/>
      <c r="X98" s="187"/>
      <c r="Y98" s="11"/>
      <c r="AH98" s="113">
        <v>41641</v>
      </c>
      <c r="AI98" s="1">
        <v>1.7568000000000001</v>
      </c>
      <c r="AJ98" s="1">
        <v>1.744879811706745</v>
      </c>
      <c r="AK98" s="1">
        <v>19</v>
      </c>
      <c r="AV98" s="116">
        <v>41639</v>
      </c>
      <c r="AW98" s="112">
        <v>-0.32102080393363697</v>
      </c>
      <c r="AX98" s="100">
        <v>0.92725057132731747</v>
      </c>
      <c r="AY98" s="132">
        <v>17</v>
      </c>
      <c r="AZ98" s="11"/>
      <c r="BK98" s="115">
        <v>41645</v>
      </c>
      <c r="BL98" s="112">
        <v>1.2793825273344654</v>
      </c>
      <c r="BM98" s="112">
        <v>2.1525399177420583</v>
      </c>
      <c r="BN98" s="119">
        <v>24</v>
      </c>
      <c r="BY98" s="113">
        <v>41644</v>
      </c>
      <c r="BZ98" s="112">
        <v>1.0024472690521109</v>
      </c>
      <c r="CA98" s="112">
        <v>1.9113853257985107</v>
      </c>
      <c r="CB98" s="132">
        <v>22</v>
      </c>
      <c r="CO98" s="112">
        <v>2.5020071347161839</v>
      </c>
      <c r="CP98" s="112">
        <v>3.3864530186407693</v>
      </c>
      <c r="CQ98" s="112">
        <v>1</v>
      </c>
      <c r="CS98" s="112">
        <v>1.3411488375636851</v>
      </c>
      <c r="CT98" s="100">
        <v>2.1246155743392241</v>
      </c>
      <c r="CU98" s="132">
        <v>2</v>
      </c>
      <c r="DJ98" s="191"/>
      <c r="DK98" s="191">
        <v>3.2750159959313367</v>
      </c>
      <c r="DL98" s="191">
        <v>1</v>
      </c>
    </row>
    <row r="99" spans="1:116">
      <c r="A99" s="3">
        <f t="shared" si="4"/>
        <v>41640</v>
      </c>
      <c r="B99" s="13">
        <f>'Tank Data'!H99</f>
        <v>-0.32900450010002985</v>
      </c>
      <c r="C99" s="10">
        <v>0.90683318586779882</v>
      </c>
      <c r="D99" s="127">
        <v>18</v>
      </c>
      <c r="E99" s="35">
        <f t="shared" si="5"/>
        <v>41640</v>
      </c>
      <c r="F99" s="37">
        <f>'Tank Data'!P99</f>
        <v>1.9662749174467264</v>
      </c>
      <c r="G99" s="37">
        <f>'Tank Data'!M99</f>
        <v>2.0045331858677997</v>
      </c>
      <c r="H99" s="128">
        <v>18</v>
      </c>
      <c r="I99" s="101">
        <f t="shared" si="6"/>
        <v>41640</v>
      </c>
      <c r="J99" s="109">
        <f>'Tank Data'!X99</f>
        <v>3.2419859054981006</v>
      </c>
      <c r="K99" s="109">
        <f>'Tank Data'!U99</f>
        <v>2.3023331858677993</v>
      </c>
      <c r="L99" s="130">
        <v>18</v>
      </c>
      <c r="M99" s="167">
        <f t="shared" si="7"/>
        <v>41640</v>
      </c>
      <c r="N99" s="170">
        <f>'Tank Data'!AF99</f>
        <v>2.5775999999999999</v>
      </c>
      <c r="O99" s="170">
        <f>'Tank Data'!AC99</f>
        <v>1.7785331858677984</v>
      </c>
      <c r="P99" s="171">
        <v>18</v>
      </c>
      <c r="R99" s="185"/>
      <c r="S99" s="187"/>
      <c r="T99" s="186"/>
      <c r="U99" s="134"/>
      <c r="V99" s="134"/>
      <c r="W99" s="134"/>
      <c r="X99" s="187"/>
      <c r="Y99" s="11"/>
      <c r="AH99" s="113">
        <v>41642</v>
      </c>
      <c r="AI99" s="1">
        <v>1.8863999999999999</v>
      </c>
      <c r="AJ99" s="1">
        <v>1.7175538406777657</v>
      </c>
      <c r="AK99" s="1">
        <v>20</v>
      </c>
      <c r="AV99" s="116">
        <v>41640</v>
      </c>
      <c r="AW99" s="112">
        <v>-0.35769454551226437</v>
      </c>
      <c r="AX99" s="100">
        <v>0.90683318586779882</v>
      </c>
      <c r="AY99" s="132">
        <v>18</v>
      </c>
      <c r="AZ99" s="11"/>
      <c r="BK99" s="115">
        <v>41646</v>
      </c>
      <c r="BL99" s="112">
        <v>1.1568148417820987</v>
      </c>
      <c r="BM99" s="112">
        <v>2.1216223344097918</v>
      </c>
      <c r="BN99" s="119">
        <v>25</v>
      </c>
      <c r="BY99" s="113">
        <v>41645</v>
      </c>
      <c r="BZ99" s="112">
        <v>-0.18248652849055946</v>
      </c>
      <c r="CA99" s="112">
        <v>1.887739917742058</v>
      </c>
      <c r="CB99" s="132">
        <v>23</v>
      </c>
      <c r="CO99" s="112">
        <v>2.5158057343657654</v>
      </c>
      <c r="CP99" s="112">
        <v>3.0417266236699829</v>
      </c>
      <c r="CQ99" s="112">
        <v>1</v>
      </c>
      <c r="CS99" s="112">
        <v>0.94191037495527274</v>
      </c>
      <c r="CT99" s="100">
        <v>1.8739722295991847</v>
      </c>
      <c r="CU99" s="132">
        <v>2</v>
      </c>
      <c r="DJ99" s="191"/>
      <c r="DK99" s="191">
        <v>3.2147947052086621</v>
      </c>
      <c r="DL99" s="191">
        <v>1</v>
      </c>
    </row>
    <row r="100" spans="1:116">
      <c r="A100" s="3">
        <f t="shared" si="4"/>
        <v>41641</v>
      </c>
      <c r="B100" s="13">
        <f>'Tank Data'!H100</f>
        <v>-0.48853298888598162</v>
      </c>
      <c r="C100" s="10">
        <v>0.88597981170674578</v>
      </c>
      <c r="D100" s="127">
        <v>19</v>
      </c>
      <c r="E100" s="35">
        <f t="shared" si="5"/>
        <v>41641</v>
      </c>
      <c r="F100" s="37">
        <f>'Tank Data'!P100</f>
        <v>0.99278997740990216</v>
      </c>
      <c r="G100" s="37">
        <f>'Tank Data'!M100</f>
        <v>1.9808798117067459</v>
      </c>
      <c r="H100" s="128">
        <v>19</v>
      </c>
      <c r="I100" s="101">
        <f t="shared" si="6"/>
        <v>41641</v>
      </c>
      <c r="J100" s="109">
        <f>'Tank Data'!X100</f>
        <v>0.8130560206943076</v>
      </c>
      <c r="K100" s="109">
        <f>'Tank Data'!U100</f>
        <v>2.2695798117067456</v>
      </c>
      <c r="L100" s="130">
        <v>19</v>
      </c>
      <c r="M100" s="167">
        <f t="shared" si="7"/>
        <v>41641</v>
      </c>
      <c r="N100" s="170">
        <f>'Tank Data'!AF100</f>
        <v>1.7568000000000001</v>
      </c>
      <c r="O100" s="170">
        <f>'Tank Data'!AC100</f>
        <v>1.744879811706745</v>
      </c>
      <c r="P100" s="171">
        <v>19</v>
      </c>
      <c r="R100" s="185"/>
      <c r="S100" s="187"/>
      <c r="T100" s="186"/>
      <c r="U100" s="134"/>
      <c r="V100" s="134"/>
      <c r="W100" s="134"/>
      <c r="X100" s="187"/>
      <c r="Y100" s="11"/>
      <c r="AH100" s="113">
        <v>41643</v>
      </c>
      <c r="AI100" s="1">
        <v>1.4327999999999999</v>
      </c>
      <c r="AJ100" s="1">
        <v>1.6927980098044944</v>
      </c>
      <c r="AK100" s="1">
        <v>21</v>
      </c>
      <c r="AV100" s="116">
        <v>41641</v>
      </c>
      <c r="AW100" s="112">
        <v>-0.51292833901464729</v>
      </c>
      <c r="AX100" s="100">
        <v>0.88597981170674578</v>
      </c>
      <c r="AY100" s="132">
        <v>19</v>
      </c>
      <c r="AZ100" s="11"/>
      <c r="BK100" s="115">
        <v>41647</v>
      </c>
      <c r="BL100" s="112">
        <v>-0.57189385084433941</v>
      </c>
      <c r="BM100" s="112">
        <v>2.0977466778126255</v>
      </c>
      <c r="BN100" s="119">
        <v>26</v>
      </c>
      <c r="BY100" s="113">
        <v>41646</v>
      </c>
      <c r="BZ100" s="112">
        <v>-2.7541708904315829E-2</v>
      </c>
      <c r="CA100" s="112">
        <v>1.8694223344097904</v>
      </c>
      <c r="CB100" s="132">
        <v>24</v>
      </c>
      <c r="CO100" s="112">
        <v>1.7147574073897422</v>
      </c>
      <c r="CP100" s="112">
        <v>3.7786814440322791</v>
      </c>
      <c r="CQ100" s="112">
        <v>1</v>
      </c>
      <c r="CS100" s="112">
        <v>0.5269791818641737</v>
      </c>
      <c r="CT100" s="100">
        <v>1.5350550443621054</v>
      </c>
      <c r="CU100" s="132">
        <v>2</v>
      </c>
      <c r="DJ100" s="191">
        <v>0.10653296367176025</v>
      </c>
      <c r="DK100" s="191">
        <v>3.0979409376518041</v>
      </c>
      <c r="DL100" s="191">
        <v>1</v>
      </c>
    </row>
    <row r="101" spans="1:116">
      <c r="A101" s="3">
        <f t="shared" si="4"/>
        <v>41642</v>
      </c>
      <c r="B101" s="13">
        <f>'Tank Data'!H101</f>
        <v>-6.2650090333920497E-3</v>
      </c>
      <c r="C101" s="10">
        <v>0.85625384067776678</v>
      </c>
      <c r="D101" s="127">
        <v>20</v>
      </c>
      <c r="E101" s="35">
        <f t="shared" si="5"/>
        <v>41642</v>
      </c>
      <c r="F101" s="37">
        <f>'Tank Data'!P101</f>
        <v>0.53209994278655559</v>
      </c>
      <c r="G101" s="37">
        <f>'Tank Data'!M101</f>
        <v>1.9578538406777672</v>
      </c>
      <c r="H101" s="128">
        <v>20</v>
      </c>
      <c r="I101" s="101">
        <f t="shared" si="6"/>
        <v>41642</v>
      </c>
      <c r="J101" s="109">
        <f>'Tank Data'!X101</f>
        <v>0.86026939967923932</v>
      </c>
      <c r="K101" s="109">
        <f>'Tank Data'!U101</f>
        <v>2.2397538406777668</v>
      </c>
      <c r="L101" s="130">
        <v>20</v>
      </c>
      <c r="M101" s="167">
        <f t="shared" si="7"/>
        <v>41642</v>
      </c>
      <c r="N101" s="170">
        <f>'Tank Data'!AF101</f>
        <v>1.8863999999999999</v>
      </c>
      <c r="O101" s="170">
        <f>'Tank Data'!AC101</f>
        <v>1.7175538406777657</v>
      </c>
      <c r="P101" s="171">
        <v>20</v>
      </c>
      <c r="R101" s="185"/>
      <c r="S101" s="187"/>
      <c r="T101" s="186"/>
      <c r="U101" s="134"/>
      <c r="V101" s="134"/>
      <c r="W101" s="134"/>
      <c r="X101" s="187"/>
      <c r="Y101" s="11"/>
      <c r="AH101" s="113">
        <v>41644</v>
      </c>
      <c r="AI101" s="1">
        <v>7.9200000000000007E-2</v>
      </c>
      <c r="AJ101" s="1">
        <v>1.6738853257985116</v>
      </c>
      <c r="AK101" s="1">
        <v>22</v>
      </c>
      <c r="AV101" s="116">
        <v>41642</v>
      </c>
      <c r="AW101" s="112">
        <v>-2.413703658778895E-2</v>
      </c>
      <c r="AX101" s="39">
        <v>0.85625384067776678</v>
      </c>
      <c r="AY101" s="132">
        <v>20</v>
      </c>
      <c r="AZ101" s="11"/>
      <c r="BK101" s="115">
        <v>41648</v>
      </c>
      <c r="BL101" s="112">
        <v>1.3882029636103224</v>
      </c>
      <c r="BM101" s="112">
        <v>2.0814663127128457</v>
      </c>
      <c r="BN101" s="119">
        <v>27</v>
      </c>
      <c r="BY101" s="113">
        <v>41647</v>
      </c>
      <c r="BZ101" s="112"/>
      <c r="CA101" s="112">
        <v>1.6491466778126254</v>
      </c>
      <c r="CB101" s="132">
        <v>25</v>
      </c>
      <c r="CO101" s="112">
        <v>2.9701925284258746</v>
      </c>
      <c r="CP101" s="112">
        <v>3.5806231540970943</v>
      </c>
      <c r="CQ101" s="112">
        <v>1</v>
      </c>
      <c r="CS101" s="112">
        <v>0.78827700599976136</v>
      </c>
      <c r="CT101" s="100">
        <v>1.3168452457095339</v>
      </c>
      <c r="CU101" s="132">
        <v>2</v>
      </c>
      <c r="DJ101" s="191">
        <v>-1.0332019764012534</v>
      </c>
      <c r="DK101" s="191">
        <v>2.9555802121516304</v>
      </c>
      <c r="DL101" s="191">
        <v>1</v>
      </c>
    </row>
    <row r="102" spans="1:116">
      <c r="A102" s="3">
        <f t="shared" si="4"/>
        <v>41643</v>
      </c>
      <c r="B102" s="13">
        <f>'Tank Data'!H102</f>
        <v>0.25864402271873183</v>
      </c>
      <c r="C102" s="10">
        <v>0.82819800980449421</v>
      </c>
      <c r="D102" s="127">
        <v>21</v>
      </c>
      <c r="E102" s="35">
        <f t="shared" si="5"/>
        <v>41643</v>
      </c>
      <c r="F102" s="37">
        <f>'Tank Data'!P102</f>
        <v>0.95706882410562466</v>
      </c>
      <c r="G102" s="37">
        <f>'Tank Data'!M102</f>
        <v>1.9360980098044942</v>
      </c>
      <c r="H102" s="128">
        <v>21</v>
      </c>
      <c r="I102" s="101">
        <f t="shared" si="6"/>
        <v>41643</v>
      </c>
      <c r="J102" s="109">
        <f>'Tank Data'!X102</f>
        <v>1.094623729795529</v>
      </c>
      <c r="K102" s="109">
        <f>'Tank Data'!U102</f>
        <v>2.2115980098044945</v>
      </c>
      <c r="L102" s="130">
        <v>21</v>
      </c>
      <c r="M102" s="167">
        <f t="shared" si="7"/>
        <v>41643</v>
      </c>
      <c r="N102" s="170">
        <f>'Tank Data'!AF102</f>
        <v>1.4327999999999999</v>
      </c>
      <c r="O102" s="170">
        <f>'Tank Data'!AC102</f>
        <v>1.6927980098044944</v>
      </c>
      <c r="P102" s="171">
        <v>21</v>
      </c>
      <c r="R102" s="185"/>
      <c r="S102" s="187"/>
      <c r="T102" s="186"/>
      <c r="U102" s="134"/>
      <c r="V102" s="134"/>
      <c r="W102" s="134"/>
      <c r="X102" s="187"/>
      <c r="Y102" s="11"/>
      <c r="AH102" s="113">
        <v>41645</v>
      </c>
      <c r="AI102" s="1">
        <v>0.7545599999999999</v>
      </c>
      <c r="AJ102" s="1">
        <v>1.6540399177420588</v>
      </c>
      <c r="AK102" s="1">
        <v>23</v>
      </c>
      <c r="AV102" s="116">
        <v>41643</v>
      </c>
      <c r="AW102" s="112">
        <v>0.2474048500651774</v>
      </c>
      <c r="AX102" s="39">
        <v>0.82819800980449421</v>
      </c>
      <c r="AY102" s="132">
        <v>21</v>
      </c>
      <c r="AZ102" s="11"/>
      <c r="BK102" s="115">
        <v>41649</v>
      </c>
      <c r="BL102" s="112">
        <v>1.2934790995496357</v>
      </c>
      <c r="BM102" s="112">
        <v>2.055550566627935</v>
      </c>
      <c r="BN102" s="119">
        <v>28</v>
      </c>
      <c r="BY102" s="113">
        <v>41648</v>
      </c>
      <c r="BZ102" s="112">
        <v>-2.2233600174556685</v>
      </c>
      <c r="CA102" s="112">
        <v>1.8071663127128443</v>
      </c>
      <c r="CB102" s="132">
        <v>26</v>
      </c>
      <c r="CO102" s="112">
        <v>0.62515837733408564</v>
      </c>
      <c r="CP102" s="112">
        <v>3.2337663033140762</v>
      </c>
      <c r="CQ102" s="119">
        <v>1</v>
      </c>
      <c r="CS102" s="112"/>
      <c r="CT102" s="100">
        <v>2.7989624191981517</v>
      </c>
      <c r="CU102" s="132">
        <v>3</v>
      </c>
      <c r="DJ102" s="191">
        <v>-1.4589227979861892</v>
      </c>
      <c r="DK102" s="191">
        <v>2.9189530186407686</v>
      </c>
      <c r="DL102" s="191">
        <v>1</v>
      </c>
    </row>
    <row r="103" spans="1:116">
      <c r="A103" s="3">
        <f t="shared" si="4"/>
        <v>41644</v>
      </c>
      <c r="B103" s="13">
        <f>'Tank Data'!H103</f>
        <v>0.82812721657620858</v>
      </c>
      <c r="C103" s="10">
        <v>0.79448532579851039</v>
      </c>
      <c r="D103" s="127">
        <v>22</v>
      </c>
      <c r="E103" s="35">
        <f t="shared" si="5"/>
        <v>41644</v>
      </c>
      <c r="F103" s="37">
        <f>'Tank Data'!P103</f>
        <v>1.0083357123997592</v>
      </c>
      <c r="G103" s="37">
        <f>'Tank Data'!M103</f>
        <v>1.9113853257985107</v>
      </c>
      <c r="H103" s="128">
        <v>22</v>
      </c>
      <c r="I103" s="101">
        <f t="shared" si="6"/>
        <v>41644</v>
      </c>
      <c r="J103" s="109">
        <f>'Tank Data'!X103</f>
        <v>1.3589583779788437</v>
      </c>
      <c r="K103" s="109">
        <f>'Tank Data'!U103</f>
        <v>2.1831853257985108</v>
      </c>
      <c r="L103" s="130">
        <v>22</v>
      </c>
      <c r="M103" s="167">
        <f t="shared" si="7"/>
        <v>41644</v>
      </c>
      <c r="N103" s="170">
        <f>'Tank Data'!AF103</f>
        <v>7.9200000000000007E-2</v>
      </c>
      <c r="O103" s="170">
        <f>'Tank Data'!AC103</f>
        <v>1.6738853257985116</v>
      </c>
      <c r="P103" s="171">
        <v>22</v>
      </c>
      <c r="R103" s="185"/>
      <c r="S103" s="187"/>
      <c r="T103" s="186"/>
      <c r="U103" s="134"/>
      <c r="V103" s="134"/>
      <c r="W103" s="134"/>
      <c r="X103" s="187"/>
      <c r="Y103" s="11"/>
      <c r="AH103" s="113">
        <v>41646</v>
      </c>
      <c r="AI103" s="1">
        <v>0.99504000000000004</v>
      </c>
      <c r="AJ103" s="1">
        <v>1.6342223344097913</v>
      </c>
      <c r="AK103" s="1">
        <v>24</v>
      </c>
      <c r="AV103" s="116">
        <v>41644</v>
      </c>
      <c r="AW103" s="112">
        <v>0.82554398491245951</v>
      </c>
      <c r="AX103" s="39">
        <v>0.79448532579851039</v>
      </c>
      <c r="AY103" s="132">
        <v>22</v>
      </c>
      <c r="AZ103" s="11"/>
      <c r="BK103" s="115">
        <v>41650</v>
      </c>
      <c r="BL103" s="112">
        <v>1.0851877450868967</v>
      </c>
      <c r="BM103" s="112">
        <v>2.0289470923556623</v>
      </c>
      <c r="BN103" s="119">
        <v>29</v>
      </c>
      <c r="BY103" s="113">
        <v>41649</v>
      </c>
      <c r="BZ103" s="112">
        <v>1.4936009646687103</v>
      </c>
      <c r="CA103" s="112">
        <v>1.8004505666279333</v>
      </c>
      <c r="CB103" s="132">
        <v>27</v>
      </c>
      <c r="CO103" s="112">
        <v>-0.64131519526710967</v>
      </c>
      <c r="CP103" s="112">
        <v>2.9589521919043884</v>
      </c>
      <c r="CQ103" s="119">
        <v>1</v>
      </c>
      <c r="CS103" s="112">
        <v>1.1083365594786558</v>
      </c>
      <c r="CT103" s="100">
        <v>2.4993953411213714</v>
      </c>
      <c r="CU103" s="132">
        <v>3</v>
      </c>
      <c r="DJ103" s="191"/>
      <c r="DK103" s="191">
        <v>2.6427783584564284</v>
      </c>
      <c r="DL103" s="191">
        <v>1</v>
      </c>
    </row>
    <row r="104" spans="1:116">
      <c r="A104" s="3">
        <f t="shared" si="4"/>
        <v>41645</v>
      </c>
      <c r="B104" s="13">
        <f>'Tank Data'!H104</f>
        <v>1.33632</v>
      </c>
      <c r="C104" s="10">
        <v>0.76523991774205824</v>
      </c>
      <c r="D104" s="127">
        <v>23</v>
      </c>
      <c r="E104" s="35">
        <f t="shared" si="5"/>
        <v>41645</v>
      </c>
      <c r="F104" s="37">
        <f>'Tank Data'!P104</f>
        <v>-0.17721527128805709</v>
      </c>
      <c r="G104" s="37">
        <f>'Tank Data'!M104</f>
        <v>1.887739917742058</v>
      </c>
      <c r="H104" s="128">
        <v>23</v>
      </c>
      <c r="I104" s="101">
        <f t="shared" si="6"/>
        <v>41645</v>
      </c>
      <c r="J104" s="109">
        <f>'Tank Data'!X104</f>
        <v>1.2228366820038492</v>
      </c>
      <c r="K104" s="109">
        <f>'Tank Data'!U104</f>
        <v>2.1525399177420583</v>
      </c>
      <c r="L104" s="130">
        <v>23</v>
      </c>
      <c r="M104" s="167">
        <f t="shared" si="7"/>
        <v>41645</v>
      </c>
      <c r="N104" s="170">
        <f>'Tank Data'!AF104</f>
        <v>0.7545599999999999</v>
      </c>
      <c r="O104" s="170">
        <f>'Tank Data'!AC104</f>
        <v>1.6540399177420588</v>
      </c>
      <c r="P104" s="171">
        <v>23</v>
      </c>
      <c r="R104" s="185"/>
      <c r="S104" s="187"/>
      <c r="T104" s="186"/>
      <c r="U104" s="134"/>
      <c r="V104" s="134"/>
      <c r="W104" s="134"/>
      <c r="X104" s="187"/>
      <c r="Y104" s="11"/>
      <c r="AH104" s="113">
        <v>41647</v>
      </c>
      <c r="AI104" s="1">
        <v>-1.2182400000000002</v>
      </c>
      <c r="AJ104" s="1">
        <v>1.6170466778126253</v>
      </c>
      <c r="AK104" s="1">
        <v>25</v>
      </c>
      <c r="AV104" s="116">
        <v>41645</v>
      </c>
      <c r="AW104" s="112">
        <v>1.33632</v>
      </c>
      <c r="AX104" s="39">
        <v>0.76523991774205824</v>
      </c>
      <c r="AY104" s="132">
        <v>23</v>
      </c>
      <c r="AZ104" s="11"/>
      <c r="BK104" s="115">
        <v>41651</v>
      </c>
      <c r="BL104" s="112">
        <v>1.0816533384963765</v>
      </c>
      <c r="BM104" s="112">
        <v>2.0001311436986162</v>
      </c>
      <c r="BN104" s="119">
        <v>30</v>
      </c>
      <c r="BY104" s="113">
        <v>41650</v>
      </c>
      <c r="BZ104" s="112">
        <v>0.85323665789927616</v>
      </c>
      <c r="CA104" s="112">
        <v>1.7729470923556627</v>
      </c>
      <c r="CB104" s="132">
        <v>28</v>
      </c>
      <c r="CO104" s="112"/>
      <c r="CP104" s="112">
        <v>3.7360098576753265</v>
      </c>
      <c r="CQ104" s="112">
        <v>2</v>
      </c>
      <c r="CS104" s="112">
        <v>3.3967990088736091</v>
      </c>
      <c r="CT104" s="100">
        <v>2.0702272337360754</v>
      </c>
      <c r="CU104" s="132">
        <v>3</v>
      </c>
      <c r="DJ104" s="191">
        <v>-0.37989048676427656</v>
      </c>
      <c r="DK104" s="191">
        <v>3.1183401297129616</v>
      </c>
      <c r="DL104" s="191">
        <v>1</v>
      </c>
    </row>
    <row r="105" spans="1:116">
      <c r="A105" s="3">
        <f t="shared" si="4"/>
        <v>41646</v>
      </c>
      <c r="B105" s="13">
        <f>'Tank Data'!H105</f>
        <v>0.10900799999999999</v>
      </c>
      <c r="C105" s="10">
        <v>0.74332233440979012</v>
      </c>
      <c r="D105" s="127">
        <v>24</v>
      </c>
      <c r="E105" s="35">
        <f t="shared" si="5"/>
        <v>41646</v>
      </c>
      <c r="F105" s="37">
        <f>'Tank Data'!P105</f>
        <v>-2.2783356034582803E-2</v>
      </c>
      <c r="G105" s="37">
        <f>'Tank Data'!M105</f>
        <v>1.8694223344097904</v>
      </c>
      <c r="H105" s="128">
        <v>24</v>
      </c>
      <c r="I105" s="101">
        <f t="shared" si="6"/>
        <v>41646</v>
      </c>
      <c r="J105" s="109">
        <f>'Tank Data'!X105</f>
        <v>1.1026630432856455</v>
      </c>
      <c r="K105" s="109">
        <f>'Tank Data'!U105</f>
        <v>2.1216223344097918</v>
      </c>
      <c r="L105" s="130">
        <v>24</v>
      </c>
      <c r="M105" s="167">
        <f t="shared" si="7"/>
        <v>41646</v>
      </c>
      <c r="N105" s="170">
        <f>'Tank Data'!AF105</f>
        <v>0.99504000000000004</v>
      </c>
      <c r="O105" s="170">
        <f>'Tank Data'!AC105</f>
        <v>1.6342223344097913</v>
      </c>
      <c r="P105" s="171">
        <v>24</v>
      </c>
      <c r="R105" s="185"/>
      <c r="S105" s="187"/>
      <c r="T105" s="186"/>
      <c r="U105" s="134"/>
      <c r="V105" s="134"/>
      <c r="W105" s="134"/>
      <c r="X105" s="187"/>
      <c r="Y105" s="11"/>
      <c r="AH105" s="113">
        <v>41648</v>
      </c>
      <c r="AI105" s="1">
        <v>1.3881599999999998</v>
      </c>
      <c r="AJ105" s="1">
        <v>1.6136663127128439</v>
      </c>
      <c r="AK105" s="1">
        <v>26</v>
      </c>
      <c r="AV105" s="116">
        <v>41646</v>
      </c>
      <c r="AW105" s="112">
        <v>0.10900799999999999</v>
      </c>
      <c r="AX105" s="39">
        <v>0.74332233440979012</v>
      </c>
      <c r="AY105" s="132">
        <v>24</v>
      </c>
      <c r="AZ105" s="11"/>
      <c r="BK105" s="115">
        <v>41652</v>
      </c>
      <c r="BL105" s="112">
        <v>0.76228500471372829</v>
      </c>
      <c r="BM105" s="112">
        <v>1.9718288942579132</v>
      </c>
      <c r="BN105" s="119">
        <v>31</v>
      </c>
      <c r="BY105" s="113">
        <v>41651</v>
      </c>
      <c r="BZ105" s="112">
        <v>1.904436657899276</v>
      </c>
      <c r="CA105" s="112">
        <v>1.1646311436986172</v>
      </c>
      <c r="CB105" s="132">
        <v>29</v>
      </c>
      <c r="CO105" s="112">
        <v>2.6768296780128575</v>
      </c>
      <c r="CP105" s="112">
        <v>3.3481487199818067</v>
      </c>
      <c r="CQ105" s="112">
        <v>2</v>
      </c>
      <c r="CS105" s="112">
        <v>1.2228849109255437</v>
      </c>
      <c r="CT105" s="100">
        <v>1.8367587306052831</v>
      </c>
      <c r="CU105" s="132">
        <v>3</v>
      </c>
      <c r="DJ105" s="191">
        <v>-0.58996450647456522</v>
      </c>
      <c r="DK105" s="191">
        <v>2.9912139537621534</v>
      </c>
      <c r="DL105" s="191">
        <v>1</v>
      </c>
    </row>
    <row r="106" spans="1:116">
      <c r="A106" s="3">
        <f t="shared" si="4"/>
        <v>41647</v>
      </c>
      <c r="B106" s="13">
        <f>'Tank Data'!H106</f>
        <v>-0.57599999999999996</v>
      </c>
      <c r="C106" s="10">
        <v>0.72644667781262529</v>
      </c>
      <c r="D106" s="127">
        <v>25</v>
      </c>
      <c r="E106" s="35">
        <f t="shared" si="5"/>
        <v>41647</v>
      </c>
      <c r="F106" s="37">
        <f>'Tank Data'!P106</f>
        <v>-28.511999999999997</v>
      </c>
      <c r="G106" s="37">
        <f>'Tank Data'!M106</f>
        <v>1.6491466778126254</v>
      </c>
      <c r="H106" s="128">
        <v>25</v>
      </c>
      <c r="I106" s="101">
        <f t="shared" si="6"/>
        <v>41647</v>
      </c>
      <c r="J106" s="109">
        <f>'Tank Data'!X106</f>
        <v>-0.62409807888486579</v>
      </c>
      <c r="K106" s="109">
        <f>'Tank Data'!U106</f>
        <v>2.0977466778126255</v>
      </c>
      <c r="L106" s="130">
        <v>25</v>
      </c>
      <c r="M106" s="167">
        <f t="shared" si="7"/>
        <v>41647</v>
      </c>
      <c r="N106" s="170">
        <f>'Tank Data'!AF106</f>
        <v>-1.2182400000000002</v>
      </c>
      <c r="O106" s="170">
        <f>'Tank Data'!AC106</f>
        <v>1.6170466778126253</v>
      </c>
      <c r="P106" s="171">
        <v>25</v>
      </c>
      <c r="R106" s="185"/>
      <c r="S106" s="187"/>
      <c r="T106" s="186"/>
      <c r="U106" s="134"/>
      <c r="V106" s="134"/>
      <c r="W106" s="134"/>
      <c r="X106" s="187"/>
      <c r="Y106" s="11"/>
      <c r="AH106" s="113">
        <v>41649</v>
      </c>
      <c r="AI106" s="1">
        <v>0.98639999999999994</v>
      </c>
      <c r="AJ106" s="1">
        <v>1.5972505666279342</v>
      </c>
      <c r="AK106" s="1">
        <v>27</v>
      </c>
      <c r="AV106" s="116">
        <v>41647</v>
      </c>
      <c r="AW106" s="112">
        <v>-0.57599999999999996</v>
      </c>
      <c r="AX106" s="39">
        <v>0.72644667781262529</v>
      </c>
      <c r="AY106" s="132">
        <v>25</v>
      </c>
      <c r="AZ106" s="11"/>
      <c r="BK106" s="115">
        <v>41653</v>
      </c>
      <c r="BL106" s="112">
        <v>1.3792860779035478</v>
      </c>
      <c r="BM106" s="112">
        <v>1.94464341316156</v>
      </c>
      <c r="BN106" s="119">
        <v>32</v>
      </c>
      <c r="BY106" s="113">
        <v>41652</v>
      </c>
      <c r="BZ106" s="112">
        <v>3.1572366578992761</v>
      </c>
      <c r="CA106" s="112">
        <v>1.1184288942579135</v>
      </c>
      <c r="CB106" s="132">
        <v>30</v>
      </c>
      <c r="CO106" s="112">
        <v>3.6013645854884548</v>
      </c>
      <c r="CP106" s="112">
        <v>3.7410401297129612</v>
      </c>
      <c r="CQ106" s="119">
        <v>2</v>
      </c>
      <c r="CS106" s="112">
        <v>8.5626331654542129E-2</v>
      </c>
      <c r="CT106" s="100">
        <v>1.5037257992832953</v>
      </c>
      <c r="CU106" s="132">
        <v>3</v>
      </c>
      <c r="DJ106" s="191">
        <v>-0.51649129679547001</v>
      </c>
      <c r="DK106" s="191">
        <v>2.7505693677426968</v>
      </c>
      <c r="DL106" s="191">
        <v>1</v>
      </c>
    </row>
    <row r="107" spans="1:116">
      <c r="A107" s="3">
        <f t="shared" si="4"/>
        <v>41648</v>
      </c>
      <c r="B107" s="13">
        <f>'Tank Data'!H107</f>
        <v>1.3449600000000002</v>
      </c>
      <c r="C107" s="10">
        <v>0.72156631271284555</v>
      </c>
      <c r="D107" s="127">
        <v>26</v>
      </c>
      <c r="E107" s="35">
        <f t="shared" si="5"/>
        <v>41648</v>
      </c>
      <c r="F107" s="37">
        <f>'Tank Data'!P107</f>
        <v>-2.2205988269460639</v>
      </c>
      <c r="G107" s="37">
        <f>'Tank Data'!M107</f>
        <v>1.8071663127128443</v>
      </c>
      <c r="H107" s="128">
        <v>26</v>
      </c>
      <c r="I107" s="101">
        <f t="shared" si="6"/>
        <v>41648</v>
      </c>
      <c r="J107" s="109">
        <f>'Tank Data'!X107</f>
        <v>1.337378577976011</v>
      </c>
      <c r="K107" s="109">
        <f>'Tank Data'!U107</f>
        <v>2.0814663127128457</v>
      </c>
      <c r="L107" s="130">
        <v>26</v>
      </c>
      <c r="M107" s="167">
        <f t="shared" si="7"/>
        <v>41648</v>
      </c>
      <c r="N107" s="170">
        <f>'Tank Data'!AF107</f>
        <v>1.3881599999999998</v>
      </c>
      <c r="O107" s="170">
        <f>'Tank Data'!AC107</f>
        <v>1.6136663127128439</v>
      </c>
      <c r="P107" s="171">
        <v>26</v>
      </c>
      <c r="R107" s="185"/>
      <c r="S107" s="187"/>
      <c r="T107" s="186"/>
      <c r="U107" s="134"/>
      <c r="V107" s="134"/>
      <c r="W107" s="134"/>
      <c r="X107" s="187"/>
      <c r="Y107" s="11"/>
      <c r="AH107" s="113">
        <v>41650</v>
      </c>
      <c r="AI107" s="1">
        <v>0.63648000000000005</v>
      </c>
      <c r="AJ107" s="1">
        <v>1.5800470923556609</v>
      </c>
      <c r="AK107" s="1">
        <v>28</v>
      </c>
      <c r="AV107" s="116">
        <v>41648</v>
      </c>
      <c r="AW107" s="112">
        <v>1.3449600000000002</v>
      </c>
      <c r="AX107" s="39">
        <v>0.72156631271284555</v>
      </c>
      <c r="AY107" s="132">
        <v>26</v>
      </c>
      <c r="AZ107" s="11"/>
      <c r="BK107" s="115">
        <v>41654</v>
      </c>
      <c r="BL107" s="112">
        <v>1.3617671604882193</v>
      </c>
      <c r="BM107" s="112">
        <v>1.9197092617073845</v>
      </c>
      <c r="BN107" s="119">
        <v>33</v>
      </c>
      <c r="CC107" s="208"/>
      <c r="CD107" s="208"/>
      <c r="CE107" s="208"/>
      <c r="CO107" s="112">
        <v>2.582459148903713</v>
      </c>
      <c r="CP107" s="112">
        <v>3.5398139537621534</v>
      </c>
      <c r="CQ107" s="112">
        <v>2</v>
      </c>
      <c r="CS107" s="112">
        <v>0.6069912813119116</v>
      </c>
      <c r="CT107" s="100">
        <v>1.2877566978348676</v>
      </c>
      <c r="CU107" s="132">
        <v>3</v>
      </c>
      <c r="DJ107" s="191">
        <v>-0.26824852694965379</v>
      </c>
      <c r="DK107" s="191">
        <v>2.500216203202855</v>
      </c>
      <c r="DL107" s="191">
        <v>1</v>
      </c>
    </row>
    <row r="108" spans="1:116">
      <c r="A108" s="3">
        <f t="shared" si="4"/>
        <v>41649</v>
      </c>
      <c r="B108" s="13">
        <f>'Tank Data'!H108</f>
        <v>1.3204800000000001</v>
      </c>
      <c r="C108" s="10">
        <v>0.70435056662793416</v>
      </c>
      <c r="D108" s="127">
        <v>27</v>
      </c>
      <c r="E108" s="35">
        <f t="shared" si="5"/>
        <v>41649</v>
      </c>
      <c r="F108" s="37">
        <f>'Tank Data'!P108</f>
        <v>1.4961209645573192</v>
      </c>
      <c r="G108" s="37">
        <f>'Tank Data'!M108</f>
        <v>1.8004505666279333</v>
      </c>
      <c r="H108" s="128">
        <v>27</v>
      </c>
      <c r="I108" s="101">
        <f t="shared" si="6"/>
        <v>41649</v>
      </c>
      <c r="J108" s="109">
        <f>'Tank Data'!X108</f>
        <v>1.2449419530532713</v>
      </c>
      <c r="K108" s="109">
        <f>'Tank Data'!U108</f>
        <v>2.055550566627935</v>
      </c>
      <c r="L108" s="130">
        <v>27</v>
      </c>
      <c r="M108" s="167">
        <f t="shared" si="7"/>
        <v>41649</v>
      </c>
      <c r="N108" s="170">
        <f>'Tank Data'!AF108</f>
        <v>0.98639999999999994</v>
      </c>
      <c r="O108" s="170">
        <f>'Tank Data'!AC108</f>
        <v>1.5972505666279342</v>
      </c>
      <c r="P108" s="171">
        <v>27</v>
      </c>
      <c r="R108" s="185"/>
      <c r="S108" s="187"/>
      <c r="T108" s="186"/>
      <c r="U108" s="134"/>
      <c r="V108" s="134"/>
      <c r="W108" s="134"/>
      <c r="X108" s="187"/>
      <c r="Y108" s="11"/>
      <c r="AH108" s="113">
        <v>41651</v>
      </c>
      <c r="AI108" s="1">
        <v>0.58608000000000005</v>
      </c>
      <c r="AJ108" s="1">
        <v>1.5642311436986165</v>
      </c>
      <c r="AK108" s="1">
        <v>29</v>
      </c>
      <c r="AV108" s="116">
        <v>41649</v>
      </c>
      <c r="AW108" s="112">
        <v>1.3204800000000001</v>
      </c>
      <c r="AX108" s="39">
        <v>0.70435056662793416</v>
      </c>
      <c r="AY108" s="132">
        <v>27</v>
      </c>
      <c r="AZ108" s="11"/>
      <c r="BK108" s="115">
        <v>41655</v>
      </c>
      <c r="BL108" s="112">
        <v>1.0413152667974677</v>
      </c>
      <c r="BM108" s="112">
        <v>1.8912460747956057</v>
      </c>
      <c r="BN108" s="119">
        <v>34</v>
      </c>
      <c r="BY108" s="34">
        <v>3.1793810224401646</v>
      </c>
      <c r="CC108" s="208"/>
      <c r="CD108" s="208"/>
      <c r="CE108" s="208"/>
      <c r="CO108" s="112">
        <v>1.2180204389017413</v>
      </c>
      <c r="CP108" s="112">
        <v>3.2027693677426976</v>
      </c>
      <c r="CQ108" s="119">
        <v>2</v>
      </c>
      <c r="CS108" s="112"/>
      <c r="CT108" s="100">
        <v>2.7607329762465871</v>
      </c>
      <c r="CU108" s="132">
        <v>4</v>
      </c>
      <c r="DJ108" s="191"/>
      <c r="DK108" s="191">
        <v>3.7167159959313372</v>
      </c>
      <c r="DL108" s="191">
        <v>1</v>
      </c>
    </row>
    <row r="109" spans="1:116">
      <c r="A109" s="3">
        <f t="shared" si="4"/>
        <v>41650</v>
      </c>
      <c r="B109" s="13">
        <f>'Tank Data'!H109</f>
        <v>0.57599999999999996</v>
      </c>
      <c r="C109" s="10">
        <v>0.681747092355661</v>
      </c>
      <c r="D109" s="127">
        <v>28</v>
      </c>
      <c r="E109" s="35">
        <f t="shared" si="5"/>
        <v>41650</v>
      </c>
      <c r="F109" s="37">
        <f>'Tank Data'!P109</f>
        <v>0.85471084501868233</v>
      </c>
      <c r="G109" s="37">
        <f>'Tank Data'!M109</f>
        <v>1.7729470923556627</v>
      </c>
      <c r="H109" s="128">
        <v>28</v>
      </c>
      <c r="I109" s="101">
        <f t="shared" si="6"/>
        <v>41650</v>
      </c>
      <c r="J109" s="109">
        <f>'Tank Data'!X109</f>
        <v>1.0391201934159273</v>
      </c>
      <c r="K109" s="109">
        <f>'Tank Data'!U109</f>
        <v>2.0289470923556623</v>
      </c>
      <c r="L109" s="130">
        <v>28</v>
      </c>
      <c r="M109" s="167">
        <f t="shared" si="7"/>
        <v>41650</v>
      </c>
      <c r="N109" s="170">
        <f>'Tank Data'!AF109</f>
        <v>0.63648000000000005</v>
      </c>
      <c r="O109" s="170">
        <f>'Tank Data'!AC109</f>
        <v>1.5800470923556609</v>
      </c>
      <c r="P109" s="171">
        <v>28</v>
      </c>
      <c r="R109" s="185"/>
      <c r="S109" s="187"/>
      <c r="T109" s="186"/>
      <c r="U109" s="134"/>
      <c r="V109" s="134"/>
      <c r="W109" s="134"/>
      <c r="X109" s="187"/>
      <c r="Y109" s="11"/>
      <c r="AH109" s="174">
        <v>41652</v>
      </c>
      <c r="AI109" s="175">
        <v>0.78335999999999995</v>
      </c>
      <c r="AJ109" s="175">
        <v>1.5474288942579135</v>
      </c>
      <c r="AK109" s="176">
        <v>30</v>
      </c>
      <c r="AV109" s="116">
        <v>41650</v>
      </c>
      <c r="AW109" s="112">
        <v>0.57599999999999996</v>
      </c>
      <c r="AX109" s="39">
        <v>0.681747092355661</v>
      </c>
      <c r="AY109" s="132">
        <v>28</v>
      </c>
      <c r="AZ109" s="11"/>
      <c r="BK109" s="115">
        <v>41656</v>
      </c>
      <c r="BL109" s="112">
        <v>1.0478500073616397</v>
      </c>
      <c r="BM109" s="112">
        <v>1.8654438253549059</v>
      </c>
      <c r="BN109" s="119">
        <v>35</v>
      </c>
      <c r="BX109">
        <v>-0.74487388241998609</v>
      </c>
      <c r="BY109" s="34">
        <v>3.2773143565567313</v>
      </c>
      <c r="CC109" s="208"/>
      <c r="CD109" s="208"/>
      <c r="CE109" s="208"/>
      <c r="CO109" s="112">
        <v>0.85900897058280878</v>
      </c>
      <c r="CP109" s="112">
        <v>2.9403162032028556</v>
      </c>
      <c r="CQ109" s="119">
        <v>2</v>
      </c>
      <c r="CS109" s="112">
        <v>1.3275593681271378</v>
      </c>
      <c r="CT109" s="100">
        <v>2.4632184455944803</v>
      </c>
      <c r="CU109" s="132">
        <v>4</v>
      </c>
      <c r="DJ109" s="191"/>
      <c r="DK109" s="191">
        <v>4.0373947052086629</v>
      </c>
      <c r="DL109" s="191">
        <v>1</v>
      </c>
    </row>
    <row r="110" spans="1:116">
      <c r="A110" s="3">
        <f t="shared" ref="A110:A150" si="8">A109+1</f>
        <v>41651</v>
      </c>
      <c r="B110" s="13">
        <f>'Tank Data'!H110</f>
        <v>0.28799999999999998</v>
      </c>
      <c r="C110" s="10">
        <v>0.65773114369861618</v>
      </c>
      <c r="D110" s="127">
        <v>29</v>
      </c>
      <c r="E110" s="35">
        <f t="shared" ref="E110:E150" si="9">E109+1</f>
        <v>41651</v>
      </c>
      <c r="F110" s="37">
        <f>'Tank Data'!P110</f>
        <v>1.904436657899276</v>
      </c>
      <c r="G110" s="37">
        <f>'Tank Data'!M110</f>
        <v>1.1646311436986172</v>
      </c>
      <c r="H110" s="128">
        <v>29</v>
      </c>
      <c r="I110" s="101">
        <f t="shared" ref="I110:I150" si="10">I109+1</f>
        <v>41651</v>
      </c>
      <c r="J110" s="109">
        <f>'Tank Data'!X110</f>
        <v>1.0384080211698601</v>
      </c>
      <c r="K110" s="109">
        <f>'Tank Data'!U110</f>
        <v>2.0001311436986162</v>
      </c>
      <c r="L110" s="130">
        <v>29</v>
      </c>
      <c r="M110" s="167">
        <f t="shared" ref="M110:M150" si="11">M109+1</f>
        <v>41651</v>
      </c>
      <c r="N110" s="170">
        <f>'Tank Data'!AF110</f>
        <v>0.58608000000000005</v>
      </c>
      <c r="O110" s="170">
        <f>'Tank Data'!AC110</f>
        <v>1.5642311436986165</v>
      </c>
      <c r="P110" s="171">
        <v>29</v>
      </c>
      <c r="R110" s="185"/>
      <c r="S110" s="187"/>
      <c r="T110" s="186"/>
      <c r="U110" s="134"/>
      <c r="V110" s="134"/>
      <c r="W110" s="134"/>
      <c r="X110" s="187"/>
      <c r="Y110" s="11"/>
      <c r="AH110" s="113">
        <v>41653</v>
      </c>
      <c r="AI110" s="1">
        <v>0.62783999999999995</v>
      </c>
      <c r="AJ110" s="1">
        <v>1.5286434131615603</v>
      </c>
      <c r="AK110" s="1">
        <v>31</v>
      </c>
      <c r="AV110" s="116">
        <v>41651</v>
      </c>
      <c r="AW110" s="112">
        <v>0.28799999999999998</v>
      </c>
      <c r="AX110" s="39">
        <v>0.65773114369861618</v>
      </c>
      <c r="AY110" s="132">
        <v>29</v>
      </c>
      <c r="BK110" s="115">
        <v>41657</v>
      </c>
      <c r="BL110" s="112">
        <v>0.76953679561951072</v>
      </c>
      <c r="BM110" s="112">
        <v>1.8430272572329993</v>
      </c>
      <c r="BN110" s="119">
        <v>36</v>
      </c>
      <c r="BY110" s="34">
        <v>3.4026063881024378</v>
      </c>
      <c r="CC110" s="208"/>
      <c r="CD110" s="208"/>
      <c r="CE110" s="208"/>
      <c r="CO110" s="112"/>
      <c r="CP110" s="112">
        <v>3.1793810224401646</v>
      </c>
      <c r="CQ110" s="132">
        <v>0</v>
      </c>
      <c r="CS110" s="112">
        <v>1.7116026072613704</v>
      </c>
      <c r="CT110" s="100">
        <v>2.0150720246773575</v>
      </c>
      <c r="CU110" s="132">
        <v>4</v>
      </c>
      <c r="DJ110" s="191"/>
      <c r="DK110" s="191">
        <v>3.9870924557679617</v>
      </c>
      <c r="DL110" s="192">
        <v>1</v>
      </c>
    </row>
    <row r="111" spans="1:116">
      <c r="A111" s="3">
        <f t="shared" si="8"/>
        <v>41652</v>
      </c>
      <c r="B111" s="13">
        <f>'Tank Data'!H111</f>
        <v>3.8736000000000002</v>
      </c>
      <c r="C111" s="10">
        <v>0.61232889425791415</v>
      </c>
      <c r="D111" s="127">
        <v>30</v>
      </c>
      <c r="E111" s="35">
        <f t="shared" si="9"/>
        <v>41652</v>
      </c>
      <c r="F111" s="37">
        <f>'Tank Data'!P111</f>
        <v>3.1572366578992761</v>
      </c>
      <c r="G111" s="37">
        <f>'Tank Data'!M111</f>
        <v>1.1184288942579135</v>
      </c>
      <c r="H111" s="128">
        <v>30</v>
      </c>
      <c r="I111" s="101">
        <f t="shared" si="10"/>
        <v>41652</v>
      </c>
      <c r="J111" s="109">
        <f>'Tank Data'!X111</f>
        <v>0.72196983464759812</v>
      </c>
      <c r="K111" s="109">
        <f>'Tank Data'!U111</f>
        <v>1.9718288942579132</v>
      </c>
      <c r="L111" s="130">
        <v>30</v>
      </c>
      <c r="M111" s="167">
        <f t="shared" si="11"/>
        <v>41652</v>
      </c>
      <c r="N111" s="170">
        <f>'Tank Data'!AF111</f>
        <v>0.78335999999999995</v>
      </c>
      <c r="O111" s="170">
        <f>'Tank Data'!AC111</f>
        <v>1.5474288942579135</v>
      </c>
      <c r="P111" s="171">
        <v>30</v>
      </c>
      <c r="R111" s="185"/>
      <c r="S111" s="187"/>
      <c r="T111" s="186"/>
      <c r="U111" s="134"/>
      <c r="V111" s="134"/>
      <c r="W111" s="134"/>
      <c r="X111" s="187"/>
      <c r="Y111" s="11"/>
      <c r="AH111" s="113">
        <v>41654</v>
      </c>
      <c r="AI111" s="1">
        <v>0.54143999999999992</v>
      </c>
      <c r="AJ111" s="1">
        <v>1.5106092617073847</v>
      </c>
      <c r="AK111" s="1">
        <v>32</v>
      </c>
      <c r="AV111" s="116">
        <v>41652</v>
      </c>
      <c r="AW111" s="112"/>
      <c r="AX111" s="39">
        <v>0.61232889425791415</v>
      </c>
      <c r="AY111" s="132">
        <v>30</v>
      </c>
      <c r="AZ111" s="11"/>
      <c r="BK111" s="115">
        <v>41658</v>
      </c>
      <c r="BL111" s="112">
        <v>0.58719608970827897</v>
      </c>
      <c r="BM111" s="112">
        <v>1.8197387187570999</v>
      </c>
      <c r="BN111" s="119">
        <v>37</v>
      </c>
      <c r="BX111">
        <v>-0.76230108294388299</v>
      </c>
      <c r="BY111" s="34">
        <v>3.4228503382091855</v>
      </c>
      <c r="CC111" s="208"/>
      <c r="CD111" s="208"/>
      <c r="CE111" s="208"/>
      <c r="CO111" s="112"/>
      <c r="CP111" s="112">
        <v>3.2773143565567313</v>
      </c>
      <c r="CQ111" s="132">
        <v>0</v>
      </c>
      <c r="CS111" s="112">
        <v>0.61289056413976128</v>
      </c>
      <c r="CT111" s="100">
        <v>1.7994634391078965</v>
      </c>
      <c r="CU111" s="132">
        <v>4</v>
      </c>
      <c r="DJ111" s="191"/>
      <c r="DK111" s="191">
        <v>3.7887409376518049</v>
      </c>
      <c r="DL111" s="191">
        <v>1</v>
      </c>
    </row>
    <row r="112" spans="1:116">
      <c r="A112" s="3">
        <f t="shared" si="8"/>
        <v>41653</v>
      </c>
      <c r="B112" s="13">
        <f>'Tank Data'!H112</f>
        <v>4.2767999999999997</v>
      </c>
      <c r="C112" s="10">
        <v>0.53664341316156028</v>
      </c>
      <c r="D112" s="127">
        <v>31</v>
      </c>
      <c r="E112" s="35">
        <f t="shared" si="9"/>
        <v>41653</v>
      </c>
      <c r="F112" s="37"/>
      <c r="G112" s="37"/>
      <c r="H112" s="128"/>
      <c r="I112" s="101">
        <f t="shared" si="10"/>
        <v>41653</v>
      </c>
      <c r="J112" s="109">
        <f>'Tank Data'!X112</f>
        <v>1.3419423188444295</v>
      </c>
      <c r="K112" s="109">
        <f>'Tank Data'!U112</f>
        <v>1.94464341316156</v>
      </c>
      <c r="L112" s="130">
        <v>31</v>
      </c>
      <c r="M112" s="167">
        <f t="shared" si="11"/>
        <v>41653</v>
      </c>
      <c r="N112" s="170">
        <f>'Tank Data'!AF112</f>
        <v>0.62783999999999995</v>
      </c>
      <c r="O112" s="170">
        <f>'Tank Data'!AC112</f>
        <v>1.5286434131615603</v>
      </c>
      <c r="P112" s="171">
        <v>31</v>
      </c>
      <c r="R112" s="185"/>
      <c r="S112" s="187"/>
      <c r="T112" s="186"/>
      <c r="U112" s="134"/>
      <c r="V112" s="134"/>
      <c r="W112" s="134"/>
      <c r="X112" s="187"/>
      <c r="Y112" s="11"/>
      <c r="AH112" s="113">
        <v>41655</v>
      </c>
      <c r="AI112" s="1">
        <v>0.64512000000000003</v>
      </c>
      <c r="AJ112" s="1">
        <v>1.4923460747956052</v>
      </c>
      <c r="AK112" s="1">
        <v>33</v>
      </c>
      <c r="AV112" s="116">
        <v>41653</v>
      </c>
      <c r="AW112" s="112"/>
      <c r="AX112" s="39">
        <v>0.53664341316156028</v>
      </c>
      <c r="AY112" s="132">
        <v>31</v>
      </c>
      <c r="BK112" s="115">
        <v>41659</v>
      </c>
      <c r="BL112" s="112">
        <v>0.5861689221110451</v>
      </c>
      <c r="BM112" s="112">
        <v>1.7965307456034256</v>
      </c>
      <c r="BN112" s="119">
        <v>38</v>
      </c>
      <c r="BX112">
        <v>1.3252019155246311</v>
      </c>
      <c r="BY112" s="34">
        <v>3.371833767737586</v>
      </c>
      <c r="CC112" s="208"/>
      <c r="CD112" s="208"/>
      <c r="CE112" s="208"/>
      <c r="CO112" s="112"/>
      <c r="CP112" s="112">
        <v>3.4026063881024378</v>
      </c>
      <c r="CQ112" s="132">
        <v>0</v>
      </c>
      <c r="CS112" s="112">
        <v>0.5044529139287639</v>
      </c>
      <c r="CT112" s="100">
        <v>1.4761350043176198</v>
      </c>
      <c r="CU112" s="132">
        <v>4</v>
      </c>
      <c r="DJ112" s="191">
        <v>2.9155353829811101</v>
      </c>
      <c r="DK112" s="191">
        <v>3.4816802121516313</v>
      </c>
      <c r="DL112" s="191">
        <v>1</v>
      </c>
    </row>
    <row r="113" spans="1:116">
      <c r="A113" s="3">
        <f t="shared" si="8"/>
        <v>41654</v>
      </c>
      <c r="B113" s="13">
        <f>'Tank Data'!H113</f>
        <v>-0.72000000000000008</v>
      </c>
      <c r="C113" s="10">
        <v>0.45490926170738405</v>
      </c>
      <c r="D113" s="127">
        <v>32</v>
      </c>
      <c r="E113" s="35">
        <f t="shared" si="9"/>
        <v>41654</v>
      </c>
      <c r="F113" s="37"/>
      <c r="G113" s="37"/>
      <c r="H113" s="128"/>
      <c r="I113" s="101">
        <f t="shared" si="10"/>
        <v>41654</v>
      </c>
      <c r="J113" s="109">
        <f>'Tank Data'!X113</f>
        <v>1.3272920470254472</v>
      </c>
      <c r="K113" s="109">
        <f>'Tank Data'!U113</f>
        <v>1.9197092617073845</v>
      </c>
      <c r="L113" s="130">
        <v>32</v>
      </c>
      <c r="M113" s="167">
        <f t="shared" si="11"/>
        <v>41654</v>
      </c>
      <c r="N113" s="170">
        <f>'Tank Data'!AF113</f>
        <v>0.54143999999999992</v>
      </c>
      <c r="O113" s="170">
        <f>'Tank Data'!AC113</f>
        <v>1.5106092617073847</v>
      </c>
      <c r="P113" s="171">
        <v>32</v>
      </c>
      <c r="R113" s="185"/>
      <c r="S113" s="187"/>
      <c r="T113" s="186"/>
      <c r="U113" s="134"/>
      <c r="V113" s="134"/>
      <c r="W113" s="134"/>
      <c r="X113" s="187"/>
      <c r="Y113" s="11"/>
      <c r="AH113" s="113">
        <v>41656</v>
      </c>
      <c r="AI113" s="1">
        <v>1.1059199999999998</v>
      </c>
      <c r="AJ113" s="1">
        <v>1.4737438253549064</v>
      </c>
      <c r="AK113" s="1">
        <v>34</v>
      </c>
      <c r="AV113" s="116">
        <v>41654</v>
      </c>
      <c r="AW113" s="112">
        <v>-0.72000000000000008</v>
      </c>
      <c r="AX113" s="39">
        <v>0.45490926170738405</v>
      </c>
      <c r="AY113" s="132">
        <v>32</v>
      </c>
      <c r="AZ113" s="11"/>
      <c r="BK113" s="115">
        <v>41660</v>
      </c>
      <c r="BL113" s="112">
        <v>0.61264924241331031</v>
      </c>
      <c r="BM113" s="112">
        <v>1.7742712355360541</v>
      </c>
      <c r="BN113" s="119">
        <v>39</v>
      </c>
      <c r="BX113">
        <v>1.6111924879796686</v>
      </c>
      <c r="BY113" s="34">
        <v>3.3511229280280386</v>
      </c>
      <c r="CC113" s="208"/>
      <c r="CD113" s="208"/>
      <c r="CE113" s="208"/>
      <c r="CO113" s="112"/>
      <c r="CP113" s="112">
        <v>3.4228503382091855</v>
      </c>
      <c r="CQ113" s="132">
        <v>0</v>
      </c>
      <c r="CS113" s="112">
        <v>0.74277938754755812</v>
      </c>
      <c r="CT113" s="100">
        <v>1.2599575104730953</v>
      </c>
      <c r="CU113" s="132">
        <v>4</v>
      </c>
      <c r="DJ113" s="191">
        <v>2.5020071347161839</v>
      </c>
      <c r="DK113" s="191">
        <v>3.3864530186407693</v>
      </c>
      <c r="DL113" s="191">
        <v>1</v>
      </c>
    </row>
    <row r="114" spans="1:116">
      <c r="A114" s="3">
        <f t="shared" si="8"/>
        <v>41655</v>
      </c>
      <c r="B114" s="13">
        <f>'Tank Data'!H114</f>
        <v>6.4079999999999995</v>
      </c>
      <c r="C114" s="10">
        <v>0.40644607479560563</v>
      </c>
      <c r="D114" s="127">
        <v>33</v>
      </c>
      <c r="E114" s="35">
        <f t="shared" si="9"/>
        <v>41655</v>
      </c>
      <c r="F114" s="37"/>
      <c r="G114" s="37"/>
      <c r="H114" s="128"/>
      <c r="I114" s="101">
        <f t="shared" si="10"/>
        <v>41655</v>
      </c>
      <c r="J114" s="109">
        <f>'Tank Data'!X114</f>
        <v>1.010292671458225</v>
      </c>
      <c r="K114" s="109">
        <f>'Tank Data'!U114</f>
        <v>1.8912460747956057</v>
      </c>
      <c r="L114" s="130">
        <v>33</v>
      </c>
      <c r="M114" s="167">
        <f t="shared" si="11"/>
        <v>41655</v>
      </c>
      <c r="N114" s="170">
        <f>'Tank Data'!AF114</f>
        <v>0.64512000000000003</v>
      </c>
      <c r="O114" s="170">
        <f>'Tank Data'!AC114</f>
        <v>1.4923460747956052</v>
      </c>
      <c r="P114" s="171">
        <v>33</v>
      </c>
      <c r="R114" s="185"/>
      <c r="S114" s="187"/>
      <c r="T114" s="186"/>
      <c r="U114" s="134"/>
      <c r="V114" s="134"/>
      <c r="W114" s="134"/>
      <c r="X114" s="187"/>
      <c r="Y114" s="11"/>
      <c r="AH114" s="113">
        <v>41657</v>
      </c>
      <c r="AI114" s="1">
        <v>0.93024000000000007</v>
      </c>
      <c r="AJ114" s="1">
        <v>1.4548272572329988</v>
      </c>
      <c r="AK114" s="1">
        <v>35</v>
      </c>
      <c r="AV114" s="115">
        <v>41655</v>
      </c>
      <c r="AW114" s="112"/>
      <c r="AX114" s="39">
        <v>0.40644607479560563</v>
      </c>
      <c r="AY114" s="132">
        <v>33</v>
      </c>
      <c r="AZ114" s="11"/>
      <c r="BK114" s="115">
        <v>41661</v>
      </c>
      <c r="BL114" s="112">
        <v>0.53937078584970277</v>
      </c>
      <c r="BM114" s="112">
        <v>1.7503448476143439</v>
      </c>
      <c r="BN114" s="119">
        <v>40</v>
      </c>
      <c r="BX114">
        <v>2.2709691264553515</v>
      </c>
      <c r="BY114" s="34">
        <v>3.3322341775812401</v>
      </c>
      <c r="CC114" s="208"/>
      <c r="CD114" s="208"/>
      <c r="CE114" s="208"/>
      <c r="CO114" s="112"/>
      <c r="CP114" s="112">
        <v>3.371833767737586</v>
      </c>
      <c r="CQ114" s="132">
        <v>0</v>
      </c>
      <c r="CS114" s="112">
        <v>0.24881118929884136</v>
      </c>
      <c r="CT114" s="100">
        <v>2.7228466778126248</v>
      </c>
      <c r="CU114" s="132">
        <v>5</v>
      </c>
      <c r="DJ114" s="191">
        <v>2.5158057343657654</v>
      </c>
      <c r="DK114" s="191">
        <v>3.0417266236699829</v>
      </c>
      <c r="DL114" s="191">
        <v>1</v>
      </c>
    </row>
    <row r="115" spans="1:116">
      <c r="A115" s="3">
        <f t="shared" si="8"/>
        <v>41656</v>
      </c>
      <c r="B115" s="13">
        <f>'Tank Data'!H115</f>
        <v>8.1504000000000012</v>
      </c>
      <c r="C115" s="10">
        <v>0.30954382535490638</v>
      </c>
      <c r="D115" s="127">
        <v>34</v>
      </c>
      <c r="E115" s="35">
        <f t="shared" si="9"/>
        <v>41656</v>
      </c>
      <c r="F115" s="37"/>
      <c r="G115" s="37"/>
      <c r="H115" s="128"/>
      <c r="I115" s="101">
        <f t="shared" si="10"/>
        <v>41656</v>
      </c>
      <c r="J115" s="109">
        <f>'Tank Data'!X115</f>
        <v>1.0201309896267592</v>
      </c>
      <c r="K115" s="109">
        <f>'Tank Data'!U115</f>
        <v>1.8654438253549059</v>
      </c>
      <c r="L115" s="130">
        <v>34</v>
      </c>
      <c r="M115" s="167">
        <f t="shared" si="11"/>
        <v>41656</v>
      </c>
      <c r="N115" s="170">
        <f>'Tank Data'!AF115</f>
        <v>1.1059199999999998</v>
      </c>
      <c r="O115" s="170">
        <f>'Tank Data'!AC115</f>
        <v>1.4737438253549064</v>
      </c>
      <c r="P115" s="171">
        <v>34</v>
      </c>
      <c r="R115" s="185"/>
      <c r="S115" s="187"/>
      <c r="T115" s="186"/>
      <c r="U115" s="134"/>
      <c r="V115" s="134"/>
      <c r="W115" s="134"/>
      <c r="X115" s="187"/>
      <c r="Y115" s="11"/>
      <c r="AH115" s="113">
        <v>41658</v>
      </c>
      <c r="AI115" s="1">
        <v>0.70992</v>
      </c>
      <c r="AJ115" s="1">
        <v>1.434738718757099</v>
      </c>
      <c r="AK115" s="1">
        <v>36</v>
      </c>
      <c r="AV115" s="115">
        <v>41656</v>
      </c>
      <c r="AW115" s="112"/>
      <c r="AX115" s="39">
        <v>0.30954382535490638</v>
      </c>
      <c r="AY115" s="132">
        <v>34</v>
      </c>
      <c r="BK115" s="115">
        <v>41662</v>
      </c>
      <c r="BL115" s="112">
        <v>1.1293620348458043E-2</v>
      </c>
      <c r="BM115" s="112">
        <v>1.7278583466082462</v>
      </c>
      <c r="BN115" s="119">
        <v>41</v>
      </c>
      <c r="BX115">
        <v>0.50279075182196653</v>
      </c>
      <c r="BY115" s="34">
        <v>3.1945710094669977</v>
      </c>
      <c r="CC115" s="208"/>
      <c r="CD115" s="208"/>
      <c r="CE115" s="208"/>
      <c r="CO115" s="112"/>
      <c r="CP115" s="112">
        <v>3.3511229280280386</v>
      </c>
      <c r="CQ115" s="132">
        <v>0</v>
      </c>
      <c r="CS115" s="112">
        <v>0.84297528289486756</v>
      </c>
      <c r="CT115" s="100">
        <v>2.4248004524185611</v>
      </c>
      <c r="CU115" s="132">
        <v>5</v>
      </c>
      <c r="DJ115" s="191">
        <v>1.7147574073897422</v>
      </c>
      <c r="DK115" s="191">
        <v>3.7786814440322791</v>
      </c>
      <c r="DL115" s="191">
        <v>1</v>
      </c>
    </row>
    <row r="116" spans="1:116">
      <c r="A116" s="3">
        <f t="shared" si="8"/>
        <v>41657</v>
      </c>
      <c r="B116" s="13">
        <f>'Tank Data'!H116</f>
        <v>-2.8800000000000003</v>
      </c>
      <c r="C116" s="10">
        <v>0.21282725723299883</v>
      </c>
      <c r="D116" s="127">
        <v>35</v>
      </c>
      <c r="E116" s="35">
        <f t="shared" si="9"/>
        <v>41657</v>
      </c>
      <c r="F116" s="37"/>
      <c r="G116" s="37"/>
      <c r="H116" s="128"/>
      <c r="I116" s="101">
        <f t="shared" si="10"/>
        <v>41657</v>
      </c>
      <c r="J116" s="109">
        <f>'Tank Data'!X116</f>
        <v>0.74483004024267152</v>
      </c>
      <c r="K116" s="109">
        <f>'Tank Data'!U116</f>
        <v>1.8430272572329993</v>
      </c>
      <c r="L116" s="130">
        <v>35</v>
      </c>
      <c r="M116" s="167">
        <f t="shared" si="11"/>
        <v>41657</v>
      </c>
      <c r="N116" s="170">
        <f>'Tank Data'!AF116</f>
        <v>0.93024000000000007</v>
      </c>
      <c r="O116" s="170">
        <f>'Tank Data'!AC116</f>
        <v>1.4548272572329988</v>
      </c>
      <c r="P116" s="171">
        <v>35</v>
      </c>
      <c r="R116" s="185"/>
      <c r="S116" s="187"/>
      <c r="T116" s="186"/>
      <c r="U116" s="134"/>
      <c r="V116" s="134"/>
      <c r="W116" s="134"/>
      <c r="X116" s="187"/>
      <c r="Y116" s="11"/>
      <c r="AH116" s="113">
        <v>41659</v>
      </c>
      <c r="AI116" s="1">
        <v>0.60624000000000011</v>
      </c>
      <c r="AJ116" s="1">
        <v>1.4139307456034245</v>
      </c>
      <c r="AK116" s="1">
        <v>37</v>
      </c>
      <c r="AV116" s="115">
        <v>41657</v>
      </c>
      <c r="AW116" s="112"/>
      <c r="AX116" s="39">
        <v>0.21282725723299883</v>
      </c>
      <c r="AY116" s="132">
        <v>35</v>
      </c>
      <c r="BK116" s="115">
        <v>41663</v>
      </c>
      <c r="BL116" s="112">
        <v>0.35020825485241841</v>
      </c>
      <c r="BM116" s="112">
        <v>1.7063139702099981</v>
      </c>
      <c r="BN116" s="119">
        <v>42</v>
      </c>
      <c r="BX116">
        <v>1.4949716434717337</v>
      </c>
      <c r="BY116" s="34">
        <v>3.1596771477230092</v>
      </c>
      <c r="CC116" s="208"/>
      <c r="CD116" s="208"/>
      <c r="CE116" s="208"/>
      <c r="CO116" s="112"/>
      <c r="CP116" s="112">
        <v>3.3322341775812401</v>
      </c>
      <c r="CQ116" s="132">
        <v>0</v>
      </c>
      <c r="CS116" s="112">
        <v>0.85315976464860199</v>
      </c>
      <c r="CT116" s="100">
        <v>1.7632726488416055</v>
      </c>
      <c r="CU116" s="132">
        <v>5</v>
      </c>
      <c r="DJ116" s="191">
        <v>2.9701925284258746</v>
      </c>
      <c r="DK116" s="191">
        <v>3.5806231540970943</v>
      </c>
      <c r="DL116" s="191">
        <v>1</v>
      </c>
    </row>
    <row r="117" spans="1:116">
      <c r="A117" s="3">
        <f t="shared" si="8"/>
        <v>41658</v>
      </c>
      <c r="B117" s="13">
        <f>'Tank Data'!H117</f>
        <v>-2.8800000000000003</v>
      </c>
      <c r="C117" s="10">
        <v>0.21143871875709991</v>
      </c>
      <c r="D117" s="127">
        <v>36</v>
      </c>
      <c r="E117" s="35">
        <f t="shared" si="9"/>
        <v>41658</v>
      </c>
      <c r="F117" s="37"/>
      <c r="G117" s="37"/>
      <c r="H117" s="128"/>
      <c r="I117" s="101">
        <f t="shared" si="10"/>
        <v>41658</v>
      </c>
      <c r="J117" s="109">
        <f>'Tank Data'!X117</f>
        <v>0.56576661193491162</v>
      </c>
      <c r="K117" s="109">
        <f>'Tank Data'!U117</f>
        <v>1.8197387187570999</v>
      </c>
      <c r="L117" s="130">
        <v>36</v>
      </c>
      <c r="M117" s="167">
        <f t="shared" si="11"/>
        <v>41658</v>
      </c>
      <c r="N117" s="170">
        <f>'Tank Data'!AF117</f>
        <v>0.70992</v>
      </c>
      <c r="O117" s="170">
        <f>'Tank Data'!AC117</f>
        <v>1.434738718757099</v>
      </c>
      <c r="P117" s="171">
        <v>36</v>
      </c>
      <c r="R117" s="185"/>
      <c r="S117" s="187"/>
      <c r="T117" s="186"/>
      <c r="U117" s="134"/>
      <c r="V117" s="134"/>
      <c r="W117" s="134"/>
      <c r="X117" s="187"/>
      <c r="Y117" s="11"/>
      <c r="AH117" s="113">
        <v>41660</v>
      </c>
      <c r="AI117" s="1">
        <v>0.48527999999999999</v>
      </c>
      <c r="AJ117" s="1">
        <v>1.3935712355360539</v>
      </c>
      <c r="AK117" s="1">
        <v>38</v>
      </c>
      <c r="AV117" s="115">
        <v>41658</v>
      </c>
      <c r="AW117" s="112"/>
      <c r="AX117" s="39">
        <v>0.21143871875709991</v>
      </c>
      <c r="AY117" s="132">
        <v>36</v>
      </c>
      <c r="BK117" s="115">
        <v>41664</v>
      </c>
      <c r="BL117" s="112">
        <v>-0.47808</v>
      </c>
      <c r="BM117" s="112">
        <v>1.6838859452633741</v>
      </c>
      <c r="BN117" s="119">
        <v>43</v>
      </c>
      <c r="BX117">
        <v>0.42338980618710281</v>
      </c>
      <c r="BY117" s="34">
        <v>3.1680194843017642</v>
      </c>
      <c r="CC117" s="208"/>
      <c r="CD117" s="208"/>
      <c r="CE117" s="208"/>
      <c r="CO117" s="112">
        <v>0.50279075182196653</v>
      </c>
      <c r="CP117" s="112">
        <v>3.1945710094669977</v>
      </c>
      <c r="CQ117" s="132">
        <v>0</v>
      </c>
      <c r="CS117" s="112">
        <v>0.19110687114638031</v>
      </c>
      <c r="CT117" s="100">
        <v>1.4483703853027508</v>
      </c>
      <c r="CU117" s="132">
        <v>5</v>
      </c>
      <c r="DJ117" s="191">
        <v>0.62515837733408564</v>
      </c>
      <c r="DK117" s="191">
        <v>3.2337663033140762</v>
      </c>
      <c r="DL117" s="192">
        <v>1</v>
      </c>
    </row>
    <row r="118" spans="1:116">
      <c r="A118" s="3">
        <f t="shared" si="8"/>
        <v>41659</v>
      </c>
      <c r="C118" s="10">
        <v>0.20533074560342485</v>
      </c>
      <c r="D118" s="127"/>
      <c r="E118" s="35">
        <f t="shared" si="9"/>
        <v>41659</v>
      </c>
      <c r="H118" s="128"/>
      <c r="I118" s="101">
        <f t="shared" si="10"/>
        <v>41659</v>
      </c>
      <c r="J118" s="109">
        <f>'Tank Data'!X118</f>
        <v>0.56816344768324634</v>
      </c>
      <c r="K118" s="109">
        <f>'Tank Data'!U118</f>
        <v>1.7965307456034256</v>
      </c>
      <c r="L118" s="130">
        <v>37</v>
      </c>
      <c r="M118" s="167">
        <f t="shared" si="11"/>
        <v>41659</v>
      </c>
      <c r="N118" s="170">
        <f>'Tank Data'!AF118</f>
        <v>0.60624000000000011</v>
      </c>
      <c r="O118" s="170">
        <f>'Tank Data'!AC118</f>
        <v>1.4139307456034245</v>
      </c>
      <c r="P118" s="171">
        <v>37</v>
      </c>
      <c r="R118" s="185"/>
      <c r="S118" s="187"/>
      <c r="T118" s="186"/>
      <c r="U118" s="134"/>
      <c r="V118" s="134"/>
      <c r="W118" s="134"/>
      <c r="X118" s="187"/>
      <c r="Y118" s="11"/>
      <c r="AH118" s="113">
        <v>41661</v>
      </c>
      <c r="AI118" s="1">
        <v>0.36144000000000004</v>
      </c>
      <c r="AJ118" s="1">
        <v>1.3718448476143439</v>
      </c>
      <c r="AK118" s="1">
        <v>39</v>
      </c>
      <c r="BK118" s="115">
        <v>41665</v>
      </c>
      <c r="BL118" s="112">
        <v>-0.15984000000000001</v>
      </c>
      <c r="BM118" s="112">
        <v>1.6634575198718646</v>
      </c>
      <c r="BN118" s="119">
        <v>44</v>
      </c>
      <c r="BX118">
        <v>-1.3908210673903559E-2</v>
      </c>
      <c r="BY118" s="34">
        <v>3.1691288895585306</v>
      </c>
      <c r="CC118" s="208"/>
      <c r="CD118" s="208"/>
      <c r="CE118" s="208"/>
      <c r="CO118" s="112">
        <v>1.4949716434717337</v>
      </c>
      <c r="CP118" s="112">
        <v>3.1596771477230092</v>
      </c>
      <c r="CQ118" s="132">
        <v>0</v>
      </c>
      <c r="CS118" s="112">
        <v>0.51025256102702321</v>
      </c>
      <c r="CT118" s="100">
        <v>1.2310082253497936</v>
      </c>
      <c r="CU118" s="132">
        <v>5</v>
      </c>
      <c r="DJ118" s="191">
        <v>-0.64131519526710967</v>
      </c>
      <c r="DK118" s="191">
        <v>2.9589521919043884</v>
      </c>
      <c r="DL118" s="192">
        <v>1</v>
      </c>
    </row>
    <row r="119" spans="1:116">
      <c r="A119" s="3">
        <f t="shared" si="8"/>
        <v>41660</v>
      </c>
      <c r="D119" s="127"/>
      <c r="E119" s="35">
        <f t="shared" si="9"/>
        <v>41660</v>
      </c>
      <c r="H119" s="128"/>
      <c r="I119" s="101">
        <f t="shared" si="10"/>
        <v>41660</v>
      </c>
      <c r="J119" s="109">
        <f>'Tank Data'!X119</f>
        <v>0.59808424612383948</v>
      </c>
      <c r="K119" s="109">
        <f>'Tank Data'!U119</f>
        <v>1.7742712355360541</v>
      </c>
      <c r="L119" s="130">
        <v>38</v>
      </c>
      <c r="M119" s="167">
        <f t="shared" si="11"/>
        <v>41660</v>
      </c>
      <c r="N119" s="170">
        <f>'Tank Data'!AF119</f>
        <v>0.48527999999999999</v>
      </c>
      <c r="O119" s="170">
        <f>'Tank Data'!AC119</f>
        <v>1.3935712355360539</v>
      </c>
      <c r="P119" s="171">
        <v>38</v>
      </c>
      <c r="R119" s="185"/>
      <c r="S119" s="187"/>
      <c r="T119" s="186"/>
      <c r="U119" s="134"/>
      <c r="V119" s="134"/>
      <c r="W119" s="134"/>
      <c r="X119" s="187"/>
      <c r="Y119" s="11"/>
      <c r="AH119" s="113">
        <v>41662</v>
      </c>
      <c r="AI119" s="1">
        <v>6.3072000000000003E-2</v>
      </c>
      <c r="AJ119" s="1">
        <v>1.3499583466082465</v>
      </c>
      <c r="AK119" s="1">
        <v>40</v>
      </c>
      <c r="BK119" s="115">
        <v>41666</v>
      </c>
      <c r="BL119" s="112">
        <v>-0.41039999999999999</v>
      </c>
      <c r="BM119" s="112">
        <v>1.6420783796036555</v>
      </c>
      <c r="BN119" s="119">
        <v>45</v>
      </c>
      <c r="BX119">
        <v>4.4323818414022678E-2</v>
      </c>
      <c r="BY119" s="34">
        <v>2.9805939113679738</v>
      </c>
      <c r="CC119" s="208"/>
      <c r="CD119" s="208"/>
      <c r="CE119" s="208"/>
      <c r="CO119" s="112">
        <v>0.42338980618710281</v>
      </c>
      <c r="CP119" s="112">
        <v>3.1680194843017642</v>
      </c>
      <c r="CQ119" s="132">
        <v>0</v>
      </c>
      <c r="CS119" s="112">
        <v>2.8930434227503882E-2</v>
      </c>
      <c r="CT119" s="100">
        <v>2.6960524038752909</v>
      </c>
      <c r="CU119" s="132">
        <v>6</v>
      </c>
      <c r="DJ119" s="191"/>
      <c r="DK119" s="191">
        <v>3.3345159959313371</v>
      </c>
      <c r="DL119" s="193">
        <v>1</v>
      </c>
    </row>
    <row r="120" spans="1:116">
      <c r="A120" s="3">
        <f t="shared" si="8"/>
        <v>41661</v>
      </c>
      <c r="D120" s="127"/>
      <c r="E120" s="35">
        <f t="shared" si="9"/>
        <v>41661</v>
      </c>
      <c r="H120" s="128"/>
      <c r="I120" s="101">
        <f t="shared" si="10"/>
        <v>41661</v>
      </c>
      <c r="J120" s="109">
        <f>'Tank Data'!X120</f>
        <v>0.52868427880805713</v>
      </c>
      <c r="K120" s="109">
        <f>'Tank Data'!U120</f>
        <v>1.7503448476143439</v>
      </c>
      <c r="L120" s="130">
        <v>39</v>
      </c>
      <c r="M120" s="167">
        <f t="shared" si="11"/>
        <v>41661</v>
      </c>
      <c r="N120" s="170">
        <f>'Tank Data'!AF120</f>
        <v>0.36144000000000004</v>
      </c>
      <c r="O120" s="170">
        <f>'Tank Data'!AC120</f>
        <v>1.3718448476143439</v>
      </c>
      <c r="P120" s="171">
        <v>39</v>
      </c>
      <c r="R120" s="185"/>
      <c r="S120" s="187"/>
      <c r="T120" s="186"/>
      <c r="U120" s="134"/>
      <c r="V120" s="134"/>
      <c r="W120" s="134"/>
      <c r="X120" s="187"/>
      <c r="Y120" s="11"/>
      <c r="AH120" s="113">
        <v>41663</v>
      </c>
      <c r="AI120" s="1">
        <v>0.42624000000000006</v>
      </c>
      <c r="AJ120" s="1">
        <v>1.3276139702099985</v>
      </c>
      <c r="AK120" s="1">
        <v>41</v>
      </c>
      <c r="BK120" s="115">
        <v>41667</v>
      </c>
      <c r="BL120" s="112">
        <v>-0.24191999999999997</v>
      </c>
      <c r="BM120" s="112">
        <v>1.6201814463819708</v>
      </c>
      <c r="BN120" s="119">
        <v>46</v>
      </c>
      <c r="BY120" s="34">
        <v>2.928978358456428</v>
      </c>
      <c r="CC120" s="208"/>
      <c r="CD120" s="208"/>
      <c r="CE120" s="208"/>
      <c r="CO120" s="112">
        <v>-1.3908210673903559E-2</v>
      </c>
      <c r="CP120" s="112">
        <v>3.1691288895585306</v>
      </c>
      <c r="CQ120" s="132">
        <v>0</v>
      </c>
      <c r="CS120" s="112">
        <v>0.9055837296409921</v>
      </c>
      <c r="CT120" s="100">
        <v>2.3878161938040869</v>
      </c>
      <c r="CU120" s="132">
        <v>6</v>
      </c>
      <c r="DJ120" s="191"/>
      <c r="DK120" s="191">
        <v>3.4088947052086631</v>
      </c>
      <c r="DL120" s="193">
        <v>1</v>
      </c>
    </row>
    <row r="121" spans="1:116">
      <c r="A121" s="3">
        <f t="shared" si="8"/>
        <v>41662</v>
      </c>
      <c r="D121" s="127"/>
      <c r="E121" s="35">
        <f t="shared" si="9"/>
        <v>41662</v>
      </c>
      <c r="H121" s="128"/>
      <c r="I121" s="101">
        <f t="shared" si="10"/>
        <v>41662</v>
      </c>
      <c r="J121" s="109">
        <f>'Tank Data'!X121</f>
        <v>4.4321294862278964E-3</v>
      </c>
      <c r="K121" s="109">
        <f>'Tank Data'!U121</f>
        <v>1.7278583466082462</v>
      </c>
      <c r="L121" s="130">
        <v>40</v>
      </c>
      <c r="M121" s="167">
        <f t="shared" si="11"/>
        <v>41662</v>
      </c>
      <c r="N121" s="170">
        <f>'Tank Data'!AF121</f>
        <v>6.3072000000000003E-2</v>
      </c>
      <c r="O121" s="170">
        <f>'Tank Data'!AC121</f>
        <v>1.3499583466082465</v>
      </c>
      <c r="P121" s="171">
        <v>40</v>
      </c>
      <c r="R121" s="185"/>
      <c r="S121" s="187"/>
      <c r="T121" s="186"/>
      <c r="U121" s="134"/>
      <c r="V121" s="134"/>
      <c r="W121" s="134"/>
      <c r="X121" s="187"/>
      <c r="Y121" s="11"/>
      <c r="AH121" s="113">
        <v>41664</v>
      </c>
      <c r="AI121" s="1">
        <v>1.0396800000000002</v>
      </c>
      <c r="AJ121" s="1">
        <v>1.305385945263374</v>
      </c>
      <c r="AK121" s="1">
        <v>42</v>
      </c>
      <c r="BK121" s="115">
        <v>41668</v>
      </c>
      <c r="BL121" s="112">
        <v>-0.23327999999999999</v>
      </c>
      <c r="BM121" s="112">
        <v>1.5991260277020405</v>
      </c>
      <c r="BN121" s="119">
        <v>47</v>
      </c>
      <c r="BX121">
        <v>0.65789852459403453</v>
      </c>
      <c r="BY121" s="34">
        <v>3.230673051636181</v>
      </c>
      <c r="CC121" s="208"/>
      <c r="CD121" s="208"/>
      <c r="CE121" s="208"/>
      <c r="CO121" s="112">
        <v>0.50772944608594051</v>
      </c>
      <c r="CP121" s="112">
        <v>2.9560266236699828</v>
      </c>
      <c r="CQ121" s="132">
        <v>0</v>
      </c>
      <c r="CS121" s="112">
        <v>1.8725532979813202</v>
      </c>
      <c r="CT121" s="100">
        <v>1.7149452480592271</v>
      </c>
      <c r="CU121" s="132">
        <v>6</v>
      </c>
      <c r="DJ121" s="191"/>
      <c r="DK121" s="191">
        <v>3.3132409376518037</v>
      </c>
      <c r="DL121" s="193">
        <v>1</v>
      </c>
    </row>
    <row r="122" spans="1:116">
      <c r="A122" s="3">
        <f t="shared" si="8"/>
        <v>41663</v>
      </c>
      <c r="D122" s="127"/>
      <c r="E122" s="35">
        <f t="shared" si="9"/>
        <v>41663</v>
      </c>
      <c r="H122" s="128"/>
      <c r="I122" s="101">
        <f t="shared" si="10"/>
        <v>41663</v>
      </c>
      <c r="J122" s="109">
        <f>'Tank Data'!X122</f>
        <v>0.34718426852914031</v>
      </c>
      <c r="K122" s="109">
        <f>'Tank Data'!U122</f>
        <v>1.7063139702099981</v>
      </c>
      <c r="L122" s="130">
        <v>41</v>
      </c>
      <c r="M122" s="167">
        <f t="shared" si="11"/>
        <v>41663</v>
      </c>
      <c r="N122" s="170">
        <f>'Tank Data'!AF122</f>
        <v>0.42624000000000006</v>
      </c>
      <c r="O122" s="170">
        <f>'Tank Data'!AC122</f>
        <v>1.3276139702099985</v>
      </c>
      <c r="P122" s="171">
        <v>41</v>
      </c>
      <c r="R122" s="185"/>
      <c r="S122" s="187"/>
      <c r="T122" s="186"/>
      <c r="U122" s="134"/>
      <c r="V122" s="134"/>
      <c r="W122" s="134"/>
      <c r="X122" s="187"/>
      <c r="Y122" s="11"/>
      <c r="AH122" s="113">
        <v>41665</v>
      </c>
      <c r="AI122" s="1">
        <v>2.6783999999999999E-2</v>
      </c>
      <c r="AJ122" s="1">
        <v>1.2829575198718639</v>
      </c>
      <c r="AK122" s="1">
        <v>43</v>
      </c>
      <c r="BK122" s="115">
        <v>41669</v>
      </c>
      <c r="BL122" s="112">
        <v>-7.1856000000000003E-2</v>
      </c>
      <c r="BM122" s="112">
        <v>1.5776430056676023</v>
      </c>
      <c r="BN122" s="119">
        <v>48</v>
      </c>
      <c r="BX122">
        <v>1.584563958071205</v>
      </c>
      <c r="BY122" s="34">
        <v>3.125172024677358</v>
      </c>
      <c r="CC122" s="208"/>
      <c r="CD122" s="208"/>
      <c r="CE122" s="208"/>
      <c r="CO122" s="112">
        <v>0.65789852459403453</v>
      </c>
      <c r="CP122" s="112">
        <v>3.230673051636181</v>
      </c>
      <c r="CQ122" s="132">
        <v>0</v>
      </c>
      <c r="CS122" s="112">
        <v>0.16616863489916991</v>
      </c>
      <c r="CT122" s="100">
        <v>1.4215358193055381</v>
      </c>
      <c r="CU122" s="132">
        <v>6</v>
      </c>
      <c r="DJ122" s="191">
        <v>1.6519032736952086</v>
      </c>
      <c r="DK122" s="191">
        <v>3.1776802121516301</v>
      </c>
      <c r="DL122" s="193">
        <v>1</v>
      </c>
    </row>
    <row r="123" spans="1:116">
      <c r="A123" s="3">
        <f t="shared" si="8"/>
        <v>41664</v>
      </c>
      <c r="D123" s="127"/>
      <c r="E123" s="35">
        <f t="shared" si="9"/>
        <v>41664</v>
      </c>
      <c r="H123" s="128"/>
      <c r="I123" s="101">
        <f t="shared" si="10"/>
        <v>41664</v>
      </c>
      <c r="J123" s="109">
        <f>'Tank Data'!X123</f>
        <v>-0.47808</v>
      </c>
      <c r="K123" s="109">
        <f>'Tank Data'!U123</f>
        <v>1.6838859452633741</v>
      </c>
      <c r="L123" s="130">
        <v>42</v>
      </c>
      <c r="M123" s="167">
        <f t="shared" si="11"/>
        <v>41664</v>
      </c>
      <c r="N123" s="170">
        <f>'Tank Data'!AF123</f>
        <v>1.0396800000000002</v>
      </c>
      <c r="O123" s="170">
        <f>'Tank Data'!AC123</f>
        <v>1.305385945263374</v>
      </c>
      <c r="P123" s="171">
        <v>42</v>
      </c>
      <c r="R123" s="185"/>
      <c r="S123" s="187"/>
      <c r="T123" s="186"/>
      <c r="U123" s="134"/>
      <c r="V123" s="134"/>
      <c r="W123" s="134"/>
      <c r="X123" s="187"/>
      <c r="Y123" s="11"/>
      <c r="AH123" s="113">
        <v>41666</v>
      </c>
      <c r="AI123" s="1">
        <v>-1.2830399999999999E-2</v>
      </c>
      <c r="AJ123" s="1">
        <v>1.2593783796036564</v>
      </c>
      <c r="AK123" s="1">
        <v>44</v>
      </c>
      <c r="BK123" s="115">
        <v>41670</v>
      </c>
      <c r="BL123" s="112">
        <v>-0.14371200000000001</v>
      </c>
      <c r="BM123" s="112">
        <v>1.5563562973899845</v>
      </c>
      <c r="BN123" s="119">
        <v>49</v>
      </c>
      <c r="BX123">
        <v>1.8834516113750797</v>
      </c>
      <c r="BY123" s="34">
        <v>2.9501452480592274</v>
      </c>
      <c r="CC123" s="208"/>
      <c r="CD123" s="208"/>
      <c r="CE123" s="208"/>
      <c r="CO123" s="112">
        <v>-1.6312359796333313</v>
      </c>
      <c r="CP123" s="112">
        <v>3.2119814440322791</v>
      </c>
      <c r="CQ123" s="132">
        <v>0</v>
      </c>
      <c r="CS123" s="112">
        <v>0.48779815138875576</v>
      </c>
      <c r="CT123" s="100">
        <v>1.2057875728895202</v>
      </c>
      <c r="CU123" s="132">
        <v>6</v>
      </c>
      <c r="DJ123" s="191">
        <v>0.72846457203397852</v>
      </c>
      <c r="DK123" s="191">
        <v>3.1474530186407694</v>
      </c>
      <c r="DL123" s="193">
        <v>1</v>
      </c>
    </row>
    <row r="124" spans="1:116">
      <c r="A124" s="3">
        <f t="shared" si="8"/>
        <v>41665</v>
      </c>
      <c r="D124" s="127"/>
      <c r="E124" s="35">
        <f t="shared" si="9"/>
        <v>41665</v>
      </c>
      <c r="H124" s="128"/>
      <c r="I124" s="101">
        <f t="shared" si="10"/>
        <v>41665</v>
      </c>
      <c r="J124" s="109">
        <f>'Tank Data'!X124</f>
        <v>-0.15984000000000001</v>
      </c>
      <c r="K124" s="109">
        <f>'Tank Data'!U124</f>
        <v>1.6634575198718646</v>
      </c>
      <c r="L124" s="130">
        <v>43</v>
      </c>
      <c r="M124" s="167">
        <f t="shared" si="11"/>
        <v>41665</v>
      </c>
      <c r="N124" s="170">
        <f>'Tank Data'!AF124</f>
        <v>2.6783999999999999E-2</v>
      </c>
      <c r="O124" s="170">
        <f>'Tank Data'!AC124</f>
        <v>1.2829575198718639</v>
      </c>
      <c r="P124" s="171">
        <v>43</v>
      </c>
      <c r="R124" s="185"/>
      <c r="S124" s="187"/>
      <c r="T124" s="186"/>
      <c r="U124" s="134"/>
      <c r="V124" s="134"/>
      <c r="W124" s="134"/>
      <c r="X124" s="187"/>
      <c r="Y124" s="11"/>
      <c r="AH124" s="113">
        <v>41667</v>
      </c>
      <c r="AI124" s="1">
        <v>9.6192E-2</v>
      </c>
      <c r="AJ124" s="1">
        <v>1.2354814463819692</v>
      </c>
      <c r="AK124" s="1">
        <v>45</v>
      </c>
      <c r="BK124" s="115">
        <v>41671</v>
      </c>
      <c r="BL124" s="112">
        <v>-6.3072000000000003E-2</v>
      </c>
      <c r="BM124" s="112">
        <v>1.5351661054413257</v>
      </c>
      <c r="BN124" s="112">
        <v>50</v>
      </c>
      <c r="BX124">
        <v>-0.31362669262713816</v>
      </c>
      <c r="BY124" s="34">
        <v>2.9242742858665238</v>
      </c>
      <c r="CC124" s="208"/>
      <c r="CD124" s="208"/>
      <c r="CE124" s="208"/>
      <c r="CO124" s="112">
        <v>2.4109397683936313</v>
      </c>
      <c r="CP124" s="112">
        <v>3.1047231540970941</v>
      </c>
      <c r="CQ124" s="132">
        <v>0</v>
      </c>
      <c r="CS124" s="112"/>
      <c r="CT124" s="100">
        <v>2.3528955413438131</v>
      </c>
      <c r="CU124" s="132">
        <v>7</v>
      </c>
      <c r="DJ124" s="191"/>
      <c r="DK124" s="191">
        <v>2.928978358456428</v>
      </c>
      <c r="DL124" s="193">
        <v>1</v>
      </c>
    </row>
    <row r="125" spans="1:116">
      <c r="A125" s="3">
        <f t="shared" si="8"/>
        <v>41666</v>
      </c>
      <c r="D125" s="127"/>
      <c r="E125" s="35">
        <f t="shared" si="9"/>
        <v>41666</v>
      </c>
      <c r="H125" s="128"/>
      <c r="I125" s="101">
        <f t="shared" si="10"/>
        <v>41666</v>
      </c>
      <c r="J125" s="109">
        <f>'Tank Data'!X125</f>
        <v>-0.41039999999999999</v>
      </c>
      <c r="K125" s="109">
        <f>'Tank Data'!U125</f>
        <v>1.6420783796036555</v>
      </c>
      <c r="L125" s="130">
        <v>44</v>
      </c>
      <c r="M125" s="167">
        <f t="shared" si="11"/>
        <v>41666</v>
      </c>
      <c r="N125" s="170">
        <f>'Tank Data'!AF125</f>
        <v>-1.2830399999999999E-2</v>
      </c>
      <c r="O125" s="170">
        <f>'Tank Data'!AC125</f>
        <v>1.2593783796036564</v>
      </c>
      <c r="P125" s="171">
        <v>44</v>
      </c>
      <c r="R125" s="185"/>
      <c r="S125" s="187"/>
      <c r="T125" s="186"/>
      <c r="U125" s="134"/>
      <c r="V125" s="134"/>
      <c r="W125" s="134"/>
      <c r="X125" s="187"/>
      <c r="Y125" s="11"/>
      <c r="AH125" s="113">
        <v>41668</v>
      </c>
      <c r="AI125" s="1">
        <v>0.18432000000000001</v>
      </c>
      <c r="AJ125" s="1">
        <v>1.2124260277020418</v>
      </c>
      <c r="AK125" s="1">
        <v>46</v>
      </c>
      <c r="BK125" s="115">
        <v>41672</v>
      </c>
      <c r="BL125" s="112">
        <v>5.7312000000000002E-2</v>
      </c>
      <c r="BM125" s="112">
        <v>1.5152657026467513</v>
      </c>
      <c r="BN125" s="112">
        <v>51</v>
      </c>
      <c r="BX125">
        <v>-1.2892189741377256</v>
      </c>
      <c r="BY125" s="34">
        <v>2.9012507692000664</v>
      </c>
      <c r="CC125" s="208"/>
      <c r="CD125" s="208"/>
      <c r="CE125" s="208"/>
      <c r="CO125" s="112">
        <v>-0.31362669262713816</v>
      </c>
      <c r="CP125" s="112">
        <v>2.9242742858665238</v>
      </c>
      <c r="CQ125" s="132">
        <v>0</v>
      </c>
      <c r="CS125" s="112">
        <v>0.6332647426895861</v>
      </c>
      <c r="CT125" s="100">
        <v>1.394499628031872</v>
      </c>
      <c r="CU125" s="132">
        <v>7</v>
      </c>
      <c r="DJ125" s="191">
        <v>0.68898463782179731</v>
      </c>
      <c r="DK125" s="191">
        <v>3.1923401297129619</v>
      </c>
      <c r="DL125" s="193">
        <v>1</v>
      </c>
    </row>
    <row r="126" spans="1:116">
      <c r="A126" s="3">
        <f t="shared" si="8"/>
        <v>41667</v>
      </c>
      <c r="D126" s="127"/>
      <c r="E126" s="35">
        <f t="shared" si="9"/>
        <v>41667</v>
      </c>
      <c r="H126" s="128"/>
      <c r="I126" s="101">
        <f t="shared" si="10"/>
        <v>41667</v>
      </c>
      <c r="J126" s="109">
        <f>'Tank Data'!X126</f>
        <v>-0.24191999999999997</v>
      </c>
      <c r="K126" s="109">
        <f>'Tank Data'!U126</f>
        <v>1.6201814463819708</v>
      </c>
      <c r="L126" s="130">
        <v>45</v>
      </c>
      <c r="M126" s="167">
        <f t="shared" si="11"/>
        <v>41667</v>
      </c>
      <c r="N126" s="170">
        <f>'Tank Data'!AF126</f>
        <v>9.6192E-2</v>
      </c>
      <c r="O126" s="170">
        <f>'Tank Data'!AC126</f>
        <v>1.2354814463819692</v>
      </c>
      <c r="P126" s="171">
        <v>45</v>
      </c>
      <c r="R126" s="185"/>
      <c r="S126" s="187"/>
      <c r="T126" s="186"/>
      <c r="U126" s="134"/>
      <c r="V126" s="134"/>
      <c r="W126" s="134"/>
      <c r="X126" s="187"/>
      <c r="Y126" s="11"/>
      <c r="AH126" s="113">
        <v>41669</v>
      </c>
      <c r="AI126" s="1">
        <v>-3.8736E-2</v>
      </c>
      <c r="AJ126" s="1">
        <v>1.1877430056676022</v>
      </c>
      <c r="AK126" s="1">
        <v>47</v>
      </c>
      <c r="BK126" s="115">
        <v>41673</v>
      </c>
      <c r="BL126" s="112">
        <v>0.11203199999999999</v>
      </c>
      <c r="BM126" s="112">
        <v>1.4951765329575299</v>
      </c>
      <c r="BN126" s="112">
        <v>52</v>
      </c>
      <c r="BY126" s="34">
        <v>2.8964924910133441</v>
      </c>
      <c r="CC126" s="208"/>
      <c r="CD126" s="208"/>
      <c r="CE126" s="208"/>
      <c r="CO126" s="112">
        <v>-1.2892189741377256</v>
      </c>
      <c r="CP126" s="112">
        <v>2.9012507692000664</v>
      </c>
      <c r="CQ126" s="132">
        <v>0</v>
      </c>
      <c r="CS126" s="112">
        <v>0.53833640298860119</v>
      </c>
      <c r="CT126" s="100">
        <v>1.1813288895585292</v>
      </c>
      <c r="CU126" s="132">
        <v>7</v>
      </c>
      <c r="DJ126" s="191">
        <v>1.9593647523468638</v>
      </c>
      <c r="DK126" s="191">
        <v>3.081513953762153</v>
      </c>
      <c r="DL126" s="193">
        <v>1</v>
      </c>
    </row>
    <row r="127" spans="1:116">
      <c r="A127" s="3">
        <f t="shared" si="8"/>
        <v>41668</v>
      </c>
      <c r="D127" s="127"/>
      <c r="E127" s="35">
        <f t="shared" si="9"/>
        <v>41668</v>
      </c>
      <c r="H127" s="128"/>
      <c r="I127" s="101">
        <f t="shared" si="10"/>
        <v>41668</v>
      </c>
      <c r="J127" s="109">
        <f>'Tank Data'!X127</f>
        <v>-0.23327999999999999</v>
      </c>
      <c r="K127" s="109">
        <f>'Tank Data'!U127</f>
        <v>1.5991260277020405</v>
      </c>
      <c r="L127" s="130">
        <v>46</v>
      </c>
      <c r="M127" s="167">
        <f t="shared" si="11"/>
        <v>41668</v>
      </c>
      <c r="N127" s="170">
        <f>'Tank Data'!AF127</f>
        <v>0.18432000000000001</v>
      </c>
      <c r="O127" s="170">
        <f>'Tank Data'!AC127</f>
        <v>1.2124260277020418</v>
      </c>
      <c r="P127" s="171">
        <v>46</v>
      </c>
      <c r="R127" s="185"/>
      <c r="S127" s="187"/>
      <c r="T127" s="186"/>
      <c r="U127" s="134"/>
      <c r="V127" s="134"/>
      <c r="W127" s="134"/>
      <c r="X127" s="187"/>
      <c r="Y127" s="11"/>
      <c r="AH127" s="113">
        <v>41670</v>
      </c>
      <c r="AI127" s="1">
        <v>0.11232</v>
      </c>
      <c r="AJ127" s="1">
        <v>1.1624562973899848</v>
      </c>
      <c r="AK127" s="1">
        <v>48</v>
      </c>
      <c r="BK127" s="115">
        <v>41674</v>
      </c>
      <c r="BL127" s="112">
        <v>-0.71279999999999999</v>
      </c>
      <c r="BM127" s="112">
        <v>1.4721573055512711</v>
      </c>
      <c r="BN127" s="112">
        <v>53</v>
      </c>
      <c r="BX127">
        <v>3.843219353434244</v>
      </c>
      <c r="BY127" s="34">
        <v>2.5918202734430693</v>
      </c>
      <c r="CC127" s="208"/>
      <c r="CD127" s="208"/>
      <c r="CE127" s="208"/>
      <c r="CO127" s="112">
        <v>1.3637236714245365E-2</v>
      </c>
      <c r="CP127" s="112">
        <v>2.8964924910133441</v>
      </c>
      <c r="CQ127" s="132">
        <v>0</v>
      </c>
      <c r="CS127" s="112">
        <v>1.0564485090813018</v>
      </c>
      <c r="CT127" s="100">
        <v>2.3232748912332295</v>
      </c>
      <c r="CU127" s="132">
        <v>8</v>
      </c>
      <c r="DJ127" s="191">
        <v>1.9871863646742542</v>
      </c>
      <c r="DK127" s="191">
        <v>2.8481693677426971</v>
      </c>
      <c r="DL127" s="193">
        <v>1</v>
      </c>
    </row>
    <row r="128" spans="1:116">
      <c r="A128" s="3">
        <f t="shared" si="8"/>
        <v>41669</v>
      </c>
      <c r="D128" s="127"/>
      <c r="E128" s="35">
        <f t="shared" si="9"/>
        <v>41669</v>
      </c>
      <c r="H128" s="128"/>
      <c r="I128" s="101">
        <f t="shared" si="10"/>
        <v>41669</v>
      </c>
      <c r="J128" s="109">
        <f>'Tank Data'!X128</f>
        <v>-7.1856000000000003E-2</v>
      </c>
      <c r="K128" s="109">
        <f>'Tank Data'!U128</f>
        <v>1.5776430056676023</v>
      </c>
      <c r="L128" s="130">
        <v>47</v>
      </c>
      <c r="M128" s="167">
        <f t="shared" si="11"/>
        <v>41669</v>
      </c>
      <c r="N128" s="170">
        <f>'Tank Data'!AF128</f>
        <v>-3.8736E-2</v>
      </c>
      <c r="O128" s="170">
        <f>'Tank Data'!AC128</f>
        <v>1.1877430056676022</v>
      </c>
      <c r="P128" s="171">
        <v>47</v>
      </c>
      <c r="R128" s="185"/>
      <c r="S128" s="187"/>
      <c r="T128" s="186"/>
      <c r="U128" s="134"/>
      <c r="V128" s="134"/>
      <c r="W128" s="134"/>
      <c r="X128" s="187"/>
      <c r="Y128" s="11"/>
      <c r="AH128" s="113">
        <v>41671</v>
      </c>
      <c r="AI128" s="1">
        <v>0.30528</v>
      </c>
      <c r="AJ128" s="1">
        <v>1.1376661054413257</v>
      </c>
      <c r="AK128" s="1">
        <v>49</v>
      </c>
      <c r="BK128" s="115">
        <v>41675</v>
      </c>
      <c r="BL128" s="112">
        <v>-0.66527999999999998</v>
      </c>
      <c r="BM128" s="112">
        <v>1.4525552539833169</v>
      </c>
      <c r="BN128" s="112">
        <v>54</v>
      </c>
      <c r="BY128" s="34">
        <v>2.588757282054349</v>
      </c>
      <c r="CC128" s="208"/>
      <c r="CD128" s="208"/>
      <c r="CE128" s="208"/>
      <c r="CO128" s="112">
        <v>1.4266914446650907</v>
      </c>
      <c r="CP128" s="112">
        <v>2.8756663033140768</v>
      </c>
      <c r="CQ128" s="132">
        <v>0</v>
      </c>
      <c r="CS128" s="112">
        <v>-7.3245941647176627E-2</v>
      </c>
      <c r="CT128" s="100">
        <v>1.3708202734430697</v>
      </c>
      <c r="CU128" s="132">
        <v>8</v>
      </c>
      <c r="DJ128" s="191">
        <v>1.3</v>
      </c>
      <c r="DK128" s="191">
        <v>2.5973162032028565</v>
      </c>
      <c r="DL128" s="193">
        <v>1</v>
      </c>
    </row>
    <row r="129" spans="1:116">
      <c r="A129" s="3">
        <f t="shared" si="8"/>
        <v>41670</v>
      </c>
      <c r="D129" s="127"/>
      <c r="E129" s="35">
        <f t="shared" si="9"/>
        <v>41670</v>
      </c>
      <c r="H129" s="128"/>
      <c r="I129" s="101">
        <f t="shared" si="10"/>
        <v>41670</v>
      </c>
      <c r="J129" s="109">
        <f>'Tank Data'!X129</f>
        <v>-0.14371200000000001</v>
      </c>
      <c r="K129" s="109">
        <f>'Tank Data'!U129</f>
        <v>1.5563562973899845</v>
      </c>
      <c r="L129" s="130">
        <v>48</v>
      </c>
      <c r="M129" s="167">
        <f t="shared" si="11"/>
        <v>41670</v>
      </c>
      <c r="N129" s="170">
        <f>'Tank Data'!AF129</f>
        <v>0.11232</v>
      </c>
      <c r="O129" s="170">
        <f>'Tank Data'!AC129</f>
        <v>1.1624562973899848</v>
      </c>
      <c r="P129" s="171">
        <v>48</v>
      </c>
      <c r="R129" s="185"/>
      <c r="S129" s="187"/>
      <c r="T129" s="186"/>
      <c r="U129" s="134"/>
      <c r="V129" s="134"/>
      <c r="W129" s="134"/>
      <c r="X129" s="187"/>
      <c r="Y129" s="11"/>
      <c r="AH129" s="113">
        <v>41672</v>
      </c>
      <c r="AI129" s="1">
        <v>-0.17712</v>
      </c>
      <c r="AJ129" s="1">
        <v>1.112165702646752</v>
      </c>
      <c r="AK129" s="1">
        <v>50</v>
      </c>
      <c r="BK129" s="115">
        <v>41676</v>
      </c>
      <c r="BL129" s="112">
        <v>-1.2369600000000001</v>
      </c>
      <c r="BM129" s="112">
        <v>1.4321198800472623</v>
      </c>
      <c r="BN129" s="112">
        <v>55</v>
      </c>
      <c r="BY129" s="34">
        <v>3.3345159959313371</v>
      </c>
      <c r="CC129" s="208"/>
      <c r="CD129" s="208"/>
      <c r="CE129" s="208"/>
      <c r="CO129" s="112">
        <v>-3.8487165118392443</v>
      </c>
      <c r="CP129" s="112">
        <v>2.588757282054349</v>
      </c>
      <c r="CQ129" s="132">
        <v>0</v>
      </c>
      <c r="CS129" s="112">
        <v>1.0346279026653047</v>
      </c>
      <c r="CT129" s="100">
        <v>1.1558933107006486</v>
      </c>
      <c r="CU129" s="132">
        <v>8</v>
      </c>
      <c r="DJ129" s="195"/>
      <c r="DK129" s="196">
        <v>3.0421924557679625</v>
      </c>
      <c r="DL129" s="197">
        <v>2</v>
      </c>
    </row>
    <row r="130" spans="1:116">
      <c r="A130" s="3">
        <f t="shared" si="8"/>
        <v>41671</v>
      </c>
      <c r="D130" s="127"/>
      <c r="E130" s="35">
        <f t="shared" si="9"/>
        <v>41671</v>
      </c>
      <c r="H130" s="128"/>
      <c r="I130" s="101">
        <f t="shared" si="10"/>
        <v>41671</v>
      </c>
      <c r="J130" s="109">
        <f>'Tank Data'!X130</f>
        <v>-6.3072000000000003E-2</v>
      </c>
      <c r="K130" s="109">
        <f>'Tank Data'!U130</f>
        <v>1.5351661054413257</v>
      </c>
      <c r="L130" s="130">
        <v>49</v>
      </c>
      <c r="M130" s="167">
        <f t="shared" si="11"/>
        <v>41671</v>
      </c>
      <c r="N130" s="170">
        <f>'Tank Data'!AF130</f>
        <v>0.30528</v>
      </c>
      <c r="O130" s="170">
        <f>'Tank Data'!AC130</f>
        <v>1.1376661054413257</v>
      </c>
      <c r="P130" s="171">
        <v>49</v>
      </c>
      <c r="R130" s="185"/>
      <c r="S130" s="187"/>
      <c r="T130" s="186"/>
      <c r="U130" s="134"/>
      <c r="V130" s="134"/>
      <c r="W130" s="134"/>
      <c r="X130" s="187"/>
      <c r="Y130" s="11"/>
      <c r="AH130" s="113">
        <v>41673</v>
      </c>
      <c r="AI130" s="1">
        <v>-4.8528000000000002E-2</v>
      </c>
      <c r="AJ130" s="1">
        <v>1.08927653295753</v>
      </c>
      <c r="AK130" s="1">
        <v>51</v>
      </c>
      <c r="BK130" s="115">
        <v>41677</v>
      </c>
      <c r="BL130" s="112">
        <v>-1.04112</v>
      </c>
      <c r="BM130" s="112">
        <v>1.4101740691962346</v>
      </c>
      <c r="BN130" s="112">
        <v>56</v>
      </c>
      <c r="BX130">
        <v>0.91553738748878255</v>
      </c>
      <c r="BY130" s="34">
        <v>3.4088947052086631</v>
      </c>
      <c r="CC130" s="208"/>
      <c r="CD130" s="208"/>
      <c r="CE130" s="208"/>
      <c r="CO130" s="112">
        <v>1.79830026085901</v>
      </c>
      <c r="CP130" s="112">
        <v>2.6219521919043878</v>
      </c>
      <c r="CQ130" s="132">
        <v>0</v>
      </c>
      <c r="CS130" s="112">
        <v>1.440537730474329</v>
      </c>
      <c r="CT130" s="100">
        <v>2.2819939113679717</v>
      </c>
      <c r="CU130" s="132">
        <v>9</v>
      </c>
      <c r="DJ130" s="195"/>
      <c r="DK130" s="196">
        <v>2.8401098576753268</v>
      </c>
      <c r="DL130" s="197">
        <v>2</v>
      </c>
    </row>
    <row r="131" spans="1:116">
      <c r="A131" s="3">
        <f t="shared" si="8"/>
        <v>41672</v>
      </c>
      <c r="D131" s="127"/>
      <c r="E131" s="35">
        <f t="shared" si="9"/>
        <v>41672</v>
      </c>
      <c r="H131" s="128"/>
      <c r="I131" s="101">
        <f t="shared" si="10"/>
        <v>41672</v>
      </c>
      <c r="J131" s="109">
        <f>'Tank Data'!X131</f>
        <v>5.7312000000000002E-2</v>
      </c>
      <c r="K131" s="109">
        <f>'Tank Data'!U131</f>
        <v>1.5152657026467513</v>
      </c>
      <c r="L131" s="130">
        <v>50</v>
      </c>
      <c r="M131" s="167">
        <f t="shared" si="11"/>
        <v>41672</v>
      </c>
      <c r="N131" s="170">
        <f>'Tank Data'!AF131</f>
        <v>-0.17712</v>
      </c>
      <c r="O131" s="170">
        <f>'Tank Data'!AC131</f>
        <v>1.112165702646752</v>
      </c>
      <c r="P131" s="171">
        <v>50</v>
      </c>
      <c r="R131" s="185"/>
      <c r="S131" s="187"/>
      <c r="T131" s="186"/>
      <c r="U131" s="134"/>
      <c r="V131" s="134"/>
      <c r="W131" s="134"/>
      <c r="X131" s="187"/>
      <c r="Y131" s="11"/>
      <c r="AH131" s="113">
        <v>41674</v>
      </c>
      <c r="AI131" s="1">
        <v>0.12844800000000001</v>
      </c>
      <c r="AJ131" s="1">
        <v>1.0646573055512696</v>
      </c>
      <c r="AK131" s="1">
        <v>52</v>
      </c>
      <c r="BK131" s="115">
        <v>41678</v>
      </c>
      <c r="BL131" s="112">
        <v>-0.87696000000000007</v>
      </c>
      <c r="BM131" s="112">
        <v>1.3890292876537189</v>
      </c>
      <c r="BN131" s="112">
        <v>57</v>
      </c>
      <c r="BX131">
        <v>1.040330079033325</v>
      </c>
      <c r="BY131" s="34">
        <v>3.3914924557679615</v>
      </c>
      <c r="CC131" s="208"/>
      <c r="CD131" s="208"/>
      <c r="CE131" s="208"/>
      <c r="CO131" s="112"/>
      <c r="CP131" s="112">
        <v>3.3345159959313371</v>
      </c>
      <c r="CQ131" s="132">
        <v>1</v>
      </c>
      <c r="CS131" s="112">
        <v>0.50575015825164782</v>
      </c>
      <c r="CT131" s="100">
        <v>1.1294738854216377</v>
      </c>
      <c r="CU131" s="132">
        <v>9</v>
      </c>
      <c r="DJ131" s="195">
        <v>0.88996141782315863</v>
      </c>
      <c r="DK131" s="196">
        <v>2.531948719981806</v>
      </c>
      <c r="DL131" s="197">
        <v>2</v>
      </c>
    </row>
    <row r="132" spans="1:116">
      <c r="A132" s="3">
        <f t="shared" si="8"/>
        <v>41673</v>
      </c>
      <c r="D132" s="127"/>
      <c r="E132" s="35">
        <f t="shared" si="9"/>
        <v>41673</v>
      </c>
      <c r="H132" s="128"/>
      <c r="I132" s="101">
        <f t="shared" si="10"/>
        <v>41673</v>
      </c>
      <c r="J132" s="109">
        <f>'Tank Data'!X132</f>
        <v>0.11203199999999999</v>
      </c>
      <c r="K132" s="109">
        <f>'Tank Data'!U132</f>
        <v>1.4951765329575299</v>
      </c>
      <c r="L132" s="130">
        <v>51</v>
      </c>
      <c r="M132" s="167">
        <f t="shared" si="11"/>
        <v>41673</v>
      </c>
      <c r="N132" s="170">
        <f>'Tank Data'!AF132</f>
        <v>-4.8528000000000002E-2</v>
      </c>
      <c r="O132" s="170">
        <f>'Tank Data'!AC132</f>
        <v>1.08927653295753</v>
      </c>
      <c r="P132" s="171">
        <v>51</v>
      </c>
      <c r="R132" s="185"/>
      <c r="S132" s="187"/>
      <c r="T132" s="186"/>
      <c r="U132" s="134"/>
      <c r="V132" s="134"/>
      <c r="W132" s="134"/>
      <c r="X132" s="187"/>
      <c r="Y132" s="11"/>
      <c r="AH132" s="113">
        <v>41675</v>
      </c>
      <c r="AI132" s="1">
        <v>0.22320000000000001</v>
      </c>
      <c r="AJ132" s="1">
        <v>1.0399552539833183</v>
      </c>
      <c r="AK132" s="1">
        <v>53</v>
      </c>
      <c r="BK132" s="115">
        <v>41679</v>
      </c>
      <c r="BL132" s="112">
        <v>-0.98352000000000006</v>
      </c>
      <c r="BM132" s="112">
        <v>1.3675225346322315</v>
      </c>
      <c r="BN132" s="112">
        <v>58</v>
      </c>
      <c r="BX132">
        <v>0.44584364583151009</v>
      </c>
      <c r="BY132" s="34">
        <v>3.3132409376518037</v>
      </c>
      <c r="CC132" s="208"/>
      <c r="CD132" s="208"/>
      <c r="CE132" s="208"/>
      <c r="CO132" s="112"/>
      <c r="CP132" s="112">
        <v>3.4088947052086631</v>
      </c>
      <c r="CQ132" s="132">
        <v>1</v>
      </c>
      <c r="CS132" s="112">
        <v>0.33267904186875269</v>
      </c>
      <c r="CT132" s="100">
        <v>1.1028156048852229</v>
      </c>
      <c r="CU132" s="132">
        <v>10</v>
      </c>
      <c r="DJ132" s="195">
        <v>1.3411488375636851</v>
      </c>
      <c r="DK132" s="196">
        <v>2.1246155743392241</v>
      </c>
      <c r="DL132" s="197">
        <v>2</v>
      </c>
    </row>
    <row r="133" spans="1:116">
      <c r="A133" s="3">
        <f t="shared" si="8"/>
        <v>41674</v>
      </c>
      <c r="D133" s="127"/>
      <c r="E133" s="35">
        <f t="shared" si="9"/>
        <v>41674</v>
      </c>
      <c r="H133" s="128"/>
      <c r="I133" s="101">
        <f t="shared" si="10"/>
        <v>41674</v>
      </c>
      <c r="J133" s="109">
        <f>'Tank Data'!X133</f>
        <v>-0.71279999999999999</v>
      </c>
      <c r="K133" s="109">
        <f>'Tank Data'!U133</f>
        <v>1.4721573055512711</v>
      </c>
      <c r="L133" s="130">
        <v>52</v>
      </c>
      <c r="M133" s="167">
        <f t="shared" si="11"/>
        <v>41674</v>
      </c>
      <c r="N133" s="170">
        <f>'Tank Data'!AF133</f>
        <v>0.12844800000000001</v>
      </c>
      <c r="O133" s="170">
        <f>'Tank Data'!AC133</f>
        <v>1.0646573055512696</v>
      </c>
      <c r="P133" s="171">
        <v>52</v>
      </c>
      <c r="R133" s="185"/>
      <c r="S133" s="187"/>
      <c r="T133" s="186"/>
      <c r="U133" s="134"/>
      <c r="V133" s="134"/>
      <c r="W133" s="134"/>
      <c r="X133" s="187"/>
      <c r="Y133" s="11"/>
      <c r="AH133" s="113">
        <v>41676</v>
      </c>
      <c r="AI133" s="1">
        <v>-0.97776000000000007</v>
      </c>
      <c r="AJ133" s="1">
        <v>1.0165198800472619</v>
      </c>
      <c r="AK133" s="1">
        <v>54</v>
      </c>
      <c r="BK133" s="115">
        <v>41680</v>
      </c>
      <c r="BL133" s="112">
        <v>-1.05264</v>
      </c>
      <c r="BM133" s="112">
        <v>1.3459656861989058</v>
      </c>
      <c r="BN133" s="112">
        <v>59</v>
      </c>
      <c r="BX133">
        <v>1.6519032736952086</v>
      </c>
      <c r="BY133" s="34">
        <v>3.1776802121516301</v>
      </c>
      <c r="CC133" s="208"/>
      <c r="CD133" s="208"/>
      <c r="CE133" s="208"/>
      <c r="CO133" s="112"/>
      <c r="CP133" s="112">
        <v>3.3132409376518037</v>
      </c>
      <c r="CQ133" s="132">
        <v>1</v>
      </c>
      <c r="CS133" s="112">
        <v>0.44862994717123472</v>
      </c>
      <c r="CT133" s="100">
        <v>1.0784434202106383</v>
      </c>
      <c r="CU133" s="132">
        <v>11</v>
      </c>
      <c r="DJ133" s="195">
        <v>0.94191037495527274</v>
      </c>
      <c r="DK133" s="196">
        <v>1.8739722295991847</v>
      </c>
      <c r="DL133" s="197">
        <v>2</v>
      </c>
    </row>
    <row r="134" spans="1:116">
      <c r="A134" s="3">
        <f t="shared" si="8"/>
        <v>41675</v>
      </c>
      <c r="D134" s="127"/>
      <c r="E134" s="35">
        <f t="shared" si="9"/>
        <v>41675</v>
      </c>
      <c r="H134" s="128"/>
      <c r="I134" s="101">
        <f t="shared" si="10"/>
        <v>41675</v>
      </c>
      <c r="J134" s="109">
        <f>'Tank Data'!X134</f>
        <v>-0.66527999999999998</v>
      </c>
      <c r="K134" s="109">
        <f>'Tank Data'!U134</f>
        <v>1.4525552539833169</v>
      </c>
      <c r="L134" s="130">
        <v>53</v>
      </c>
      <c r="M134" s="167">
        <f t="shared" si="11"/>
        <v>41675</v>
      </c>
      <c r="N134" s="170">
        <f>'Tank Data'!AF134</f>
        <v>0.22320000000000001</v>
      </c>
      <c r="O134" s="170">
        <f>'Tank Data'!AC134</f>
        <v>1.0399552539833183</v>
      </c>
      <c r="P134" s="171">
        <v>53</v>
      </c>
      <c r="R134" s="185"/>
      <c r="S134" s="187"/>
      <c r="T134" s="186"/>
      <c r="U134" s="134"/>
      <c r="V134" s="134"/>
      <c r="W134" s="134"/>
      <c r="X134" s="187"/>
      <c r="Y134" s="11"/>
      <c r="AH134" s="113">
        <v>41677</v>
      </c>
      <c r="AI134" s="1">
        <v>-0.54576000000000002</v>
      </c>
      <c r="AJ134" s="1">
        <v>0.99477406919623368</v>
      </c>
      <c r="AK134" s="1">
        <v>55</v>
      </c>
      <c r="BK134" s="115">
        <v>41681</v>
      </c>
      <c r="BL134" s="112">
        <v>-0.98063999999999996</v>
      </c>
      <c r="BM134" s="112">
        <v>1.3257501426861293</v>
      </c>
      <c r="BN134" s="112">
        <v>60</v>
      </c>
      <c r="BX134">
        <v>0.72846457203397852</v>
      </c>
      <c r="BY134" s="34">
        <v>3.1474530186407694</v>
      </c>
      <c r="CC134" s="208"/>
      <c r="CD134" s="208"/>
      <c r="CE134" s="208"/>
      <c r="CO134" s="112">
        <v>1.6519032736952086</v>
      </c>
      <c r="CP134" s="112">
        <v>3.1776802121516301</v>
      </c>
      <c r="CQ134" s="132">
        <v>1</v>
      </c>
      <c r="CS134" s="112">
        <v>1.582252434935534</v>
      </c>
      <c r="CT134" s="100">
        <v>1.0514010906809603</v>
      </c>
      <c r="CU134" s="132">
        <v>12</v>
      </c>
      <c r="DJ134" s="195">
        <v>0.5269791818641737</v>
      </c>
      <c r="DK134" s="196">
        <v>1.5350550443621054</v>
      </c>
      <c r="DL134" s="197">
        <v>2</v>
      </c>
    </row>
    <row r="135" spans="1:116">
      <c r="A135" s="3">
        <f t="shared" si="8"/>
        <v>41676</v>
      </c>
      <c r="D135" s="127"/>
      <c r="E135" s="35">
        <f t="shared" si="9"/>
        <v>41676</v>
      </c>
      <c r="H135" s="128"/>
      <c r="I135" s="101">
        <f t="shared" si="10"/>
        <v>41676</v>
      </c>
      <c r="J135" s="109">
        <f>'Tank Data'!X135</f>
        <v>-1.2369600000000001</v>
      </c>
      <c r="K135" s="109">
        <f>'Tank Data'!U135</f>
        <v>1.4321198800472623</v>
      </c>
      <c r="L135" s="130">
        <v>54</v>
      </c>
      <c r="M135" s="167">
        <f t="shared" si="11"/>
        <v>41676</v>
      </c>
      <c r="N135" s="170">
        <f>'Tank Data'!AF135</f>
        <v>-0.97776000000000007</v>
      </c>
      <c r="O135" s="170">
        <f>'Tank Data'!AC135</f>
        <v>1.0165198800472619</v>
      </c>
      <c r="P135" s="171">
        <v>54</v>
      </c>
      <c r="R135" s="185"/>
      <c r="S135" s="187"/>
      <c r="T135" s="186"/>
      <c r="U135" s="134"/>
      <c r="V135" s="134"/>
      <c r="W135" s="134"/>
      <c r="X135" s="187"/>
      <c r="Y135" s="11"/>
      <c r="AH135" s="113">
        <v>41678</v>
      </c>
      <c r="AI135" s="1">
        <v>-0.30528</v>
      </c>
      <c r="AJ135" s="1">
        <v>0.97102928765371876</v>
      </c>
      <c r="AK135" s="1">
        <v>56</v>
      </c>
      <c r="BK135" s="115">
        <v>41682</v>
      </c>
      <c r="BL135" s="120">
        <v>-8.524799999999999E-2</v>
      </c>
      <c r="BM135" s="112">
        <v>1.3051910354133338</v>
      </c>
      <c r="BN135" s="112">
        <v>61</v>
      </c>
      <c r="BX135">
        <v>0.50772944608594051</v>
      </c>
      <c r="BY135" s="34">
        <v>2.9560266236699828</v>
      </c>
      <c r="CC135" s="208"/>
      <c r="CD135" s="208"/>
      <c r="CE135" s="208"/>
      <c r="CO135" s="112">
        <v>0.72846457203397852</v>
      </c>
      <c r="CP135" s="112">
        <v>3.1474530186407694</v>
      </c>
      <c r="CQ135" s="132">
        <v>1</v>
      </c>
      <c r="CS135" s="112">
        <v>0.82899079097128558</v>
      </c>
      <c r="CT135" s="100">
        <v>1.0209965847504816</v>
      </c>
      <c r="CU135" s="132">
        <v>13</v>
      </c>
      <c r="DJ135" s="195">
        <v>0.78827700599976136</v>
      </c>
      <c r="DK135" s="196">
        <v>1.3168452457095339</v>
      </c>
      <c r="DL135" s="197">
        <v>2</v>
      </c>
    </row>
    <row r="136" spans="1:116">
      <c r="A136" s="3">
        <f t="shared" si="8"/>
        <v>41677</v>
      </c>
      <c r="D136" s="127"/>
      <c r="E136" s="35">
        <f t="shared" si="9"/>
        <v>41677</v>
      </c>
      <c r="H136" s="128"/>
      <c r="I136" s="101">
        <f t="shared" si="10"/>
        <v>41677</v>
      </c>
      <c r="J136" s="109">
        <f>'Tank Data'!X136</f>
        <v>-1.04112</v>
      </c>
      <c r="K136" s="109">
        <f>'Tank Data'!U136</f>
        <v>1.4101740691962346</v>
      </c>
      <c r="L136" s="130">
        <v>55</v>
      </c>
      <c r="M136" s="167">
        <f t="shared" si="11"/>
        <v>41677</v>
      </c>
      <c r="N136" s="170">
        <f>'Tank Data'!AF136</f>
        <v>-0.54576000000000002</v>
      </c>
      <c r="O136" s="170">
        <f>'Tank Data'!AC136</f>
        <v>0.99477406919623368</v>
      </c>
      <c r="P136" s="171">
        <v>55</v>
      </c>
      <c r="R136" s="185"/>
      <c r="S136" s="187"/>
      <c r="T136" s="186"/>
      <c r="U136" s="134"/>
      <c r="V136" s="134"/>
      <c r="W136" s="134"/>
      <c r="X136" s="187"/>
      <c r="Y136" s="11"/>
      <c r="AH136" s="113">
        <v>41679</v>
      </c>
      <c r="AI136" s="1">
        <v>-0.4536</v>
      </c>
      <c r="AJ136" s="1">
        <v>0.94512253463223272</v>
      </c>
      <c r="AK136" s="1">
        <v>57</v>
      </c>
      <c r="BK136" s="115">
        <v>41683</v>
      </c>
      <c r="BL136" s="112">
        <v>0.12196799999999999</v>
      </c>
      <c r="BM136" s="112">
        <v>1.2847067908970122</v>
      </c>
      <c r="BN136" s="112">
        <v>62</v>
      </c>
      <c r="BX136">
        <v>-1.6312359796333313</v>
      </c>
      <c r="BY136" s="34">
        <v>3.2119814440322791</v>
      </c>
      <c r="CC136" s="208"/>
      <c r="CD136" s="208"/>
      <c r="CE136" s="208"/>
      <c r="CO136" s="112"/>
      <c r="CP136" s="112">
        <v>2.928978358456428</v>
      </c>
      <c r="CQ136" s="132">
        <v>1</v>
      </c>
      <c r="CS136" s="112">
        <v>0.72421991112869977</v>
      </c>
      <c r="CT136" s="100">
        <v>0.99228676730036958</v>
      </c>
      <c r="CU136" s="132">
        <v>14</v>
      </c>
      <c r="DJ136" s="191">
        <v>-0.81316758730067096</v>
      </c>
      <c r="DK136" s="191">
        <v>3.179992455767962</v>
      </c>
      <c r="DL136" s="191">
        <v>2</v>
      </c>
    </row>
    <row r="137" spans="1:116">
      <c r="A137" s="3">
        <f t="shared" si="8"/>
        <v>41678</v>
      </c>
      <c r="D137" s="127"/>
      <c r="E137" s="35">
        <f t="shared" si="9"/>
        <v>41678</v>
      </c>
      <c r="H137" s="128"/>
      <c r="I137" s="101">
        <f t="shared" si="10"/>
        <v>41678</v>
      </c>
      <c r="J137" s="109">
        <f>'Tank Data'!X137</f>
        <v>-0.87696000000000007</v>
      </c>
      <c r="K137" s="109">
        <f>'Tank Data'!U137</f>
        <v>1.3890292876537189</v>
      </c>
      <c r="L137" s="130">
        <v>56</v>
      </c>
      <c r="M137" s="167">
        <f t="shared" si="11"/>
        <v>41678</v>
      </c>
      <c r="N137" s="170">
        <f>'Tank Data'!AF137</f>
        <v>-0.30528</v>
      </c>
      <c r="O137" s="170">
        <f>'Tank Data'!AC137</f>
        <v>0.97102928765371876</v>
      </c>
      <c r="P137" s="171">
        <v>56</v>
      </c>
      <c r="R137" s="185"/>
      <c r="S137" s="187"/>
      <c r="T137" s="186"/>
      <c r="U137" s="134"/>
      <c r="V137" s="134"/>
      <c r="W137" s="134"/>
      <c r="X137" s="187"/>
      <c r="Y137" s="11"/>
      <c r="AH137" s="113">
        <v>41680</v>
      </c>
      <c r="AI137" s="1">
        <v>-0.61199999999999999</v>
      </c>
      <c r="AJ137" s="1">
        <v>0.92076568619890642</v>
      </c>
      <c r="AK137" s="1">
        <v>58</v>
      </c>
      <c r="BK137" s="115">
        <v>41684</v>
      </c>
      <c r="BL137" s="112">
        <v>0.74015999999999993</v>
      </c>
      <c r="BM137" s="112">
        <v>1.2617270452620954</v>
      </c>
      <c r="BN137" s="112">
        <v>63</v>
      </c>
      <c r="BX137">
        <v>2.4109397683936313</v>
      </c>
      <c r="BY137" s="34">
        <v>3.1047231540970941</v>
      </c>
      <c r="CC137" s="208"/>
      <c r="CD137" s="208"/>
      <c r="CE137" s="208"/>
      <c r="CO137" s="112">
        <v>0.68898463782179731</v>
      </c>
      <c r="CP137" s="112">
        <v>3.1923401297129619</v>
      </c>
      <c r="CQ137" s="132">
        <v>1</v>
      </c>
      <c r="CS137" s="112">
        <v>0.12269001496789197</v>
      </c>
      <c r="CT137" s="100">
        <v>0.96585404559959065</v>
      </c>
      <c r="CU137" s="132">
        <v>15</v>
      </c>
      <c r="DJ137" s="191">
        <v>-0.18437699289918197</v>
      </c>
      <c r="DK137" s="191">
        <v>3.0740098576753261</v>
      </c>
      <c r="DL137" s="191">
        <v>2</v>
      </c>
    </row>
    <row r="138" spans="1:116">
      <c r="A138" s="3">
        <f t="shared" si="8"/>
        <v>41679</v>
      </c>
      <c r="D138" s="127"/>
      <c r="E138" s="35">
        <f t="shared" si="9"/>
        <v>41679</v>
      </c>
      <c r="H138" s="128"/>
      <c r="I138" s="101">
        <f t="shared" si="10"/>
        <v>41679</v>
      </c>
      <c r="J138" s="109">
        <f>'Tank Data'!X138</f>
        <v>-0.98352000000000006</v>
      </c>
      <c r="K138" s="109">
        <f>'Tank Data'!U138</f>
        <v>1.3675225346322315</v>
      </c>
      <c r="L138" s="130">
        <v>57</v>
      </c>
      <c r="M138" s="167">
        <f t="shared" si="11"/>
        <v>41679</v>
      </c>
      <c r="N138" s="170">
        <f>'Tank Data'!AF138</f>
        <v>-0.4536</v>
      </c>
      <c r="O138" s="170">
        <f>'Tank Data'!AC138</f>
        <v>0.94512253463223272</v>
      </c>
      <c r="P138" s="171">
        <v>57</v>
      </c>
      <c r="R138" s="185"/>
      <c r="S138" s="187"/>
      <c r="T138" s="186"/>
      <c r="U138" s="134"/>
      <c r="V138" s="134"/>
      <c r="W138" s="134"/>
      <c r="X138" s="187"/>
      <c r="Y138" s="11"/>
      <c r="AH138" s="113">
        <v>41681</v>
      </c>
      <c r="AI138" s="1">
        <v>-0.93455999999999995</v>
      </c>
      <c r="AJ138" s="1">
        <v>0.89365014268613008</v>
      </c>
      <c r="AK138" s="1">
        <v>59</v>
      </c>
      <c r="BK138" s="115">
        <v>41685</v>
      </c>
      <c r="BL138" s="112">
        <v>0.22320000000000001</v>
      </c>
      <c r="BM138" s="112">
        <v>1.2418932989521871</v>
      </c>
      <c r="BN138" s="112">
        <v>64</v>
      </c>
      <c r="BX138">
        <v>1.4266914446650907</v>
      </c>
      <c r="BY138" s="34">
        <v>2.8756663033140768</v>
      </c>
      <c r="CC138" s="208"/>
      <c r="CD138" s="208"/>
      <c r="CE138" s="208"/>
      <c r="CO138" s="112">
        <v>1.9593647523468638</v>
      </c>
      <c r="CP138" s="112">
        <v>3.081513953762153</v>
      </c>
      <c r="CQ138" s="132">
        <v>1</v>
      </c>
      <c r="CS138" s="112">
        <v>0.2350479561699633</v>
      </c>
      <c r="CT138" s="100">
        <v>0.94686099884352315</v>
      </c>
      <c r="CU138" s="132">
        <v>16</v>
      </c>
      <c r="DJ138" s="191">
        <v>-2.2699938135866562</v>
      </c>
      <c r="DK138" s="191">
        <v>2.8968487199818074</v>
      </c>
      <c r="DL138" s="191">
        <v>2</v>
      </c>
    </row>
    <row r="139" spans="1:116">
      <c r="A139" s="3">
        <f t="shared" si="8"/>
        <v>41680</v>
      </c>
      <c r="D139" s="127"/>
      <c r="E139" s="35">
        <f t="shared" si="9"/>
        <v>41680</v>
      </c>
      <c r="H139" s="128"/>
      <c r="I139" s="101">
        <f t="shared" si="10"/>
        <v>41680</v>
      </c>
      <c r="J139" s="109">
        <f>'Tank Data'!X139</f>
        <v>-1.05264</v>
      </c>
      <c r="K139" s="109">
        <f>'Tank Data'!U139</f>
        <v>1.3459656861989058</v>
      </c>
      <c r="L139" s="130">
        <v>58</v>
      </c>
      <c r="M139" s="167">
        <f t="shared" si="11"/>
        <v>41680</v>
      </c>
      <c r="N139" s="170">
        <f>'Tank Data'!AF139</f>
        <v>-0.61199999999999999</v>
      </c>
      <c r="O139" s="170">
        <f>'Tank Data'!AC139</f>
        <v>0.92076568619890642</v>
      </c>
      <c r="P139" s="171">
        <v>58</v>
      </c>
      <c r="R139" s="185"/>
      <c r="S139" s="187"/>
      <c r="T139" s="186"/>
      <c r="U139" s="134"/>
      <c r="V139" s="134"/>
      <c r="W139" s="134"/>
      <c r="X139" s="187"/>
      <c r="Y139" s="11"/>
      <c r="AH139" s="113">
        <v>41682</v>
      </c>
      <c r="AI139" s="1">
        <v>-0.12124800000000002</v>
      </c>
      <c r="AJ139" s="1">
        <v>0.86809103541333377</v>
      </c>
      <c r="AK139" s="1">
        <v>60</v>
      </c>
      <c r="BK139" s="115">
        <v>41686</v>
      </c>
      <c r="BL139" s="112">
        <v>0.19583999999999999</v>
      </c>
      <c r="BM139" s="112">
        <v>1.2223783631558125</v>
      </c>
      <c r="BN139" s="112">
        <v>65</v>
      </c>
      <c r="BX139">
        <v>1.79830026085901</v>
      </c>
      <c r="BY139" s="34">
        <v>2.6219521919043878</v>
      </c>
      <c r="CC139" s="208"/>
      <c r="CD139" s="208"/>
      <c r="CE139" s="208"/>
      <c r="CO139" s="112">
        <v>1.9871863646742542</v>
      </c>
      <c r="CP139" s="112">
        <v>2.8481693677426971</v>
      </c>
      <c r="CQ139" s="132">
        <v>1</v>
      </c>
      <c r="CS139" s="112">
        <v>-0.32102080393363697</v>
      </c>
      <c r="CT139" s="100">
        <v>0.92725057132731747</v>
      </c>
      <c r="CU139" s="132">
        <v>17</v>
      </c>
      <c r="DJ139" s="191">
        <v>-9.5686504933702524E-2</v>
      </c>
      <c r="DK139" s="191">
        <v>3.0934155743392249</v>
      </c>
      <c r="DL139" s="191">
        <v>2</v>
      </c>
    </row>
    <row r="140" spans="1:116">
      <c r="A140" s="3">
        <f t="shared" si="8"/>
        <v>41681</v>
      </c>
      <c r="D140" s="127"/>
      <c r="E140" s="35">
        <f t="shared" si="9"/>
        <v>41681</v>
      </c>
      <c r="H140" s="128"/>
      <c r="I140" s="101">
        <f t="shared" si="10"/>
        <v>41681</v>
      </c>
      <c r="J140" s="109">
        <f>'Tank Data'!X140</f>
        <v>-0.98063999999999996</v>
      </c>
      <c r="K140" s="109">
        <f>'Tank Data'!U140</f>
        <v>1.3257501426861293</v>
      </c>
      <c r="L140" s="130">
        <v>59</v>
      </c>
      <c r="M140" s="167">
        <f t="shared" si="11"/>
        <v>41681</v>
      </c>
      <c r="N140" s="170">
        <f>'Tank Data'!AF140</f>
        <v>-0.93455999999999995</v>
      </c>
      <c r="O140" s="170">
        <f>'Tank Data'!AC140</f>
        <v>0.89365014268613008</v>
      </c>
      <c r="P140" s="171">
        <v>59</v>
      </c>
      <c r="R140" s="185"/>
      <c r="S140" s="187"/>
      <c r="T140" s="186"/>
      <c r="U140" s="134"/>
      <c r="V140" s="134"/>
      <c r="W140" s="134"/>
      <c r="X140" s="187"/>
      <c r="Y140" s="11"/>
      <c r="AH140" s="113">
        <v>41683</v>
      </c>
      <c r="AI140" s="1">
        <v>0.30384</v>
      </c>
      <c r="AJ140" s="1">
        <v>0.84340679089701309</v>
      </c>
      <c r="AK140" s="1">
        <v>61</v>
      </c>
      <c r="BK140" s="115">
        <v>41687</v>
      </c>
      <c r="BL140" s="112">
        <v>0.52127999999999997</v>
      </c>
      <c r="BM140" s="112">
        <v>1.2017894124865713</v>
      </c>
      <c r="BN140" s="112">
        <v>66</v>
      </c>
      <c r="BX140">
        <v>0.4658103049946089</v>
      </c>
      <c r="BY140" s="34">
        <v>3.292209857675326</v>
      </c>
      <c r="CC140" s="208"/>
      <c r="CD140" s="208"/>
      <c r="CE140" s="208"/>
      <c r="CO140" s="112">
        <v>1.3</v>
      </c>
      <c r="CP140" s="112">
        <v>2.5973162032028565</v>
      </c>
      <c r="CQ140" s="132">
        <v>1</v>
      </c>
      <c r="CS140" s="112">
        <v>-0.35769454551226437</v>
      </c>
      <c r="CT140" s="100">
        <v>0.90683318586779882</v>
      </c>
      <c r="CU140" s="132">
        <v>18</v>
      </c>
      <c r="DJ140" s="191">
        <v>-0.35767398137029927</v>
      </c>
      <c r="DK140" s="191">
        <v>2.9665722295991848</v>
      </c>
      <c r="DL140" s="191">
        <v>2</v>
      </c>
    </row>
    <row r="141" spans="1:116">
      <c r="A141" s="3">
        <f t="shared" si="8"/>
        <v>41682</v>
      </c>
      <c r="D141" s="127"/>
      <c r="E141" s="35">
        <f t="shared" si="9"/>
        <v>41682</v>
      </c>
      <c r="H141" s="128"/>
      <c r="I141" s="101">
        <f t="shared" si="10"/>
        <v>41682</v>
      </c>
      <c r="J141" s="109">
        <f>'Tank Data'!X141</f>
        <v>-8.524799999999999E-2</v>
      </c>
      <c r="K141" s="109">
        <f>'Tank Data'!U141</f>
        <v>1.3051910354133338</v>
      </c>
      <c r="L141" s="130">
        <v>60</v>
      </c>
      <c r="M141" s="167">
        <f t="shared" si="11"/>
        <v>41682</v>
      </c>
      <c r="N141" s="170">
        <f>'Tank Data'!AF141</f>
        <v>-0.12124800000000002</v>
      </c>
      <c r="O141" s="170">
        <f>'Tank Data'!AC141</f>
        <v>0.86809103541333377</v>
      </c>
      <c r="P141" s="171">
        <v>60</v>
      </c>
      <c r="R141" s="185"/>
      <c r="S141" s="187"/>
      <c r="T141" s="186"/>
      <c r="U141" s="134"/>
      <c r="V141" s="134"/>
      <c r="W141" s="134"/>
      <c r="X141" s="187"/>
      <c r="Y141" s="11"/>
      <c r="AH141" s="113">
        <v>41684</v>
      </c>
      <c r="AI141" s="1">
        <v>1.6992</v>
      </c>
      <c r="AJ141" s="1">
        <v>0.81532704526209576</v>
      </c>
      <c r="AK141" s="1">
        <v>62</v>
      </c>
      <c r="BK141" s="115">
        <v>41688</v>
      </c>
      <c r="BL141" s="112">
        <v>7.6607999999999997E-3</v>
      </c>
      <c r="BM141" s="112">
        <v>1.1800295043240081</v>
      </c>
      <c r="BN141" s="112">
        <v>67</v>
      </c>
      <c r="BX141">
        <v>0.74414422672680225</v>
      </c>
      <c r="BY141" s="34">
        <v>3.1306487199818065</v>
      </c>
      <c r="CC141" s="208"/>
      <c r="CD141" s="208"/>
      <c r="CE141" s="208"/>
      <c r="CO141" s="112"/>
      <c r="CP141" s="112">
        <v>3.3914924557679615</v>
      </c>
      <c r="CQ141" s="132">
        <v>2</v>
      </c>
      <c r="CS141" s="112">
        <v>-0.51292833901464729</v>
      </c>
      <c r="CT141" s="100">
        <v>0.88597981170674578</v>
      </c>
      <c r="CU141" s="132">
        <v>19</v>
      </c>
      <c r="DJ141" s="191">
        <v>0.63153638159846492</v>
      </c>
      <c r="DK141" s="191">
        <v>2.7202550443621063</v>
      </c>
      <c r="DL141" s="191">
        <v>2</v>
      </c>
    </row>
    <row r="142" spans="1:116">
      <c r="A142" s="3">
        <f t="shared" si="8"/>
        <v>41683</v>
      </c>
      <c r="D142" s="127"/>
      <c r="E142" s="35">
        <f t="shared" si="9"/>
        <v>41683</v>
      </c>
      <c r="H142" s="128"/>
      <c r="I142" s="101">
        <f t="shared" si="10"/>
        <v>41683</v>
      </c>
      <c r="J142" s="109">
        <f>'Tank Data'!X142</f>
        <v>0.12196799999999999</v>
      </c>
      <c r="K142" s="109">
        <f>'Tank Data'!U142</f>
        <v>1.2847067908970122</v>
      </c>
      <c r="L142" s="130">
        <v>61</v>
      </c>
      <c r="M142" s="167">
        <f t="shared" si="11"/>
        <v>41683</v>
      </c>
      <c r="N142" s="170">
        <f>'Tank Data'!AF142</f>
        <v>0.30384</v>
      </c>
      <c r="O142" s="170">
        <f>'Tank Data'!AC142</f>
        <v>0.84340679089701309</v>
      </c>
      <c r="P142" s="171">
        <v>61</v>
      </c>
      <c r="R142" s="185"/>
      <c r="S142" s="187"/>
      <c r="T142" s="186"/>
      <c r="U142" s="134"/>
      <c r="V142" s="134"/>
      <c r="W142" s="134"/>
      <c r="X142" s="187"/>
      <c r="Y142" s="11"/>
      <c r="AH142" s="113">
        <v>41685</v>
      </c>
      <c r="AI142" s="1">
        <v>-0.3024</v>
      </c>
      <c r="AJ142" s="1">
        <v>0.78949329895218723</v>
      </c>
      <c r="AK142" s="1">
        <v>63</v>
      </c>
      <c r="BK142" s="115">
        <v>41689</v>
      </c>
      <c r="BL142" s="112">
        <v>-0.13852800000000001</v>
      </c>
      <c r="BM142" s="112">
        <v>1.1658444354209991</v>
      </c>
      <c r="BN142" s="112">
        <v>68</v>
      </c>
      <c r="BX142">
        <v>0.68898463782179731</v>
      </c>
      <c r="BY142" s="34">
        <v>3.1923401297129619</v>
      </c>
      <c r="CC142" s="208"/>
      <c r="CD142" s="208"/>
      <c r="CE142" s="208"/>
      <c r="CO142" s="112"/>
      <c r="CP142" s="112">
        <v>3.292209857675326</v>
      </c>
      <c r="CQ142" s="132">
        <v>2</v>
      </c>
      <c r="CS142" s="112">
        <v>-2.413703658778895E-2</v>
      </c>
      <c r="CT142" s="39">
        <v>0.85625384067776678</v>
      </c>
      <c r="CU142" s="132">
        <v>20</v>
      </c>
      <c r="DJ142" s="191">
        <v>0.23573368904136854</v>
      </c>
      <c r="DK142" s="191">
        <v>2.4751452457095353</v>
      </c>
      <c r="DL142" s="191">
        <v>2</v>
      </c>
    </row>
    <row r="143" spans="1:116">
      <c r="A143" s="3">
        <f t="shared" si="8"/>
        <v>41684</v>
      </c>
      <c r="D143" s="127"/>
      <c r="E143" s="35">
        <f t="shared" si="9"/>
        <v>41684</v>
      </c>
      <c r="H143" s="128"/>
      <c r="I143" s="101">
        <f t="shared" si="10"/>
        <v>41684</v>
      </c>
      <c r="J143" s="109">
        <f>'Tank Data'!X143</f>
        <v>0.74015999999999993</v>
      </c>
      <c r="K143" s="109">
        <f>'Tank Data'!U143</f>
        <v>1.2617270452620954</v>
      </c>
      <c r="L143" s="130">
        <v>62</v>
      </c>
      <c r="M143" s="167">
        <f t="shared" si="11"/>
        <v>41684</v>
      </c>
      <c r="N143" s="170">
        <f>'Tank Data'!AF143</f>
        <v>1.6992</v>
      </c>
      <c r="O143" s="170">
        <f>'Tank Data'!AC143</f>
        <v>0.81532704526209576</v>
      </c>
      <c r="P143" s="171">
        <v>62</v>
      </c>
      <c r="R143" s="185"/>
      <c r="S143" s="187"/>
      <c r="T143" s="186"/>
      <c r="U143" s="134"/>
      <c r="V143" s="134"/>
      <c r="W143" s="134"/>
      <c r="X143" s="187"/>
      <c r="Y143" s="11"/>
      <c r="AH143" s="113">
        <v>41686</v>
      </c>
      <c r="AI143" s="1">
        <v>-0.26495999999999997</v>
      </c>
      <c r="AJ143" s="1">
        <v>0.76517836315581134</v>
      </c>
      <c r="AK143" s="1">
        <v>64</v>
      </c>
      <c r="BK143" s="115">
        <v>41690</v>
      </c>
      <c r="BL143" s="112">
        <v>3.0096000000000001E-2</v>
      </c>
      <c r="BM143" s="112">
        <v>1.1438027112580298</v>
      </c>
      <c r="BN143" s="112">
        <v>69</v>
      </c>
      <c r="BX143">
        <v>1.9593647523468638</v>
      </c>
      <c r="BY143" s="34">
        <v>3.081513953762153</v>
      </c>
      <c r="CC143" s="208"/>
      <c r="CD143" s="208"/>
      <c r="CE143" s="208"/>
      <c r="CO143" s="112">
        <v>0.74414422672680225</v>
      </c>
      <c r="CP143" s="112">
        <v>3.1306487199818065</v>
      </c>
      <c r="CQ143" s="132">
        <v>2</v>
      </c>
      <c r="CS143" s="112">
        <v>0.2474048500651774</v>
      </c>
      <c r="CT143" s="39">
        <v>0.82819800980449421</v>
      </c>
      <c r="CU143" s="132">
        <v>21</v>
      </c>
      <c r="DJ143" s="191"/>
      <c r="DK143" s="191">
        <v>3.7360098576753265</v>
      </c>
      <c r="DL143" s="191">
        <v>2</v>
      </c>
    </row>
    <row r="144" spans="1:116">
      <c r="A144" s="3">
        <f t="shared" si="8"/>
        <v>41685</v>
      </c>
      <c r="D144" s="127"/>
      <c r="E144" s="35">
        <f t="shared" si="9"/>
        <v>41685</v>
      </c>
      <c r="H144" s="128"/>
      <c r="I144" s="101">
        <f t="shared" si="10"/>
        <v>41685</v>
      </c>
      <c r="J144" s="109">
        <f>'Tank Data'!X144</f>
        <v>0.22320000000000001</v>
      </c>
      <c r="K144" s="109">
        <f>'Tank Data'!U144</f>
        <v>1.2418932989521871</v>
      </c>
      <c r="L144" s="130">
        <v>63</v>
      </c>
      <c r="M144" s="167">
        <f t="shared" si="11"/>
        <v>41685</v>
      </c>
      <c r="N144" s="170">
        <f>'Tank Data'!AF144</f>
        <v>-0.3024</v>
      </c>
      <c r="O144" s="170">
        <f>'Tank Data'!AC144</f>
        <v>0.78949329895218723</v>
      </c>
      <c r="P144" s="171">
        <v>63</v>
      </c>
      <c r="R144" s="185"/>
      <c r="S144" s="187"/>
      <c r="T144" s="186"/>
      <c r="U144" s="134"/>
      <c r="V144" s="134"/>
      <c r="W144" s="134"/>
      <c r="X144" s="187"/>
      <c r="Y144" s="11"/>
      <c r="AH144" s="113">
        <v>41687</v>
      </c>
      <c r="AI144" s="1">
        <v>0.71711999999999998</v>
      </c>
      <c r="AJ144" s="1">
        <v>0.74098941248656969</v>
      </c>
      <c r="AK144" s="1">
        <v>65</v>
      </c>
      <c r="BK144" s="115">
        <v>41691</v>
      </c>
      <c r="BL144" s="112">
        <v>0.16847999999999999</v>
      </c>
      <c r="BM144" s="112">
        <v>1.1231266448172126</v>
      </c>
      <c r="BN144" s="112">
        <v>70</v>
      </c>
      <c r="BX144">
        <v>1.9871863646742542</v>
      </c>
      <c r="BY144" s="34">
        <v>2.8481693677426971</v>
      </c>
      <c r="CC144" s="208"/>
      <c r="CD144" s="208"/>
      <c r="CE144" s="208"/>
      <c r="CO144" s="112">
        <v>1.5567379084738564</v>
      </c>
      <c r="CP144" s="112">
        <v>3.1712155743392252</v>
      </c>
      <c r="CQ144" s="132">
        <v>2</v>
      </c>
      <c r="CS144" s="112">
        <v>0.82554398491245951</v>
      </c>
      <c r="CT144" s="39">
        <v>0.79448532579851039</v>
      </c>
      <c r="CU144" s="132">
        <v>22</v>
      </c>
      <c r="DJ144" s="191">
        <v>2.6768296780128575</v>
      </c>
      <c r="DK144" s="191">
        <v>3.3481487199818067</v>
      </c>
      <c r="DL144" s="191">
        <v>2</v>
      </c>
    </row>
    <row r="145" spans="1:116">
      <c r="A145" s="3">
        <f t="shared" si="8"/>
        <v>41686</v>
      </c>
      <c r="D145" s="127"/>
      <c r="E145" s="35">
        <f t="shared" si="9"/>
        <v>41686</v>
      </c>
      <c r="H145" s="128"/>
      <c r="I145" s="101">
        <f t="shared" si="10"/>
        <v>41686</v>
      </c>
      <c r="J145" s="109">
        <f>'Tank Data'!X145</f>
        <v>0.19583999999999999</v>
      </c>
      <c r="K145" s="109">
        <f>'Tank Data'!U145</f>
        <v>1.2223783631558125</v>
      </c>
      <c r="L145" s="130">
        <v>64</v>
      </c>
      <c r="M145" s="167">
        <f t="shared" si="11"/>
        <v>41686</v>
      </c>
      <c r="N145" s="170">
        <f>'Tank Data'!AF145</f>
        <v>-0.26495999999999997</v>
      </c>
      <c r="O145" s="170">
        <f>'Tank Data'!AC145</f>
        <v>0.76517836315581134</v>
      </c>
      <c r="P145" s="171">
        <v>64</v>
      </c>
      <c r="R145" s="185"/>
      <c r="S145" s="187"/>
      <c r="T145" s="186"/>
      <c r="U145" s="134"/>
      <c r="V145" s="134"/>
      <c r="W145" s="134"/>
      <c r="X145" s="187"/>
      <c r="Y145" s="11"/>
      <c r="AH145" s="113">
        <v>41688</v>
      </c>
      <c r="AI145" s="1">
        <v>0.28223999999999999</v>
      </c>
      <c r="AJ145" s="1">
        <v>0.71552950432400797</v>
      </c>
      <c r="AK145" s="1">
        <v>66</v>
      </c>
      <c r="BN145" s="123"/>
      <c r="BX145">
        <v>1.3</v>
      </c>
      <c r="BY145" s="34">
        <v>2.5973162032028565</v>
      </c>
      <c r="CC145" s="208"/>
      <c r="CD145" s="208"/>
      <c r="CE145" s="208"/>
      <c r="CO145" s="112">
        <v>1.5712702284108773</v>
      </c>
      <c r="CP145" s="112">
        <v>3.0538722295991843</v>
      </c>
      <c r="CQ145" s="132">
        <v>2</v>
      </c>
      <c r="CS145" s="112">
        <v>1.33632</v>
      </c>
      <c r="CT145" s="39">
        <v>0.76523991774205824</v>
      </c>
      <c r="CU145" s="132">
        <v>23</v>
      </c>
      <c r="DJ145" s="191">
        <v>3.6013645854884548</v>
      </c>
      <c r="DK145" s="191">
        <v>3.7410401297129612</v>
      </c>
      <c r="DL145" s="192">
        <v>2</v>
      </c>
    </row>
    <row r="146" spans="1:116">
      <c r="A146" s="3">
        <f t="shared" si="8"/>
        <v>41687</v>
      </c>
      <c r="D146" s="127"/>
      <c r="E146" s="35">
        <f t="shared" si="9"/>
        <v>41687</v>
      </c>
      <c r="H146" s="128"/>
      <c r="I146" s="101">
        <f t="shared" si="10"/>
        <v>41687</v>
      </c>
      <c r="J146" s="109">
        <f>'Tank Data'!X146</f>
        <v>0.52127999999999997</v>
      </c>
      <c r="K146" s="109">
        <f>'Tank Data'!U146</f>
        <v>1.2017894124865713</v>
      </c>
      <c r="L146" s="130">
        <v>65</v>
      </c>
      <c r="M146" s="167">
        <f t="shared" si="11"/>
        <v>41687</v>
      </c>
      <c r="N146" s="170">
        <f>'Tank Data'!AF146</f>
        <v>0.71711999999999998</v>
      </c>
      <c r="O146" s="170">
        <f>'Tank Data'!AC146</f>
        <v>0.74098941248656969</v>
      </c>
      <c r="P146" s="171">
        <v>65</v>
      </c>
      <c r="R146" s="185"/>
      <c r="S146" s="187"/>
      <c r="T146" s="186"/>
      <c r="U146" s="134"/>
      <c r="V146" s="134"/>
      <c r="W146" s="134"/>
      <c r="X146" s="187"/>
      <c r="Y146" s="11"/>
      <c r="AH146" s="113">
        <v>41689</v>
      </c>
      <c r="AI146" s="1">
        <v>-1.1664000000000001</v>
      </c>
      <c r="AJ146" s="1">
        <v>0.69674443542099906</v>
      </c>
      <c r="AK146" s="1">
        <v>67</v>
      </c>
      <c r="BX146">
        <v>0.79917839506174104</v>
      </c>
      <c r="BY146" s="34">
        <v>3.2727624191981519</v>
      </c>
      <c r="BZ146" s="11"/>
      <c r="CO146" s="112">
        <v>1.9061340824203516</v>
      </c>
      <c r="CP146" s="112">
        <v>2.8178550443621067</v>
      </c>
      <c r="CQ146" s="132">
        <v>2</v>
      </c>
      <c r="CS146" s="112">
        <v>0.10900799999999999</v>
      </c>
      <c r="CT146" s="39">
        <v>0.74332233440979012</v>
      </c>
      <c r="CU146" s="132">
        <v>24</v>
      </c>
      <c r="DJ146" s="191">
        <v>2.582459148903713</v>
      </c>
      <c r="DK146" s="191">
        <v>3.5398139537621534</v>
      </c>
      <c r="DL146" s="191">
        <v>2</v>
      </c>
    </row>
    <row r="147" spans="1:116">
      <c r="A147" s="3">
        <f t="shared" si="8"/>
        <v>41688</v>
      </c>
      <c r="D147" s="127"/>
      <c r="E147" s="35">
        <f t="shared" si="9"/>
        <v>41688</v>
      </c>
      <c r="H147" s="128"/>
      <c r="I147" s="101">
        <f t="shared" si="10"/>
        <v>41688</v>
      </c>
      <c r="J147" s="109">
        <f>'Tank Data'!X147</f>
        <v>7.6607999999999997E-3</v>
      </c>
      <c r="K147" s="109">
        <f>'Tank Data'!U147</f>
        <v>1.1800295043240081</v>
      </c>
      <c r="L147" s="130">
        <v>66</v>
      </c>
      <c r="M147" s="167">
        <f t="shared" si="11"/>
        <v>41688</v>
      </c>
      <c r="N147" s="170">
        <f>'Tank Data'!AF147</f>
        <v>0.28223999999999999</v>
      </c>
      <c r="O147" s="170">
        <f>'Tank Data'!AC147</f>
        <v>0.71552950432400797</v>
      </c>
      <c r="P147" s="171">
        <v>66</v>
      </c>
      <c r="R147" s="185"/>
      <c r="S147" s="187"/>
      <c r="T147" s="186"/>
      <c r="U147" s="134"/>
      <c r="V147" s="134"/>
      <c r="W147" s="134"/>
      <c r="X147" s="187"/>
      <c r="Y147" s="11"/>
      <c r="AH147" s="113">
        <v>41690</v>
      </c>
      <c r="AI147" s="1">
        <v>-6.6096000000000002E-2</v>
      </c>
      <c r="AJ147" s="1">
        <v>0.67210271125803045</v>
      </c>
      <c r="AK147" s="1">
        <v>68</v>
      </c>
      <c r="BX147">
        <v>0.89371537531801359</v>
      </c>
      <c r="BY147" s="34">
        <v>3.1099953411213708</v>
      </c>
      <c r="BZ147" s="11"/>
      <c r="CO147" s="112">
        <v>0.92011709713573064</v>
      </c>
      <c r="CP147" s="112">
        <v>2.5751452457095354</v>
      </c>
      <c r="CQ147" s="132">
        <v>2</v>
      </c>
      <c r="CS147" s="112">
        <v>-0.57599999999999996</v>
      </c>
      <c r="CT147" s="39">
        <v>0.72644667781262529</v>
      </c>
      <c r="CU147" s="132">
        <v>25</v>
      </c>
      <c r="DJ147" s="191">
        <v>1.2180204389017413</v>
      </c>
      <c r="DK147" s="191">
        <v>3.2027693677426976</v>
      </c>
      <c r="DL147" s="192">
        <v>2</v>
      </c>
    </row>
    <row r="148" spans="1:116">
      <c r="A148" s="3">
        <f t="shared" si="8"/>
        <v>41689</v>
      </c>
      <c r="D148" s="127"/>
      <c r="E148" s="35">
        <f t="shared" si="9"/>
        <v>41689</v>
      </c>
      <c r="H148" s="128"/>
      <c r="I148" s="101">
        <f t="shared" si="10"/>
        <v>41689</v>
      </c>
      <c r="J148" s="109">
        <f>'Tank Data'!X148</f>
        <v>-0.13852800000000001</v>
      </c>
      <c r="K148" s="109">
        <f>'Tank Data'!U148</f>
        <v>1.1658444354209991</v>
      </c>
      <c r="L148" s="130">
        <v>67</v>
      </c>
      <c r="M148" s="167">
        <f t="shared" si="11"/>
        <v>41689</v>
      </c>
      <c r="N148" s="170">
        <f>'Tank Data'!AF148</f>
        <v>-1.1664000000000001</v>
      </c>
      <c r="O148" s="170">
        <f>'Tank Data'!AC148</f>
        <v>0.69674443542099906</v>
      </c>
      <c r="P148" s="171">
        <v>67</v>
      </c>
      <c r="R148" s="185"/>
      <c r="S148" s="187"/>
      <c r="T148" s="186"/>
      <c r="U148" s="134"/>
      <c r="V148" s="134"/>
      <c r="W148" s="134"/>
      <c r="X148" s="187"/>
      <c r="Y148" s="11"/>
      <c r="AH148" s="113">
        <v>41691</v>
      </c>
      <c r="AI148" s="1">
        <v>-1.0728</v>
      </c>
      <c r="AJ148" s="1">
        <v>0.52862664481721344</v>
      </c>
      <c r="AK148" s="1">
        <v>69</v>
      </c>
      <c r="BX148">
        <v>1.5567379084738564</v>
      </c>
      <c r="BY148" s="34">
        <v>3.1712155743392252</v>
      </c>
      <c r="BZ148" s="11"/>
      <c r="CO148" s="112"/>
      <c r="CP148" s="112">
        <v>3.2727624191981519</v>
      </c>
      <c r="CQ148" s="132">
        <v>3</v>
      </c>
      <c r="CS148" s="112">
        <v>1.3449600000000002</v>
      </c>
      <c r="CT148" s="39">
        <v>0.72156631271284555</v>
      </c>
      <c r="CU148" s="132">
        <v>26</v>
      </c>
      <c r="DJ148" s="191">
        <v>0.85900897058280878</v>
      </c>
      <c r="DK148" s="191">
        <v>2.9403162032028556</v>
      </c>
      <c r="DL148" s="192">
        <v>2</v>
      </c>
    </row>
    <row r="149" spans="1:116">
      <c r="A149" s="3">
        <f t="shared" si="8"/>
        <v>41690</v>
      </c>
      <c r="D149" s="127"/>
      <c r="E149" s="35">
        <f t="shared" si="9"/>
        <v>41690</v>
      </c>
      <c r="H149" s="128"/>
      <c r="I149" s="101">
        <f t="shared" si="10"/>
        <v>41690</v>
      </c>
      <c r="J149" s="109">
        <f>'Tank Data'!X149</f>
        <v>3.0096000000000001E-2</v>
      </c>
      <c r="K149" s="109">
        <f>'Tank Data'!U149</f>
        <v>1.1438027112580298</v>
      </c>
      <c r="L149" s="130">
        <v>68</v>
      </c>
      <c r="M149" s="167">
        <f t="shared" si="11"/>
        <v>41690</v>
      </c>
      <c r="N149" s="170">
        <f>'Tank Data'!AF149</f>
        <v>-6.6096000000000002E-2</v>
      </c>
      <c r="O149" s="170">
        <f>'Tank Data'!AC149</f>
        <v>0.67210271125803045</v>
      </c>
      <c r="P149" s="171">
        <v>68</v>
      </c>
      <c r="R149" s="185"/>
      <c r="S149" s="187"/>
      <c r="T149" s="186"/>
      <c r="U149" s="134"/>
      <c r="V149" s="134"/>
      <c r="W149" s="134"/>
      <c r="X149" s="187"/>
      <c r="Y149" s="11"/>
      <c r="BX149">
        <v>1.5712702284108773</v>
      </c>
      <c r="BY149" s="34">
        <v>3.0538722295991843</v>
      </c>
      <c r="BZ149" s="11"/>
      <c r="CO149" s="112">
        <v>0.89371537531801359</v>
      </c>
      <c r="CP149" s="112">
        <v>3.1099953411213708</v>
      </c>
      <c r="CQ149" s="132">
        <v>3</v>
      </c>
      <c r="CS149" s="112">
        <v>1.3204800000000001</v>
      </c>
      <c r="CT149" s="39">
        <v>0.70435056662793416</v>
      </c>
      <c r="CU149" s="132">
        <v>27</v>
      </c>
      <c r="DJ149" s="191"/>
      <c r="DK149" s="191">
        <v>3.3914924557679615</v>
      </c>
      <c r="DL149" s="193">
        <v>2</v>
      </c>
    </row>
    <row r="150" spans="1:116">
      <c r="A150" s="3">
        <f t="shared" si="8"/>
        <v>41691</v>
      </c>
      <c r="D150" s="127"/>
      <c r="E150" s="35">
        <f t="shared" si="9"/>
        <v>41691</v>
      </c>
      <c r="H150" s="128"/>
      <c r="I150" s="101">
        <f t="shared" si="10"/>
        <v>41691</v>
      </c>
      <c r="J150" s="109">
        <f>'Tank Data'!X150</f>
        <v>0.16847999999999999</v>
      </c>
      <c r="K150" s="109">
        <f>'Tank Data'!U150</f>
        <v>1.1231266448172126</v>
      </c>
      <c r="L150" s="130">
        <v>69</v>
      </c>
      <c r="M150" s="167">
        <f t="shared" si="11"/>
        <v>41691</v>
      </c>
      <c r="N150" s="170">
        <f>'Tank Data'!AF150</f>
        <v>-1.0728</v>
      </c>
      <c r="O150" s="170">
        <f>'Tank Data'!AC150</f>
        <v>0.52862664481721344</v>
      </c>
      <c r="P150" s="171">
        <v>69</v>
      </c>
      <c r="R150" s="134"/>
      <c r="S150" s="134"/>
      <c r="T150" s="134"/>
      <c r="U150" s="134"/>
      <c r="V150" s="134"/>
      <c r="W150" s="134"/>
      <c r="X150" s="134"/>
      <c r="BX150">
        <v>1.9061340824203516</v>
      </c>
      <c r="BY150" s="34">
        <v>2.8178550443621067</v>
      </c>
      <c r="BZ150" s="11"/>
      <c r="CO150" s="112">
        <v>1.5047129258102911</v>
      </c>
      <c r="CP150" s="112">
        <v>3.1489272337360763</v>
      </c>
      <c r="CQ150" s="132">
        <v>3</v>
      </c>
      <c r="CS150" s="112">
        <v>0.57599999999999996</v>
      </c>
      <c r="CT150" s="39">
        <v>0.681747092355661</v>
      </c>
      <c r="CU150" s="132">
        <v>28</v>
      </c>
      <c r="DJ150" s="191"/>
      <c r="DK150" s="191">
        <v>3.292209857675326</v>
      </c>
      <c r="DL150" s="193">
        <v>2</v>
      </c>
    </row>
    <row r="151" spans="1:116">
      <c r="A151" s="133"/>
      <c r="B151" s="134"/>
      <c r="C151" s="134"/>
      <c r="D151" s="135"/>
      <c r="E151" s="133"/>
      <c r="F151" s="134"/>
      <c r="G151" s="134"/>
      <c r="H151" s="135"/>
      <c r="I151" s="133"/>
      <c r="J151" s="133"/>
      <c r="K151" s="133"/>
      <c r="L151" s="135"/>
      <c r="M151" s="133"/>
      <c r="N151" s="133"/>
      <c r="O151" s="133"/>
      <c r="P151" s="135"/>
      <c r="R151" s="134"/>
      <c r="S151" s="134"/>
      <c r="T151" s="134"/>
      <c r="U151" s="134"/>
      <c r="V151" s="134"/>
      <c r="W151" s="134"/>
      <c r="X151" s="134"/>
      <c r="BX151">
        <v>0.92011709713573064</v>
      </c>
      <c r="BY151" s="34">
        <v>2.5751452457095354</v>
      </c>
      <c r="BZ151" s="11"/>
      <c r="CO151" s="112">
        <v>2.6404716046717125</v>
      </c>
      <c r="CP151" s="112">
        <v>3.0250587306052825</v>
      </c>
      <c r="CQ151" s="132">
        <v>3</v>
      </c>
      <c r="CS151" s="112">
        <v>0.28799999999999998</v>
      </c>
      <c r="CT151" s="39">
        <v>0.65773114369861618</v>
      </c>
      <c r="CU151" s="132">
        <v>29</v>
      </c>
      <c r="DJ151" s="191">
        <v>0.74414422672680225</v>
      </c>
      <c r="DK151" s="191">
        <v>3.1306487199818065</v>
      </c>
      <c r="DL151" s="193">
        <v>2</v>
      </c>
    </row>
    <row r="152" spans="1:116">
      <c r="A152" s="133"/>
      <c r="B152" s="134"/>
      <c r="C152" s="134"/>
      <c r="D152" s="135"/>
      <c r="E152" s="133"/>
      <c r="F152" s="134"/>
      <c r="G152" s="134"/>
      <c r="H152" s="135"/>
      <c r="I152" s="133"/>
      <c r="J152" s="133"/>
      <c r="K152" s="133"/>
      <c r="L152" s="135"/>
      <c r="M152" s="133"/>
      <c r="N152" s="133"/>
      <c r="O152" s="133"/>
      <c r="P152" s="135"/>
      <c r="R152" s="134"/>
      <c r="S152" s="134"/>
      <c r="T152" s="134"/>
      <c r="U152" s="134"/>
      <c r="V152" s="134"/>
      <c r="W152" s="134"/>
      <c r="X152" s="134"/>
      <c r="BX152">
        <v>0.51380529982026912</v>
      </c>
      <c r="BY152" s="34">
        <v>3.2534329762465877</v>
      </c>
      <c r="CO152" s="112">
        <v>2.2438871846158799</v>
      </c>
      <c r="CP152" s="112">
        <v>2.7797257992832947</v>
      </c>
      <c r="CQ152" s="132">
        <v>3</v>
      </c>
      <c r="CS152" s="112"/>
      <c r="CT152" s="39">
        <v>0.61232889425791415</v>
      </c>
      <c r="CU152" s="132">
        <v>30</v>
      </c>
      <c r="DJ152" s="191">
        <v>1.5567379084738564</v>
      </c>
      <c r="DK152" s="191">
        <v>3.1712155743392252</v>
      </c>
      <c r="DL152" s="193">
        <v>2</v>
      </c>
    </row>
    <row r="153" spans="1:116">
      <c r="A153" s="133"/>
      <c r="B153" s="134"/>
      <c r="C153" s="134"/>
      <c r="D153" s="135"/>
      <c r="E153" s="133"/>
      <c r="F153" s="134"/>
      <c r="G153" s="134"/>
      <c r="H153" s="135"/>
      <c r="I153" s="133"/>
      <c r="J153" s="133"/>
      <c r="K153" s="133"/>
      <c r="L153" s="135"/>
      <c r="M153" s="133"/>
      <c r="N153" s="133"/>
      <c r="O153" s="133"/>
      <c r="P153" s="135"/>
      <c r="R153" s="134"/>
      <c r="S153" s="134"/>
      <c r="T153" s="134"/>
      <c r="U153" s="134"/>
      <c r="V153" s="134"/>
      <c r="W153" s="134"/>
      <c r="X153" s="134"/>
      <c r="BX153">
        <v>1.4014465393149891</v>
      </c>
      <c r="BY153" s="34">
        <v>3.0919184455944819</v>
      </c>
      <c r="CO153" s="112">
        <v>1.2111596288873414</v>
      </c>
      <c r="CP153" s="112">
        <v>2.5535566978348676</v>
      </c>
      <c r="CQ153" s="132">
        <v>3</v>
      </c>
      <c r="CS153" s="112"/>
      <c r="CT153" s="39">
        <v>0.53664341316156028</v>
      </c>
      <c r="CU153" s="132">
        <v>31</v>
      </c>
      <c r="DJ153" s="191">
        <v>1.5712702284108773</v>
      </c>
      <c r="DK153" s="191">
        <v>3.0538722295991843</v>
      </c>
      <c r="DL153" s="193">
        <v>2</v>
      </c>
    </row>
    <row r="154" spans="1:116">
      <c r="A154" s="133"/>
      <c r="B154" s="134"/>
      <c r="C154" s="134"/>
      <c r="D154" s="135"/>
      <c r="E154" s="133"/>
      <c r="F154" s="134"/>
      <c r="G154" s="134"/>
      <c r="H154" s="135"/>
      <c r="I154" s="133"/>
      <c r="J154" s="133"/>
      <c r="K154" s="133"/>
      <c r="L154" s="135"/>
      <c r="M154" s="133"/>
      <c r="N154" s="133"/>
      <c r="O154" s="133"/>
      <c r="P154" s="135"/>
      <c r="R154" s="134"/>
      <c r="S154" s="134"/>
      <c r="T154" s="134"/>
      <c r="U154" s="134"/>
      <c r="V154" s="134"/>
      <c r="W154" s="134"/>
      <c r="X154" s="134"/>
      <c r="BX154">
        <v>1.5047129258102911</v>
      </c>
      <c r="BY154" s="34">
        <v>3.1489272337360763</v>
      </c>
      <c r="CO154" s="112">
        <v>0.51380529982026912</v>
      </c>
      <c r="CP154" s="112">
        <v>3.2534329762465877</v>
      </c>
      <c r="CQ154" s="132">
        <v>4</v>
      </c>
      <c r="CS154" s="112">
        <v>-0.72000000000000008</v>
      </c>
      <c r="CT154" s="39">
        <v>0.45490926170738405</v>
      </c>
      <c r="CU154" s="132">
        <v>32</v>
      </c>
      <c r="DJ154" s="191">
        <v>1.9061340824203516</v>
      </c>
      <c r="DK154" s="191">
        <v>2.8178550443621067</v>
      </c>
      <c r="DL154" s="193">
        <v>2</v>
      </c>
    </row>
    <row r="155" spans="1:116">
      <c r="A155" s="133"/>
      <c r="B155" s="134"/>
      <c r="C155" s="134"/>
      <c r="D155" s="135"/>
      <c r="E155" s="133"/>
      <c r="F155" s="134"/>
      <c r="G155" s="134"/>
      <c r="H155" s="135"/>
      <c r="I155" s="133"/>
      <c r="J155" s="133"/>
      <c r="K155" s="133"/>
      <c r="L155" s="135"/>
      <c r="M155" s="133"/>
      <c r="N155" s="133"/>
      <c r="O155" s="133"/>
      <c r="P155" s="135"/>
      <c r="R155" s="134"/>
      <c r="S155" s="134"/>
      <c r="T155" s="134"/>
      <c r="U155" s="134"/>
      <c r="V155" s="134"/>
      <c r="W155" s="134"/>
      <c r="X155" s="134"/>
      <c r="BX155">
        <v>2.6404716046717125</v>
      </c>
      <c r="BY155" s="34">
        <v>3.0250587306052825</v>
      </c>
      <c r="CO155" s="112">
        <v>1.4014465393149891</v>
      </c>
      <c r="CP155" s="112">
        <v>3.0919184455944819</v>
      </c>
      <c r="CQ155" s="132">
        <v>4</v>
      </c>
      <c r="CS155" s="112"/>
      <c r="CT155" s="39">
        <v>0.40644607479560563</v>
      </c>
      <c r="CU155" s="132">
        <v>33</v>
      </c>
      <c r="DJ155" s="191">
        <v>0.92011709713573064</v>
      </c>
      <c r="DK155" s="191">
        <v>2.5751452457095354</v>
      </c>
      <c r="DL155" s="193">
        <v>2</v>
      </c>
    </row>
    <row r="156" spans="1:116">
      <c r="A156" s="133"/>
      <c r="B156" s="134"/>
      <c r="C156" s="134"/>
      <c r="D156" s="135"/>
      <c r="E156" s="133"/>
      <c r="F156" s="134"/>
      <c r="G156" s="134"/>
      <c r="H156" s="135"/>
      <c r="I156" s="133"/>
      <c r="J156" s="133"/>
      <c r="K156" s="133"/>
      <c r="L156" s="135"/>
      <c r="M156" s="133"/>
      <c r="N156" s="133"/>
      <c r="O156" s="133"/>
      <c r="P156" s="135"/>
      <c r="R156" s="134"/>
      <c r="S156" s="134"/>
      <c r="T156" s="134"/>
      <c r="U156" s="134"/>
      <c r="V156" s="134"/>
      <c r="W156" s="134"/>
      <c r="X156" s="134"/>
      <c r="BX156">
        <v>2.2438871846158799</v>
      </c>
      <c r="BY156" s="34">
        <v>2.7797257992832947</v>
      </c>
      <c r="CO156" s="112">
        <v>1.584563958071205</v>
      </c>
      <c r="CP156" s="112">
        <v>3.125172024677358</v>
      </c>
      <c r="CQ156" s="132">
        <v>4</v>
      </c>
      <c r="CS156" s="112"/>
      <c r="CT156" s="39">
        <v>0.30954382535490638</v>
      </c>
      <c r="CU156" s="132">
        <v>34</v>
      </c>
      <c r="DJ156" s="195"/>
      <c r="DK156" s="196">
        <v>2.7989624191981517</v>
      </c>
      <c r="DL156" s="197">
        <v>3</v>
      </c>
    </row>
    <row r="157" spans="1:116">
      <c r="A157" s="133"/>
      <c r="B157" s="134"/>
      <c r="C157" s="134"/>
      <c r="D157" s="135"/>
      <c r="E157" s="133"/>
      <c r="F157" s="134"/>
      <c r="G157" s="134"/>
      <c r="H157" s="135"/>
      <c r="I157" s="133"/>
      <c r="J157" s="133"/>
      <c r="K157" s="133"/>
      <c r="L157" s="135"/>
      <c r="M157" s="133"/>
      <c r="N157" s="133"/>
      <c r="O157" s="133"/>
      <c r="P157" s="135"/>
      <c r="R157" s="134"/>
      <c r="S157" s="134"/>
      <c r="T157" s="134"/>
      <c r="U157" s="134"/>
      <c r="V157" s="134"/>
      <c r="W157" s="134"/>
      <c r="X157" s="134"/>
      <c r="BX157">
        <v>1.2111596288873414</v>
      </c>
      <c r="BY157" s="34">
        <v>2.5535566978348676</v>
      </c>
      <c r="CO157" s="112">
        <v>2.3285108207370135</v>
      </c>
      <c r="CP157" s="112">
        <v>2.9966634391078966</v>
      </c>
      <c r="CQ157" s="132">
        <v>4</v>
      </c>
      <c r="CS157" s="112"/>
      <c r="CT157" s="39">
        <v>0.21282725723299883</v>
      </c>
      <c r="CU157" s="132">
        <v>35</v>
      </c>
      <c r="DJ157" s="195">
        <v>1.1083365594786558</v>
      </c>
      <c r="DK157" s="196">
        <v>2.4993953411213714</v>
      </c>
      <c r="DL157" s="197">
        <v>3</v>
      </c>
    </row>
    <row r="158" spans="1:116">
      <c r="A158" s="133"/>
      <c r="B158" s="134"/>
      <c r="C158" s="134"/>
      <c r="D158" s="135"/>
      <c r="E158" s="133"/>
      <c r="F158" s="134"/>
      <c r="G158" s="134"/>
      <c r="H158" s="135"/>
      <c r="I158" s="133"/>
      <c r="J158" s="133"/>
      <c r="K158" s="133"/>
      <c r="L158" s="135"/>
      <c r="M158" s="133"/>
      <c r="N158" s="133"/>
      <c r="O158" s="133"/>
      <c r="P158" s="135"/>
      <c r="R158" s="134"/>
      <c r="S158" s="134"/>
      <c r="T158" s="134"/>
      <c r="U158" s="134"/>
      <c r="V158" s="134"/>
      <c r="W158" s="134"/>
      <c r="X158" s="134"/>
      <c r="BX158">
        <v>0.84293906513104155</v>
      </c>
      <c r="BY158" s="34">
        <v>3.2334466778126245</v>
      </c>
      <c r="CO158" s="112">
        <v>2.4341461905421689</v>
      </c>
      <c r="CP158" s="112">
        <v>2.7452350043176192</v>
      </c>
      <c r="CQ158" s="132">
        <v>4</v>
      </c>
      <c r="CS158" s="112"/>
      <c r="CT158" s="39">
        <v>0.21143871875709991</v>
      </c>
      <c r="CU158" s="132">
        <v>36</v>
      </c>
      <c r="DJ158" s="195">
        <v>3.3967990088736091</v>
      </c>
      <c r="DK158" s="196">
        <v>2.0702272337360754</v>
      </c>
      <c r="DL158" s="197">
        <v>3</v>
      </c>
    </row>
    <row r="159" spans="1:116">
      <c r="A159" s="133"/>
      <c r="B159" s="134"/>
      <c r="C159" s="134"/>
      <c r="D159" s="135"/>
      <c r="E159" s="133"/>
      <c r="F159" s="134"/>
      <c r="G159" s="134"/>
      <c r="H159" s="135"/>
      <c r="I159" s="133"/>
      <c r="J159" s="133"/>
      <c r="K159" s="133"/>
      <c r="L159" s="135"/>
      <c r="M159" s="133"/>
      <c r="N159" s="133"/>
      <c r="O159" s="133"/>
      <c r="P159" s="135"/>
      <c r="R159" s="134"/>
      <c r="S159" s="134"/>
      <c r="T159" s="134"/>
      <c r="U159" s="134"/>
      <c r="V159" s="134"/>
      <c r="W159" s="134"/>
      <c r="X159" s="134"/>
      <c r="BX159">
        <v>0.80411502232914134</v>
      </c>
      <c r="BY159" s="34">
        <v>3.0709004524185612</v>
      </c>
      <c r="CO159" s="112">
        <v>1.6837415385962864</v>
      </c>
      <c r="CP159" s="112">
        <v>2.5267575104730966</v>
      </c>
      <c r="CQ159" s="132">
        <v>4</v>
      </c>
      <c r="CS159" s="112"/>
      <c r="CT159" s="112">
        <v>3.6890624191981507</v>
      </c>
      <c r="CU159" s="112">
        <v>3</v>
      </c>
      <c r="DJ159" s="195">
        <v>1.2228849109255437</v>
      </c>
      <c r="DK159" s="196">
        <v>1.8367587306052831</v>
      </c>
      <c r="DL159" s="197">
        <v>3</v>
      </c>
    </row>
    <row r="160" spans="1:116">
      <c r="A160" s="133"/>
      <c r="B160" s="134"/>
      <c r="C160" s="134"/>
      <c r="D160" s="135"/>
      <c r="E160" s="133"/>
      <c r="F160" s="134"/>
      <c r="G160" s="134"/>
      <c r="H160" s="135"/>
      <c r="I160" s="133"/>
      <c r="J160" s="133"/>
      <c r="K160" s="133"/>
      <c r="L160" s="135"/>
      <c r="M160" s="133"/>
      <c r="N160" s="133"/>
      <c r="O160" s="133"/>
      <c r="P160" s="135"/>
      <c r="R160" s="134"/>
      <c r="S160" s="134"/>
      <c r="T160" s="134"/>
      <c r="U160" s="134"/>
      <c r="V160" s="134"/>
      <c r="W160" s="134"/>
      <c r="X160" s="134"/>
      <c r="BX160">
        <v>2.3285108207370135</v>
      </c>
      <c r="BY160" s="34">
        <v>2.9966634391078966</v>
      </c>
      <c r="CO160" s="112">
        <v>0.84293906513104155</v>
      </c>
      <c r="CP160" s="112">
        <v>3.2334466778126245</v>
      </c>
      <c r="CQ160" s="132">
        <v>5</v>
      </c>
      <c r="CS160" s="112">
        <v>2.4488396528948124</v>
      </c>
      <c r="CT160" s="112">
        <v>3.3074953411213714</v>
      </c>
      <c r="CU160" s="112">
        <v>3</v>
      </c>
      <c r="DJ160" s="195">
        <v>8.5626331654542129E-2</v>
      </c>
      <c r="DK160" s="196">
        <v>1.5037257992832953</v>
      </c>
      <c r="DL160" s="197">
        <v>3</v>
      </c>
    </row>
    <row r="161" spans="1:116">
      <c r="A161" s="133"/>
      <c r="B161" s="134"/>
      <c r="C161" s="134"/>
      <c r="D161" s="135"/>
      <c r="E161" s="133"/>
      <c r="F161" s="134"/>
      <c r="G161" s="134"/>
      <c r="H161" s="135"/>
      <c r="I161" s="133"/>
      <c r="J161" s="133"/>
      <c r="K161" s="133"/>
      <c r="L161" s="135"/>
      <c r="M161" s="133"/>
      <c r="N161" s="133"/>
      <c r="O161" s="133"/>
      <c r="P161" s="135"/>
      <c r="R161" s="134"/>
      <c r="S161" s="134"/>
      <c r="T161" s="134"/>
      <c r="U161" s="134"/>
      <c r="V161" s="134"/>
      <c r="W161" s="134"/>
      <c r="X161" s="134"/>
      <c r="BX161">
        <v>2.4341461905421689</v>
      </c>
      <c r="BY161" s="34">
        <v>2.7452350043176192</v>
      </c>
      <c r="CO161" s="112">
        <v>0.80411502232914134</v>
      </c>
      <c r="CP161" s="112">
        <v>3.0709004524185612</v>
      </c>
      <c r="CQ161" s="132">
        <v>5</v>
      </c>
      <c r="CS161" s="112">
        <v>2.8241282468994231</v>
      </c>
      <c r="CT161" s="112">
        <v>3.7009155743392244</v>
      </c>
      <c r="CU161" s="112">
        <v>3</v>
      </c>
      <c r="DJ161" s="195">
        <v>0.6069912813119116</v>
      </c>
      <c r="DK161" s="196">
        <v>1.2877566978348676</v>
      </c>
      <c r="DL161" s="197">
        <v>3</v>
      </c>
    </row>
    <row r="162" spans="1:116">
      <c r="A162" s="133"/>
      <c r="B162" s="134"/>
      <c r="C162" s="134"/>
      <c r="D162" s="135"/>
      <c r="E162" s="133"/>
      <c r="F162" s="134"/>
      <c r="G162" s="134"/>
      <c r="H162" s="135"/>
      <c r="I162" s="133"/>
      <c r="J162" s="133"/>
      <c r="K162" s="133"/>
      <c r="L162" s="135"/>
      <c r="M162" s="133"/>
      <c r="N162" s="133"/>
      <c r="O162" s="133"/>
      <c r="P162" s="135"/>
      <c r="R162" s="134"/>
      <c r="S162" s="134"/>
      <c r="T162" s="134"/>
      <c r="U162" s="134"/>
      <c r="V162" s="134"/>
      <c r="W162" s="134"/>
      <c r="X162" s="134"/>
      <c r="BX162">
        <v>1.6837415385962864</v>
      </c>
      <c r="BY162" s="34">
        <v>2.5267575104730966</v>
      </c>
      <c r="CO162" s="112">
        <v>1.9989357774816381</v>
      </c>
      <c r="CP162" s="112">
        <v>2.9721726488416049</v>
      </c>
      <c r="CQ162" s="132">
        <v>5</v>
      </c>
      <c r="CS162" s="112">
        <v>1.8492811759183909</v>
      </c>
      <c r="CT162" s="112">
        <v>3.5004722295991852</v>
      </c>
      <c r="CU162" s="112">
        <v>3</v>
      </c>
      <c r="DJ162" s="195"/>
      <c r="DK162" s="195">
        <v>3.6890624191981507</v>
      </c>
      <c r="DL162" s="195">
        <v>3</v>
      </c>
    </row>
    <row r="163" spans="1:116">
      <c r="A163" s="133"/>
      <c r="B163" s="134"/>
      <c r="C163" s="134"/>
      <c r="D163" s="135"/>
      <c r="E163" s="133"/>
      <c r="F163" s="134"/>
      <c r="G163" s="134"/>
      <c r="H163" s="135"/>
      <c r="I163" s="133"/>
      <c r="J163" s="133"/>
      <c r="K163" s="133"/>
      <c r="L163" s="135"/>
      <c r="M163" s="133"/>
      <c r="N163" s="133"/>
      <c r="O163" s="133"/>
      <c r="P163" s="135"/>
      <c r="R163" s="134"/>
      <c r="S163" s="134"/>
      <c r="T163" s="134"/>
      <c r="U163" s="134"/>
      <c r="V163" s="134"/>
      <c r="W163" s="134"/>
      <c r="X163" s="134"/>
      <c r="BX163">
        <v>0.51149196568268729</v>
      </c>
      <c r="BY163" s="34">
        <v>3.2137524038752918</v>
      </c>
      <c r="CO163" s="112">
        <v>2.6689105851279873</v>
      </c>
      <c r="CP163" s="112">
        <v>2.7107703853027498</v>
      </c>
      <c r="CQ163" s="132">
        <v>5</v>
      </c>
      <c r="CS163" s="112">
        <v>1.6244099471257181</v>
      </c>
      <c r="CT163" s="112">
        <v>3.1658550443621065</v>
      </c>
      <c r="CU163" s="119">
        <v>3</v>
      </c>
      <c r="DJ163" s="195">
        <v>2.4488396528948124</v>
      </c>
      <c r="DK163" s="195">
        <v>3.3074953411213714</v>
      </c>
      <c r="DL163" s="195">
        <v>3</v>
      </c>
    </row>
    <row r="164" spans="1:116">
      <c r="A164" s="133"/>
      <c r="B164" s="134"/>
      <c r="C164" s="134"/>
      <c r="D164" s="135"/>
      <c r="E164" s="133"/>
      <c r="F164" s="134"/>
      <c r="G164" s="134"/>
      <c r="H164" s="135"/>
      <c r="I164" s="133"/>
      <c r="J164" s="133"/>
      <c r="K164" s="133"/>
      <c r="L164" s="135"/>
      <c r="M164" s="133"/>
      <c r="N164" s="133"/>
      <c r="O164" s="133"/>
      <c r="P164" s="135"/>
      <c r="R164" s="134"/>
      <c r="S164" s="134"/>
      <c r="T164" s="134"/>
      <c r="U164" s="134"/>
      <c r="V164" s="134"/>
      <c r="W164" s="134"/>
      <c r="X164" s="134"/>
      <c r="BX164">
        <v>0.82659738260706006</v>
      </c>
      <c r="BY164" s="34">
        <v>3.0501161938040884</v>
      </c>
      <c r="CO164" s="112">
        <v>5.0999999999999996</v>
      </c>
      <c r="CP164" s="112">
        <v>2.4946082253497934</v>
      </c>
      <c r="CQ164" s="132">
        <v>5</v>
      </c>
      <c r="CS164" s="112">
        <v>1.5981760301666714</v>
      </c>
      <c r="CT164" s="112">
        <v>2.9093452457095355</v>
      </c>
      <c r="CU164" s="119">
        <v>3</v>
      </c>
      <c r="DJ164" s="195">
        <v>2.8241282468994231</v>
      </c>
      <c r="DK164" s="195">
        <v>3.7009155743392244</v>
      </c>
      <c r="DL164" s="195">
        <v>3</v>
      </c>
    </row>
    <row r="165" spans="1:116">
      <c r="A165" s="133"/>
      <c r="B165" s="134"/>
      <c r="C165" s="134"/>
      <c r="D165" s="134"/>
      <c r="E165" s="133"/>
      <c r="F165" s="134"/>
      <c r="G165" s="134"/>
      <c r="H165" s="134"/>
      <c r="I165" s="133"/>
      <c r="J165" s="133"/>
      <c r="K165" s="133"/>
      <c r="L165" s="134"/>
      <c r="M165" s="133"/>
      <c r="N165" s="133"/>
      <c r="O165" s="133"/>
      <c r="P165" s="134"/>
      <c r="R165" s="134"/>
      <c r="S165" s="134"/>
      <c r="T165" s="134"/>
      <c r="U165" s="134"/>
      <c r="V165" s="134"/>
      <c r="W165" s="134"/>
      <c r="X165" s="134"/>
      <c r="BX165">
        <v>1.9989357774816381</v>
      </c>
      <c r="BY165" s="34">
        <v>2.9721726488416049</v>
      </c>
      <c r="CO165" s="112">
        <v>0.51149196568268729</v>
      </c>
      <c r="CP165" s="112">
        <v>3.2137524038752918</v>
      </c>
      <c r="CQ165" s="132">
        <v>6</v>
      </c>
      <c r="CS165" s="112">
        <v>3.875838432476332</v>
      </c>
      <c r="CT165" s="112">
        <v>3.661432976246588</v>
      </c>
      <c r="CU165" s="112">
        <v>4</v>
      </c>
      <c r="DJ165" s="195">
        <v>1.8492811759183909</v>
      </c>
      <c r="DK165" s="195">
        <v>3.5004722295991852</v>
      </c>
      <c r="DL165" s="195">
        <v>3</v>
      </c>
    </row>
    <row r="166" spans="1:116">
      <c r="A166" s="133"/>
      <c r="B166" s="134"/>
      <c r="C166" s="134"/>
      <c r="D166" s="134"/>
      <c r="E166" s="133"/>
      <c r="F166" s="134"/>
      <c r="G166" s="134"/>
      <c r="H166" s="134"/>
      <c r="I166" s="133"/>
      <c r="J166" s="133"/>
      <c r="K166" s="133"/>
      <c r="L166" s="134"/>
      <c r="M166" s="133"/>
      <c r="N166" s="133"/>
      <c r="O166" s="133"/>
      <c r="P166" s="134"/>
      <c r="R166" s="134"/>
      <c r="S166" s="134"/>
      <c r="T166" s="134"/>
      <c r="U166" s="134"/>
      <c r="V166" s="134"/>
      <c r="W166" s="134"/>
      <c r="X166" s="134"/>
      <c r="BX166">
        <v>2.6689105851279873</v>
      </c>
      <c r="BY166" s="34">
        <v>2.7107703853027498</v>
      </c>
      <c r="CO166" s="112">
        <v>0.82659738260706006</v>
      </c>
      <c r="CP166" s="112">
        <v>3.0501161938040884</v>
      </c>
      <c r="CQ166" s="132">
        <v>6</v>
      </c>
      <c r="CS166" s="112">
        <v>2.5090136334827631</v>
      </c>
      <c r="CT166" s="112">
        <v>3.2686184455944813</v>
      </c>
      <c r="CU166" s="112">
        <v>4</v>
      </c>
      <c r="DJ166" s="195">
        <v>1.6244099471257181</v>
      </c>
      <c r="DK166" s="195">
        <v>3.1658550443621065</v>
      </c>
      <c r="DL166" s="199">
        <v>3</v>
      </c>
    </row>
    <row r="167" spans="1:116">
      <c r="A167" s="133"/>
      <c r="B167" s="134"/>
      <c r="C167" s="134"/>
      <c r="D167" s="134"/>
      <c r="E167" s="133"/>
      <c r="F167" s="134"/>
      <c r="G167" s="134"/>
      <c r="H167" s="134"/>
      <c r="I167" s="133"/>
      <c r="J167" s="133"/>
      <c r="K167" s="133"/>
      <c r="L167" s="134"/>
      <c r="M167" s="133"/>
      <c r="N167" s="133"/>
      <c r="O167" s="133"/>
      <c r="P167" s="134"/>
      <c r="R167" s="134"/>
      <c r="S167" s="134"/>
      <c r="T167" s="134"/>
      <c r="U167" s="134"/>
      <c r="V167" s="134"/>
      <c r="W167" s="134"/>
      <c r="X167" s="134"/>
      <c r="BX167">
        <v>5.0999999999999996</v>
      </c>
      <c r="BY167" s="34">
        <v>2.4946082253497934</v>
      </c>
      <c r="CO167" s="112">
        <v>1.8834516113750797</v>
      </c>
      <c r="CP167" s="112">
        <v>2.9501452480592274</v>
      </c>
      <c r="CQ167" s="132">
        <v>6</v>
      </c>
      <c r="CS167" s="112">
        <v>2.5798579901722336</v>
      </c>
      <c r="CT167" s="112">
        <v>3.660127233736076</v>
      </c>
      <c r="CU167" s="112">
        <v>4</v>
      </c>
      <c r="DJ167" s="195">
        <v>1.5981760301666714</v>
      </c>
      <c r="DK167" s="195">
        <v>2.9093452457095355</v>
      </c>
      <c r="DL167" s="199">
        <v>3</v>
      </c>
    </row>
    <row r="168" spans="1:116">
      <c r="A168" s="133"/>
      <c r="B168" s="134"/>
      <c r="C168" s="134"/>
      <c r="D168" s="134"/>
      <c r="E168" s="133"/>
      <c r="F168" s="134"/>
      <c r="G168" s="134"/>
      <c r="H168" s="134"/>
      <c r="I168" s="133"/>
      <c r="J168" s="133"/>
      <c r="K168" s="133"/>
      <c r="L168" s="134"/>
      <c r="M168" s="133"/>
      <c r="N168" s="133"/>
      <c r="O168" s="133"/>
      <c r="P168" s="134"/>
      <c r="R168" s="134"/>
      <c r="S168" s="134"/>
      <c r="T168" s="134"/>
      <c r="U168" s="134"/>
      <c r="V168" s="134"/>
      <c r="W168" s="134"/>
      <c r="X168" s="134"/>
      <c r="BX168">
        <v>2.2927546764752416</v>
      </c>
      <c r="BY168" s="34">
        <v>3.0268955413438121</v>
      </c>
      <c r="CO168" s="112">
        <v>2.2302539133568398</v>
      </c>
      <c r="CP168" s="112">
        <v>2.6747358193055391</v>
      </c>
      <c r="CQ168" s="132">
        <v>6</v>
      </c>
      <c r="CS168" s="112">
        <v>2.412180297791231</v>
      </c>
      <c r="CT168" s="112">
        <v>3.4643587306052828</v>
      </c>
      <c r="CU168" s="112">
        <v>4</v>
      </c>
      <c r="DJ168" s="191">
        <v>-0.47444989878023047</v>
      </c>
      <c r="DK168" s="191">
        <v>3.0483624191981504</v>
      </c>
      <c r="DL168" s="191">
        <v>3</v>
      </c>
    </row>
    <row r="169" spans="1:116">
      <c r="A169" s="133"/>
      <c r="B169" s="134"/>
      <c r="C169" s="134"/>
      <c r="D169" s="134"/>
      <c r="E169" s="133"/>
      <c r="F169" s="134"/>
      <c r="G169" s="134"/>
      <c r="H169" s="134"/>
      <c r="I169" s="133"/>
      <c r="J169" s="133"/>
      <c r="K169" s="133"/>
      <c r="L169" s="134"/>
      <c r="M169" s="133"/>
      <c r="N169" s="133"/>
      <c r="O169" s="133"/>
      <c r="P169" s="134"/>
      <c r="R169" s="134"/>
      <c r="S169" s="134"/>
      <c r="T169" s="134"/>
      <c r="U169" s="134"/>
      <c r="V169" s="134"/>
      <c r="W169" s="134"/>
      <c r="X169" s="134"/>
      <c r="BX169">
        <v>2.2302539133568398</v>
      </c>
      <c r="BY169" s="34">
        <v>2.6747358193055391</v>
      </c>
      <c r="CO169" s="112">
        <v>2.0591776777834614</v>
      </c>
      <c r="CP169" s="112">
        <v>2.456787572889521</v>
      </c>
      <c r="CQ169" s="132">
        <v>6</v>
      </c>
      <c r="CS169" s="112">
        <v>2.2329832100365108</v>
      </c>
      <c r="CT169" s="112">
        <v>3.1260257992832949</v>
      </c>
      <c r="CU169" s="119">
        <v>4</v>
      </c>
      <c r="DJ169" s="191">
        <v>-6.363185087767502E-2</v>
      </c>
      <c r="DK169" s="191">
        <v>2.8724953411213714</v>
      </c>
      <c r="DL169" s="191">
        <v>3</v>
      </c>
    </row>
    <row r="170" spans="1:116">
      <c r="A170" s="133"/>
      <c r="B170" s="134"/>
      <c r="C170" s="134"/>
      <c r="D170" s="134"/>
      <c r="E170" s="133"/>
      <c r="F170" s="134"/>
      <c r="G170" s="134"/>
      <c r="H170" s="134"/>
      <c r="I170" s="133"/>
      <c r="J170" s="133"/>
      <c r="K170" s="133"/>
      <c r="L170" s="134"/>
      <c r="M170" s="133"/>
      <c r="N170" s="133"/>
      <c r="O170" s="133"/>
      <c r="P170" s="134"/>
      <c r="R170" s="134"/>
      <c r="S170" s="134"/>
      <c r="T170" s="134"/>
      <c r="U170" s="134"/>
      <c r="V170" s="134"/>
      <c r="W170" s="134"/>
      <c r="X170" s="134"/>
      <c r="BX170">
        <v>2.0591776777834614</v>
      </c>
      <c r="BY170" s="34">
        <v>2.456787572889521</v>
      </c>
      <c r="CO170" s="112">
        <v>2.2927546764752416</v>
      </c>
      <c r="CP170" s="112">
        <v>3.0268955413438121</v>
      </c>
      <c r="CQ170" s="132">
        <v>7</v>
      </c>
      <c r="CS170" s="112">
        <v>1.6603022286591682</v>
      </c>
      <c r="CT170" s="112">
        <v>2.8816566978348677</v>
      </c>
      <c r="CU170" s="119">
        <v>4</v>
      </c>
      <c r="DJ170" s="191">
        <v>-0.31456925909300187</v>
      </c>
      <c r="DK170" s="191">
        <v>3.0679272337360763</v>
      </c>
      <c r="DL170" s="191">
        <v>3</v>
      </c>
    </row>
    <row r="171" spans="1:116">
      <c r="A171" s="133"/>
      <c r="B171" s="134"/>
      <c r="C171" s="134"/>
      <c r="D171" s="134"/>
      <c r="E171" s="133"/>
      <c r="F171" s="134"/>
      <c r="G171" s="134"/>
      <c r="H171" s="134"/>
      <c r="I171" s="133"/>
      <c r="J171" s="133"/>
      <c r="K171" s="133"/>
      <c r="L171" s="134"/>
      <c r="M171" s="133"/>
      <c r="N171" s="133"/>
      <c r="O171" s="133"/>
      <c r="P171" s="134"/>
      <c r="R171" s="134"/>
      <c r="S171" s="134"/>
      <c r="T171" s="134"/>
      <c r="U171" s="134"/>
      <c r="V171" s="134"/>
      <c r="W171" s="134"/>
      <c r="X171" s="134"/>
      <c r="BX171">
        <v>2.3166916414504501</v>
      </c>
      <c r="BY171" s="34">
        <v>3.0064748912332302</v>
      </c>
      <c r="CO171" s="112">
        <v>2.9214696641984412</v>
      </c>
      <c r="CP171" s="112">
        <v>2.6353996280318732</v>
      </c>
      <c r="CQ171" s="132">
        <v>7</v>
      </c>
      <c r="CS171" s="112">
        <v>3.8766194498710522</v>
      </c>
      <c r="CT171" s="112">
        <v>3.616246677812625</v>
      </c>
      <c r="CU171" s="112">
        <v>5</v>
      </c>
      <c r="DJ171" s="191">
        <v>-0.45512925890862677</v>
      </c>
      <c r="DK171" s="191">
        <v>2.9412587306052838</v>
      </c>
      <c r="DL171" s="191">
        <v>3</v>
      </c>
    </row>
    <row r="172" spans="1:116">
      <c r="A172" s="133"/>
      <c r="B172" s="134"/>
      <c r="C172" s="134"/>
      <c r="D172" s="134"/>
      <c r="E172" s="133"/>
      <c r="F172" s="134"/>
      <c r="G172" s="134"/>
      <c r="H172" s="134"/>
      <c r="I172" s="133"/>
      <c r="J172" s="133"/>
      <c r="K172" s="133"/>
      <c r="L172" s="134"/>
      <c r="M172" s="133"/>
      <c r="N172" s="133"/>
      <c r="O172" s="133"/>
      <c r="P172" s="134"/>
      <c r="BX172">
        <v>2.9214696641984412</v>
      </c>
      <c r="BY172" s="34">
        <v>2.6353996280318732</v>
      </c>
      <c r="CO172" s="112">
        <v>2.3478108219588796</v>
      </c>
      <c r="CP172" s="112">
        <v>2.42622888955853</v>
      </c>
      <c r="CQ172" s="132">
        <v>7</v>
      </c>
      <c r="CS172" s="112">
        <v>2.5696173894704009</v>
      </c>
      <c r="CT172" s="112">
        <v>3.2278004524185606</v>
      </c>
      <c r="CU172" s="112">
        <v>5</v>
      </c>
      <c r="DJ172" s="191">
        <v>0.94155290821139181</v>
      </c>
      <c r="DK172" s="191">
        <v>2.6826257992832949</v>
      </c>
      <c r="DL172" s="191">
        <v>3</v>
      </c>
    </row>
    <row r="173" spans="1:116">
      <c r="A173" s="133"/>
      <c r="B173" s="134"/>
      <c r="C173" s="134"/>
      <c r="D173" s="134"/>
      <c r="E173" s="133"/>
      <c r="F173" s="134"/>
      <c r="G173" s="134"/>
      <c r="H173" s="134"/>
      <c r="I173" s="133"/>
      <c r="J173" s="133"/>
      <c r="K173" s="133"/>
      <c r="L173" s="134"/>
      <c r="M173" s="133"/>
      <c r="N173" s="133"/>
      <c r="O173" s="133"/>
      <c r="P173" s="134"/>
      <c r="BX173">
        <v>2.3478108219588796</v>
      </c>
      <c r="BY173" s="34">
        <v>2.42622888955853</v>
      </c>
      <c r="CS173" s="112">
        <v>2.471709548170824</v>
      </c>
      <c r="CT173" s="112">
        <v>3.4180634391078977</v>
      </c>
      <c r="CU173" s="112">
        <v>5</v>
      </c>
      <c r="DJ173" s="191">
        <v>9.6746017342390703E-2</v>
      </c>
      <c r="DK173" s="191">
        <v>2.4447566978348667</v>
      </c>
      <c r="DL173" s="191">
        <v>3</v>
      </c>
    </row>
    <row r="174" spans="1:116">
      <c r="A174" s="133"/>
      <c r="B174" s="134"/>
      <c r="C174" s="134"/>
      <c r="D174" s="134"/>
      <c r="E174" s="133"/>
      <c r="F174" s="134"/>
      <c r="G174" s="134"/>
      <c r="H174" s="134"/>
      <c r="I174" s="133"/>
      <c r="J174" s="133"/>
      <c r="K174" s="133"/>
      <c r="L174" s="134"/>
      <c r="M174" s="133"/>
      <c r="N174" s="133"/>
      <c r="O174" s="133"/>
      <c r="P174" s="134"/>
      <c r="BX174">
        <v>4.7102246114428912</v>
      </c>
      <c r="BY174" s="34">
        <v>2.3935933107006484</v>
      </c>
      <c r="CS174" s="112">
        <v>2.2648222436210497</v>
      </c>
      <c r="CT174" s="112">
        <v>3.0964350043176188</v>
      </c>
      <c r="CU174" s="119">
        <v>5</v>
      </c>
      <c r="DJ174" s="191"/>
      <c r="DK174" s="191">
        <v>3.2727624191981519</v>
      </c>
      <c r="DL174" s="193">
        <v>3</v>
      </c>
    </row>
    <row r="175" spans="1:116">
      <c r="A175" s="133"/>
      <c r="B175" s="134"/>
      <c r="C175" s="134"/>
      <c r="D175" s="134"/>
      <c r="E175" s="133"/>
      <c r="F175" s="134"/>
      <c r="G175" s="134"/>
      <c r="H175" s="134"/>
      <c r="I175" s="133"/>
      <c r="J175" s="133"/>
      <c r="K175" s="133"/>
      <c r="L175" s="134"/>
      <c r="M175" s="133"/>
      <c r="N175" s="133"/>
      <c r="O175" s="133"/>
      <c r="P175" s="134"/>
      <c r="BX175">
        <v>2.6235378764828159</v>
      </c>
      <c r="BY175" s="34">
        <v>2.3505738854216389</v>
      </c>
      <c r="CS175" s="112">
        <v>1.6955608776319533</v>
      </c>
      <c r="CT175" s="112">
        <v>2.8446575104730956</v>
      </c>
      <c r="CU175" s="119">
        <v>5</v>
      </c>
      <c r="DJ175" s="191">
        <v>0.89371537531801359</v>
      </c>
      <c r="DK175" s="191">
        <v>3.1099953411213708</v>
      </c>
      <c r="DL175" s="193">
        <v>3</v>
      </c>
    </row>
    <row r="176" spans="1:116">
      <c r="A176" s="133"/>
      <c r="B176" s="134"/>
      <c r="C176" s="134"/>
      <c r="D176" s="134"/>
      <c r="E176" s="133"/>
      <c r="F176" s="134"/>
      <c r="G176" s="134"/>
      <c r="H176" s="134"/>
      <c r="I176" s="133"/>
      <c r="J176" s="133"/>
      <c r="K176" s="133"/>
      <c r="L176" s="134"/>
      <c r="M176" s="133"/>
      <c r="N176" s="133"/>
      <c r="O176" s="133"/>
      <c r="P176" s="134"/>
      <c r="BX176">
        <v>2.0489826084066736</v>
      </c>
      <c r="BY176" s="34">
        <v>2.3118156048852239</v>
      </c>
      <c r="CS176" s="112">
        <v>4.8137735593518389</v>
      </c>
      <c r="CT176" s="112">
        <v>3.5651524038752909</v>
      </c>
      <c r="CU176" s="112">
        <v>6</v>
      </c>
      <c r="DJ176" s="191">
        <v>1.5047129258102911</v>
      </c>
      <c r="DK176" s="191">
        <v>3.1489272337360763</v>
      </c>
      <c r="DL176" s="193">
        <v>3</v>
      </c>
    </row>
    <row r="177" spans="1:116">
      <c r="A177" s="133"/>
      <c r="B177" s="134"/>
      <c r="C177" s="134"/>
      <c r="D177" s="134"/>
      <c r="E177" s="133"/>
      <c r="F177" s="134"/>
      <c r="G177" s="134"/>
      <c r="H177" s="134"/>
      <c r="I177" s="133"/>
      <c r="J177" s="133"/>
      <c r="K177" s="133"/>
      <c r="L177" s="134"/>
      <c r="M177" s="133"/>
      <c r="N177" s="133"/>
      <c r="O177" s="133"/>
      <c r="P177" s="134"/>
      <c r="BX177">
        <v>2.8425290510197669</v>
      </c>
      <c r="BY177" s="34">
        <v>2.2767434202106376</v>
      </c>
      <c r="CS177" s="112">
        <v>2.6306238174440071</v>
      </c>
      <c r="CT177" s="112">
        <v>3.1861161938040867</v>
      </c>
      <c r="CU177" s="112">
        <v>6</v>
      </c>
      <c r="DJ177" s="191">
        <v>2.6404716046717125</v>
      </c>
      <c r="DK177" s="191">
        <v>3.0250587306052825</v>
      </c>
      <c r="DL177" s="193">
        <v>3</v>
      </c>
    </row>
    <row r="178" spans="1:116">
      <c r="A178" s="133"/>
      <c r="B178" s="134"/>
      <c r="C178" s="134"/>
      <c r="D178" s="134"/>
      <c r="E178" s="133"/>
      <c r="F178" s="134"/>
      <c r="G178" s="134"/>
      <c r="H178" s="134"/>
      <c r="I178" s="133"/>
      <c r="J178" s="133"/>
      <c r="K178" s="133"/>
      <c r="L178" s="134"/>
      <c r="M178" s="133"/>
      <c r="N178" s="133"/>
      <c r="O178" s="133"/>
      <c r="P178" s="134"/>
      <c r="BX178">
        <v>2.2107042221066235</v>
      </c>
      <c r="BY178" s="34">
        <v>2.2421010906809613</v>
      </c>
      <c r="CS178" s="112">
        <v>1.8834405551877043</v>
      </c>
      <c r="CT178" s="112">
        <v>3.3739726488416055</v>
      </c>
      <c r="CU178" s="119">
        <v>6</v>
      </c>
      <c r="DJ178" s="191">
        <v>2.2438871846158799</v>
      </c>
      <c r="DK178" s="191">
        <v>2.7797257992832947</v>
      </c>
      <c r="DL178" s="193">
        <v>3</v>
      </c>
    </row>
    <row r="179" spans="1:116">
      <c r="A179" s="133"/>
      <c r="B179" s="134"/>
      <c r="C179" s="134"/>
      <c r="D179" s="134"/>
      <c r="E179" s="133"/>
      <c r="F179" s="134"/>
      <c r="G179" s="134"/>
      <c r="H179" s="134"/>
      <c r="I179" s="133"/>
      <c r="J179" s="133"/>
      <c r="K179" s="133"/>
      <c r="L179" s="134"/>
      <c r="M179" s="133"/>
      <c r="N179" s="133"/>
      <c r="O179" s="133"/>
      <c r="P179" s="134"/>
      <c r="BX179">
        <v>1.8384510459079579</v>
      </c>
      <c r="BY179" s="34">
        <v>2.2058965847504819</v>
      </c>
      <c r="CS179" s="112">
        <v>2.066153019817675</v>
      </c>
      <c r="CT179" s="112">
        <v>3.0696703853027509</v>
      </c>
      <c r="CU179" s="119">
        <v>6</v>
      </c>
      <c r="DJ179" s="191">
        <v>1.2111596288873414</v>
      </c>
      <c r="DK179" s="191">
        <v>2.5535566978348676</v>
      </c>
      <c r="DL179" s="193">
        <v>3</v>
      </c>
    </row>
    <row r="180" spans="1:116">
      <c r="A180" s="133"/>
      <c r="B180" s="134"/>
      <c r="C180" s="134"/>
      <c r="D180" s="134"/>
      <c r="E180" s="133"/>
      <c r="F180" s="134"/>
      <c r="G180" s="134"/>
      <c r="H180" s="134"/>
      <c r="I180" s="133"/>
      <c r="J180" s="133"/>
      <c r="K180" s="133"/>
      <c r="L180" s="134"/>
      <c r="M180" s="133"/>
      <c r="N180" s="133"/>
      <c r="O180" s="133"/>
      <c r="P180" s="134"/>
      <c r="BX180">
        <v>1.6537291770201885</v>
      </c>
      <c r="BY180" s="34">
        <v>2.1696867673003695</v>
      </c>
      <c r="CS180" s="112">
        <v>1.8755405671891781</v>
      </c>
      <c r="CT180" s="112">
        <v>2.8065082253497939</v>
      </c>
      <c r="CU180" s="119">
        <v>6</v>
      </c>
      <c r="DJ180" s="195"/>
      <c r="DK180" s="196">
        <v>2.7607329762465871</v>
      </c>
      <c r="DL180" s="197">
        <v>4</v>
      </c>
    </row>
    <row r="181" spans="1:116">
      <c r="A181" s="133"/>
      <c r="B181" s="134"/>
      <c r="C181" s="134"/>
      <c r="D181" s="134"/>
      <c r="E181" s="133"/>
      <c r="F181" s="134"/>
      <c r="G181" s="134"/>
      <c r="H181" s="134"/>
      <c r="I181" s="133"/>
      <c r="J181" s="133"/>
      <c r="K181" s="133"/>
      <c r="L181" s="134"/>
      <c r="M181" s="133"/>
      <c r="N181" s="133"/>
      <c r="O181" s="133"/>
      <c r="P181" s="134"/>
      <c r="BX181">
        <v>3.4714275734752733</v>
      </c>
      <c r="BY181" s="34">
        <v>2.1281540455995902</v>
      </c>
      <c r="CS181" s="112"/>
      <c r="CT181" s="112">
        <v>3.1516955413438135</v>
      </c>
      <c r="CU181" s="119">
        <v>7</v>
      </c>
      <c r="DJ181" s="195">
        <v>1.3275593681271378</v>
      </c>
      <c r="DK181" s="196">
        <v>2.4632184455944803</v>
      </c>
      <c r="DL181" s="197">
        <v>4</v>
      </c>
    </row>
    <row r="182" spans="1:116">
      <c r="A182" s="133"/>
      <c r="B182" s="134"/>
      <c r="C182" s="134"/>
      <c r="D182" s="134"/>
      <c r="E182" s="133"/>
      <c r="F182" s="134"/>
      <c r="G182" s="134"/>
      <c r="H182" s="134"/>
      <c r="I182" s="133"/>
      <c r="J182" s="133"/>
      <c r="K182" s="133"/>
      <c r="L182" s="134"/>
      <c r="M182" s="133"/>
      <c r="N182" s="133"/>
      <c r="O182" s="133"/>
      <c r="P182" s="134"/>
      <c r="BX182">
        <v>0.89456185607044503</v>
      </c>
      <c r="BY182" s="34">
        <v>2.0889609988435236</v>
      </c>
      <c r="CS182" s="112">
        <v>1.9987040892223098</v>
      </c>
      <c r="CT182" s="112">
        <v>3.0310358193055391</v>
      </c>
      <c r="CU182" s="119">
        <v>7</v>
      </c>
      <c r="DJ182" s="195">
        <v>1.7116026072613704</v>
      </c>
      <c r="DK182" s="196">
        <v>2.0150720246773575</v>
      </c>
      <c r="DL182" s="197">
        <v>4</v>
      </c>
    </row>
    <row r="183" spans="1:116">
      <c r="A183" s="133"/>
      <c r="B183" s="134"/>
      <c r="C183" s="134"/>
      <c r="D183" s="134"/>
      <c r="E183" s="133"/>
      <c r="F183" s="134"/>
      <c r="G183" s="134"/>
      <c r="H183" s="134"/>
      <c r="I183" s="133"/>
      <c r="J183" s="133"/>
      <c r="K183" s="133"/>
      <c r="L183" s="134"/>
      <c r="M183" s="133"/>
      <c r="N183" s="133"/>
      <c r="O183" s="133"/>
      <c r="P183" s="134"/>
      <c r="BX183">
        <v>1.5641440361088665</v>
      </c>
      <c r="BY183" s="34">
        <v>2.0485505713273184</v>
      </c>
      <c r="CS183" s="112">
        <v>2.0854468580534853</v>
      </c>
      <c r="CT183" s="112">
        <v>2.7656875728895214</v>
      </c>
      <c r="CU183" s="119">
        <v>7</v>
      </c>
      <c r="DJ183" s="195">
        <v>0.61289056413976128</v>
      </c>
      <c r="DK183" s="196">
        <v>1.7994634391078965</v>
      </c>
      <c r="DL183" s="197">
        <v>4</v>
      </c>
    </row>
    <row r="184" spans="1:116">
      <c r="A184" s="133"/>
      <c r="B184" s="134"/>
      <c r="C184" s="134"/>
      <c r="D184" s="134"/>
      <c r="E184" s="133"/>
      <c r="F184" s="134"/>
      <c r="G184" s="134"/>
      <c r="H184" s="134"/>
      <c r="I184" s="133"/>
      <c r="J184" s="133"/>
      <c r="K184" s="133"/>
      <c r="L184" s="134"/>
      <c r="M184" s="133"/>
      <c r="N184" s="133"/>
      <c r="O184" s="133"/>
      <c r="P184" s="134"/>
      <c r="BX184">
        <v>1.9583835563531857</v>
      </c>
      <c r="BY184" s="34">
        <v>2.0045331858677997</v>
      </c>
      <c r="CS184" s="112">
        <v>2.6223275717346604</v>
      </c>
      <c r="CT184" s="112">
        <v>3.1205748912332298</v>
      </c>
      <c r="CU184" s="119">
        <v>8</v>
      </c>
      <c r="DJ184" s="195">
        <v>0.5044529139287639</v>
      </c>
      <c r="DK184" s="196">
        <v>1.4761350043176198</v>
      </c>
      <c r="DL184" s="197">
        <v>4</v>
      </c>
    </row>
    <row r="185" spans="1:116">
      <c r="A185" s="133"/>
      <c r="B185" s="134"/>
      <c r="C185" s="134"/>
      <c r="D185" s="134"/>
      <c r="E185" s="133"/>
      <c r="F185" s="134"/>
      <c r="G185" s="134"/>
      <c r="H185" s="134"/>
      <c r="I185" s="133"/>
      <c r="J185" s="133"/>
      <c r="K185" s="133"/>
      <c r="L185" s="134"/>
      <c r="M185" s="133"/>
      <c r="N185" s="133"/>
      <c r="O185" s="133"/>
      <c r="P185" s="134"/>
      <c r="BX185">
        <v>0.98534853979044112</v>
      </c>
      <c r="BY185" s="34">
        <v>1.9808798117067459</v>
      </c>
      <c r="CS185" s="112"/>
      <c r="CT185" s="112">
        <v>2.9960996280318719</v>
      </c>
      <c r="CU185" s="119">
        <v>8</v>
      </c>
      <c r="DJ185" s="195">
        <v>0.74277938754755812</v>
      </c>
      <c r="DK185" s="196">
        <v>1.2599575104730953</v>
      </c>
      <c r="DL185" s="197">
        <v>4</v>
      </c>
    </row>
    <row r="186" spans="1:116">
      <c r="A186" s="133"/>
      <c r="B186" s="134"/>
      <c r="C186" s="134"/>
      <c r="D186" s="134"/>
      <c r="E186" s="133"/>
      <c r="F186" s="134"/>
      <c r="G186" s="134"/>
      <c r="H186" s="134"/>
      <c r="I186" s="133"/>
      <c r="J186" s="133"/>
      <c r="K186" s="133"/>
      <c r="L186" s="134"/>
      <c r="M186" s="133"/>
      <c r="N186" s="133"/>
      <c r="O186" s="133"/>
      <c r="P186" s="134"/>
      <c r="BX186">
        <v>0.52513301210067431</v>
      </c>
      <c r="BY186" s="34">
        <v>1.9578538406777672</v>
      </c>
      <c r="CS186" s="112">
        <v>3.0022490055545559</v>
      </c>
      <c r="CT186" s="112">
        <v>2.7222288895585303</v>
      </c>
      <c r="CU186" s="119">
        <v>8</v>
      </c>
      <c r="DJ186" s="195">
        <v>3.875838432476332</v>
      </c>
      <c r="DK186" s="195">
        <v>3.661432976246588</v>
      </c>
      <c r="DL186" s="195">
        <v>4</v>
      </c>
    </row>
    <row r="187" spans="1:116">
      <c r="A187" s="133"/>
      <c r="B187" s="134"/>
      <c r="C187" s="134"/>
      <c r="D187" s="134"/>
      <c r="E187" s="133"/>
      <c r="F187" s="134"/>
      <c r="G187" s="134"/>
      <c r="H187" s="134"/>
      <c r="I187" s="133"/>
      <c r="J187" s="133"/>
      <c r="K187" s="133"/>
      <c r="L187" s="134"/>
      <c r="M187" s="133"/>
      <c r="N187" s="133"/>
      <c r="O187" s="133"/>
      <c r="P187" s="134"/>
      <c r="BX187">
        <v>0.95058575030211956</v>
      </c>
      <c r="BY187" s="34">
        <v>1.9360980098044942</v>
      </c>
      <c r="CS187" s="112">
        <v>1.6593625441544424</v>
      </c>
      <c r="CT187" s="112">
        <v>2.677693310700648</v>
      </c>
      <c r="CU187" s="119">
        <v>9</v>
      </c>
      <c r="DJ187" s="195">
        <v>2.5090136334827631</v>
      </c>
      <c r="DK187" s="195">
        <v>3.2686184455944813</v>
      </c>
      <c r="DL187" s="195">
        <v>4</v>
      </c>
    </row>
    <row r="188" spans="1:116">
      <c r="A188" s="133"/>
      <c r="B188" s="134"/>
      <c r="C188" s="134"/>
      <c r="D188" s="134"/>
      <c r="E188" s="133"/>
      <c r="F188" s="134"/>
      <c r="G188" s="134"/>
      <c r="H188" s="134"/>
      <c r="I188" s="133"/>
      <c r="J188" s="133"/>
      <c r="K188" s="133"/>
      <c r="L188" s="134"/>
      <c r="M188" s="133"/>
      <c r="N188" s="133"/>
      <c r="O188" s="133"/>
      <c r="P188" s="134"/>
      <c r="BX188">
        <v>1.0024472690521109</v>
      </c>
      <c r="BY188" s="34">
        <v>1.9113853257985107</v>
      </c>
      <c r="CS188" s="112">
        <v>1.5671439458434091</v>
      </c>
      <c r="CT188" s="112">
        <v>2.6445738854216385</v>
      </c>
      <c r="CU188" s="119">
        <v>10</v>
      </c>
      <c r="DJ188" s="195">
        <v>2.5798579901722336</v>
      </c>
      <c r="DK188" s="195">
        <v>3.660127233736076</v>
      </c>
      <c r="DL188" s="195">
        <v>4</v>
      </c>
    </row>
    <row r="189" spans="1:116">
      <c r="A189" s="133"/>
      <c r="B189" s="134"/>
      <c r="C189" s="134"/>
      <c r="D189" s="134"/>
      <c r="E189" s="133"/>
      <c r="F189" s="134"/>
      <c r="G189" s="134"/>
      <c r="H189" s="134"/>
      <c r="I189" s="133"/>
      <c r="J189" s="133"/>
      <c r="K189" s="133"/>
      <c r="L189" s="134"/>
      <c r="M189" s="133"/>
      <c r="N189" s="133"/>
      <c r="O189" s="133"/>
      <c r="P189" s="134"/>
      <c r="BX189">
        <v>-0.18248652849055946</v>
      </c>
      <c r="BY189" s="34">
        <v>1.887739917742058</v>
      </c>
      <c r="CS189" s="112">
        <v>1.4895534092264633</v>
      </c>
      <c r="CT189" s="112">
        <v>2.6126156048852236</v>
      </c>
      <c r="CU189" s="119">
        <v>11</v>
      </c>
      <c r="DJ189" s="195">
        <v>2.412180297791231</v>
      </c>
      <c r="DK189" s="195">
        <v>3.4643587306052828</v>
      </c>
      <c r="DL189" s="195">
        <v>4</v>
      </c>
    </row>
    <row r="190" spans="1:116">
      <c r="A190" s="133"/>
      <c r="B190" s="134"/>
      <c r="C190" s="134"/>
      <c r="D190" s="134"/>
      <c r="E190" s="133"/>
      <c r="F190" s="134"/>
      <c r="G190" s="134"/>
      <c r="H190" s="134"/>
      <c r="I190" s="133"/>
      <c r="J190" s="133"/>
      <c r="K190" s="133"/>
      <c r="L190" s="134"/>
      <c r="M190" s="133"/>
      <c r="N190" s="133"/>
      <c r="O190" s="133"/>
      <c r="P190" s="134"/>
      <c r="BX190">
        <v>-2.7541708904315829E-2</v>
      </c>
      <c r="BY190" s="34">
        <v>1.8694223344097904</v>
      </c>
      <c r="CS190" s="112">
        <v>1.571703238561184</v>
      </c>
      <c r="CT190" s="112">
        <v>2.5780434202106379</v>
      </c>
      <c r="CU190" s="119">
        <v>12</v>
      </c>
      <c r="DJ190" s="195">
        <v>2.2329832100365108</v>
      </c>
      <c r="DK190" s="195">
        <v>3.1260257992832949</v>
      </c>
      <c r="DL190" s="199">
        <v>4</v>
      </c>
    </row>
    <row r="191" spans="1:116">
      <c r="A191" s="133"/>
      <c r="B191" s="134"/>
      <c r="C191" s="134"/>
      <c r="D191" s="134"/>
      <c r="E191" s="133"/>
      <c r="F191" s="134"/>
      <c r="G191" s="134"/>
      <c r="H191" s="134"/>
      <c r="I191" s="133"/>
      <c r="J191" s="133"/>
      <c r="K191" s="133"/>
      <c r="L191" s="134"/>
      <c r="M191" s="133"/>
      <c r="N191" s="133"/>
      <c r="O191" s="133"/>
      <c r="P191" s="134"/>
      <c r="BY191" s="34">
        <v>1.6491466778126254</v>
      </c>
      <c r="CS191" s="112">
        <v>1.250745385728202</v>
      </c>
      <c r="CT191" s="112">
        <v>2.5453010906809608</v>
      </c>
      <c r="CU191" s="119">
        <v>13</v>
      </c>
      <c r="DJ191" s="195">
        <v>1.6603022286591682</v>
      </c>
      <c r="DK191" s="195">
        <v>2.8816566978348677</v>
      </c>
      <c r="DL191" s="199">
        <v>4</v>
      </c>
    </row>
    <row r="192" spans="1:116">
      <c r="A192" s="133"/>
      <c r="B192" s="134"/>
      <c r="C192" s="134"/>
      <c r="D192" s="134"/>
      <c r="E192" s="133"/>
      <c r="F192" s="134"/>
      <c r="G192" s="134"/>
      <c r="H192" s="134"/>
      <c r="I192" s="133"/>
      <c r="J192" s="133"/>
      <c r="K192" s="133"/>
      <c r="L192" s="134"/>
      <c r="M192" s="133"/>
      <c r="N192" s="133"/>
      <c r="O192" s="133"/>
      <c r="P192" s="134"/>
      <c r="BX192">
        <v>-2.2233600174556685</v>
      </c>
      <c r="BY192" s="34">
        <v>1.8071663127128443</v>
      </c>
      <c r="CS192" s="112">
        <v>1.464739505291748</v>
      </c>
      <c r="CT192" s="112">
        <v>2.5081965847504817</v>
      </c>
      <c r="CU192" s="119">
        <v>14</v>
      </c>
      <c r="DJ192" s="191">
        <v>-1.3680144254648863</v>
      </c>
      <c r="DK192" s="191">
        <v>3.0304329762465883</v>
      </c>
      <c r="DL192" s="191">
        <v>4</v>
      </c>
    </row>
    <row r="193" spans="1:116">
      <c r="A193" s="133"/>
      <c r="B193" s="134"/>
      <c r="C193" s="134"/>
      <c r="D193" s="134"/>
      <c r="E193" s="133"/>
      <c r="F193" s="134"/>
      <c r="G193" s="134"/>
      <c r="H193" s="134"/>
      <c r="I193" s="133"/>
      <c r="J193" s="133"/>
      <c r="K193" s="133"/>
      <c r="L193" s="134"/>
      <c r="M193" s="133"/>
      <c r="N193" s="133"/>
      <c r="O193" s="133"/>
      <c r="P193" s="134"/>
      <c r="BX193">
        <v>1.4936009646687103</v>
      </c>
      <c r="BY193" s="34">
        <v>1.8004505666279333</v>
      </c>
      <c r="CS193" s="112">
        <v>2.083570124941847</v>
      </c>
      <c r="CT193" s="112">
        <v>2.4690867673003689</v>
      </c>
      <c r="CU193" s="119">
        <v>15</v>
      </c>
      <c r="DJ193" s="191">
        <v>0.72275058579618356</v>
      </c>
      <c r="DK193" s="191">
        <v>2.8491184455944807</v>
      </c>
      <c r="DL193" s="191">
        <v>4</v>
      </c>
    </row>
    <row r="194" spans="1:116">
      <c r="A194" s="133"/>
      <c r="B194" s="134"/>
      <c r="C194" s="134"/>
      <c r="D194" s="134"/>
      <c r="E194" s="133"/>
      <c r="F194" s="134"/>
      <c r="G194" s="134"/>
      <c r="H194" s="134"/>
      <c r="I194" s="133"/>
      <c r="J194" s="133"/>
      <c r="K194" s="133"/>
      <c r="L194" s="134"/>
      <c r="M194" s="133"/>
      <c r="N194" s="133"/>
      <c r="O194" s="133"/>
      <c r="P194" s="134"/>
      <c r="BX194">
        <v>0.85323665789927616</v>
      </c>
      <c r="BY194" s="34">
        <v>1.7729470923556627</v>
      </c>
      <c r="CS194" s="112">
        <v>1.0475136367000291</v>
      </c>
      <c r="CT194" s="112">
        <v>2.4298540455995914</v>
      </c>
      <c r="CU194" s="119">
        <v>16</v>
      </c>
      <c r="DJ194" s="191">
        <v>-0.30200307620411071</v>
      </c>
      <c r="DK194" s="191">
        <v>3.0416720246773585</v>
      </c>
      <c r="DL194" s="191">
        <v>4</v>
      </c>
    </row>
    <row r="195" spans="1:116">
      <c r="A195" s="133"/>
      <c r="B195" s="134"/>
      <c r="C195" s="134"/>
      <c r="D195" s="134"/>
      <c r="E195" s="133"/>
      <c r="F195" s="134"/>
      <c r="G195" s="134"/>
      <c r="H195" s="134"/>
      <c r="I195" s="133"/>
      <c r="J195" s="133"/>
      <c r="K195" s="133"/>
      <c r="L195" s="134"/>
      <c r="M195" s="133"/>
      <c r="N195" s="133"/>
      <c r="O195" s="133"/>
      <c r="P195" s="134"/>
      <c r="BX195">
        <v>1.904436657899276</v>
      </c>
      <c r="BY195" s="34">
        <v>1.1646311436986172</v>
      </c>
      <c r="CS195" s="112">
        <v>2.1283161418985697</v>
      </c>
      <c r="CT195" s="112">
        <v>2.3931609988435225</v>
      </c>
      <c r="CU195" s="119">
        <v>17</v>
      </c>
      <c r="DJ195" s="191">
        <v>-0.37774367011921411</v>
      </c>
      <c r="DK195" s="191">
        <v>2.9136634391078959</v>
      </c>
      <c r="DL195" s="191">
        <v>4</v>
      </c>
    </row>
    <row r="196" spans="1:116">
      <c r="A196" s="133"/>
      <c r="B196" s="134"/>
      <c r="C196" s="134"/>
      <c r="D196" s="134"/>
      <c r="E196" s="133"/>
      <c r="F196" s="134"/>
      <c r="G196" s="134"/>
      <c r="H196" s="134"/>
      <c r="I196" s="133"/>
      <c r="J196" s="133"/>
      <c r="K196" s="133"/>
      <c r="L196" s="134"/>
      <c r="M196" s="133"/>
      <c r="N196" s="133"/>
      <c r="O196" s="133"/>
      <c r="P196" s="134"/>
      <c r="BX196">
        <v>3.1572366578992761</v>
      </c>
      <c r="BY196" s="34">
        <v>1.1184288942579135</v>
      </c>
      <c r="CS196" s="112">
        <v>2.3634660871940931</v>
      </c>
      <c r="CT196" s="112">
        <v>2.3502505713273179</v>
      </c>
      <c r="CU196" s="119">
        <v>18</v>
      </c>
      <c r="DJ196" s="191">
        <v>0.85241886971706882</v>
      </c>
      <c r="DK196" s="191">
        <v>2.6472350043176198</v>
      </c>
      <c r="DL196" s="191">
        <v>4</v>
      </c>
    </row>
    <row r="197" spans="1:116">
      <c r="A197" s="133"/>
      <c r="B197" s="134"/>
      <c r="C197" s="134"/>
      <c r="D197" s="134"/>
      <c r="E197" s="133"/>
      <c r="F197" s="134"/>
      <c r="G197" s="134"/>
      <c r="H197" s="134"/>
      <c r="I197" s="133"/>
      <c r="J197" s="133"/>
      <c r="K197" s="133"/>
      <c r="L197" s="134"/>
      <c r="M197" s="133"/>
      <c r="N197" s="133"/>
      <c r="O197" s="133"/>
      <c r="P197" s="134"/>
      <c r="CS197" s="112">
        <v>3.3083435945081701</v>
      </c>
      <c r="CT197" s="112">
        <v>2.3023331858677993</v>
      </c>
      <c r="CU197" s="119">
        <v>19</v>
      </c>
      <c r="DJ197" s="191">
        <v>1.1696818889693983</v>
      </c>
      <c r="DK197" s="191">
        <v>2.4068575104730967</v>
      </c>
      <c r="DL197" s="191">
        <v>4</v>
      </c>
    </row>
    <row r="198" spans="1:116">
      <c r="A198" s="133"/>
      <c r="B198" s="134"/>
      <c r="C198" s="134"/>
      <c r="D198" s="134"/>
      <c r="E198" s="133"/>
      <c r="F198" s="134"/>
      <c r="G198" s="134"/>
      <c r="H198" s="134"/>
      <c r="I198" s="133"/>
      <c r="J198" s="133"/>
      <c r="K198" s="133"/>
      <c r="L198" s="134"/>
      <c r="M198" s="133"/>
      <c r="N198" s="133"/>
      <c r="O198" s="133"/>
      <c r="P198" s="134"/>
      <c r="CS198" s="112">
        <v>0.8774975652972371</v>
      </c>
      <c r="CT198" s="112">
        <v>2.2695798117067456</v>
      </c>
      <c r="CU198" s="119">
        <v>20</v>
      </c>
      <c r="DJ198" s="191">
        <v>0.51380529982026912</v>
      </c>
      <c r="DK198" s="191">
        <v>3.2534329762465877</v>
      </c>
      <c r="DL198" s="193">
        <v>4</v>
      </c>
    </row>
    <row r="199" spans="1:116">
      <c r="A199" s="133"/>
      <c r="B199" s="134"/>
      <c r="C199" s="134"/>
      <c r="D199" s="134"/>
      <c r="E199" s="133"/>
      <c r="F199" s="134"/>
      <c r="G199" s="134"/>
      <c r="H199" s="134"/>
      <c r="I199" s="133"/>
      <c r="J199" s="133"/>
      <c r="K199" s="133"/>
      <c r="L199" s="134"/>
      <c r="M199" s="133"/>
      <c r="N199" s="133"/>
      <c r="O199" s="133"/>
      <c r="P199" s="134"/>
      <c r="CS199" s="112">
        <v>0.9228607880143378</v>
      </c>
      <c r="CT199" s="112">
        <v>2.2397538406777668</v>
      </c>
      <c r="CU199" s="119">
        <v>21</v>
      </c>
      <c r="DJ199" s="191">
        <v>1.4014465393149891</v>
      </c>
      <c r="DK199" s="191">
        <v>3.0919184455944819</v>
      </c>
      <c r="DL199" s="193">
        <v>4</v>
      </c>
    </row>
    <row r="200" spans="1:116">
      <c r="A200" s="133"/>
      <c r="B200" s="134"/>
      <c r="C200" s="134"/>
      <c r="D200" s="134"/>
      <c r="E200" s="133"/>
      <c r="F200" s="134"/>
      <c r="G200" s="134"/>
      <c r="H200" s="134"/>
      <c r="I200" s="133"/>
      <c r="J200" s="133"/>
      <c r="K200" s="133"/>
      <c r="L200" s="134"/>
      <c r="M200" s="133"/>
      <c r="N200" s="133"/>
      <c r="O200" s="133"/>
      <c r="P200" s="134"/>
      <c r="CS200" s="112">
        <v>1.1553708950288122</v>
      </c>
      <c r="CT200" s="112">
        <v>2.2115980098044945</v>
      </c>
      <c r="CU200" s="119">
        <v>22</v>
      </c>
      <c r="DJ200" s="191">
        <v>1.584563958071205</v>
      </c>
      <c r="DK200" s="191">
        <v>3.125172024677358</v>
      </c>
      <c r="DL200" s="193">
        <v>4</v>
      </c>
    </row>
    <row r="201" spans="1:116">
      <c r="A201" s="133"/>
      <c r="B201" s="134"/>
      <c r="C201" s="134"/>
      <c r="D201" s="134"/>
      <c r="E201" s="133"/>
      <c r="F201" s="134"/>
      <c r="G201" s="134"/>
      <c r="H201" s="134"/>
      <c r="I201" s="133"/>
      <c r="J201" s="133"/>
      <c r="K201" s="133"/>
      <c r="L201" s="134"/>
      <c r="M201" s="133"/>
      <c r="N201" s="133"/>
      <c r="O201" s="133"/>
      <c r="P201" s="134"/>
      <c r="CS201" s="112">
        <v>1.4177427230363291</v>
      </c>
      <c r="CT201" s="112">
        <v>2.1831853257985108</v>
      </c>
      <c r="CU201" s="119">
        <v>23</v>
      </c>
      <c r="DJ201" s="191">
        <v>2.3285108207370135</v>
      </c>
      <c r="DK201" s="191">
        <v>2.9966634391078966</v>
      </c>
      <c r="DL201" s="193">
        <v>4</v>
      </c>
    </row>
    <row r="202" spans="1:116">
      <c r="A202" s="133"/>
      <c r="B202" s="134"/>
      <c r="C202" s="134"/>
      <c r="D202" s="134"/>
      <c r="E202" s="133"/>
      <c r="F202" s="134"/>
      <c r="G202" s="134"/>
      <c r="H202" s="134"/>
      <c r="I202" s="133"/>
      <c r="J202" s="133"/>
      <c r="K202" s="133"/>
      <c r="L202" s="134"/>
      <c r="M202" s="133"/>
      <c r="N202" s="133"/>
      <c r="O202" s="133"/>
      <c r="P202" s="134"/>
      <c r="CS202" s="112">
        <v>1.2793825273344654</v>
      </c>
      <c r="CT202" s="112">
        <v>2.1525399177420583</v>
      </c>
      <c r="CU202" s="119">
        <v>24</v>
      </c>
      <c r="DJ202" s="191">
        <v>2.4341461905421689</v>
      </c>
      <c r="DK202" s="191">
        <v>2.7452350043176192</v>
      </c>
      <c r="DL202" s="193">
        <v>4</v>
      </c>
    </row>
    <row r="203" spans="1:116">
      <c r="A203" s="133"/>
      <c r="B203" s="134"/>
      <c r="C203" s="134"/>
      <c r="D203" s="134"/>
      <c r="E203" s="133"/>
      <c r="F203" s="134"/>
      <c r="G203" s="134"/>
      <c r="H203" s="134"/>
      <c r="I203" s="133"/>
      <c r="J203" s="133"/>
      <c r="K203" s="133"/>
      <c r="L203" s="134"/>
      <c r="M203" s="133"/>
      <c r="N203" s="133"/>
      <c r="O203" s="133"/>
      <c r="P203" s="134"/>
      <c r="CS203" s="112">
        <v>1.1568148417820987</v>
      </c>
      <c r="CT203" s="112">
        <v>2.1216223344097918</v>
      </c>
      <c r="CU203" s="119">
        <v>25</v>
      </c>
      <c r="DJ203" s="191">
        <v>1.6837415385962864</v>
      </c>
      <c r="DK203" s="191">
        <v>2.5267575104730966</v>
      </c>
      <c r="DL203" s="193">
        <v>4</v>
      </c>
    </row>
    <row r="204" spans="1:116">
      <c r="A204" s="133"/>
      <c r="B204" s="134"/>
      <c r="C204" s="134"/>
      <c r="D204" s="134"/>
      <c r="E204" s="133"/>
      <c r="F204" s="134"/>
      <c r="G204" s="134"/>
      <c r="H204" s="134"/>
      <c r="I204" s="133"/>
      <c r="J204" s="133"/>
      <c r="K204" s="133"/>
      <c r="L204" s="134"/>
      <c r="M204" s="133"/>
      <c r="N204" s="133"/>
      <c r="O204" s="133"/>
      <c r="P204" s="134"/>
      <c r="CS204" s="112">
        <v>-0.57189385084433941</v>
      </c>
      <c r="CT204" s="112">
        <v>2.0977466778126255</v>
      </c>
      <c r="CU204" s="119">
        <v>26</v>
      </c>
      <c r="DJ204" s="195">
        <v>0.24881118929884136</v>
      </c>
      <c r="DK204" s="196">
        <v>2.7228466778126248</v>
      </c>
      <c r="DL204" s="197">
        <v>5</v>
      </c>
    </row>
    <row r="205" spans="1:116">
      <c r="A205" s="133"/>
      <c r="B205" s="134"/>
      <c r="C205" s="134"/>
      <c r="D205" s="134"/>
      <c r="E205" s="133"/>
      <c r="F205" s="134"/>
      <c r="G205" s="134"/>
      <c r="H205" s="134"/>
      <c r="I205" s="133"/>
      <c r="J205" s="133"/>
      <c r="K205" s="133"/>
      <c r="L205" s="134"/>
      <c r="M205" s="133"/>
      <c r="N205" s="133"/>
      <c r="O205" s="133"/>
      <c r="P205" s="134"/>
      <c r="CS205" s="112">
        <v>1.3882029636103224</v>
      </c>
      <c r="CT205" s="112">
        <v>2.0814663127128457</v>
      </c>
      <c r="CU205" s="119">
        <v>27</v>
      </c>
      <c r="DJ205" s="195">
        <v>0.84297528289486756</v>
      </c>
      <c r="DK205" s="196">
        <v>2.4248004524185611</v>
      </c>
      <c r="DL205" s="197">
        <v>5</v>
      </c>
    </row>
    <row r="206" spans="1:116">
      <c r="A206" s="133"/>
      <c r="B206" s="134"/>
      <c r="C206" s="134"/>
      <c r="D206" s="134"/>
      <c r="E206" s="133"/>
      <c r="F206" s="134"/>
      <c r="G206" s="134"/>
      <c r="H206" s="134"/>
      <c r="I206" s="133"/>
      <c r="J206" s="133"/>
      <c r="K206" s="133"/>
      <c r="L206" s="134"/>
      <c r="M206" s="133"/>
      <c r="N206" s="133"/>
      <c r="O206" s="133"/>
      <c r="P206" s="134"/>
      <c r="CS206" s="112">
        <v>1.2934790995496357</v>
      </c>
      <c r="CT206" s="112">
        <v>2.055550566627935</v>
      </c>
      <c r="CU206" s="119">
        <v>28</v>
      </c>
      <c r="DJ206" s="195">
        <v>0.85315976464860199</v>
      </c>
      <c r="DK206" s="196">
        <v>1.7632726488416055</v>
      </c>
      <c r="DL206" s="197">
        <v>5</v>
      </c>
    </row>
    <row r="207" spans="1:116">
      <c r="A207" s="133"/>
      <c r="B207" s="134"/>
      <c r="C207" s="134"/>
      <c r="D207" s="134"/>
      <c r="E207" s="133"/>
      <c r="F207" s="134"/>
      <c r="G207" s="134"/>
      <c r="H207" s="134"/>
      <c r="I207" s="133"/>
      <c r="J207" s="133"/>
      <c r="K207" s="133"/>
      <c r="L207" s="134"/>
      <c r="M207" s="133"/>
      <c r="N207" s="133"/>
      <c r="O207" s="133"/>
      <c r="P207" s="134"/>
      <c r="CS207" s="112">
        <v>1.0851877450868967</v>
      </c>
      <c r="CT207" s="112">
        <v>2.0289470923556623</v>
      </c>
      <c r="CU207" s="119">
        <v>29</v>
      </c>
      <c r="DJ207" s="195">
        <v>0.19110687114638031</v>
      </c>
      <c r="DK207" s="196">
        <v>1.4483703853027508</v>
      </c>
      <c r="DL207" s="197">
        <v>5</v>
      </c>
    </row>
    <row r="208" spans="1:116">
      <c r="A208" s="133"/>
      <c r="B208" s="134"/>
      <c r="C208" s="134"/>
      <c r="D208" s="134"/>
      <c r="E208" s="133"/>
      <c r="F208" s="134"/>
      <c r="G208" s="134"/>
      <c r="H208" s="134"/>
      <c r="I208" s="133"/>
      <c r="J208" s="133"/>
      <c r="K208" s="133"/>
      <c r="L208" s="134"/>
      <c r="M208" s="133"/>
      <c r="N208" s="133"/>
      <c r="O208" s="133"/>
      <c r="P208" s="134"/>
      <c r="CS208" s="112">
        <v>1.0816533384963765</v>
      </c>
      <c r="CT208" s="112">
        <v>2.0001311436986162</v>
      </c>
      <c r="CU208" s="119">
        <v>30</v>
      </c>
      <c r="DJ208" s="195">
        <v>0.51025256102702321</v>
      </c>
      <c r="DK208" s="196">
        <v>1.2310082253497936</v>
      </c>
      <c r="DL208" s="197">
        <v>5</v>
      </c>
    </row>
    <row r="209" spans="1:116">
      <c r="A209" s="133"/>
      <c r="B209" s="134"/>
      <c r="C209" s="134"/>
      <c r="D209" s="134"/>
      <c r="E209" s="133"/>
      <c r="F209" s="134"/>
      <c r="G209" s="134"/>
      <c r="H209" s="134"/>
      <c r="I209" s="133"/>
      <c r="J209" s="133"/>
      <c r="K209" s="133"/>
      <c r="L209" s="134"/>
      <c r="M209" s="133"/>
      <c r="N209" s="133"/>
      <c r="O209" s="133"/>
      <c r="P209" s="134"/>
      <c r="CS209" s="112">
        <v>0.76228500471372829</v>
      </c>
      <c r="CT209" s="112">
        <v>1.9718288942579132</v>
      </c>
      <c r="CU209" s="119">
        <v>31</v>
      </c>
      <c r="DJ209" s="195">
        <v>3.8766194498710522</v>
      </c>
      <c r="DK209" s="195">
        <v>3.616246677812625</v>
      </c>
      <c r="DL209" s="195">
        <v>5</v>
      </c>
    </row>
    <row r="210" spans="1:116">
      <c r="A210" s="133"/>
      <c r="B210" s="134"/>
      <c r="C210" s="134"/>
      <c r="D210" s="134"/>
      <c r="E210" s="133"/>
      <c r="F210" s="134"/>
      <c r="G210" s="134"/>
      <c r="H210" s="134"/>
      <c r="I210" s="133"/>
      <c r="J210" s="133"/>
      <c r="K210" s="133"/>
      <c r="L210" s="134"/>
      <c r="M210" s="133"/>
      <c r="N210" s="133"/>
      <c r="O210" s="133"/>
      <c r="P210" s="134"/>
      <c r="CS210" s="112">
        <v>1.3792860779035478</v>
      </c>
      <c r="CT210" s="112">
        <v>1.94464341316156</v>
      </c>
      <c r="CU210" s="119">
        <v>32</v>
      </c>
      <c r="DJ210" s="195">
        <v>2.5696173894704009</v>
      </c>
      <c r="DK210" s="195">
        <v>3.2278004524185606</v>
      </c>
      <c r="DL210" s="195">
        <v>5</v>
      </c>
    </row>
    <row r="211" spans="1:116">
      <c r="A211" s="133"/>
      <c r="B211" s="134"/>
      <c r="C211" s="134"/>
      <c r="D211" s="134"/>
      <c r="E211" s="133"/>
      <c r="F211" s="134"/>
      <c r="G211" s="134"/>
      <c r="H211" s="134"/>
      <c r="I211" s="133"/>
      <c r="J211" s="133"/>
      <c r="K211" s="133"/>
      <c r="L211" s="134"/>
      <c r="M211" s="133"/>
      <c r="N211" s="133"/>
      <c r="O211" s="133"/>
      <c r="P211" s="134"/>
      <c r="CS211" s="112">
        <v>1.3617671604882193</v>
      </c>
      <c r="CT211" s="112">
        <v>1.9197092617073845</v>
      </c>
      <c r="CU211" s="119">
        <v>33</v>
      </c>
      <c r="DJ211" s="195">
        <v>2.471709548170824</v>
      </c>
      <c r="DK211" s="195">
        <v>3.4180634391078977</v>
      </c>
      <c r="DL211" s="195">
        <v>5</v>
      </c>
    </row>
    <row r="212" spans="1:116">
      <c r="A212" s="133"/>
      <c r="B212" s="134"/>
      <c r="C212" s="134"/>
      <c r="D212" s="134"/>
      <c r="E212" s="133"/>
      <c r="F212" s="134"/>
      <c r="G212" s="134"/>
      <c r="H212" s="134"/>
      <c r="I212" s="133"/>
      <c r="J212" s="133"/>
      <c r="K212" s="133"/>
      <c r="L212" s="134"/>
      <c r="M212" s="133"/>
      <c r="N212" s="133"/>
      <c r="O212" s="133"/>
      <c r="P212" s="134"/>
      <c r="CS212" s="112">
        <v>1.0413152667974677</v>
      </c>
      <c r="CT212" s="112">
        <v>1.8912460747956057</v>
      </c>
      <c r="CU212" s="119">
        <v>34</v>
      </c>
      <c r="DJ212" s="195">
        <v>2.2648222436210497</v>
      </c>
      <c r="DK212" s="195">
        <v>3.0964350043176188</v>
      </c>
      <c r="DL212" s="199">
        <v>5</v>
      </c>
    </row>
    <row r="213" spans="1:116">
      <c r="A213" s="133"/>
      <c r="B213" s="134"/>
      <c r="C213" s="134"/>
      <c r="D213" s="134"/>
      <c r="E213" s="133"/>
      <c r="F213" s="134"/>
      <c r="G213" s="134"/>
      <c r="H213" s="134"/>
      <c r="I213" s="133"/>
      <c r="J213" s="133"/>
      <c r="K213" s="133"/>
      <c r="L213" s="134"/>
      <c r="M213" s="133"/>
      <c r="N213" s="133"/>
      <c r="O213" s="133"/>
      <c r="P213" s="134"/>
      <c r="CS213" s="112">
        <v>1.0478500073616397</v>
      </c>
      <c r="CT213" s="112">
        <v>1.8654438253549059</v>
      </c>
      <c r="CU213" s="119">
        <v>35</v>
      </c>
      <c r="DJ213" s="195">
        <v>1.6955608776319533</v>
      </c>
      <c r="DK213" s="195">
        <v>2.8446575104730956</v>
      </c>
      <c r="DL213" s="199">
        <v>5</v>
      </c>
    </row>
    <row r="214" spans="1:116">
      <c r="A214" s="133"/>
      <c r="B214" s="134"/>
      <c r="C214" s="134"/>
      <c r="D214" s="134"/>
      <c r="E214" s="133"/>
      <c r="F214" s="134"/>
      <c r="G214" s="134"/>
      <c r="H214" s="134"/>
      <c r="I214" s="133"/>
      <c r="J214" s="133"/>
      <c r="K214" s="133"/>
      <c r="L214" s="134"/>
      <c r="M214" s="133"/>
      <c r="N214" s="133"/>
      <c r="O214" s="133"/>
      <c r="P214" s="134"/>
      <c r="CS214" s="112">
        <v>0.76953679561951072</v>
      </c>
      <c r="CT214" s="112">
        <v>1.8430272572329993</v>
      </c>
      <c r="CU214" s="119">
        <v>36</v>
      </c>
      <c r="DJ214" s="191">
        <v>-1.0369758377861031</v>
      </c>
      <c r="DK214" s="191">
        <v>3.0117466778126238</v>
      </c>
      <c r="DL214" s="191">
        <v>5</v>
      </c>
    </row>
    <row r="215" spans="1:116">
      <c r="A215" s="133"/>
      <c r="B215" s="134"/>
      <c r="C215" s="134"/>
      <c r="D215" s="134"/>
      <c r="E215" s="133"/>
      <c r="F215" s="134"/>
      <c r="G215" s="134"/>
      <c r="H215" s="134"/>
      <c r="I215" s="133"/>
      <c r="J215" s="133"/>
      <c r="K215" s="133"/>
      <c r="L215" s="134"/>
      <c r="M215" s="133"/>
      <c r="N215" s="133"/>
      <c r="O215" s="133"/>
      <c r="P215" s="134"/>
      <c r="CS215" s="112">
        <v>0.58719608970827897</v>
      </c>
      <c r="CT215" s="112">
        <v>1.8197387187570999</v>
      </c>
      <c r="CU215" s="119">
        <v>37</v>
      </c>
      <c r="DJ215" s="191">
        <v>0.4183905468843514</v>
      </c>
      <c r="DK215" s="191">
        <v>2.8217004524185607</v>
      </c>
      <c r="DL215" s="191">
        <v>5</v>
      </c>
    </row>
    <row r="216" spans="1:116">
      <c r="A216" s="133"/>
      <c r="B216" s="134"/>
      <c r="C216" s="134"/>
      <c r="D216" s="134"/>
      <c r="E216" s="133"/>
      <c r="F216" s="134"/>
      <c r="G216" s="134"/>
      <c r="H216" s="134"/>
      <c r="I216" s="133"/>
      <c r="J216" s="133"/>
      <c r="K216" s="133"/>
      <c r="L216" s="134"/>
      <c r="M216" s="133"/>
      <c r="N216" s="133"/>
      <c r="O216" s="133"/>
      <c r="P216" s="134"/>
      <c r="CS216" s="112">
        <v>0.5861689221110451</v>
      </c>
      <c r="CT216" s="112">
        <v>1.7965307456034256</v>
      </c>
      <c r="CU216" s="119">
        <v>38</v>
      </c>
      <c r="DJ216" s="191">
        <v>-0.11150776774200913</v>
      </c>
      <c r="DK216" s="191">
        <v>2.8870726488416056</v>
      </c>
      <c r="DL216" s="191">
        <v>5</v>
      </c>
    </row>
    <row r="217" spans="1:116">
      <c r="A217" s="133"/>
      <c r="B217" s="134"/>
      <c r="C217" s="134"/>
      <c r="D217" s="134"/>
      <c r="E217" s="133"/>
      <c r="F217" s="134"/>
      <c r="G217" s="134"/>
      <c r="H217" s="134"/>
      <c r="I217" s="133"/>
      <c r="J217" s="133"/>
      <c r="K217" s="133"/>
      <c r="L217" s="134"/>
      <c r="M217" s="133"/>
      <c r="N217" s="133"/>
      <c r="O217" s="133"/>
      <c r="P217" s="134"/>
      <c r="CS217" s="112">
        <v>0.61264924241331031</v>
      </c>
      <c r="CT217" s="112">
        <v>1.7742712355360541</v>
      </c>
      <c r="CU217" s="119">
        <v>39</v>
      </c>
      <c r="DJ217" s="191">
        <v>0.65526965992834463</v>
      </c>
      <c r="DK217" s="191">
        <v>2.6114703853027499</v>
      </c>
      <c r="DL217" s="191">
        <v>5</v>
      </c>
    </row>
    <row r="218" spans="1:116">
      <c r="A218" s="133"/>
      <c r="B218" s="134"/>
      <c r="C218" s="134"/>
      <c r="D218" s="134"/>
      <c r="E218" s="133"/>
      <c r="F218" s="134"/>
      <c r="G218" s="134"/>
      <c r="H218" s="134"/>
      <c r="I218" s="133"/>
      <c r="J218" s="133"/>
      <c r="K218" s="133"/>
      <c r="L218" s="134"/>
      <c r="M218" s="133"/>
      <c r="N218" s="133"/>
      <c r="O218" s="133"/>
      <c r="P218" s="134"/>
      <c r="CS218" s="112">
        <v>0.53937078584970277</v>
      </c>
      <c r="CT218" s="112">
        <v>1.7503448476143439</v>
      </c>
      <c r="CU218" s="119">
        <v>40</v>
      </c>
      <c r="DJ218" s="191">
        <v>1.5622743532361143</v>
      </c>
      <c r="DK218" s="191">
        <v>2.3701082253497936</v>
      </c>
      <c r="DL218" s="191">
        <v>5</v>
      </c>
    </row>
    <row r="219" spans="1:116">
      <c r="A219" s="133"/>
      <c r="B219" s="134"/>
      <c r="C219" s="134"/>
      <c r="D219" s="134"/>
      <c r="E219" s="133"/>
      <c r="F219" s="134"/>
      <c r="G219" s="134"/>
      <c r="H219" s="134"/>
      <c r="I219" s="133"/>
      <c r="J219" s="133"/>
      <c r="K219" s="133"/>
      <c r="L219" s="134"/>
      <c r="M219" s="133"/>
      <c r="N219" s="133"/>
      <c r="O219" s="133"/>
      <c r="P219" s="134"/>
      <c r="CS219" s="112">
        <v>1.1293620348458043E-2</v>
      </c>
      <c r="CT219" s="112">
        <v>1.7278583466082462</v>
      </c>
      <c r="CU219" s="119">
        <v>41</v>
      </c>
      <c r="DJ219" s="191">
        <v>0.84293906513104155</v>
      </c>
      <c r="DK219" s="191">
        <v>3.2334466778126245</v>
      </c>
      <c r="DL219" s="193">
        <v>5</v>
      </c>
    </row>
    <row r="220" spans="1:116">
      <c r="A220" s="133"/>
      <c r="B220" s="134"/>
      <c r="C220" s="134"/>
      <c r="D220" s="134"/>
      <c r="E220" s="133"/>
      <c r="F220" s="134"/>
      <c r="G220" s="134"/>
      <c r="H220" s="134"/>
      <c r="I220" s="133"/>
      <c r="J220" s="133"/>
      <c r="K220" s="133"/>
      <c r="L220" s="134"/>
      <c r="M220" s="133"/>
      <c r="N220" s="133"/>
      <c r="O220" s="133"/>
      <c r="P220" s="134"/>
      <c r="CS220" s="112">
        <v>0.35020825485241841</v>
      </c>
      <c r="CT220" s="112">
        <v>1.7063139702099981</v>
      </c>
      <c r="CU220" s="119">
        <v>42</v>
      </c>
      <c r="DJ220" s="191">
        <v>0.80411502232914134</v>
      </c>
      <c r="DK220" s="191">
        <v>3.0709004524185612</v>
      </c>
      <c r="DL220" s="193">
        <v>5</v>
      </c>
    </row>
    <row r="221" spans="1:116">
      <c r="A221" s="133"/>
      <c r="B221" s="134"/>
      <c r="C221" s="134"/>
      <c r="D221" s="134"/>
      <c r="E221" s="133"/>
      <c r="F221" s="134"/>
      <c r="G221" s="134"/>
      <c r="H221" s="134"/>
      <c r="I221" s="133"/>
      <c r="J221" s="133"/>
      <c r="K221" s="133"/>
      <c r="L221" s="134"/>
      <c r="M221" s="133"/>
      <c r="N221" s="133"/>
      <c r="O221" s="133"/>
      <c r="P221" s="134"/>
      <c r="CS221" s="112">
        <v>-0.47808</v>
      </c>
      <c r="CT221" s="112">
        <v>1.6838859452633741</v>
      </c>
      <c r="CU221" s="119">
        <v>43</v>
      </c>
      <c r="DJ221" s="191">
        <v>1.9989357774816381</v>
      </c>
      <c r="DK221" s="191">
        <v>2.9721726488416049</v>
      </c>
      <c r="DL221" s="193">
        <v>5</v>
      </c>
    </row>
    <row r="222" spans="1:116">
      <c r="A222" s="133"/>
      <c r="B222" s="134"/>
      <c r="C222" s="134"/>
      <c r="D222" s="134"/>
      <c r="E222" s="133"/>
      <c r="F222" s="134"/>
      <c r="G222" s="134"/>
      <c r="H222" s="134"/>
      <c r="I222" s="133"/>
      <c r="J222" s="133"/>
      <c r="K222" s="133"/>
      <c r="L222" s="134"/>
      <c r="M222" s="133"/>
      <c r="N222" s="133"/>
      <c r="O222" s="133"/>
      <c r="P222" s="134"/>
      <c r="CS222" s="112">
        <v>-0.15984000000000001</v>
      </c>
      <c r="CT222" s="112">
        <v>1.6634575198718646</v>
      </c>
      <c r="CU222" s="119">
        <v>44</v>
      </c>
      <c r="DJ222" s="191">
        <v>2.6689105851279873</v>
      </c>
      <c r="DK222" s="191">
        <v>2.7107703853027498</v>
      </c>
      <c r="DL222" s="193">
        <v>5</v>
      </c>
    </row>
    <row r="223" spans="1:116">
      <c r="A223" s="133"/>
      <c r="B223" s="134"/>
      <c r="C223" s="134"/>
      <c r="D223" s="134"/>
      <c r="E223" s="133"/>
      <c r="F223" s="134"/>
      <c r="G223" s="134"/>
      <c r="H223" s="134"/>
      <c r="I223" s="133"/>
      <c r="J223" s="133"/>
      <c r="K223" s="133"/>
      <c r="L223" s="134"/>
      <c r="M223" s="133"/>
      <c r="N223" s="133"/>
      <c r="O223" s="133"/>
      <c r="P223" s="134"/>
      <c r="CS223" s="112">
        <v>-0.41039999999999999</v>
      </c>
      <c r="CT223" s="112">
        <v>1.6420783796036555</v>
      </c>
      <c r="CU223" s="119">
        <v>45</v>
      </c>
      <c r="DJ223" s="191">
        <v>5.0999999999999996</v>
      </c>
      <c r="DK223" s="191">
        <v>2.4946082253497934</v>
      </c>
      <c r="DL223" s="193">
        <v>5</v>
      </c>
    </row>
    <row r="224" spans="1:116">
      <c r="A224" s="133"/>
      <c r="B224" s="134"/>
      <c r="C224" s="134"/>
      <c r="D224" s="134"/>
      <c r="E224" s="133"/>
      <c r="F224" s="134"/>
      <c r="G224" s="134"/>
      <c r="H224" s="134"/>
      <c r="I224" s="133"/>
      <c r="J224" s="133"/>
      <c r="K224" s="133"/>
      <c r="L224" s="134"/>
      <c r="M224" s="133"/>
      <c r="N224" s="133"/>
      <c r="O224" s="133"/>
      <c r="P224" s="134"/>
      <c r="CS224" s="112">
        <v>-0.24191999999999997</v>
      </c>
      <c r="CT224" s="112">
        <v>1.6201814463819708</v>
      </c>
      <c r="CU224" s="119">
        <v>46</v>
      </c>
      <c r="DJ224" s="195">
        <v>2.8930434227503882E-2</v>
      </c>
      <c r="DK224" s="196">
        <v>2.6960524038752909</v>
      </c>
      <c r="DL224" s="197">
        <v>6</v>
      </c>
    </row>
    <row r="225" spans="1:116">
      <c r="A225" s="133"/>
      <c r="B225" s="134"/>
      <c r="C225" s="134"/>
      <c r="D225" s="134"/>
      <c r="E225" s="133"/>
      <c r="F225" s="134"/>
      <c r="G225" s="134"/>
      <c r="H225" s="134"/>
      <c r="I225" s="133"/>
      <c r="J225" s="133"/>
      <c r="K225" s="133"/>
      <c r="L225" s="134"/>
      <c r="M225" s="133"/>
      <c r="N225" s="133"/>
      <c r="O225" s="133"/>
      <c r="P225" s="134"/>
      <c r="CS225" s="112">
        <v>-0.23327999999999999</v>
      </c>
      <c r="CT225" s="112">
        <v>1.5991260277020405</v>
      </c>
      <c r="CU225" s="119">
        <v>47</v>
      </c>
      <c r="DJ225" s="195">
        <v>0.9055837296409921</v>
      </c>
      <c r="DK225" s="196">
        <v>2.3878161938040869</v>
      </c>
      <c r="DL225" s="197">
        <v>6</v>
      </c>
    </row>
    <row r="226" spans="1:116">
      <c r="A226" s="133"/>
      <c r="B226" s="134"/>
      <c r="C226" s="134"/>
      <c r="D226" s="134"/>
      <c r="E226" s="133"/>
      <c r="F226" s="134"/>
      <c r="G226" s="134"/>
      <c r="H226" s="134"/>
      <c r="I226" s="133"/>
      <c r="J226" s="133"/>
      <c r="K226" s="133"/>
      <c r="L226" s="134"/>
      <c r="M226" s="133"/>
      <c r="N226" s="133"/>
      <c r="O226" s="133"/>
      <c r="P226" s="134"/>
      <c r="CS226" s="112">
        <v>-7.1856000000000003E-2</v>
      </c>
      <c r="CT226" s="112">
        <v>1.5776430056676023</v>
      </c>
      <c r="CU226" s="119">
        <v>48</v>
      </c>
      <c r="DJ226" s="195">
        <v>1.8725532979813202</v>
      </c>
      <c r="DK226" s="196">
        <v>1.7149452480592271</v>
      </c>
      <c r="DL226" s="197">
        <v>6</v>
      </c>
    </row>
    <row r="227" spans="1:116">
      <c r="A227" s="133"/>
      <c r="B227" s="134"/>
      <c r="C227" s="134"/>
      <c r="D227" s="134"/>
      <c r="E227" s="133"/>
      <c r="F227" s="134"/>
      <c r="G227" s="134"/>
      <c r="H227" s="134"/>
      <c r="I227" s="133"/>
      <c r="J227" s="133"/>
      <c r="K227" s="133"/>
      <c r="L227" s="134"/>
      <c r="M227" s="133"/>
      <c r="N227" s="133"/>
      <c r="O227" s="133"/>
      <c r="P227" s="134"/>
      <c r="CS227" s="112">
        <v>-0.14371200000000001</v>
      </c>
      <c r="CT227" s="112">
        <v>1.5563562973899845</v>
      </c>
      <c r="CU227" s="119">
        <v>49</v>
      </c>
      <c r="DJ227" s="195">
        <v>0.16616863489916991</v>
      </c>
      <c r="DK227" s="196">
        <v>1.4215358193055381</v>
      </c>
      <c r="DL227" s="197">
        <v>6</v>
      </c>
    </row>
    <row r="228" spans="1:116">
      <c r="A228" s="133"/>
      <c r="B228" s="134"/>
      <c r="C228" s="134"/>
      <c r="D228" s="134"/>
      <c r="E228" s="133"/>
      <c r="F228" s="134"/>
      <c r="G228" s="134"/>
      <c r="H228" s="134"/>
      <c r="I228" s="133"/>
      <c r="J228" s="133"/>
      <c r="K228" s="133"/>
      <c r="L228" s="134"/>
      <c r="M228" s="133"/>
      <c r="N228" s="133"/>
      <c r="O228" s="133"/>
      <c r="P228" s="134"/>
      <c r="CS228" s="112">
        <v>-6.3072000000000003E-2</v>
      </c>
      <c r="CT228" s="112">
        <v>1.5351661054413257</v>
      </c>
      <c r="CU228" s="112">
        <v>50</v>
      </c>
      <c r="DJ228" s="195">
        <v>0.48779815138875576</v>
      </c>
      <c r="DK228" s="196">
        <v>1.2057875728895202</v>
      </c>
      <c r="DL228" s="197">
        <v>6</v>
      </c>
    </row>
    <row r="229" spans="1:116">
      <c r="A229" s="133"/>
      <c r="B229" s="134"/>
      <c r="C229" s="134"/>
      <c r="D229" s="134"/>
      <c r="E229" s="133"/>
      <c r="F229" s="134"/>
      <c r="G229" s="134"/>
      <c r="H229" s="134"/>
      <c r="I229" s="133"/>
      <c r="J229" s="133"/>
      <c r="K229" s="133"/>
      <c r="L229" s="134"/>
      <c r="M229" s="133"/>
      <c r="N229" s="133"/>
      <c r="O229" s="133"/>
      <c r="P229" s="134"/>
      <c r="CS229" s="112">
        <v>5.7312000000000002E-2</v>
      </c>
      <c r="CT229" s="112">
        <v>1.5152657026467513</v>
      </c>
      <c r="CU229" s="112">
        <v>51</v>
      </c>
      <c r="DJ229" s="195">
        <v>4.8137735593518389</v>
      </c>
      <c r="DK229" s="195">
        <v>3.5651524038752909</v>
      </c>
      <c r="DL229" s="195">
        <v>6</v>
      </c>
    </row>
    <row r="230" spans="1:116">
      <c r="A230" s="133"/>
      <c r="B230" s="134"/>
      <c r="C230" s="134"/>
      <c r="D230" s="134"/>
      <c r="E230" s="133"/>
      <c r="F230" s="134"/>
      <c r="G230" s="134"/>
      <c r="H230" s="134"/>
      <c r="I230" s="133"/>
      <c r="J230" s="133"/>
      <c r="K230" s="133"/>
      <c r="L230" s="134"/>
      <c r="M230" s="133"/>
      <c r="N230" s="133"/>
      <c r="O230" s="133"/>
      <c r="P230" s="134"/>
      <c r="CS230" s="112">
        <v>0.11203199999999999</v>
      </c>
      <c r="CT230" s="112">
        <v>1.4951765329575299</v>
      </c>
      <c r="CU230" s="112">
        <v>52</v>
      </c>
      <c r="DJ230" s="195">
        <v>2.6306238174440071</v>
      </c>
      <c r="DK230" s="195">
        <v>3.1861161938040867</v>
      </c>
      <c r="DL230" s="195">
        <v>6</v>
      </c>
    </row>
    <row r="231" spans="1:116">
      <c r="A231" s="133"/>
      <c r="B231" s="134"/>
      <c r="C231" s="134"/>
      <c r="D231" s="134"/>
      <c r="E231" s="133"/>
      <c r="F231" s="134"/>
      <c r="G231" s="134"/>
      <c r="H231" s="134"/>
      <c r="I231" s="133"/>
      <c r="J231" s="133"/>
      <c r="K231" s="133"/>
      <c r="L231" s="134"/>
      <c r="M231" s="133"/>
      <c r="N231" s="133"/>
      <c r="O231" s="133"/>
      <c r="P231" s="134"/>
      <c r="CS231" s="112">
        <v>-0.71279999999999999</v>
      </c>
      <c r="CT231" s="112">
        <v>1.4721573055512711</v>
      </c>
      <c r="CU231" s="112">
        <v>53</v>
      </c>
      <c r="DJ231" s="195">
        <v>1.8834405551877043</v>
      </c>
      <c r="DK231" s="195">
        <v>3.3739726488416055</v>
      </c>
      <c r="DL231" s="199">
        <v>6</v>
      </c>
    </row>
    <row r="232" spans="1:116">
      <c r="A232" s="133"/>
      <c r="B232" s="134"/>
      <c r="C232" s="134"/>
      <c r="D232" s="134"/>
      <c r="E232" s="133"/>
      <c r="F232" s="134"/>
      <c r="G232" s="134"/>
      <c r="H232" s="134"/>
      <c r="I232" s="133"/>
      <c r="J232" s="133"/>
      <c r="K232" s="133"/>
      <c r="L232" s="134"/>
      <c r="M232" s="133"/>
      <c r="N232" s="133"/>
      <c r="O232" s="133"/>
      <c r="P232" s="134"/>
      <c r="CS232" s="112">
        <v>-0.66527999999999998</v>
      </c>
      <c r="CT232" s="112">
        <v>1.4525552539833169</v>
      </c>
      <c r="CU232" s="112">
        <v>54</v>
      </c>
      <c r="DJ232" s="195">
        <v>2.066153019817675</v>
      </c>
      <c r="DK232" s="195">
        <v>3.0696703853027509</v>
      </c>
      <c r="DL232" s="199">
        <v>6</v>
      </c>
    </row>
    <row r="233" spans="1:116">
      <c r="A233" s="133"/>
      <c r="B233" s="134"/>
      <c r="C233" s="134"/>
      <c r="D233" s="134"/>
      <c r="E233" s="133"/>
      <c r="F233" s="134"/>
      <c r="G233" s="134"/>
      <c r="H233" s="134"/>
      <c r="I233" s="133"/>
      <c r="J233" s="133"/>
      <c r="K233" s="133"/>
      <c r="L233" s="134"/>
      <c r="M233" s="133"/>
      <c r="N233" s="133"/>
      <c r="O233" s="133"/>
      <c r="P233" s="134"/>
      <c r="CS233" s="112">
        <v>-1.2369600000000001</v>
      </c>
      <c r="CT233" s="112">
        <v>1.4321198800472623</v>
      </c>
      <c r="CU233" s="112">
        <v>55</v>
      </c>
      <c r="DJ233" s="195">
        <v>1.8755405671891781</v>
      </c>
      <c r="DK233" s="195">
        <v>2.8065082253497939</v>
      </c>
      <c r="DL233" s="199">
        <v>6</v>
      </c>
    </row>
    <row r="234" spans="1:116">
      <c r="A234" s="133"/>
      <c r="B234" s="134"/>
      <c r="C234" s="134"/>
      <c r="D234" s="134"/>
      <c r="E234" s="133"/>
      <c r="F234" s="134"/>
      <c r="G234" s="134"/>
      <c r="H234" s="134"/>
      <c r="I234" s="133"/>
      <c r="J234" s="133"/>
      <c r="K234" s="133"/>
      <c r="L234" s="134"/>
      <c r="M234" s="133"/>
      <c r="N234" s="133"/>
      <c r="O234" s="133"/>
      <c r="P234" s="134"/>
      <c r="CS234" s="112">
        <v>-1.04112</v>
      </c>
      <c r="CT234" s="112">
        <v>1.4101740691962346</v>
      </c>
      <c r="CU234" s="112">
        <v>56</v>
      </c>
      <c r="DJ234" s="191">
        <v>-1.4684863639916124</v>
      </c>
      <c r="DK234" s="191">
        <v>2.9937524038752907</v>
      </c>
      <c r="DL234" s="191">
        <v>6</v>
      </c>
    </row>
    <row r="235" spans="1:116">
      <c r="A235" s="133"/>
      <c r="B235" s="134"/>
      <c r="C235" s="134"/>
      <c r="D235" s="134"/>
      <c r="E235" s="133"/>
      <c r="F235" s="134"/>
      <c r="G235" s="134"/>
      <c r="H235" s="134"/>
      <c r="I235" s="133"/>
      <c r="J235" s="133"/>
      <c r="K235" s="133"/>
      <c r="L235" s="134"/>
      <c r="M235" s="133"/>
      <c r="N235" s="133"/>
      <c r="O235" s="133"/>
      <c r="P235" s="134"/>
      <c r="CS235" s="112">
        <v>-0.87696000000000007</v>
      </c>
      <c r="CT235" s="112">
        <v>1.3890292876537189</v>
      </c>
      <c r="CU235" s="112">
        <v>57</v>
      </c>
      <c r="DJ235" s="191">
        <v>1.0451309710629426</v>
      </c>
      <c r="DK235" s="191">
        <v>2.7828161938040874</v>
      </c>
      <c r="DL235" s="191">
        <v>6</v>
      </c>
    </row>
    <row r="236" spans="1:116">
      <c r="A236" s="133"/>
      <c r="B236" s="134"/>
      <c r="C236" s="134"/>
      <c r="D236" s="134"/>
      <c r="E236" s="133"/>
      <c r="F236" s="134"/>
      <c r="G236" s="134"/>
      <c r="H236" s="134"/>
      <c r="I236" s="133"/>
      <c r="J236" s="133"/>
      <c r="K236" s="133"/>
      <c r="L236" s="134"/>
      <c r="M236" s="133"/>
      <c r="N236" s="133"/>
      <c r="O236" s="133"/>
      <c r="P236" s="134"/>
      <c r="CS236" s="112">
        <v>-0.98352000000000006</v>
      </c>
      <c r="CT236" s="112">
        <v>1.3675225346322315</v>
      </c>
      <c r="CU236" s="112">
        <v>58</v>
      </c>
      <c r="DJ236" s="191">
        <v>-0.23206942474571016</v>
      </c>
      <c r="DK236" s="191">
        <v>2.8603452480592284</v>
      </c>
      <c r="DL236" s="191">
        <v>6</v>
      </c>
    </row>
    <row r="237" spans="1:116">
      <c r="A237" s="133"/>
      <c r="B237" s="134"/>
      <c r="C237" s="134"/>
      <c r="D237" s="134"/>
      <c r="E237" s="133"/>
      <c r="F237" s="134"/>
      <c r="G237" s="134"/>
      <c r="H237" s="134"/>
      <c r="I237" s="133"/>
      <c r="J237" s="133"/>
      <c r="K237" s="133"/>
      <c r="L237" s="134"/>
      <c r="M237" s="133"/>
      <c r="N237" s="133"/>
      <c r="O237" s="133"/>
      <c r="P237" s="134"/>
      <c r="CS237" s="112">
        <v>-1.05264</v>
      </c>
      <c r="CT237" s="112">
        <v>1.3459656861989058</v>
      </c>
      <c r="CU237" s="112">
        <v>59</v>
      </c>
      <c r="DJ237" s="191">
        <v>0.6949683494215666</v>
      </c>
      <c r="DK237" s="191">
        <v>2.5763358193055388</v>
      </c>
      <c r="DL237" s="191">
        <v>6</v>
      </c>
    </row>
    <row r="238" spans="1:116">
      <c r="A238" s="133"/>
      <c r="B238" s="134"/>
      <c r="C238" s="134"/>
      <c r="D238" s="134"/>
      <c r="E238" s="133"/>
      <c r="F238" s="134"/>
      <c r="G238" s="134"/>
      <c r="H238" s="134"/>
      <c r="I238" s="133"/>
      <c r="J238" s="133"/>
      <c r="K238" s="133"/>
      <c r="L238" s="134"/>
      <c r="M238" s="133"/>
      <c r="N238" s="133"/>
      <c r="O238" s="133"/>
      <c r="P238" s="134"/>
      <c r="CS238" s="112">
        <v>-0.98063999999999996</v>
      </c>
      <c r="CT238" s="112">
        <v>1.3257501426861293</v>
      </c>
      <c r="CU238" s="112">
        <v>60</v>
      </c>
      <c r="DJ238" s="191"/>
      <c r="DK238" s="191">
        <v>2.3149875728895206</v>
      </c>
      <c r="DL238" s="191">
        <v>6</v>
      </c>
    </row>
    <row r="239" spans="1:116">
      <c r="A239" s="133"/>
      <c r="B239" s="134"/>
      <c r="C239" s="134"/>
      <c r="D239" s="134"/>
      <c r="E239" s="133"/>
      <c r="F239" s="134"/>
      <c r="G239" s="134"/>
      <c r="H239" s="134"/>
      <c r="I239" s="133"/>
      <c r="J239" s="133"/>
      <c r="K239" s="133"/>
      <c r="L239" s="134"/>
      <c r="M239" s="133"/>
      <c r="N239" s="133"/>
      <c r="O239" s="133"/>
      <c r="P239" s="134"/>
      <c r="CS239" s="120">
        <v>-8.524799999999999E-2</v>
      </c>
      <c r="CT239" s="112">
        <v>1.3051910354133338</v>
      </c>
      <c r="CU239" s="112">
        <v>61</v>
      </c>
      <c r="DJ239" s="201">
        <v>0.51149196568268729</v>
      </c>
      <c r="DK239" s="191">
        <v>3.2137524038752918</v>
      </c>
      <c r="DL239" s="193">
        <v>6</v>
      </c>
    </row>
    <row r="240" spans="1:116">
      <c r="A240" s="133"/>
      <c r="B240" s="134"/>
      <c r="C240" s="134"/>
      <c r="D240" s="134"/>
      <c r="E240" s="133"/>
      <c r="F240" s="134"/>
      <c r="G240" s="134"/>
      <c r="H240" s="134"/>
      <c r="I240" s="133"/>
      <c r="J240" s="133"/>
      <c r="K240" s="133"/>
      <c r="L240" s="134"/>
      <c r="M240" s="133"/>
      <c r="N240" s="133"/>
      <c r="O240" s="133"/>
      <c r="P240" s="134"/>
      <c r="CS240" s="112">
        <v>0.12196799999999999</v>
      </c>
      <c r="CT240" s="112">
        <v>1.2847067908970122</v>
      </c>
      <c r="CU240" s="112">
        <v>62</v>
      </c>
      <c r="DJ240" s="191">
        <v>0.82659738260706006</v>
      </c>
      <c r="DK240" s="191">
        <v>3.0501161938040884</v>
      </c>
      <c r="DL240" s="193">
        <v>6</v>
      </c>
    </row>
    <row r="241" spans="1:116">
      <c r="A241" s="133"/>
      <c r="B241" s="134"/>
      <c r="C241" s="134"/>
      <c r="D241" s="134"/>
      <c r="E241" s="133"/>
      <c r="F241" s="134"/>
      <c r="G241" s="134"/>
      <c r="H241" s="134"/>
      <c r="I241" s="133"/>
      <c r="J241" s="133"/>
      <c r="K241" s="133"/>
      <c r="L241" s="134"/>
      <c r="M241" s="133"/>
      <c r="N241" s="133"/>
      <c r="O241" s="133"/>
      <c r="P241" s="134"/>
      <c r="CS241" s="112">
        <v>0.74015999999999993</v>
      </c>
      <c r="CT241" s="112">
        <v>1.2617270452620954</v>
      </c>
      <c r="CU241" s="112">
        <v>63</v>
      </c>
      <c r="DJ241" s="191">
        <v>1.8834516113750797</v>
      </c>
      <c r="DK241" s="191">
        <v>2.9501452480592274</v>
      </c>
      <c r="DL241" s="193">
        <v>6</v>
      </c>
    </row>
    <row r="242" spans="1:116">
      <c r="A242" s="133"/>
      <c r="B242" s="134"/>
      <c r="C242" s="134"/>
      <c r="D242" s="134"/>
      <c r="E242" s="133"/>
      <c r="F242" s="134"/>
      <c r="G242" s="134"/>
      <c r="H242" s="134"/>
      <c r="I242" s="133"/>
      <c r="J242" s="133"/>
      <c r="K242" s="133"/>
      <c r="L242" s="134"/>
      <c r="M242" s="133"/>
      <c r="N242" s="133"/>
      <c r="O242" s="133"/>
      <c r="P242" s="134"/>
      <c r="CS242" s="112">
        <v>0.22320000000000001</v>
      </c>
      <c r="CT242" s="112">
        <v>1.2418932989521871</v>
      </c>
      <c r="CU242" s="112">
        <v>64</v>
      </c>
      <c r="DJ242" s="191">
        <v>2.2302539133568398</v>
      </c>
      <c r="DK242" s="191">
        <v>2.6747358193055391</v>
      </c>
      <c r="DL242" s="193">
        <v>6</v>
      </c>
    </row>
    <row r="243" spans="1:116">
      <c r="A243" s="133"/>
      <c r="B243" s="134"/>
      <c r="C243" s="134"/>
      <c r="D243" s="134"/>
      <c r="E243" s="133"/>
      <c r="F243" s="134"/>
      <c r="G243" s="134"/>
      <c r="H243" s="134"/>
      <c r="I243" s="133"/>
      <c r="J243" s="133"/>
      <c r="K243" s="133"/>
      <c r="L243" s="134"/>
      <c r="M243" s="133"/>
      <c r="N243" s="133"/>
      <c r="O243" s="133"/>
      <c r="P243" s="134"/>
      <c r="CS243" s="112">
        <v>0.19583999999999999</v>
      </c>
      <c r="CT243" s="112">
        <v>1.2223783631558125</v>
      </c>
      <c r="CU243" s="112">
        <v>65</v>
      </c>
      <c r="DJ243" s="191">
        <v>2.0591776777834614</v>
      </c>
      <c r="DK243" s="191">
        <v>2.456787572889521</v>
      </c>
      <c r="DL243" s="193">
        <v>6</v>
      </c>
    </row>
    <row r="244" spans="1:116">
      <c r="A244" s="133"/>
      <c r="B244" s="134"/>
      <c r="C244" s="134"/>
      <c r="D244" s="134"/>
      <c r="E244" s="133"/>
      <c r="F244" s="134"/>
      <c r="G244" s="134"/>
      <c r="H244" s="134"/>
      <c r="I244" s="133"/>
      <c r="J244" s="133"/>
      <c r="K244" s="133"/>
      <c r="L244" s="134"/>
      <c r="M244" s="133"/>
      <c r="N244" s="133"/>
      <c r="O244" s="133"/>
      <c r="P244" s="134"/>
      <c r="CS244" s="112">
        <v>0.52127999999999997</v>
      </c>
      <c r="CT244" s="112">
        <v>1.2017894124865713</v>
      </c>
      <c r="CU244" s="112">
        <v>66</v>
      </c>
      <c r="DJ244" s="195"/>
      <c r="DK244" s="196">
        <v>2.3528955413438131</v>
      </c>
      <c r="DL244" s="197">
        <v>7</v>
      </c>
    </row>
    <row r="245" spans="1:116">
      <c r="A245" s="133"/>
      <c r="B245" s="134"/>
      <c r="C245" s="134"/>
      <c r="D245" s="134"/>
      <c r="E245" s="133"/>
      <c r="F245" s="134"/>
      <c r="G245" s="134"/>
      <c r="H245" s="134"/>
      <c r="I245" s="133"/>
      <c r="J245" s="133"/>
      <c r="K245" s="133"/>
      <c r="L245" s="134"/>
      <c r="M245" s="133"/>
      <c r="N245" s="133"/>
      <c r="O245" s="133"/>
      <c r="P245" s="134"/>
      <c r="CS245" s="112">
        <v>7.6607999999999997E-3</v>
      </c>
      <c r="CT245" s="112">
        <v>1.1800295043240081</v>
      </c>
      <c r="CU245" s="112">
        <v>67</v>
      </c>
      <c r="DJ245" s="195">
        <v>0.6332647426895861</v>
      </c>
      <c r="DK245" s="196">
        <v>1.394499628031872</v>
      </c>
      <c r="DL245" s="197">
        <v>7</v>
      </c>
    </row>
    <row r="246" spans="1:116">
      <c r="A246" s="133"/>
      <c r="B246" s="134"/>
      <c r="C246" s="134"/>
      <c r="D246" s="134"/>
      <c r="E246" s="133"/>
      <c r="F246" s="134"/>
      <c r="G246" s="134"/>
      <c r="H246" s="134"/>
      <c r="I246" s="133"/>
      <c r="J246" s="133"/>
      <c r="K246" s="133"/>
      <c r="L246" s="134"/>
      <c r="M246" s="133"/>
      <c r="N246" s="133"/>
      <c r="O246" s="133"/>
      <c r="P246" s="134"/>
      <c r="CS246" s="112">
        <v>-0.13852800000000001</v>
      </c>
      <c r="CT246" s="112">
        <v>1.1658444354209991</v>
      </c>
      <c r="CU246" s="112">
        <v>68</v>
      </c>
      <c r="DJ246" s="195">
        <v>0.53833640298860119</v>
      </c>
      <c r="DK246" s="196">
        <v>1.1813288895585292</v>
      </c>
      <c r="DL246" s="197">
        <v>7</v>
      </c>
    </row>
    <row r="247" spans="1:116">
      <c r="A247" s="133"/>
      <c r="B247" s="134"/>
      <c r="C247" s="134"/>
      <c r="D247" s="134"/>
      <c r="E247" s="133"/>
      <c r="F247" s="134"/>
      <c r="G247" s="134"/>
      <c r="H247" s="134"/>
      <c r="I247" s="133"/>
      <c r="J247" s="133"/>
      <c r="K247" s="133"/>
      <c r="L247" s="134"/>
      <c r="M247" s="133"/>
      <c r="N247" s="133"/>
      <c r="O247" s="133"/>
      <c r="P247" s="134"/>
      <c r="CS247" s="112">
        <v>3.0096000000000001E-2</v>
      </c>
      <c r="CT247" s="112">
        <v>1.1438027112580298</v>
      </c>
      <c r="CU247" s="112">
        <v>69</v>
      </c>
      <c r="DJ247" s="195"/>
      <c r="DK247" s="195">
        <v>3.1516955413438135</v>
      </c>
      <c r="DL247" s="199">
        <v>7</v>
      </c>
    </row>
    <row r="248" spans="1:116">
      <c r="A248" s="133"/>
      <c r="B248" s="134"/>
      <c r="C248" s="134"/>
      <c r="D248" s="134"/>
      <c r="E248" s="133"/>
      <c r="F248" s="134"/>
      <c r="G248" s="134"/>
      <c r="H248" s="134"/>
      <c r="I248" s="133"/>
      <c r="J248" s="133"/>
      <c r="K248" s="133"/>
      <c r="L248" s="134"/>
      <c r="M248" s="133"/>
      <c r="N248" s="133"/>
      <c r="O248" s="133"/>
      <c r="P248" s="134"/>
      <c r="CS248" s="112">
        <v>0.16847999999999999</v>
      </c>
      <c r="CT248" s="112">
        <v>1.1231266448172126</v>
      </c>
      <c r="CU248" s="112">
        <v>70</v>
      </c>
      <c r="DJ248" s="195">
        <v>1.9987040892223098</v>
      </c>
      <c r="DK248" s="195">
        <v>3.0310358193055391</v>
      </c>
      <c r="DL248" s="199">
        <v>7</v>
      </c>
    </row>
    <row r="249" spans="1:116">
      <c r="A249" s="133"/>
      <c r="B249" s="134"/>
      <c r="C249" s="134"/>
      <c r="D249" s="134"/>
      <c r="E249" s="133"/>
      <c r="F249" s="134"/>
      <c r="G249" s="134"/>
      <c r="H249" s="134"/>
      <c r="I249" s="133"/>
      <c r="J249" s="133"/>
      <c r="K249" s="133"/>
      <c r="L249" s="134"/>
      <c r="M249" s="133"/>
      <c r="N249" s="133"/>
      <c r="O249" s="133"/>
      <c r="P249" s="134"/>
      <c r="CS249" s="112">
        <v>2.0489826084066736</v>
      </c>
      <c r="CT249" s="112">
        <v>2.3118156048852239</v>
      </c>
      <c r="CU249" s="132">
        <v>10</v>
      </c>
      <c r="DJ249" s="195">
        <v>2.0854468580534853</v>
      </c>
      <c r="DK249" s="195">
        <v>2.7656875728895214</v>
      </c>
      <c r="DL249" s="199">
        <v>7</v>
      </c>
    </row>
    <row r="250" spans="1:116">
      <c r="A250" s="133"/>
      <c r="B250" s="134"/>
      <c r="C250" s="134"/>
      <c r="D250" s="134"/>
      <c r="E250" s="133"/>
      <c r="F250" s="134"/>
      <c r="G250" s="134"/>
      <c r="H250" s="134"/>
      <c r="I250" s="133"/>
      <c r="J250" s="133"/>
      <c r="K250" s="133"/>
      <c r="L250" s="134"/>
      <c r="M250" s="133"/>
      <c r="N250" s="133"/>
      <c r="O250" s="133"/>
      <c r="P250" s="134"/>
      <c r="CS250" s="112">
        <v>2.8425290510197669</v>
      </c>
      <c r="CT250" s="112">
        <v>2.2767434202106376</v>
      </c>
      <c r="CU250" s="132">
        <v>11</v>
      </c>
      <c r="DJ250" s="191">
        <v>-2.6838063946914672</v>
      </c>
      <c r="DK250" s="191">
        <v>2.7604955413438126</v>
      </c>
      <c r="DL250" s="191">
        <v>7</v>
      </c>
    </row>
    <row r="251" spans="1:116">
      <c r="A251" s="133"/>
      <c r="B251" s="134"/>
      <c r="C251" s="134"/>
      <c r="D251" s="134"/>
      <c r="E251" s="133"/>
      <c r="F251" s="134"/>
      <c r="G251" s="134"/>
      <c r="H251" s="134"/>
      <c r="I251" s="133"/>
      <c r="J251" s="133"/>
      <c r="K251" s="133"/>
      <c r="L251" s="134"/>
      <c r="M251" s="133"/>
      <c r="N251" s="133"/>
      <c r="O251" s="133"/>
      <c r="P251" s="134"/>
      <c r="CS251" s="112">
        <v>2.2107042221066235</v>
      </c>
      <c r="CT251" s="112">
        <v>2.2421010906809613</v>
      </c>
      <c r="CU251" s="132">
        <v>12</v>
      </c>
      <c r="DJ251" s="191">
        <v>1.7822660783882269</v>
      </c>
      <c r="DK251" s="191">
        <v>2.539699628031872</v>
      </c>
      <c r="DL251" s="191">
        <v>7</v>
      </c>
    </row>
    <row r="252" spans="1:116">
      <c r="A252" s="133"/>
      <c r="B252" s="134"/>
      <c r="C252" s="134"/>
      <c r="D252" s="134"/>
      <c r="E252" s="133"/>
      <c r="F252" s="134"/>
      <c r="G252" s="134"/>
      <c r="H252" s="134"/>
      <c r="I252" s="133"/>
      <c r="J252" s="133"/>
      <c r="K252" s="133"/>
      <c r="L252" s="134"/>
      <c r="M252" s="133"/>
      <c r="N252" s="133"/>
      <c r="O252" s="133"/>
      <c r="P252" s="134"/>
      <c r="CS252" s="112">
        <v>1.8384510459079579</v>
      </c>
      <c r="CT252" s="112">
        <v>2.2058965847504819</v>
      </c>
      <c r="CU252" s="132">
        <v>13</v>
      </c>
      <c r="DJ252" s="191"/>
      <c r="DK252" s="191">
        <v>2.2296288895585294</v>
      </c>
      <c r="DL252" s="191">
        <v>7</v>
      </c>
    </row>
    <row r="253" spans="1:116">
      <c r="A253" s="133"/>
      <c r="B253" s="134"/>
      <c r="C253" s="134"/>
      <c r="D253" s="134"/>
      <c r="E253" s="133"/>
      <c r="F253" s="134"/>
      <c r="G253" s="134"/>
      <c r="H253" s="134"/>
      <c r="I253" s="133"/>
      <c r="J253" s="133"/>
      <c r="K253" s="133"/>
      <c r="L253" s="134"/>
      <c r="M253" s="133"/>
      <c r="N253" s="133"/>
      <c r="O253" s="133"/>
      <c r="P253" s="134"/>
      <c r="CS253" s="112">
        <v>1.6537291770201885</v>
      </c>
      <c r="CT253" s="112">
        <v>2.1696867673003695</v>
      </c>
      <c r="CU253" s="132">
        <v>14</v>
      </c>
      <c r="DJ253" s="191">
        <v>2.2927546764752416</v>
      </c>
      <c r="DK253" s="191">
        <v>3.0268955413438121</v>
      </c>
      <c r="DL253" s="193">
        <v>7</v>
      </c>
    </row>
    <row r="254" spans="1:116">
      <c r="A254" s="133"/>
      <c r="B254" s="134"/>
      <c r="C254" s="134"/>
      <c r="D254" s="134"/>
      <c r="E254" s="133"/>
      <c r="F254" s="134"/>
      <c r="G254" s="134"/>
      <c r="H254" s="134"/>
      <c r="I254" s="133"/>
      <c r="J254" s="133"/>
      <c r="K254" s="133"/>
      <c r="L254" s="134"/>
      <c r="M254" s="133"/>
      <c r="N254" s="133"/>
      <c r="O254" s="133"/>
      <c r="P254" s="134"/>
      <c r="CS254" s="112">
        <v>3.4714275734752733</v>
      </c>
      <c r="CT254" s="112">
        <v>2.1281540455995902</v>
      </c>
      <c r="CU254" s="132">
        <v>15</v>
      </c>
      <c r="DJ254" s="191">
        <v>2.9214696641984412</v>
      </c>
      <c r="DK254" s="191">
        <v>2.6353996280318732</v>
      </c>
      <c r="DL254" s="193">
        <v>7</v>
      </c>
    </row>
    <row r="255" spans="1:116">
      <c r="A255" s="133"/>
      <c r="B255" s="134"/>
      <c r="C255" s="134"/>
      <c r="D255" s="134"/>
      <c r="E255" s="133"/>
      <c r="F255" s="134"/>
      <c r="G255" s="134"/>
      <c r="H255" s="134"/>
      <c r="I255" s="133"/>
      <c r="J255" s="133"/>
      <c r="K255" s="133"/>
      <c r="L255" s="134"/>
      <c r="M255" s="133"/>
      <c r="N255" s="133"/>
      <c r="O255" s="133"/>
      <c r="P255" s="134"/>
      <c r="CS255" s="112">
        <v>0.89456185607044503</v>
      </c>
      <c r="CT255" s="112">
        <v>2.0889609988435236</v>
      </c>
      <c r="CU255" s="132">
        <v>16</v>
      </c>
      <c r="DJ255" s="191">
        <v>2.3478108219588796</v>
      </c>
      <c r="DK255" s="191">
        <v>2.42622888955853</v>
      </c>
      <c r="DL255" s="193">
        <v>7</v>
      </c>
    </row>
    <row r="256" spans="1:116">
      <c r="A256" s="133"/>
      <c r="B256" s="134"/>
      <c r="C256" s="134"/>
      <c r="D256" s="134"/>
      <c r="E256" s="133"/>
      <c r="F256" s="134"/>
      <c r="G256" s="134"/>
      <c r="H256" s="134"/>
      <c r="I256" s="133"/>
      <c r="J256" s="133"/>
      <c r="K256" s="133"/>
      <c r="L256" s="134"/>
      <c r="M256" s="133"/>
      <c r="N256" s="133"/>
      <c r="O256" s="133"/>
      <c r="P256" s="134"/>
      <c r="CS256" s="112">
        <v>1.5641440361088665</v>
      </c>
      <c r="CT256" s="112">
        <v>2.0485505713273184</v>
      </c>
      <c r="CU256" s="132">
        <v>17</v>
      </c>
      <c r="DJ256" s="195">
        <v>1.0564485090813018</v>
      </c>
      <c r="DK256" s="196">
        <v>2.3232748912332295</v>
      </c>
      <c r="DL256" s="197">
        <v>8</v>
      </c>
    </row>
    <row r="257" spans="1:116">
      <c r="A257" s="133"/>
      <c r="B257" s="134"/>
      <c r="C257" s="134"/>
      <c r="D257" s="134"/>
      <c r="E257" s="133"/>
      <c r="F257" s="134"/>
      <c r="G257" s="134"/>
      <c r="H257" s="134"/>
      <c r="I257" s="133"/>
      <c r="J257" s="133"/>
      <c r="K257" s="133"/>
      <c r="L257" s="134"/>
      <c r="M257" s="133"/>
      <c r="N257" s="133"/>
      <c r="O257" s="133"/>
      <c r="P257" s="134"/>
      <c r="CS257" s="112">
        <v>1.9583835563531857</v>
      </c>
      <c r="CT257" s="112">
        <v>2.0045331858677997</v>
      </c>
      <c r="CU257" s="132">
        <v>18</v>
      </c>
      <c r="DJ257" s="195">
        <v>-7.3245941647176627E-2</v>
      </c>
      <c r="DK257" s="196">
        <v>1.3708202734430697</v>
      </c>
      <c r="DL257" s="197">
        <v>8</v>
      </c>
    </row>
    <row r="258" spans="1:116">
      <c r="A258" s="133"/>
      <c r="B258" s="134"/>
      <c r="C258" s="134"/>
      <c r="D258" s="134"/>
      <c r="E258" s="133"/>
      <c r="F258" s="134"/>
      <c r="G258" s="134"/>
      <c r="H258" s="134"/>
      <c r="I258" s="133"/>
      <c r="J258" s="133"/>
      <c r="K258" s="133"/>
      <c r="L258" s="134"/>
      <c r="M258" s="133"/>
      <c r="N258" s="133"/>
      <c r="O258" s="133"/>
      <c r="P258" s="134"/>
      <c r="CS258" s="112">
        <v>0.98534853979044112</v>
      </c>
      <c r="CT258" s="112">
        <v>1.9808798117067459</v>
      </c>
      <c r="CU258" s="132">
        <v>19</v>
      </c>
      <c r="DJ258" s="195">
        <v>1.0346279026653047</v>
      </c>
      <c r="DK258" s="196">
        <v>1.1558933107006486</v>
      </c>
      <c r="DL258" s="197">
        <v>8</v>
      </c>
    </row>
    <row r="259" spans="1:116">
      <c r="A259" s="133"/>
      <c r="B259" s="134"/>
      <c r="C259" s="134"/>
      <c r="D259" s="134"/>
      <c r="E259" s="133"/>
      <c r="F259" s="134"/>
      <c r="G259" s="134"/>
      <c r="H259" s="134"/>
      <c r="I259" s="133"/>
      <c r="J259" s="133"/>
      <c r="K259" s="133"/>
      <c r="L259" s="134"/>
      <c r="M259" s="133"/>
      <c r="N259" s="133"/>
      <c r="O259" s="133"/>
      <c r="P259" s="134"/>
      <c r="CS259" s="112">
        <v>0.52513301210067431</v>
      </c>
      <c r="CT259" s="112">
        <v>1.9578538406777672</v>
      </c>
      <c r="CU259" s="132">
        <v>20</v>
      </c>
      <c r="DJ259" s="195">
        <v>2.6223275717346604</v>
      </c>
      <c r="DK259" s="195">
        <v>3.1205748912332298</v>
      </c>
      <c r="DL259" s="199">
        <v>8</v>
      </c>
    </row>
    <row r="260" spans="1:116">
      <c r="A260" s="133"/>
      <c r="B260" s="134"/>
      <c r="C260" s="134"/>
      <c r="D260" s="134"/>
      <c r="E260" s="133"/>
      <c r="F260" s="134"/>
      <c r="G260" s="134"/>
      <c r="H260" s="134"/>
      <c r="I260" s="133"/>
      <c r="J260" s="133"/>
      <c r="K260" s="133"/>
      <c r="L260" s="134"/>
      <c r="M260" s="133"/>
      <c r="N260" s="133"/>
      <c r="O260" s="133"/>
      <c r="P260" s="134"/>
      <c r="CS260" s="112">
        <v>0.95058575030211956</v>
      </c>
      <c r="CT260" s="112">
        <v>1.9360980098044942</v>
      </c>
      <c r="CU260" s="132">
        <v>21</v>
      </c>
      <c r="DJ260" s="195"/>
      <c r="DK260" s="195">
        <v>2.9960996280318719</v>
      </c>
      <c r="DL260" s="199">
        <v>8</v>
      </c>
    </row>
    <row r="261" spans="1:116">
      <c r="A261" s="133"/>
      <c r="B261" s="134"/>
      <c r="C261" s="134"/>
      <c r="D261" s="134"/>
      <c r="E261" s="133"/>
      <c r="F261" s="134"/>
      <c r="G261" s="134"/>
      <c r="H261" s="134"/>
      <c r="I261" s="133"/>
      <c r="J261" s="133"/>
      <c r="K261" s="133"/>
      <c r="L261" s="134"/>
      <c r="M261" s="133"/>
      <c r="N261" s="133"/>
      <c r="O261" s="133"/>
      <c r="P261" s="134"/>
      <c r="CS261" s="112">
        <v>1.0024472690521109</v>
      </c>
      <c r="CT261" s="112">
        <v>1.9113853257985107</v>
      </c>
      <c r="CU261" s="132">
        <v>22</v>
      </c>
      <c r="DJ261" s="195">
        <v>3.0022490055545559</v>
      </c>
      <c r="DK261" s="195">
        <v>2.7222288895585303</v>
      </c>
      <c r="DL261" s="199">
        <v>8</v>
      </c>
    </row>
    <row r="262" spans="1:116">
      <c r="A262" s="133"/>
      <c r="B262" s="134"/>
      <c r="C262" s="134"/>
      <c r="D262" s="134"/>
      <c r="E262" s="133"/>
      <c r="F262" s="134"/>
      <c r="G262" s="134"/>
      <c r="H262" s="134"/>
      <c r="I262" s="133"/>
      <c r="J262" s="133"/>
      <c r="K262" s="133"/>
      <c r="L262" s="134"/>
      <c r="M262" s="133"/>
      <c r="N262" s="133"/>
      <c r="O262" s="133"/>
      <c r="P262" s="134"/>
      <c r="CS262" s="112">
        <v>-0.18248652849055946</v>
      </c>
      <c r="CT262" s="112">
        <v>1.887739917742058</v>
      </c>
      <c r="CU262" s="132">
        <v>23</v>
      </c>
      <c r="DJ262" s="191">
        <v>0.42655682172897669</v>
      </c>
      <c r="DK262" s="191">
        <v>2.7414748912332292</v>
      </c>
      <c r="DL262" s="191">
        <v>8</v>
      </c>
    </row>
    <row r="263" spans="1:116">
      <c r="A263" s="133"/>
      <c r="B263" s="134"/>
      <c r="C263" s="134"/>
      <c r="D263" s="134"/>
      <c r="E263" s="133"/>
      <c r="F263" s="134"/>
      <c r="G263" s="134"/>
      <c r="H263" s="134"/>
      <c r="I263" s="133"/>
      <c r="J263" s="133"/>
      <c r="K263" s="133"/>
      <c r="L263" s="134"/>
      <c r="M263" s="133"/>
      <c r="N263" s="133"/>
      <c r="O263" s="133"/>
      <c r="P263" s="134"/>
      <c r="CS263" s="112">
        <v>-2.7541708904315829E-2</v>
      </c>
      <c r="CT263" s="112">
        <v>1.8694223344097904</v>
      </c>
      <c r="CU263" s="132">
        <v>24</v>
      </c>
      <c r="DJ263" s="191">
        <v>0.99522285914351061</v>
      </c>
      <c r="DK263" s="191">
        <v>2.5019202734430688</v>
      </c>
      <c r="DL263" s="191">
        <v>8</v>
      </c>
    </row>
    <row r="264" spans="1:116">
      <c r="A264" s="133"/>
      <c r="B264" s="134"/>
      <c r="C264" s="134"/>
      <c r="D264" s="134"/>
      <c r="E264" s="133"/>
      <c r="F264" s="134"/>
      <c r="G264" s="134"/>
      <c r="H264" s="134"/>
      <c r="I264" s="133"/>
      <c r="J264" s="133"/>
      <c r="K264" s="133"/>
      <c r="L264" s="134"/>
      <c r="M264" s="133"/>
      <c r="N264" s="133"/>
      <c r="O264" s="133"/>
      <c r="P264" s="134"/>
      <c r="CS264" s="112"/>
      <c r="CT264" s="112">
        <v>1.6491466778126254</v>
      </c>
      <c r="CU264" s="132">
        <v>25</v>
      </c>
      <c r="DJ264" s="191"/>
      <c r="DK264" s="191">
        <v>2.1447933107006487</v>
      </c>
      <c r="DL264" s="191">
        <v>8</v>
      </c>
    </row>
    <row r="265" spans="1:116">
      <c r="A265" s="133"/>
      <c r="B265" s="134"/>
      <c r="C265" s="134"/>
      <c r="D265" s="134"/>
      <c r="E265" s="133"/>
      <c r="F265" s="134"/>
      <c r="G265" s="134"/>
      <c r="H265" s="134"/>
      <c r="I265" s="133"/>
      <c r="J265" s="133"/>
      <c r="K265" s="133"/>
      <c r="L265" s="134"/>
      <c r="M265" s="133"/>
      <c r="N265" s="133"/>
      <c r="O265" s="133"/>
      <c r="P265" s="134"/>
      <c r="CS265" s="112">
        <v>-2.2233600174556685</v>
      </c>
      <c r="CT265" s="112">
        <v>1.8071663127128443</v>
      </c>
      <c r="CU265" s="132">
        <v>26</v>
      </c>
      <c r="DJ265" s="195">
        <v>1.440537730474329</v>
      </c>
      <c r="DK265" s="196">
        <v>2.2819939113679717</v>
      </c>
      <c r="DL265" s="197">
        <v>9</v>
      </c>
    </row>
    <row r="266" spans="1:116">
      <c r="A266" s="133"/>
      <c r="B266" s="134"/>
      <c r="C266" s="134"/>
      <c r="D266" s="134"/>
      <c r="E266" s="133"/>
      <c r="F266" s="134"/>
      <c r="G266" s="134"/>
      <c r="H266" s="134"/>
      <c r="I266" s="133"/>
      <c r="J266" s="133"/>
      <c r="K266" s="133"/>
      <c r="L266" s="134"/>
      <c r="M266" s="133"/>
      <c r="N266" s="133"/>
      <c r="O266" s="133"/>
      <c r="P266" s="134"/>
      <c r="CS266" s="112">
        <v>1.4936009646687103</v>
      </c>
      <c r="CT266" s="112">
        <v>1.8004505666279333</v>
      </c>
      <c r="CU266" s="132">
        <v>27</v>
      </c>
      <c r="DJ266" s="195">
        <v>0.50575015825164782</v>
      </c>
      <c r="DK266" s="196">
        <v>1.1294738854216377</v>
      </c>
      <c r="DL266" s="197">
        <v>9</v>
      </c>
    </row>
    <row r="267" spans="1:116">
      <c r="A267" s="133"/>
      <c r="B267" s="134"/>
      <c r="C267" s="134"/>
      <c r="D267" s="134"/>
      <c r="E267" s="133"/>
      <c r="F267" s="134"/>
      <c r="G267" s="134"/>
      <c r="H267" s="134"/>
      <c r="I267" s="133"/>
      <c r="J267" s="133"/>
      <c r="K267" s="133"/>
      <c r="L267" s="134"/>
      <c r="M267" s="133"/>
      <c r="N267" s="133"/>
      <c r="O267" s="133"/>
      <c r="P267" s="134"/>
      <c r="CS267" s="112">
        <v>0.85323665789927616</v>
      </c>
      <c r="CT267" s="112">
        <v>1.7729470923556627</v>
      </c>
      <c r="CU267" s="132">
        <v>28</v>
      </c>
      <c r="DJ267" s="195">
        <v>1.6593625441544424</v>
      </c>
      <c r="DK267" s="195">
        <v>2.677693310700648</v>
      </c>
      <c r="DL267" s="199">
        <v>9</v>
      </c>
    </row>
    <row r="268" spans="1:116">
      <c r="A268" s="133"/>
      <c r="B268" s="134"/>
      <c r="C268" s="134"/>
      <c r="D268" s="134"/>
      <c r="E268" s="133"/>
      <c r="F268" s="134"/>
      <c r="G268" s="134"/>
      <c r="H268" s="134"/>
      <c r="I268" s="133"/>
      <c r="J268" s="133"/>
      <c r="K268" s="133"/>
      <c r="L268" s="134"/>
      <c r="M268" s="133"/>
      <c r="N268" s="133"/>
      <c r="O268" s="133"/>
      <c r="P268" s="134"/>
      <c r="CS268" s="112">
        <v>1.904436657899276</v>
      </c>
      <c r="CT268" s="112">
        <v>1.1646311436986172</v>
      </c>
      <c r="CU268" s="132">
        <v>29</v>
      </c>
      <c r="DJ268" s="191">
        <v>0.14474981881563398</v>
      </c>
      <c r="DK268" s="191">
        <v>2.7170939113679728</v>
      </c>
      <c r="DL268" s="191">
        <v>9</v>
      </c>
    </row>
    <row r="269" spans="1:116">
      <c r="A269" s="133"/>
      <c r="B269" s="134"/>
      <c r="C269" s="134"/>
      <c r="D269" s="134"/>
      <c r="E269" s="133"/>
      <c r="F269" s="134"/>
      <c r="G269" s="134"/>
      <c r="H269" s="134"/>
      <c r="I269" s="133"/>
      <c r="J269" s="133"/>
      <c r="K269" s="133"/>
      <c r="L269" s="134"/>
      <c r="M269" s="133"/>
      <c r="N269" s="133"/>
      <c r="O269" s="133"/>
      <c r="P269" s="134"/>
      <c r="CS269" s="112">
        <v>3.1572366578992761</v>
      </c>
      <c r="CT269" s="112">
        <v>1.1184288942579135</v>
      </c>
      <c r="CU269" s="132">
        <v>30</v>
      </c>
      <c r="DJ269" s="191"/>
      <c r="DK269" s="191">
        <v>2.076373885421638</v>
      </c>
      <c r="DL269" s="191">
        <v>9</v>
      </c>
    </row>
    <row r="270" spans="1:116">
      <c r="A270" s="133"/>
      <c r="B270" s="134"/>
      <c r="C270" s="134"/>
      <c r="D270" s="134"/>
      <c r="E270" s="133"/>
      <c r="F270" s="134"/>
      <c r="G270" s="134"/>
      <c r="H270" s="134"/>
      <c r="I270" s="133"/>
      <c r="J270" s="133"/>
      <c r="K270" s="133"/>
      <c r="L270" s="134"/>
      <c r="M270" s="133"/>
      <c r="N270" s="133"/>
      <c r="O270" s="133"/>
      <c r="P270" s="134"/>
      <c r="DJ270" s="195">
        <v>3.5424000000000002</v>
      </c>
      <c r="DK270" s="195">
        <v>2.0227156048852222</v>
      </c>
      <c r="DL270" s="195">
        <v>10</v>
      </c>
    </row>
    <row r="271" spans="1:116">
      <c r="A271" s="133"/>
      <c r="B271" s="134"/>
      <c r="C271" s="134"/>
      <c r="D271" s="134"/>
      <c r="E271" s="133"/>
      <c r="F271" s="134"/>
      <c r="G271" s="134"/>
      <c r="H271" s="134"/>
      <c r="I271" s="133"/>
      <c r="J271" s="133"/>
      <c r="K271" s="133"/>
      <c r="L271" s="134"/>
      <c r="M271" s="133"/>
      <c r="N271" s="133"/>
      <c r="O271" s="133"/>
      <c r="P271" s="134"/>
      <c r="DJ271" s="195">
        <v>0.33267904186875269</v>
      </c>
      <c r="DK271" s="196">
        <v>1.1028156048852229</v>
      </c>
      <c r="DL271" s="197">
        <v>10</v>
      </c>
    </row>
    <row r="272" spans="1:116">
      <c r="A272" s="133"/>
      <c r="B272" s="134"/>
      <c r="C272" s="134"/>
      <c r="D272" s="134"/>
      <c r="E272" s="133"/>
      <c r="F272" s="134"/>
      <c r="G272" s="134"/>
      <c r="H272" s="134"/>
      <c r="I272" s="133"/>
      <c r="J272" s="133"/>
      <c r="K272" s="133"/>
      <c r="L272" s="134"/>
      <c r="M272" s="133"/>
      <c r="N272" s="133"/>
      <c r="O272" s="133"/>
      <c r="P272" s="134"/>
      <c r="DJ272" s="195">
        <v>1.5671439458434091</v>
      </c>
      <c r="DK272" s="195">
        <v>2.6445738854216385</v>
      </c>
      <c r="DL272" s="199">
        <v>10</v>
      </c>
    </row>
    <row r="273" spans="1:116">
      <c r="A273" s="133"/>
      <c r="B273" s="134"/>
      <c r="C273" s="134"/>
      <c r="D273" s="134"/>
      <c r="E273" s="133"/>
      <c r="F273" s="134"/>
      <c r="G273" s="134"/>
      <c r="H273" s="134"/>
      <c r="I273" s="133"/>
      <c r="J273" s="133"/>
      <c r="K273" s="133"/>
      <c r="L273" s="134"/>
      <c r="M273" s="133"/>
      <c r="N273" s="133"/>
      <c r="O273" s="133"/>
      <c r="P273" s="134"/>
      <c r="DJ273" s="195">
        <v>2.0489826084066736</v>
      </c>
      <c r="DK273" s="195">
        <v>2.3118156048852239</v>
      </c>
      <c r="DL273" s="197">
        <v>10</v>
      </c>
    </row>
    <row r="274" spans="1:116">
      <c r="A274" s="133"/>
      <c r="B274" s="134"/>
      <c r="C274" s="134"/>
      <c r="D274" s="134"/>
      <c r="E274" s="133"/>
      <c r="F274" s="134"/>
      <c r="G274" s="134"/>
      <c r="H274" s="134"/>
      <c r="I274" s="133"/>
      <c r="J274" s="133"/>
      <c r="K274" s="133"/>
      <c r="L274" s="134"/>
      <c r="M274" s="133"/>
      <c r="N274" s="133"/>
      <c r="O274" s="133"/>
      <c r="P274" s="134"/>
      <c r="DJ274" s="195">
        <v>3.4416000000000002</v>
      </c>
      <c r="DK274" s="195">
        <v>1.9766434202106367</v>
      </c>
      <c r="DL274" s="195">
        <v>11</v>
      </c>
    </row>
    <row r="275" spans="1:116">
      <c r="A275" s="133"/>
      <c r="B275" s="134"/>
      <c r="C275" s="134"/>
      <c r="D275" s="134"/>
      <c r="E275" s="133"/>
      <c r="F275" s="134"/>
      <c r="G275" s="134"/>
      <c r="H275" s="134"/>
      <c r="I275" s="133"/>
      <c r="J275" s="133"/>
      <c r="K275" s="133"/>
      <c r="L275" s="134"/>
      <c r="M275" s="133"/>
      <c r="N275" s="133"/>
      <c r="O275" s="133"/>
      <c r="P275" s="134"/>
      <c r="DJ275" s="195">
        <v>0.44862994717123472</v>
      </c>
      <c r="DK275" s="196">
        <v>1.0784434202106383</v>
      </c>
      <c r="DL275" s="197">
        <v>11</v>
      </c>
    </row>
    <row r="276" spans="1:116">
      <c r="A276" s="133"/>
      <c r="B276" s="134"/>
      <c r="C276" s="134"/>
      <c r="D276" s="134"/>
      <c r="E276" s="133"/>
      <c r="F276" s="134"/>
      <c r="G276" s="134"/>
      <c r="H276" s="134"/>
      <c r="I276" s="133"/>
      <c r="J276" s="133"/>
      <c r="K276" s="133"/>
      <c r="L276" s="134"/>
      <c r="M276" s="133"/>
      <c r="N276" s="133"/>
      <c r="O276" s="133"/>
      <c r="P276" s="134"/>
      <c r="DJ276" s="195">
        <v>1.4895534092264633</v>
      </c>
      <c r="DK276" s="195">
        <v>2.6126156048852236</v>
      </c>
      <c r="DL276" s="199">
        <v>11</v>
      </c>
    </row>
    <row r="277" spans="1:116">
      <c r="A277" s="133"/>
      <c r="B277" s="134"/>
      <c r="C277" s="134"/>
      <c r="D277" s="134"/>
      <c r="E277" s="133"/>
      <c r="F277" s="134"/>
      <c r="G277" s="134"/>
      <c r="H277" s="134"/>
      <c r="I277" s="133"/>
      <c r="J277" s="133"/>
      <c r="K277" s="133"/>
      <c r="L277" s="134"/>
      <c r="M277" s="133"/>
      <c r="N277" s="133"/>
      <c r="O277" s="133"/>
      <c r="P277" s="134"/>
      <c r="DJ277" s="195">
        <v>2.8425290510197669</v>
      </c>
      <c r="DK277" s="195">
        <v>2.2767434202106376</v>
      </c>
      <c r="DL277" s="197">
        <v>11</v>
      </c>
    </row>
    <row r="278" spans="1:116">
      <c r="A278" s="133"/>
      <c r="B278" s="134"/>
      <c r="C278" s="134"/>
      <c r="D278" s="134"/>
      <c r="E278" s="133"/>
      <c r="F278" s="134"/>
      <c r="G278" s="134"/>
      <c r="H278" s="134"/>
      <c r="I278" s="133"/>
      <c r="J278" s="133"/>
      <c r="K278" s="133"/>
      <c r="L278" s="134"/>
      <c r="M278" s="133"/>
      <c r="N278" s="133"/>
      <c r="O278" s="133"/>
      <c r="P278" s="134"/>
      <c r="DJ278" s="195">
        <v>1.6847999999999999</v>
      </c>
      <c r="DK278" s="195">
        <v>1.9459010906809602</v>
      </c>
      <c r="DL278" s="195">
        <v>12</v>
      </c>
    </row>
    <row r="279" spans="1:116">
      <c r="A279" s="133"/>
      <c r="B279" s="134"/>
      <c r="C279" s="134"/>
      <c r="D279" s="134"/>
      <c r="E279" s="133"/>
      <c r="F279" s="134"/>
      <c r="G279" s="134"/>
      <c r="H279" s="134"/>
      <c r="I279" s="133"/>
      <c r="J279" s="133"/>
      <c r="K279" s="133"/>
      <c r="L279" s="134"/>
      <c r="M279" s="133"/>
      <c r="N279" s="133"/>
      <c r="O279" s="133"/>
      <c r="P279" s="134"/>
      <c r="DJ279" s="195">
        <v>1.582252434935534</v>
      </c>
      <c r="DK279" s="196">
        <v>1.0514010906809603</v>
      </c>
      <c r="DL279" s="197">
        <v>12</v>
      </c>
    </row>
    <row r="280" spans="1:116">
      <c r="A280" s="133"/>
      <c r="B280" s="134"/>
      <c r="C280" s="134"/>
      <c r="D280" s="134"/>
      <c r="E280" s="133"/>
      <c r="F280" s="134"/>
      <c r="G280" s="134"/>
      <c r="H280" s="134"/>
      <c r="I280" s="133"/>
      <c r="J280" s="133"/>
      <c r="K280" s="133"/>
      <c r="L280" s="134"/>
      <c r="M280" s="133"/>
      <c r="N280" s="133"/>
      <c r="O280" s="133"/>
      <c r="P280" s="134"/>
      <c r="DJ280" s="195">
        <v>1.571703238561184</v>
      </c>
      <c r="DK280" s="195">
        <v>2.5780434202106379</v>
      </c>
      <c r="DL280" s="199">
        <v>12</v>
      </c>
    </row>
    <row r="281" spans="1:116">
      <c r="A281" s="133"/>
      <c r="B281" s="134"/>
      <c r="C281" s="134"/>
      <c r="D281" s="134"/>
      <c r="E281" s="133"/>
      <c r="F281" s="134"/>
      <c r="G281" s="134"/>
      <c r="H281" s="134"/>
      <c r="I281" s="133"/>
      <c r="J281" s="133"/>
      <c r="K281" s="133"/>
      <c r="L281" s="134"/>
      <c r="M281" s="133"/>
      <c r="N281" s="133"/>
      <c r="O281" s="133"/>
      <c r="P281" s="134"/>
      <c r="DJ281" s="195">
        <v>2.2107042221066235</v>
      </c>
      <c r="DK281" s="195">
        <v>2.2421010906809613</v>
      </c>
      <c r="DL281" s="197">
        <v>12</v>
      </c>
    </row>
    <row r="282" spans="1:116">
      <c r="A282" s="133"/>
      <c r="B282" s="134"/>
      <c r="C282" s="134"/>
      <c r="D282" s="134"/>
      <c r="E282" s="133"/>
      <c r="F282" s="134"/>
      <c r="G282" s="134"/>
      <c r="H282" s="134"/>
      <c r="I282" s="133"/>
      <c r="J282" s="133"/>
      <c r="K282" s="133"/>
      <c r="L282" s="134"/>
      <c r="M282" s="133"/>
      <c r="N282" s="133"/>
      <c r="O282" s="133"/>
      <c r="P282" s="134"/>
      <c r="DJ282" s="195">
        <v>0.91871999999999998</v>
      </c>
      <c r="DK282" s="195">
        <v>1.9260965847504816</v>
      </c>
      <c r="DL282" s="195">
        <v>13</v>
      </c>
    </row>
    <row r="283" spans="1:116">
      <c r="A283" s="133"/>
      <c r="B283" s="134"/>
      <c r="C283" s="134"/>
      <c r="D283" s="134"/>
      <c r="E283" s="133"/>
      <c r="F283" s="134"/>
      <c r="G283" s="134"/>
      <c r="H283" s="134"/>
      <c r="I283" s="133"/>
      <c r="J283" s="133"/>
      <c r="K283" s="133"/>
      <c r="L283" s="134"/>
      <c r="M283" s="133"/>
      <c r="N283" s="133"/>
      <c r="O283" s="133"/>
      <c r="P283" s="134"/>
      <c r="DJ283" s="195">
        <v>0.82899079097128558</v>
      </c>
      <c r="DK283" s="196">
        <v>1.0209965847504816</v>
      </c>
      <c r="DL283" s="197">
        <v>13</v>
      </c>
    </row>
    <row r="284" spans="1:116">
      <c r="A284" s="133"/>
      <c r="B284" s="134"/>
      <c r="C284" s="134"/>
      <c r="D284" s="134"/>
      <c r="E284" s="133"/>
      <c r="F284" s="134"/>
      <c r="G284" s="134"/>
      <c r="H284" s="134"/>
      <c r="I284" s="133"/>
      <c r="J284" s="133"/>
      <c r="K284" s="133"/>
      <c r="L284" s="134"/>
      <c r="M284" s="133"/>
      <c r="N284" s="133"/>
      <c r="O284" s="133"/>
      <c r="P284" s="134"/>
      <c r="DJ284" s="195">
        <v>1.250745385728202</v>
      </c>
      <c r="DK284" s="195">
        <v>2.5453010906809608</v>
      </c>
      <c r="DL284" s="199">
        <v>13</v>
      </c>
    </row>
    <row r="285" spans="1:116">
      <c r="A285" s="133"/>
      <c r="B285" s="134"/>
      <c r="C285" s="134"/>
      <c r="D285" s="134"/>
      <c r="E285" s="133"/>
      <c r="F285" s="134"/>
      <c r="G285" s="134"/>
      <c r="H285" s="134"/>
      <c r="I285" s="133"/>
      <c r="J285" s="133"/>
      <c r="K285" s="133"/>
      <c r="L285" s="134"/>
      <c r="M285" s="133"/>
      <c r="N285" s="133"/>
      <c r="O285" s="133"/>
      <c r="P285" s="134"/>
      <c r="DJ285" s="195">
        <v>1.8384510459079579</v>
      </c>
      <c r="DK285" s="195">
        <v>2.2058965847504819</v>
      </c>
      <c r="DL285" s="197">
        <v>13</v>
      </c>
    </row>
    <row r="286" spans="1:116">
      <c r="A286" s="133"/>
      <c r="B286" s="134"/>
      <c r="C286" s="134"/>
      <c r="D286" s="134"/>
      <c r="E286" s="133"/>
      <c r="F286" s="134"/>
      <c r="G286" s="134"/>
      <c r="H286" s="134"/>
      <c r="I286" s="133"/>
      <c r="J286" s="133"/>
      <c r="K286" s="133"/>
      <c r="L286" s="134"/>
      <c r="M286" s="133"/>
      <c r="N286" s="133"/>
      <c r="O286" s="133"/>
      <c r="P286" s="134"/>
      <c r="DJ286" s="195">
        <v>0.97055999999999998</v>
      </c>
      <c r="DK286" s="195">
        <v>1.9073867673003693</v>
      </c>
      <c r="DL286" s="195">
        <v>14</v>
      </c>
    </row>
    <row r="287" spans="1:116">
      <c r="A287" s="133"/>
      <c r="B287" s="134"/>
      <c r="C287" s="134"/>
      <c r="D287" s="134"/>
      <c r="E287" s="133"/>
      <c r="F287" s="134"/>
      <c r="G287" s="134"/>
      <c r="H287" s="134"/>
      <c r="I287" s="133"/>
      <c r="J287" s="133"/>
      <c r="K287" s="133"/>
      <c r="L287" s="134"/>
      <c r="M287" s="133"/>
      <c r="N287" s="133"/>
      <c r="O287" s="133"/>
      <c r="P287" s="134"/>
      <c r="DJ287" s="195">
        <v>0.72421991112869977</v>
      </c>
      <c r="DK287" s="196">
        <v>0.99228676730036958</v>
      </c>
      <c r="DL287" s="197">
        <v>14</v>
      </c>
    </row>
    <row r="288" spans="1:116">
      <c r="A288" s="133"/>
      <c r="B288" s="134"/>
      <c r="C288" s="134"/>
      <c r="D288" s="134"/>
      <c r="E288" s="133"/>
      <c r="F288" s="134"/>
      <c r="G288" s="134"/>
      <c r="H288" s="134"/>
      <c r="I288" s="133"/>
      <c r="J288" s="133"/>
      <c r="K288" s="133"/>
      <c r="L288" s="134"/>
      <c r="M288" s="133"/>
      <c r="N288" s="133"/>
      <c r="O288" s="133"/>
      <c r="P288" s="134"/>
      <c r="DJ288" s="195">
        <v>1.464739505291748</v>
      </c>
      <c r="DK288" s="195">
        <v>2.5081965847504817</v>
      </c>
      <c r="DL288" s="199">
        <v>14</v>
      </c>
    </row>
    <row r="289" spans="1:116">
      <c r="A289" s="133"/>
      <c r="B289" s="134"/>
      <c r="C289" s="134"/>
      <c r="D289" s="134"/>
      <c r="E289" s="133"/>
      <c r="F289" s="134"/>
      <c r="G289" s="134"/>
      <c r="H289" s="134"/>
      <c r="I289" s="133"/>
      <c r="J289" s="133"/>
      <c r="K289" s="133"/>
      <c r="L289" s="134"/>
      <c r="M289" s="133"/>
      <c r="N289" s="133"/>
      <c r="O289" s="133"/>
      <c r="P289" s="134"/>
      <c r="DJ289" s="195">
        <v>1.6537291770201885</v>
      </c>
      <c r="DK289" s="195">
        <v>2.1696867673003695</v>
      </c>
      <c r="DL289" s="197">
        <v>14</v>
      </c>
    </row>
    <row r="290" spans="1:116">
      <c r="A290" s="133"/>
      <c r="B290" s="134"/>
      <c r="C290" s="134"/>
      <c r="D290" s="134"/>
      <c r="E290" s="133"/>
      <c r="F290" s="134"/>
      <c r="G290" s="134"/>
      <c r="H290" s="134"/>
      <c r="I290" s="133"/>
      <c r="J290" s="133"/>
      <c r="K290" s="133"/>
      <c r="L290" s="134"/>
      <c r="M290" s="133"/>
      <c r="N290" s="133"/>
      <c r="O290" s="133"/>
      <c r="P290" s="134"/>
      <c r="DJ290" s="195">
        <v>0.99791999999999992</v>
      </c>
      <c r="DK290" s="195">
        <v>1.8889540455995912</v>
      </c>
      <c r="DL290" s="195">
        <v>15</v>
      </c>
    </row>
    <row r="291" spans="1:116">
      <c r="A291" s="133"/>
      <c r="B291" s="134"/>
      <c r="C291" s="134"/>
      <c r="D291" s="134"/>
      <c r="E291" s="133"/>
      <c r="F291" s="134"/>
      <c r="G291" s="134"/>
      <c r="H291" s="134"/>
      <c r="I291" s="133"/>
      <c r="J291" s="133"/>
      <c r="K291" s="133"/>
      <c r="L291" s="134"/>
      <c r="M291" s="133"/>
      <c r="N291" s="133"/>
      <c r="O291" s="133"/>
      <c r="P291" s="134"/>
      <c r="DJ291" s="195">
        <v>0.12269001496789197</v>
      </c>
      <c r="DK291" s="196">
        <v>0.96585404559959065</v>
      </c>
      <c r="DL291" s="197">
        <v>15</v>
      </c>
    </row>
    <row r="292" spans="1:116">
      <c r="A292" s="133"/>
      <c r="B292" s="134"/>
      <c r="C292" s="134"/>
      <c r="D292" s="134"/>
      <c r="E292" s="133"/>
      <c r="F292" s="134"/>
      <c r="G292" s="134"/>
      <c r="H292" s="134"/>
      <c r="I292" s="133"/>
      <c r="J292" s="133"/>
      <c r="K292" s="133"/>
      <c r="L292" s="134"/>
      <c r="M292" s="133"/>
      <c r="N292" s="133"/>
      <c r="O292" s="133"/>
      <c r="P292" s="134"/>
      <c r="DJ292" s="195">
        <v>2.083570124941847</v>
      </c>
      <c r="DK292" s="195">
        <v>2.4690867673003689</v>
      </c>
      <c r="DL292" s="199">
        <v>15</v>
      </c>
    </row>
    <row r="293" spans="1:116">
      <c r="A293" s="133"/>
      <c r="B293" s="134"/>
      <c r="C293" s="134"/>
      <c r="D293" s="134"/>
      <c r="E293" s="133"/>
      <c r="F293" s="134"/>
      <c r="G293" s="134"/>
      <c r="H293" s="134"/>
      <c r="I293" s="133"/>
      <c r="J293" s="133"/>
      <c r="K293" s="133"/>
      <c r="L293" s="134"/>
      <c r="M293" s="133"/>
      <c r="N293" s="133"/>
      <c r="O293" s="133"/>
      <c r="P293" s="134"/>
      <c r="DJ293" s="195">
        <v>3.4714275734752733</v>
      </c>
      <c r="DK293" s="195">
        <v>2.1281540455995902</v>
      </c>
      <c r="DL293" s="197">
        <v>15</v>
      </c>
    </row>
    <row r="294" spans="1:116">
      <c r="A294" s="133"/>
      <c r="B294" s="134"/>
      <c r="C294" s="134"/>
      <c r="D294" s="134"/>
      <c r="E294" s="133"/>
      <c r="F294" s="134"/>
      <c r="G294" s="134"/>
      <c r="H294" s="134"/>
      <c r="I294" s="133"/>
      <c r="J294" s="133"/>
      <c r="K294" s="133"/>
      <c r="L294" s="134"/>
      <c r="M294" s="133"/>
      <c r="N294" s="133"/>
      <c r="O294" s="133"/>
      <c r="P294" s="134"/>
      <c r="DJ294" s="195">
        <v>3.528</v>
      </c>
      <c r="DK294" s="195">
        <v>1.8552609988435225</v>
      </c>
      <c r="DL294" s="195">
        <v>16</v>
      </c>
    </row>
    <row r="295" spans="1:116">
      <c r="A295" s="133"/>
      <c r="B295" s="134"/>
      <c r="C295" s="134"/>
      <c r="D295" s="134"/>
      <c r="E295" s="133"/>
      <c r="F295" s="134"/>
      <c r="G295" s="134"/>
      <c r="H295" s="134"/>
      <c r="I295" s="133"/>
      <c r="J295" s="133"/>
      <c r="K295" s="133"/>
      <c r="L295" s="134"/>
      <c r="M295" s="133"/>
      <c r="N295" s="133"/>
      <c r="O295" s="133"/>
      <c r="P295" s="134"/>
      <c r="DJ295" s="195">
        <v>0.2350479561699633</v>
      </c>
      <c r="DK295" s="196">
        <v>0.94686099884352315</v>
      </c>
      <c r="DL295" s="197">
        <v>16</v>
      </c>
    </row>
    <row r="296" spans="1:116">
      <c r="A296" s="133"/>
      <c r="B296" s="134"/>
      <c r="C296" s="134"/>
      <c r="D296" s="134"/>
      <c r="E296" s="133"/>
      <c r="F296" s="134"/>
      <c r="G296" s="134"/>
      <c r="H296" s="134"/>
      <c r="I296" s="133"/>
      <c r="J296" s="133"/>
      <c r="K296" s="133"/>
      <c r="L296" s="134"/>
      <c r="M296" s="133"/>
      <c r="N296" s="133"/>
      <c r="O296" s="133"/>
      <c r="P296" s="134"/>
      <c r="DJ296" s="195">
        <v>1.0475136367000291</v>
      </c>
      <c r="DK296" s="195">
        <v>2.4298540455995914</v>
      </c>
      <c r="DL296" s="199">
        <v>16</v>
      </c>
    </row>
    <row r="297" spans="1:116">
      <c r="A297" s="133"/>
      <c r="B297" s="134"/>
      <c r="C297" s="134"/>
      <c r="D297" s="134"/>
      <c r="E297" s="133"/>
      <c r="F297" s="134"/>
      <c r="G297" s="134"/>
      <c r="H297" s="134"/>
      <c r="I297" s="133"/>
      <c r="J297" s="133"/>
      <c r="K297" s="133"/>
      <c r="L297" s="134"/>
      <c r="M297" s="133"/>
      <c r="N297" s="133"/>
      <c r="O297" s="133"/>
      <c r="P297" s="134"/>
      <c r="DJ297" s="195">
        <v>0.89456185607044503</v>
      </c>
      <c r="DK297" s="195">
        <v>2.0889609988435236</v>
      </c>
      <c r="DL297" s="197">
        <v>16</v>
      </c>
    </row>
    <row r="298" spans="1:116">
      <c r="A298" s="133"/>
      <c r="B298" s="134"/>
      <c r="C298" s="134"/>
      <c r="D298" s="134"/>
      <c r="E298" s="133"/>
      <c r="F298" s="134"/>
      <c r="G298" s="134"/>
      <c r="H298" s="134"/>
      <c r="I298" s="133"/>
      <c r="J298" s="133"/>
      <c r="K298" s="133"/>
      <c r="L298" s="134"/>
      <c r="M298" s="133"/>
      <c r="N298" s="133"/>
      <c r="O298" s="133"/>
      <c r="P298" s="134"/>
      <c r="DJ298" s="195">
        <v>2.8512</v>
      </c>
      <c r="DK298" s="195">
        <v>1.8162505713273176</v>
      </c>
      <c r="DL298" s="195">
        <v>17</v>
      </c>
    </row>
    <row r="299" spans="1:116">
      <c r="A299" s="133"/>
      <c r="B299" s="134"/>
      <c r="C299" s="134"/>
      <c r="D299" s="134"/>
      <c r="E299" s="133"/>
      <c r="F299" s="134"/>
      <c r="G299" s="134"/>
      <c r="H299" s="134"/>
      <c r="I299" s="133"/>
      <c r="J299" s="133"/>
      <c r="K299" s="133"/>
      <c r="L299" s="134"/>
      <c r="M299" s="133"/>
      <c r="N299" s="133"/>
      <c r="O299" s="133"/>
      <c r="P299" s="134"/>
      <c r="DJ299" s="195">
        <v>-0.32102080393363697</v>
      </c>
      <c r="DK299" s="196">
        <v>0.92725057132731747</v>
      </c>
      <c r="DL299" s="197">
        <v>17</v>
      </c>
    </row>
    <row r="300" spans="1:116">
      <c r="A300" s="133"/>
      <c r="B300" s="134"/>
      <c r="C300" s="134"/>
      <c r="D300" s="134"/>
      <c r="E300" s="133"/>
      <c r="F300" s="134"/>
      <c r="G300" s="134"/>
      <c r="H300" s="134"/>
      <c r="I300" s="133"/>
      <c r="J300" s="133"/>
      <c r="K300" s="133"/>
      <c r="L300" s="134"/>
      <c r="M300" s="133"/>
      <c r="N300" s="133"/>
      <c r="O300" s="133"/>
      <c r="P300" s="134"/>
      <c r="DJ300" s="195">
        <v>2.1283161418985697</v>
      </c>
      <c r="DK300" s="195">
        <v>2.3931609988435225</v>
      </c>
      <c r="DL300" s="199">
        <v>17</v>
      </c>
    </row>
    <row r="301" spans="1:116">
      <c r="A301" s="133"/>
      <c r="B301" s="134"/>
      <c r="C301" s="134"/>
      <c r="D301" s="134"/>
      <c r="E301" s="133"/>
      <c r="F301" s="134"/>
      <c r="G301" s="134"/>
      <c r="H301" s="134"/>
      <c r="I301" s="133"/>
      <c r="J301" s="133"/>
      <c r="K301" s="133"/>
      <c r="L301" s="134"/>
      <c r="M301" s="133"/>
      <c r="N301" s="133"/>
      <c r="O301" s="133"/>
      <c r="P301" s="134"/>
      <c r="DJ301" s="195">
        <v>1.5641440361088665</v>
      </c>
      <c r="DK301" s="195">
        <v>2.0485505713273184</v>
      </c>
      <c r="DL301" s="197">
        <v>17</v>
      </c>
    </row>
    <row r="302" spans="1:116">
      <c r="A302" s="133"/>
      <c r="B302" s="134"/>
      <c r="C302" s="134"/>
      <c r="D302" s="134"/>
      <c r="E302" s="133"/>
      <c r="F302" s="134"/>
      <c r="G302" s="134"/>
      <c r="H302" s="134"/>
      <c r="I302" s="133"/>
      <c r="J302" s="133"/>
      <c r="K302" s="133"/>
      <c r="L302" s="134"/>
      <c r="M302" s="133"/>
      <c r="N302" s="133"/>
      <c r="O302" s="133"/>
      <c r="P302" s="134"/>
      <c r="DJ302" s="195">
        <v>2.5775999999999999</v>
      </c>
      <c r="DK302" s="195">
        <v>1.7785331858677984</v>
      </c>
      <c r="DL302" s="195">
        <v>18</v>
      </c>
    </row>
    <row r="303" spans="1:116">
      <c r="A303" s="133"/>
      <c r="B303" s="134"/>
      <c r="C303" s="134"/>
      <c r="D303" s="134"/>
      <c r="E303" s="133"/>
      <c r="F303" s="134"/>
      <c r="G303" s="134"/>
      <c r="H303" s="134"/>
      <c r="I303" s="133"/>
      <c r="J303" s="133"/>
      <c r="K303" s="133"/>
      <c r="L303" s="134"/>
      <c r="M303" s="133"/>
      <c r="N303" s="133"/>
      <c r="O303" s="133"/>
      <c r="P303" s="134"/>
      <c r="DJ303" s="195">
        <v>-0.35769454551226437</v>
      </c>
      <c r="DK303" s="196">
        <v>0.90683318586779882</v>
      </c>
      <c r="DL303" s="197">
        <v>18</v>
      </c>
    </row>
    <row r="304" spans="1:116">
      <c r="A304" s="133"/>
      <c r="B304" s="134"/>
      <c r="C304" s="134"/>
      <c r="D304" s="134"/>
      <c r="E304" s="133"/>
      <c r="F304" s="134"/>
      <c r="G304" s="134"/>
      <c r="H304" s="134"/>
      <c r="I304" s="133"/>
      <c r="J304" s="133"/>
      <c r="K304" s="133"/>
      <c r="L304" s="134"/>
      <c r="M304" s="133"/>
      <c r="N304" s="133"/>
      <c r="O304" s="133"/>
      <c r="P304" s="134"/>
      <c r="DJ304" s="195">
        <v>2.3634660871940931</v>
      </c>
      <c r="DK304" s="195">
        <v>2.3502505713273179</v>
      </c>
      <c r="DL304" s="199">
        <v>18</v>
      </c>
    </row>
    <row r="305" spans="1:116">
      <c r="A305" s="133"/>
      <c r="B305" s="134"/>
      <c r="C305" s="134"/>
      <c r="D305" s="134"/>
      <c r="E305" s="133"/>
      <c r="F305" s="134"/>
      <c r="G305" s="134"/>
      <c r="H305" s="134"/>
      <c r="I305" s="133"/>
      <c r="J305" s="133"/>
      <c r="K305" s="133"/>
      <c r="L305" s="134"/>
      <c r="M305" s="133"/>
      <c r="N305" s="133"/>
      <c r="O305" s="133"/>
      <c r="P305" s="134"/>
      <c r="DJ305" s="195">
        <v>1.9583835563531857</v>
      </c>
      <c r="DK305" s="195">
        <v>2.0045331858677997</v>
      </c>
      <c r="DL305" s="197">
        <v>18</v>
      </c>
    </row>
    <row r="306" spans="1:116">
      <c r="A306" s="133"/>
      <c r="B306" s="134"/>
      <c r="C306" s="134"/>
      <c r="D306" s="134"/>
      <c r="E306" s="133"/>
      <c r="F306" s="134"/>
      <c r="G306" s="134"/>
      <c r="H306" s="134"/>
      <c r="I306" s="133"/>
      <c r="J306" s="133"/>
      <c r="K306" s="133"/>
      <c r="L306" s="134"/>
      <c r="M306" s="133"/>
      <c r="N306" s="133"/>
      <c r="O306" s="133"/>
      <c r="P306" s="134"/>
      <c r="DJ306" s="195">
        <v>1.7568000000000001</v>
      </c>
      <c r="DK306" s="195">
        <v>1.744879811706745</v>
      </c>
      <c r="DL306" s="195">
        <v>19</v>
      </c>
    </row>
    <row r="307" spans="1:116">
      <c r="A307" s="133"/>
      <c r="B307" s="134"/>
      <c r="C307" s="134"/>
      <c r="D307" s="134"/>
      <c r="E307" s="133"/>
      <c r="F307" s="134"/>
      <c r="G307" s="134"/>
      <c r="H307" s="134"/>
      <c r="I307" s="133"/>
      <c r="J307" s="133"/>
      <c r="K307" s="133"/>
      <c r="L307" s="134"/>
      <c r="M307" s="133"/>
      <c r="N307" s="133"/>
      <c r="O307" s="133"/>
      <c r="P307" s="134"/>
      <c r="DJ307" s="195">
        <v>-0.51292833901464729</v>
      </c>
      <c r="DK307" s="196">
        <v>0.88597981170674578</v>
      </c>
      <c r="DL307" s="197">
        <v>19</v>
      </c>
    </row>
    <row r="308" spans="1:116">
      <c r="A308" s="133"/>
      <c r="B308" s="134"/>
      <c r="C308" s="134"/>
      <c r="D308" s="134"/>
      <c r="E308" s="133"/>
      <c r="F308" s="134"/>
      <c r="G308" s="134"/>
      <c r="H308" s="134"/>
      <c r="I308" s="133"/>
      <c r="J308" s="133"/>
      <c r="K308" s="133"/>
      <c r="L308" s="134"/>
      <c r="M308" s="133"/>
      <c r="N308" s="133"/>
      <c r="O308" s="133"/>
      <c r="P308" s="134"/>
      <c r="DJ308" s="195">
        <v>3.3083435945081701</v>
      </c>
      <c r="DK308" s="195">
        <v>2.3023331858677993</v>
      </c>
      <c r="DL308" s="199">
        <v>19</v>
      </c>
    </row>
    <row r="309" spans="1:116">
      <c r="A309" s="133"/>
      <c r="B309" s="134"/>
      <c r="C309" s="134"/>
      <c r="D309" s="134"/>
      <c r="E309" s="133"/>
      <c r="F309" s="134"/>
      <c r="G309" s="134"/>
      <c r="H309" s="134"/>
      <c r="I309" s="133"/>
      <c r="J309" s="133"/>
      <c r="K309" s="133"/>
      <c r="L309" s="134"/>
      <c r="M309" s="133"/>
      <c r="N309" s="133"/>
      <c r="O309" s="133"/>
      <c r="P309" s="134"/>
      <c r="DJ309" s="195">
        <v>0.98534853979044112</v>
      </c>
      <c r="DK309" s="195">
        <v>1.9808798117067459</v>
      </c>
      <c r="DL309" s="197">
        <v>19</v>
      </c>
    </row>
    <row r="310" spans="1:116">
      <c r="A310" s="133"/>
      <c r="B310" s="134"/>
      <c r="C310" s="134"/>
      <c r="D310" s="134"/>
      <c r="E310" s="133"/>
      <c r="F310" s="134"/>
      <c r="G310" s="134"/>
      <c r="H310" s="134"/>
      <c r="I310" s="133"/>
      <c r="J310" s="133"/>
      <c r="K310" s="133"/>
      <c r="L310" s="134"/>
      <c r="M310" s="133"/>
      <c r="N310" s="133"/>
      <c r="O310" s="133"/>
      <c r="P310" s="134"/>
      <c r="DJ310" s="195">
        <v>1.8863999999999999</v>
      </c>
      <c r="DK310" s="195">
        <v>1.7175538406777657</v>
      </c>
      <c r="DL310" s="195">
        <v>20</v>
      </c>
    </row>
    <row r="311" spans="1:116">
      <c r="A311" s="133"/>
      <c r="B311" s="134"/>
      <c r="C311" s="134"/>
      <c r="D311" s="134"/>
      <c r="E311" s="133"/>
      <c r="F311" s="134"/>
      <c r="G311" s="134"/>
      <c r="H311" s="134"/>
      <c r="I311" s="133"/>
      <c r="J311" s="133"/>
      <c r="K311" s="133"/>
      <c r="L311" s="134"/>
      <c r="M311" s="133"/>
      <c r="N311" s="133"/>
      <c r="O311" s="133"/>
      <c r="P311" s="134"/>
      <c r="DJ311" s="195">
        <v>-2.413703658778895E-2</v>
      </c>
      <c r="DK311" s="198">
        <v>0.85625384067776678</v>
      </c>
      <c r="DL311" s="197">
        <v>20</v>
      </c>
    </row>
    <row r="312" spans="1:116">
      <c r="A312" s="133"/>
      <c r="B312" s="134"/>
      <c r="C312" s="134"/>
      <c r="D312" s="134"/>
      <c r="E312" s="133"/>
      <c r="F312" s="134"/>
      <c r="G312" s="134"/>
      <c r="H312" s="134"/>
      <c r="I312" s="133"/>
      <c r="J312" s="133"/>
      <c r="K312" s="133"/>
      <c r="L312" s="134"/>
      <c r="M312" s="133"/>
      <c r="N312" s="133"/>
      <c r="O312" s="133"/>
      <c r="P312" s="134"/>
      <c r="DJ312" s="195">
        <v>0.8774975652972371</v>
      </c>
      <c r="DK312" s="195">
        <v>2.2695798117067456</v>
      </c>
      <c r="DL312" s="199">
        <v>20</v>
      </c>
    </row>
    <row r="313" spans="1:116">
      <c r="A313" s="133"/>
      <c r="B313" s="134"/>
      <c r="C313" s="134"/>
      <c r="D313" s="134"/>
      <c r="E313" s="133"/>
      <c r="F313" s="134"/>
      <c r="G313" s="134"/>
      <c r="H313" s="134"/>
      <c r="I313" s="133"/>
      <c r="J313" s="133"/>
      <c r="K313" s="133"/>
      <c r="L313" s="134"/>
      <c r="M313" s="133"/>
      <c r="N313" s="133"/>
      <c r="O313" s="133"/>
      <c r="P313" s="134"/>
      <c r="DJ313" s="195">
        <v>0.52513301210067431</v>
      </c>
      <c r="DK313" s="195">
        <v>1.9578538406777672</v>
      </c>
      <c r="DL313" s="197">
        <v>20</v>
      </c>
    </row>
    <row r="314" spans="1:116">
      <c r="A314" s="133"/>
      <c r="B314" s="134"/>
      <c r="C314" s="134"/>
      <c r="D314" s="134"/>
      <c r="E314" s="133"/>
      <c r="F314" s="134"/>
      <c r="G314" s="134"/>
      <c r="H314" s="134"/>
      <c r="I314" s="133"/>
      <c r="J314" s="133"/>
      <c r="K314" s="133"/>
      <c r="L314" s="134"/>
      <c r="M314" s="133"/>
      <c r="N314" s="133"/>
      <c r="O314" s="133"/>
      <c r="P314" s="134"/>
      <c r="DJ314" s="195">
        <v>1.4327999999999999</v>
      </c>
      <c r="DK314" s="195">
        <v>1.6927980098044944</v>
      </c>
      <c r="DL314" s="195">
        <v>21</v>
      </c>
    </row>
    <row r="315" spans="1:116">
      <c r="A315" s="133"/>
      <c r="B315" s="134"/>
      <c r="C315" s="134"/>
      <c r="D315" s="134"/>
      <c r="E315" s="133"/>
      <c r="F315" s="134"/>
      <c r="G315" s="134"/>
      <c r="H315" s="134"/>
      <c r="I315" s="133"/>
      <c r="J315" s="133"/>
      <c r="K315" s="133"/>
      <c r="L315" s="134"/>
      <c r="M315" s="133"/>
      <c r="N315" s="133"/>
      <c r="O315" s="133"/>
      <c r="P315" s="134"/>
      <c r="DJ315" s="195">
        <v>0.2474048500651774</v>
      </c>
      <c r="DK315" s="198">
        <v>0.82819800980449421</v>
      </c>
      <c r="DL315" s="197">
        <v>21</v>
      </c>
    </row>
    <row r="316" spans="1:116">
      <c r="A316" s="133"/>
      <c r="B316" s="134"/>
      <c r="C316" s="134"/>
      <c r="D316" s="134"/>
      <c r="E316" s="133"/>
      <c r="F316" s="134"/>
      <c r="G316" s="134"/>
      <c r="H316" s="134"/>
      <c r="I316" s="133"/>
      <c r="J316" s="133"/>
      <c r="K316" s="133"/>
      <c r="L316" s="134"/>
      <c r="M316" s="133"/>
      <c r="N316" s="133"/>
      <c r="O316" s="133"/>
      <c r="P316" s="134"/>
      <c r="DJ316" s="195">
        <v>0.9228607880143378</v>
      </c>
      <c r="DK316" s="195">
        <v>2.2397538406777668</v>
      </c>
      <c r="DL316" s="199">
        <v>21</v>
      </c>
    </row>
    <row r="317" spans="1:116">
      <c r="A317" s="133"/>
      <c r="B317" s="134"/>
      <c r="C317" s="134"/>
      <c r="D317" s="134"/>
      <c r="E317" s="133"/>
      <c r="F317" s="134"/>
      <c r="G317" s="134"/>
      <c r="H317" s="134"/>
      <c r="I317" s="133"/>
      <c r="J317" s="133"/>
      <c r="K317" s="133"/>
      <c r="L317" s="134"/>
      <c r="M317" s="133"/>
      <c r="N317" s="133"/>
      <c r="O317" s="133"/>
      <c r="P317" s="134"/>
      <c r="DJ317" s="195">
        <v>0.95058575030211956</v>
      </c>
      <c r="DK317" s="195">
        <v>1.9360980098044942</v>
      </c>
      <c r="DL317" s="197">
        <v>21</v>
      </c>
    </row>
    <row r="318" spans="1:116">
      <c r="A318" s="133"/>
      <c r="B318" s="134"/>
      <c r="C318" s="134"/>
      <c r="D318" s="134"/>
      <c r="E318" s="133"/>
      <c r="F318" s="134"/>
      <c r="G318" s="134"/>
      <c r="H318" s="134"/>
      <c r="I318" s="133"/>
      <c r="J318" s="133"/>
      <c r="K318" s="133"/>
      <c r="L318" s="134"/>
      <c r="M318" s="133"/>
      <c r="N318" s="133"/>
      <c r="O318" s="133"/>
      <c r="P318" s="134"/>
      <c r="DJ318" s="195">
        <v>7.9200000000000007E-2</v>
      </c>
      <c r="DK318" s="195">
        <v>1.6738853257985116</v>
      </c>
      <c r="DL318" s="195">
        <v>22</v>
      </c>
    </row>
    <row r="319" spans="1:116">
      <c r="A319" s="133"/>
      <c r="B319" s="134"/>
      <c r="C319" s="134"/>
      <c r="D319" s="134"/>
      <c r="E319" s="133"/>
      <c r="F319" s="134"/>
      <c r="G319" s="134"/>
      <c r="H319" s="134"/>
      <c r="I319" s="133"/>
      <c r="J319" s="133"/>
      <c r="K319" s="133"/>
      <c r="L319" s="134"/>
      <c r="M319" s="133"/>
      <c r="N319" s="133"/>
      <c r="O319" s="133"/>
      <c r="P319" s="134"/>
      <c r="DJ319" s="195">
        <v>0.82554398491245951</v>
      </c>
      <c r="DK319" s="198">
        <v>0.79448532579851039</v>
      </c>
      <c r="DL319" s="197">
        <v>22</v>
      </c>
    </row>
    <row r="320" spans="1:116">
      <c r="A320" s="133"/>
      <c r="B320" s="134"/>
      <c r="C320" s="134"/>
      <c r="D320" s="134"/>
      <c r="E320" s="133"/>
      <c r="F320" s="134"/>
      <c r="G320" s="134"/>
      <c r="H320" s="134"/>
      <c r="I320" s="133"/>
      <c r="J320" s="133"/>
      <c r="K320" s="133"/>
      <c r="L320" s="134"/>
      <c r="M320" s="133"/>
      <c r="N320" s="133"/>
      <c r="O320" s="133"/>
      <c r="P320" s="134"/>
      <c r="DJ320" s="195">
        <v>1.1553708950288122</v>
      </c>
      <c r="DK320" s="195">
        <v>2.2115980098044945</v>
      </c>
      <c r="DL320" s="199">
        <v>22</v>
      </c>
    </row>
    <row r="321" spans="1:116">
      <c r="A321" s="133"/>
      <c r="B321" s="134"/>
      <c r="C321" s="134"/>
      <c r="D321" s="134"/>
      <c r="E321" s="133"/>
      <c r="F321" s="134"/>
      <c r="G321" s="134"/>
      <c r="H321" s="134"/>
      <c r="I321" s="133"/>
      <c r="J321" s="133"/>
      <c r="K321" s="133"/>
      <c r="L321" s="134"/>
      <c r="M321" s="133"/>
      <c r="N321" s="133"/>
      <c r="O321" s="133"/>
      <c r="P321" s="134"/>
      <c r="DJ321" s="195">
        <v>1.0024472690521109</v>
      </c>
      <c r="DK321" s="195">
        <v>1.9113853257985107</v>
      </c>
      <c r="DL321" s="197">
        <v>22</v>
      </c>
    </row>
    <row r="322" spans="1:116">
      <c r="A322" s="133"/>
      <c r="B322" s="134"/>
      <c r="C322" s="134"/>
      <c r="D322" s="134"/>
      <c r="E322" s="133"/>
      <c r="F322" s="134"/>
      <c r="G322" s="134"/>
      <c r="H322" s="134"/>
      <c r="I322" s="133"/>
      <c r="J322" s="133"/>
      <c r="K322" s="133"/>
      <c r="L322" s="134"/>
      <c r="M322" s="133"/>
      <c r="N322" s="133"/>
      <c r="O322" s="133"/>
      <c r="P322" s="134"/>
      <c r="DJ322" s="195">
        <v>0.7545599999999999</v>
      </c>
      <c r="DK322" s="195">
        <v>1.6540399177420588</v>
      </c>
      <c r="DL322" s="195">
        <v>23</v>
      </c>
    </row>
    <row r="323" spans="1:116">
      <c r="A323" s="133"/>
      <c r="B323" s="134"/>
      <c r="C323" s="134"/>
      <c r="D323" s="134"/>
      <c r="E323" s="133"/>
      <c r="F323" s="134"/>
      <c r="G323" s="134"/>
      <c r="H323" s="134"/>
      <c r="I323" s="133"/>
      <c r="J323" s="133"/>
      <c r="K323" s="133"/>
      <c r="L323" s="134"/>
      <c r="M323" s="133"/>
      <c r="N323" s="133"/>
      <c r="O323" s="133"/>
      <c r="P323" s="134"/>
      <c r="DJ323" s="195">
        <v>1.33632</v>
      </c>
      <c r="DK323" s="198">
        <v>0.76523991774205824</v>
      </c>
      <c r="DL323" s="197">
        <v>23</v>
      </c>
    </row>
    <row r="324" spans="1:116">
      <c r="A324" s="133"/>
      <c r="B324" s="134"/>
      <c r="C324" s="134"/>
      <c r="D324" s="134"/>
      <c r="E324" s="133"/>
      <c r="F324" s="134"/>
      <c r="G324" s="134"/>
      <c r="H324" s="134"/>
      <c r="I324" s="133"/>
      <c r="J324" s="133"/>
      <c r="K324" s="133"/>
      <c r="L324" s="134"/>
      <c r="M324" s="133"/>
      <c r="N324" s="133"/>
      <c r="O324" s="133"/>
      <c r="P324" s="134"/>
      <c r="DJ324" s="195">
        <v>1.4177427230363291</v>
      </c>
      <c r="DK324" s="195">
        <v>2.1831853257985108</v>
      </c>
      <c r="DL324" s="199">
        <v>23</v>
      </c>
    </row>
    <row r="325" spans="1:116">
      <c r="A325" s="133"/>
      <c r="B325" s="134"/>
      <c r="C325" s="134"/>
      <c r="D325" s="134"/>
      <c r="E325" s="133"/>
      <c r="F325" s="134"/>
      <c r="G325" s="134"/>
      <c r="H325" s="134"/>
      <c r="I325" s="133"/>
      <c r="J325" s="133"/>
      <c r="K325" s="133"/>
      <c r="L325" s="134"/>
      <c r="M325" s="133"/>
      <c r="N325" s="133"/>
      <c r="O325" s="133"/>
      <c r="P325" s="134"/>
      <c r="DJ325" s="195">
        <v>-0.18248652849055946</v>
      </c>
      <c r="DK325" s="195">
        <v>1.887739917742058</v>
      </c>
      <c r="DL325" s="197">
        <v>23</v>
      </c>
    </row>
    <row r="326" spans="1:116">
      <c r="A326" s="133"/>
      <c r="B326" s="134"/>
      <c r="C326" s="134"/>
      <c r="D326" s="134"/>
      <c r="E326" s="133"/>
      <c r="F326" s="134"/>
      <c r="G326" s="134"/>
      <c r="H326" s="134"/>
      <c r="I326" s="133"/>
      <c r="J326" s="133"/>
      <c r="K326" s="133"/>
      <c r="L326" s="134"/>
      <c r="M326" s="133"/>
      <c r="N326" s="133"/>
      <c r="O326" s="133"/>
      <c r="P326" s="134"/>
      <c r="DJ326" s="195">
        <v>0.99504000000000004</v>
      </c>
      <c r="DK326" s="195">
        <v>1.6342223344097913</v>
      </c>
      <c r="DL326" s="195">
        <v>24</v>
      </c>
    </row>
    <row r="327" spans="1:116">
      <c r="A327" s="133"/>
      <c r="B327" s="134"/>
      <c r="C327" s="134"/>
      <c r="D327" s="134"/>
      <c r="E327" s="133"/>
      <c r="F327" s="134"/>
      <c r="G327" s="134"/>
      <c r="H327" s="134"/>
      <c r="I327" s="133"/>
      <c r="J327" s="133"/>
      <c r="K327" s="133"/>
      <c r="L327" s="134"/>
      <c r="M327" s="133"/>
      <c r="N327" s="133"/>
      <c r="O327" s="133"/>
      <c r="P327" s="134"/>
      <c r="DJ327" s="195">
        <v>0.10900799999999999</v>
      </c>
      <c r="DK327" s="198">
        <v>0.74332233440979012</v>
      </c>
      <c r="DL327" s="197">
        <v>24</v>
      </c>
    </row>
    <row r="328" spans="1:116">
      <c r="A328" s="133"/>
      <c r="B328" s="134"/>
      <c r="C328" s="134"/>
      <c r="D328" s="134"/>
      <c r="E328" s="133"/>
      <c r="F328" s="134"/>
      <c r="G328" s="134"/>
      <c r="H328" s="134"/>
      <c r="I328" s="133"/>
      <c r="J328" s="133"/>
      <c r="K328" s="133"/>
      <c r="L328" s="134"/>
      <c r="M328" s="133"/>
      <c r="N328" s="133"/>
      <c r="O328" s="133"/>
      <c r="P328" s="134"/>
      <c r="DJ328" s="195">
        <v>1.2793825273344654</v>
      </c>
      <c r="DK328" s="195">
        <v>2.1525399177420583</v>
      </c>
      <c r="DL328" s="199">
        <v>24</v>
      </c>
    </row>
    <row r="329" spans="1:116">
      <c r="A329" s="133"/>
      <c r="B329" s="134"/>
      <c r="C329" s="134"/>
      <c r="D329" s="134"/>
      <c r="E329" s="133"/>
      <c r="F329" s="134"/>
      <c r="G329" s="134"/>
      <c r="H329" s="134"/>
      <c r="I329" s="133"/>
      <c r="J329" s="133"/>
      <c r="K329" s="133"/>
      <c r="L329" s="134"/>
      <c r="M329" s="133"/>
      <c r="N329" s="133"/>
      <c r="O329" s="133"/>
      <c r="P329" s="134"/>
      <c r="DJ329" s="195">
        <v>-2.7541708904315829E-2</v>
      </c>
      <c r="DK329" s="195">
        <v>1.8694223344097904</v>
      </c>
      <c r="DL329" s="197">
        <v>24</v>
      </c>
    </row>
    <row r="330" spans="1:116">
      <c r="A330" s="133"/>
      <c r="B330" s="134"/>
      <c r="C330" s="134"/>
      <c r="D330" s="134"/>
      <c r="E330" s="133"/>
      <c r="F330" s="134"/>
      <c r="G330" s="134"/>
      <c r="H330" s="134"/>
      <c r="I330" s="133"/>
      <c r="J330" s="133"/>
      <c r="K330" s="133"/>
      <c r="L330" s="134"/>
      <c r="M330" s="133"/>
      <c r="N330" s="133"/>
      <c r="O330" s="133"/>
      <c r="P330" s="134"/>
      <c r="DJ330" s="195">
        <v>-1.2182400000000002</v>
      </c>
      <c r="DK330" s="195">
        <v>1.6170466778126253</v>
      </c>
      <c r="DL330" s="195">
        <v>25</v>
      </c>
    </row>
    <row r="331" spans="1:116">
      <c r="A331" s="133"/>
      <c r="B331" s="134"/>
      <c r="C331" s="134"/>
      <c r="D331" s="134"/>
      <c r="E331" s="133"/>
      <c r="F331" s="134"/>
      <c r="G331" s="134"/>
      <c r="H331" s="134"/>
      <c r="I331" s="133"/>
      <c r="J331" s="133"/>
      <c r="K331" s="133"/>
      <c r="L331" s="134"/>
      <c r="M331" s="133"/>
      <c r="N331" s="133"/>
      <c r="O331" s="133"/>
      <c r="P331" s="134"/>
      <c r="DJ331" s="195">
        <v>-0.57599999999999996</v>
      </c>
      <c r="DK331" s="198">
        <v>0.72644667781262529</v>
      </c>
      <c r="DL331" s="197">
        <v>25</v>
      </c>
    </row>
    <row r="332" spans="1:116">
      <c r="A332" s="133"/>
      <c r="B332" s="134"/>
      <c r="C332" s="134"/>
      <c r="D332" s="134"/>
      <c r="E332" s="133"/>
      <c r="F332" s="134"/>
      <c r="G332" s="134"/>
      <c r="H332" s="134"/>
      <c r="I332" s="133"/>
      <c r="J332" s="133"/>
      <c r="K332" s="133"/>
      <c r="L332" s="134"/>
      <c r="M332" s="133"/>
      <c r="N332" s="133"/>
      <c r="O332" s="133"/>
      <c r="P332" s="134"/>
      <c r="DJ332" s="195">
        <v>1.1568148417820987</v>
      </c>
      <c r="DK332" s="195">
        <v>2.1216223344097918</v>
      </c>
      <c r="DL332" s="199">
        <v>25</v>
      </c>
    </row>
    <row r="333" spans="1:116">
      <c r="A333" s="133"/>
      <c r="B333" s="134"/>
      <c r="C333" s="134"/>
      <c r="D333" s="134"/>
      <c r="E333" s="133"/>
      <c r="F333" s="134"/>
      <c r="G333" s="134"/>
      <c r="H333" s="134"/>
      <c r="I333" s="133"/>
      <c r="J333" s="133"/>
      <c r="K333" s="133"/>
      <c r="L333" s="134"/>
      <c r="M333" s="133"/>
      <c r="N333" s="133"/>
      <c r="O333" s="133"/>
      <c r="P333" s="134"/>
      <c r="DJ333" s="195"/>
      <c r="DK333" s="195">
        <v>1.6491466778126254</v>
      </c>
      <c r="DL333" s="197">
        <v>25</v>
      </c>
    </row>
    <row r="334" spans="1:116">
      <c r="A334" s="133"/>
      <c r="B334" s="134"/>
      <c r="C334" s="134"/>
      <c r="D334" s="134"/>
      <c r="E334" s="133"/>
      <c r="F334" s="134"/>
      <c r="G334" s="134"/>
      <c r="H334" s="134"/>
      <c r="I334" s="133"/>
      <c r="J334" s="133"/>
      <c r="K334" s="133"/>
      <c r="L334" s="134"/>
      <c r="M334" s="133"/>
      <c r="N334" s="133"/>
      <c r="O334" s="133"/>
      <c r="P334" s="134"/>
      <c r="DJ334" s="195">
        <v>1.3881599999999998</v>
      </c>
      <c r="DK334" s="195">
        <v>1.6136663127128439</v>
      </c>
      <c r="DL334" s="195">
        <v>26</v>
      </c>
    </row>
    <row r="335" spans="1:116">
      <c r="A335" s="133"/>
      <c r="B335" s="134"/>
      <c r="C335" s="134"/>
      <c r="D335" s="134"/>
      <c r="E335" s="133"/>
      <c r="F335" s="134"/>
      <c r="G335" s="134"/>
      <c r="H335" s="134"/>
      <c r="I335" s="133"/>
      <c r="J335" s="133"/>
      <c r="K335" s="133"/>
      <c r="L335" s="134"/>
      <c r="M335" s="133"/>
      <c r="N335" s="133"/>
      <c r="O335" s="133"/>
      <c r="P335" s="134"/>
      <c r="DJ335" s="195">
        <v>1.3449600000000002</v>
      </c>
      <c r="DK335" s="198">
        <v>0.72156631271284555</v>
      </c>
      <c r="DL335" s="197">
        <v>26</v>
      </c>
    </row>
    <row r="336" spans="1:116">
      <c r="A336" s="133"/>
      <c r="B336" s="134"/>
      <c r="C336" s="134"/>
      <c r="D336" s="134"/>
      <c r="E336" s="133"/>
      <c r="F336" s="134"/>
      <c r="G336" s="134"/>
      <c r="H336" s="134"/>
      <c r="I336" s="133"/>
      <c r="J336" s="133"/>
      <c r="K336" s="133"/>
      <c r="L336" s="134"/>
      <c r="M336" s="133"/>
      <c r="N336" s="133"/>
      <c r="O336" s="133"/>
      <c r="P336" s="134"/>
      <c r="DJ336" s="195">
        <v>-0.57189385084433941</v>
      </c>
      <c r="DK336" s="195">
        <v>2.0977466778126255</v>
      </c>
      <c r="DL336" s="199">
        <v>26</v>
      </c>
    </row>
    <row r="337" spans="1:116">
      <c r="A337" s="133"/>
      <c r="B337" s="134"/>
      <c r="C337" s="134"/>
      <c r="D337" s="134"/>
      <c r="E337" s="133"/>
      <c r="F337" s="134"/>
      <c r="G337" s="134"/>
      <c r="H337" s="134"/>
      <c r="I337" s="133"/>
      <c r="J337" s="133"/>
      <c r="K337" s="133"/>
      <c r="L337" s="134"/>
      <c r="M337" s="133"/>
      <c r="N337" s="133"/>
      <c r="O337" s="133"/>
      <c r="P337" s="134"/>
      <c r="DJ337" s="195">
        <v>-2.2233600174556685</v>
      </c>
      <c r="DK337" s="195">
        <v>1.8071663127128443</v>
      </c>
      <c r="DL337" s="197">
        <v>26</v>
      </c>
    </row>
    <row r="338" spans="1:116">
      <c r="A338" s="133"/>
      <c r="B338" s="134"/>
      <c r="C338" s="134"/>
      <c r="D338" s="134"/>
      <c r="E338" s="133"/>
      <c r="F338" s="134"/>
      <c r="G338" s="134"/>
      <c r="H338" s="134"/>
      <c r="I338" s="133"/>
      <c r="J338" s="133"/>
      <c r="K338" s="133"/>
      <c r="L338" s="134"/>
      <c r="M338" s="133"/>
      <c r="N338" s="133"/>
      <c r="O338" s="133"/>
      <c r="P338" s="134"/>
      <c r="DJ338" s="195">
        <v>0.98639999999999994</v>
      </c>
      <c r="DK338" s="195">
        <v>1.5972505666279342</v>
      </c>
      <c r="DL338" s="195">
        <v>27</v>
      </c>
    </row>
    <row r="339" spans="1:116">
      <c r="A339" s="133"/>
      <c r="B339" s="134"/>
      <c r="C339" s="134"/>
      <c r="D339" s="134"/>
      <c r="E339" s="133"/>
      <c r="F339" s="134"/>
      <c r="G339" s="134"/>
      <c r="H339" s="134"/>
      <c r="I339" s="133"/>
      <c r="J339" s="133"/>
      <c r="K339" s="133"/>
      <c r="L339" s="134"/>
      <c r="M339" s="133"/>
      <c r="N339" s="133"/>
      <c r="O339" s="133"/>
      <c r="P339" s="134"/>
      <c r="DJ339" s="195">
        <v>1.3204800000000001</v>
      </c>
      <c r="DK339" s="198">
        <v>0.70435056662793416</v>
      </c>
      <c r="DL339" s="197">
        <v>27</v>
      </c>
    </row>
    <row r="340" spans="1:116">
      <c r="A340" s="133"/>
      <c r="B340" s="134"/>
      <c r="C340" s="134"/>
      <c r="D340" s="134"/>
      <c r="E340" s="133"/>
      <c r="F340" s="134"/>
      <c r="G340" s="134"/>
      <c r="H340" s="134"/>
      <c r="I340" s="133"/>
      <c r="J340" s="133"/>
      <c r="K340" s="133"/>
      <c r="L340" s="134"/>
      <c r="M340" s="133"/>
      <c r="N340" s="133"/>
      <c r="O340" s="133"/>
      <c r="P340" s="134"/>
      <c r="DJ340" s="195">
        <v>1.3882029636103224</v>
      </c>
      <c r="DK340" s="195">
        <v>2.0814663127128457</v>
      </c>
      <c r="DL340" s="199">
        <v>27</v>
      </c>
    </row>
    <row r="341" spans="1:116">
      <c r="A341" s="133"/>
      <c r="B341" s="134"/>
      <c r="C341" s="134"/>
      <c r="D341" s="134"/>
      <c r="E341" s="133"/>
      <c r="F341" s="134"/>
      <c r="G341" s="134"/>
      <c r="H341" s="134"/>
      <c r="I341" s="133"/>
      <c r="J341" s="133"/>
      <c r="K341" s="133"/>
      <c r="L341" s="134"/>
      <c r="M341" s="133"/>
      <c r="N341" s="133"/>
      <c r="O341" s="133"/>
      <c r="P341" s="134"/>
      <c r="DJ341" s="195">
        <v>1.4936009646687103</v>
      </c>
      <c r="DK341" s="195">
        <v>1.8004505666279333</v>
      </c>
      <c r="DL341" s="197">
        <v>27</v>
      </c>
    </row>
    <row r="342" spans="1:116">
      <c r="A342" s="133"/>
      <c r="B342" s="134"/>
      <c r="C342" s="134"/>
      <c r="D342" s="134"/>
      <c r="E342" s="133"/>
      <c r="F342" s="134"/>
      <c r="G342" s="134"/>
      <c r="H342" s="134"/>
      <c r="I342" s="133"/>
      <c r="J342" s="133"/>
      <c r="K342" s="133"/>
      <c r="L342" s="134"/>
      <c r="M342" s="133"/>
      <c r="N342" s="133"/>
      <c r="O342" s="133"/>
      <c r="P342" s="134"/>
      <c r="DJ342" s="195">
        <v>0.63648000000000005</v>
      </c>
      <c r="DK342" s="195">
        <v>1.5800470923556609</v>
      </c>
      <c r="DL342" s="195">
        <v>28</v>
      </c>
    </row>
    <row r="343" spans="1:116">
      <c r="A343" s="133"/>
      <c r="B343" s="134"/>
      <c r="C343" s="134"/>
      <c r="D343" s="134"/>
      <c r="E343" s="133"/>
      <c r="F343" s="134"/>
      <c r="G343" s="134"/>
      <c r="H343" s="134"/>
      <c r="I343" s="133"/>
      <c r="J343" s="133"/>
      <c r="K343" s="133"/>
      <c r="L343" s="134"/>
      <c r="M343" s="133"/>
      <c r="N343" s="133"/>
      <c r="O343" s="133"/>
      <c r="P343" s="134"/>
      <c r="DJ343" s="195">
        <v>0.57599999999999996</v>
      </c>
      <c r="DK343" s="198">
        <v>0.681747092355661</v>
      </c>
      <c r="DL343" s="197">
        <v>28</v>
      </c>
    </row>
    <row r="344" spans="1:116">
      <c r="A344" s="133"/>
      <c r="B344" s="134"/>
      <c r="C344" s="134"/>
      <c r="D344" s="134"/>
      <c r="E344" s="133"/>
      <c r="F344" s="134"/>
      <c r="G344" s="134"/>
      <c r="H344" s="134"/>
      <c r="I344" s="133"/>
      <c r="J344" s="133"/>
      <c r="K344" s="133"/>
      <c r="L344" s="134"/>
      <c r="M344" s="133"/>
      <c r="N344" s="133"/>
      <c r="O344" s="133"/>
      <c r="P344" s="134"/>
      <c r="DJ344" s="195">
        <v>1.2934790995496357</v>
      </c>
      <c r="DK344" s="195">
        <v>2.055550566627935</v>
      </c>
      <c r="DL344" s="199">
        <v>28</v>
      </c>
    </row>
    <row r="345" spans="1:116">
      <c r="A345" s="133"/>
      <c r="B345" s="134"/>
      <c r="C345" s="134"/>
      <c r="D345" s="134"/>
      <c r="E345" s="133"/>
      <c r="F345" s="134"/>
      <c r="G345" s="134"/>
      <c r="H345" s="134"/>
      <c r="I345" s="133"/>
      <c r="J345" s="133"/>
      <c r="K345" s="133"/>
      <c r="L345" s="134"/>
      <c r="M345" s="133"/>
      <c r="N345" s="133"/>
      <c r="O345" s="133"/>
      <c r="P345" s="134"/>
      <c r="DJ345" s="195">
        <v>0.85323665789927616</v>
      </c>
      <c r="DK345" s="195">
        <v>1.7729470923556627</v>
      </c>
      <c r="DL345" s="197">
        <v>28</v>
      </c>
    </row>
    <row r="346" spans="1:116">
      <c r="A346" s="133"/>
      <c r="B346" s="134"/>
      <c r="C346" s="134"/>
      <c r="D346" s="134"/>
      <c r="E346" s="133"/>
      <c r="F346" s="134"/>
      <c r="G346" s="134"/>
      <c r="H346" s="134"/>
      <c r="I346" s="133"/>
      <c r="J346" s="133"/>
      <c r="K346" s="133"/>
      <c r="L346" s="134"/>
      <c r="M346" s="133"/>
      <c r="N346" s="133"/>
      <c r="O346" s="133"/>
      <c r="P346" s="134"/>
      <c r="DJ346" s="195">
        <v>0.58608000000000005</v>
      </c>
      <c r="DK346" s="195">
        <v>1.5642311436986165</v>
      </c>
      <c r="DL346" s="195">
        <v>29</v>
      </c>
    </row>
    <row r="347" spans="1:116">
      <c r="A347" s="133"/>
      <c r="B347" s="134"/>
      <c r="C347" s="134"/>
      <c r="D347" s="134"/>
      <c r="E347" s="133"/>
      <c r="F347" s="134"/>
      <c r="G347" s="134"/>
      <c r="H347" s="134"/>
      <c r="I347" s="133"/>
      <c r="J347" s="133"/>
      <c r="K347" s="133"/>
      <c r="L347" s="134"/>
      <c r="M347" s="133"/>
      <c r="N347" s="133"/>
      <c r="O347" s="133"/>
      <c r="P347" s="134"/>
      <c r="DJ347" s="195">
        <v>0.28799999999999998</v>
      </c>
      <c r="DK347" s="198">
        <v>0.65773114369861618</v>
      </c>
      <c r="DL347" s="197">
        <v>29</v>
      </c>
    </row>
    <row r="348" spans="1:116">
      <c r="A348" s="133"/>
      <c r="B348" s="134"/>
      <c r="C348" s="134"/>
      <c r="D348" s="134"/>
      <c r="E348" s="133"/>
      <c r="F348" s="134"/>
      <c r="G348" s="134"/>
      <c r="H348" s="134"/>
      <c r="I348" s="133"/>
      <c r="J348" s="133"/>
      <c r="K348" s="133"/>
      <c r="L348" s="134"/>
      <c r="M348" s="133"/>
      <c r="N348" s="133"/>
      <c r="O348" s="133"/>
      <c r="P348" s="134"/>
      <c r="DJ348" s="195">
        <v>1.0851877450868967</v>
      </c>
      <c r="DK348" s="195">
        <v>2.0289470923556623</v>
      </c>
      <c r="DL348" s="199">
        <v>29</v>
      </c>
    </row>
    <row r="349" spans="1:116">
      <c r="A349" s="133"/>
      <c r="B349" s="134"/>
      <c r="C349" s="134"/>
      <c r="D349" s="134"/>
      <c r="E349" s="133"/>
      <c r="F349" s="134"/>
      <c r="G349" s="134"/>
      <c r="H349" s="134"/>
      <c r="I349" s="133"/>
      <c r="J349" s="133"/>
      <c r="K349" s="133"/>
      <c r="L349" s="134"/>
      <c r="M349" s="133"/>
      <c r="N349" s="133"/>
      <c r="O349" s="133"/>
      <c r="P349" s="134"/>
      <c r="DJ349" s="195">
        <v>1.904436657899276</v>
      </c>
      <c r="DK349" s="195">
        <v>1.1646311436986172</v>
      </c>
      <c r="DL349" s="197">
        <v>29</v>
      </c>
    </row>
    <row r="350" spans="1:116">
      <c r="A350" s="133"/>
      <c r="B350" s="134"/>
      <c r="C350" s="134"/>
      <c r="D350" s="134"/>
      <c r="E350" s="133"/>
      <c r="F350" s="134"/>
      <c r="G350" s="134"/>
      <c r="H350" s="134"/>
      <c r="I350" s="133"/>
      <c r="J350" s="133"/>
      <c r="K350" s="133"/>
      <c r="L350" s="134"/>
      <c r="M350" s="133"/>
      <c r="N350" s="133"/>
      <c r="O350" s="133"/>
      <c r="P350" s="134"/>
      <c r="DJ350" s="202">
        <v>0.78335999999999995</v>
      </c>
      <c r="DK350" s="202">
        <v>1.5474288942579135</v>
      </c>
      <c r="DL350" s="194">
        <v>30</v>
      </c>
    </row>
    <row r="351" spans="1:116">
      <c r="A351" s="133"/>
      <c r="B351" s="134"/>
      <c r="C351" s="134"/>
      <c r="D351" s="134"/>
      <c r="E351" s="133"/>
      <c r="F351" s="134"/>
      <c r="G351" s="134"/>
      <c r="H351" s="134"/>
      <c r="I351" s="133"/>
      <c r="J351" s="133"/>
      <c r="K351" s="133"/>
      <c r="L351" s="134"/>
      <c r="M351" s="133"/>
      <c r="N351" s="133"/>
      <c r="O351" s="133"/>
      <c r="P351" s="134"/>
      <c r="DJ351" s="195"/>
      <c r="DK351" s="198">
        <v>0.61232889425791415</v>
      </c>
      <c r="DL351" s="197">
        <v>30</v>
      </c>
    </row>
    <row r="352" spans="1:116">
      <c r="A352" s="133"/>
      <c r="B352" s="134"/>
      <c r="C352" s="134"/>
      <c r="D352" s="134"/>
      <c r="E352" s="133"/>
      <c r="F352" s="134"/>
      <c r="G352" s="134"/>
      <c r="H352" s="134"/>
      <c r="I352" s="133"/>
      <c r="J352" s="133"/>
      <c r="K352" s="133"/>
      <c r="L352" s="134"/>
      <c r="M352" s="133"/>
      <c r="N352" s="133"/>
      <c r="O352" s="133"/>
      <c r="P352" s="134"/>
      <c r="DJ352" s="195">
        <v>1.0816533384963765</v>
      </c>
      <c r="DK352" s="195">
        <v>2.0001311436986162</v>
      </c>
      <c r="DL352" s="199">
        <v>30</v>
      </c>
    </row>
    <row r="353" spans="1:116">
      <c r="A353" s="133"/>
      <c r="B353" s="134"/>
      <c r="C353" s="134"/>
      <c r="D353" s="134"/>
      <c r="E353" s="133"/>
      <c r="F353" s="134"/>
      <c r="G353" s="134"/>
      <c r="H353" s="134"/>
      <c r="I353" s="133"/>
      <c r="J353" s="133"/>
      <c r="K353" s="133"/>
      <c r="L353" s="134"/>
      <c r="DJ353" s="195">
        <v>3.1572366578992761</v>
      </c>
      <c r="DK353" s="195">
        <v>1.1184288942579135</v>
      </c>
      <c r="DL353" s="197">
        <v>30</v>
      </c>
    </row>
    <row r="354" spans="1:116">
      <c r="A354" s="133"/>
      <c r="B354" s="134"/>
      <c r="C354" s="134"/>
      <c r="D354" s="134"/>
      <c r="E354" s="133"/>
      <c r="F354" s="134"/>
      <c r="G354" s="134"/>
      <c r="H354" s="134"/>
      <c r="I354" s="133"/>
      <c r="J354" s="133"/>
      <c r="K354" s="133"/>
      <c r="L354" s="134"/>
      <c r="DJ354" s="195">
        <v>0.62783999999999995</v>
      </c>
      <c r="DK354" s="195">
        <v>1.5286434131615603</v>
      </c>
      <c r="DL354" s="195">
        <v>31</v>
      </c>
    </row>
    <row r="355" spans="1:116">
      <c r="A355" s="133"/>
      <c r="B355" s="134"/>
      <c r="C355" s="134"/>
      <c r="D355" s="134"/>
      <c r="E355" s="133"/>
      <c r="F355" s="134"/>
      <c r="G355" s="134"/>
      <c r="H355" s="134"/>
      <c r="I355" s="133"/>
      <c r="J355" s="133"/>
      <c r="K355" s="133"/>
      <c r="L355" s="134"/>
      <c r="DJ355" s="195"/>
      <c r="DK355" s="198">
        <v>0.53664341316156028</v>
      </c>
      <c r="DL355" s="197">
        <v>31</v>
      </c>
    </row>
    <row r="356" spans="1:116">
      <c r="A356" s="133"/>
      <c r="B356" s="134"/>
      <c r="C356" s="134"/>
      <c r="D356" s="134"/>
      <c r="E356" s="133"/>
      <c r="F356" s="134"/>
      <c r="G356" s="134"/>
      <c r="H356" s="134"/>
      <c r="I356" s="133"/>
      <c r="J356" s="133"/>
      <c r="K356" s="133"/>
      <c r="L356" s="134"/>
      <c r="DJ356" s="195">
        <v>0.76228500471372829</v>
      </c>
      <c r="DK356" s="195">
        <v>1.9718288942579132</v>
      </c>
      <c r="DL356" s="199">
        <v>31</v>
      </c>
    </row>
    <row r="357" spans="1:116">
      <c r="A357" s="133"/>
      <c r="B357" s="134"/>
      <c r="C357" s="134"/>
      <c r="D357" s="134"/>
      <c r="E357" s="133"/>
      <c r="F357" s="134"/>
      <c r="G357" s="134"/>
      <c r="H357" s="134"/>
      <c r="I357" s="133"/>
      <c r="J357" s="133"/>
      <c r="K357" s="133"/>
      <c r="L357" s="134"/>
      <c r="DJ357" s="195">
        <v>0.54143999999999992</v>
      </c>
      <c r="DK357" s="195">
        <v>1.5106092617073847</v>
      </c>
      <c r="DL357" s="195">
        <v>32</v>
      </c>
    </row>
    <row r="358" spans="1:116">
      <c r="A358" s="133"/>
      <c r="B358" s="134"/>
      <c r="C358" s="134"/>
      <c r="D358" s="134"/>
      <c r="E358" s="133"/>
      <c r="F358" s="134"/>
      <c r="G358" s="134"/>
      <c r="H358" s="134"/>
      <c r="I358" s="133"/>
      <c r="J358" s="133"/>
      <c r="K358" s="133"/>
      <c r="L358" s="134"/>
      <c r="DJ358" s="195">
        <v>-0.72000000000000008</v>
      </c>
      <c r="DK358" s="198">
        <v>0.45490926170738405</v>
      </c>
      <c r="DL358" s="197">
        <v>32</v>
      </c>
    </row>
    <row r="359" spans="1:116">
      <c r="A359" s="133"/>
      <c r="B359" s="134"/>
      <c r="C359" s="134"/>
      <c r="D359" s="134"/>
      <c r="E359" s="133"/>
      <c r="F359" s="134"/>
      <c r="G359" s="134"/>
      <c r="H359" s="134"/>
      <c r="I359" s="133"/>
      <c r="J359" s="133"/>
      <c r="K359" s="133"/>
      <c r="L359" s="134"/>
      <c r="DJ359" s="195">
        <v>1.3792860779035478</v>
      </c>
      <c r="DK359" s="195">
        <v>1.94464341316156</v>
      </c>
      <c r="DL359" s="199">
        <v>32</v>
      </c>
    </row>
    <row r="360" spans="1:116">
      <c r="A360" s="133"/>
      <c r="B360" s="134"/>
      <c r="C360" s="134"/>
      <c r="D360" s="134"/>
      <c r="E360" s="133"/>
      <c r="F360" s="134"/>
      <c r="G360" s="134"/>
      <c r="H360" s="134"/>
      <c r="I360" s="133"/>
      <c r="J360" s="133"/>
      <c r="K360" s="133"/>
      <c r="L360" s="134"/>
      <c r="DJ360" s="195">
        <v>0.64512000000000003</v>
      </c>
      <c r="DK360" s="195">
        <v>1.4923460747956052</v>
      </c>
      <c r="DL360" s="195">
        <v>33</v>
      </c>
    </row>
    <row r="361" spans="1:116">
      <c r="A361" s="133"/>
      <c r="B361" s="134"/>
      <c r="C361" s="134"/>
      <c r="D361" s="134"/>
      <c r="E361" s="133"/>
      <c r="F361" s="134"/>
      <c r="G361" s="134"/>
      <c r="H361" s="134"/>
      <c r="I361" s="133"/>
      <c r="J361" s="133"/>
      <c r="K361" s="133"/>
      <c r="L361" s="134"/>
      <c r="DJ361" s="195"/>
      <c r="DK361" s="198">
        <v>0.40644607479560563</v>
      </c>
      <c r="DL361" s="197">
        <v>33</v>
      </c>
    </row>
    <row r="362" spans="1:116">
      <c r="A362" s="133"/>
      <c r="B362" s="134"/>
      <c r="C362" s="134"/>
      <c r="D362" s="134"/>
      <c r="E362" s="133"/>
      <c r="F362" s="134"/>
      <c r="G362" s="134"/>
      <c r="H362" s="134"/>
      <c r="I362" s="133"/>
      <c r="J362" s="133"/>
      <c r="K362" s="133"/>
      <c r="L362" s="134"/>
      <c r="DJ362" s="195">
        <v>1.3617671604882193</v>
      </c>
      <c r="DK362" s="195">
        <v>1.9197092617073845</v>
      </c>
      <c r="DL362" s="199">
        <v>33</v>
      </c>
    </row>
    <row r="363" spans="1:116">
      <c r="A363" s="133"/>
      <c r="B363" s="134"/>
      <c r="C363" s="134"/>
      <c r="D363" s="134"/>
      <c r="E363" s="133"/>
      <c r="F363" s="134"/>
      <c r="G363" s="134"/>
      <c r="H363" s="134"/>
      <c r="I363" s="133"/>
      <c r="J363" s="133"/>
      <c r="K363" s="133"/>
      <c r="L363" s="134"/>
      <c r="DJ363" s="195">
        <v>1.1059199999999998</v>
      </c>
      <c r="DK363" s="195">
        <v>1.4737438253549064</v>
      </c>
      <c r="DL363" s="195">
        <v>34</v>
      </c>
    </row>
    <row r="364" spans="1:116">
      <c r="A364" s="133"/>
      <c r="B364" s="134"/>
      <c r="C364" s="134"/>
      <c r="D364" s="134"/>
      <c r="E364" s="133"/>
      <c r="F364" s="134"/>
      <c r="G364" s="134"/>
      <c r="H364" s="134"/>
      <c r="I364" s="133"/>
      <c r="J364" s="133"/>
      <c r="K364" s="133"/>
      <c r="L364" s="134"/>
      <c r="DJ364" s="195"/>
      <c r="DK364" s="198">
        <v>0.30954382535490638</v>
      </c>
      <c r="DL364" s="197">
        <v>34</v>
      </c>
    </row>
    <row r="365" spans="1:116">
      <c r="A365" s="133"/>
      <c r="B365" s="134"/>
      <c r="C365" s="134"/>
      <c r="D365" s="134"/>
      <c r="E365" s="133"/>
      <c r="F365" s="134"/>
      <c r="G365" s="134"/>
      <c r="H365" s="134"/>
      <c r="I365" s="133"/>
      <c r="J365" s="133"/>
      <c r="K365" s="133"/>
      <c r="L365" s="134"/>
      <c r="DJ365" s="195">
        <v>1.0413152667974677</v>
      </c>
      <c r="DK365" s="195">
        <v>1.8912460747956057</v>
      </c>
      <c r="DL365" s="199">
        <v>34</v>
      </c>
    </row>
    <row r="366" spans="1:116">
      <c r="A366" s="133"/>
      <c r="B366" s="134"/>
      <c r="C366" s="134"/>
      <c r="D366" s="134"/>
      <c r="E366" s="133"/>
      <c r="F366" s="134"/>
      <c r="G366" s="134"/>
      <c r="H366" s="134"/>
      <c r="I366" s="133"/>
      <c r="J366" s="133"/>
      <c r="K366" s="133"/>
      <c r="L366" s="134"/>
      <c r="DJ366" s="195">
        <v>0.93024000000000007</v>
      </c>
      <c r="DK366" s="195">
        <v>1.4548272572329988</v>
      </c>
      <c r="DL366" s="195">
        <v>35</v>
      </c>
    </row>
    <row r="367" spans="1:116">
      <c r="A367" s="133"/>
      <c r="B367" s="134"/>
      <c r="C367" s="134"/>
      <c r="D367" s="134"/>
      <c r="E367" s="133"/>
      <c r="F367" s="134"/>
      <c r="G367" s="134"/>
      <c r="H367" s="134"/>
      <c r="I367" s="133"/>
      <c r="J367" s="133"/>
      <c r="K367" s="133"/>
      <c r="L367" s="134"/>
      <c r="DJ367" s="195"/>
      <c r="DK367" s="198">
        <v>0.21282725723299883</v>
      </c>
      <c r="DL367" s="197">
        <v>35</v>
      </c>
    </row>
    <row r="368" spans="1:116">
      <c r="A368" s="133"/>
      <c r="B368" s="134"/>
      <c r="C368" s="134"/>
      <c r="D368" s="134"/>
      <c r="E368" s="133"/>
      <c r="F368" s="134"/>
      <c r="G368" s="134"/>
      <c r="H368" s="134"/>
      <c r="I368" s="133"/>
      <c r="J368" s="133"/>
      <c r="K368" s="133"/>
      <c r="L368" s="134"/>
      <c r="DJ368" s="195">
        <v>1.0478500073616397</v>
      </c>
      <c r="DK368" s="195">
        <v>1.8654438253549059</v>
      </c>
      <c r="DL368" s="199">
        <v>35</v>
      </c>
    </row>
    <row r="369" spans="1:116">
      <c r="A369" s="133"/>
      <c r="B369" s="134"/>
      <c r="C369" s="134"/>
      <c r="D369" s="134"/>
      <c r="E369" s="133"/>
      <c r="F369" s="134"/>
      <c r="G369" s="134"/>
      <c r="H369" s="134"/>
      <c r="I369" s="133"/>
      <c r="J369" s="133"/>
      <c r="K369" s="133"/>
      <c r="L369" s="134"/>
      <c r="DJ369" s="195">
        <v>0.70992</v>
      </c>
      <c r="DK369" s="195">
        <v>1.434738718757099</v>
      </c>
      <c r="DL369" s="195">
        <v>36</v>
      </c>
    </row>
    <row r="370" spans="1:116">
      <c r="A370" s="133"/>
      <c r="B370" s="134"/>
      <c r="C370" s="134"/>
      <c r="D370" s="134"/>
      <c r="E370" s="133"/>
      <c r="F370" s="134"/>
      <c r="G370" s="134"/>
      <c r="H370" s="134"/>
      <c r="I370" s="133"/>
      <c r="J370" s="133"/>
      <c r="K370" s="133"/>
      <c r="L370" s="134"/>
      <c r="DJ370" s="195"/>
      <c r="DK370" s="198">
        <v>0.21143871875709991</v>
      </c>
      <c r="DL370" s="197">
        <v>36</v>
      </c>
    </row>
    <row r="371" spans="1:116">
      <c r="A371" s="133"/>
      <c r="B371" s="134"/>
      <c r="C371" s="134"/>
      <c r="D371" s="134"/>
      <c r="E371" s="133"/>
      <c r="F371" s="134"/>
      <c r="G371" s="134"/>
      <c r="H371" s="134"/>
      <c r="I371" s="133"/>
      <c r="J371" s="133"/>
      <c r="K371" s="133"/>
      <c r="L371" s="134"/>
      <c r="DJ371" s="195">
        <v>0.76953679561951072</v>
      </c>
      <c r="DK371" s="195">
        <v>1.8430272572329993</v>
      </c>
      <c r="DL371" s="199">
        <v>36</v>
      </c>
    </row>
    <row r="372" spans="1:116">
      <c r="A372" s="133"/>
      <c r="B372" s="134"/>
      <c r="C372" s="134"/>
      <c r="D372" s="134"/>
      <c r="E372" s="133"/>
      <c r="F372" s="134"/>
      <c r="G372" s="134"/>
      <c r="H372" s="134"/>
      <c r="I372" s="133"/>
      <c r="J372" s="133"/>
      <c r="K372" s="133"/>
      <c r="L372" s="134"/>
      <c r="DJ372" s="195">
        <v>0.60624000000000011</v>
      </c>
      <c r="DK372" s="195">
        <v>1.4139307456034245</v>
      </c>
      <c r="DL372" s="195">
        <v>37</v>
      </c>
    </row>
    <row r="373" spans="1:116">
      <c r="A373" s="133"/>
      <c r="B373" s="134"/>
      <c r="C373" s="134"/>
      <c r="D373" s="134"/>
      <c r="E373" s="133"/>
      <c r="F373" s="134"/>
      <c r="G373" s="134"/>
      <c r="H373" s="134"/>
      <c r="I373" s="133"/>
      <c r="J373" s="133"/>
      <c r="K373" s="133"/>
      <c r="L373" s="134"/>
      <c r="DJ373" s="195">
        <v>0.58719608970827897</v>
      </c>
      <c r="DK373" s="195">
        <v>1.8197387187570999</v>
      </c>
      <c r="DL373" s="199">
        <v>37</v>
      </c>
    </row>
    <row r="374" spans="1:116">
      <c r="A374" s="133"/>
      <c r="B374" s="134"/>
      <c r="C374" s="134"/>
      <c r="D374" s="134"/>
      <c r="E374" s="133"/>
      <c r="F374" s="134"/>
      <c r="G374" s="134"/>
      <c r="H374" s="134"/>
      <c r="I374" s="133"/>
      <c r="J374" s="133"/>
      <c r="K374" s="133"/>
      <c r="L374" s="134"/>
      <c r="DJ374" s="195">
        <v>0.48527999999999999</v>
      </c>
      <c r="DK374" s="195">
        <v>1.3935712355360539</v>
      </c>
      <c r="DL374" s="195">
        <v>38</v>
      </c>
    </row>
    <row r="375" spans="1:116">
      <c r="A375" s="133"/>
      <c r="B375" s="134"/>
      <c r="C375" s="134"/>
      <c r="D375" s="134"/>
      <c r="E375" s="133"/>
      <c r="F375" s="134"/>
      <c r="G375" s="134"/>
      <c r="H375" s="134"/>
      <c r="I375" s="133"/>
      <c r="J375" s="133"/>
      <c r="K375" s="133"/>
      <c r="L375" s="134"/>
      <c r="DJ375" s="195">
        <v>0.5861689221110451</v>
      </c>
      <c r="DK375" s="195">
        <v>1.7965307456034256</v>
      </c>
      <c r="DL375" s="199">
        <v>38</v>
      </c>
    </row>
    <row r="376" spans="1:116">
      <c r="A376" s="133"/>
      <c r="B376" s="134"/>
      <c r="C376" s="134"/>
      <c r="D376" s="134"/>
      <c r="E376" s="133"/>
      <c r="F376" s="134"/>
      <c r="G376" s="134"/>
      <c r="H376" s="134"/>
      <c r="I376" s="133"/>
      <c r="J376" s="133"/>
      <c r="K376" s="133"/>
      <c r="L376" s="134"/>
      <c r="DJ376" s="195">
        <v>0.36144000000000004</v>
      </c>
      <c r="DK376" s="195">
        <v>1.3718448476143439</v>
      </c>
      <c r="DL376" s="195">
        <v>39</v>
      </c>
    </row>
    <row r="377" spans="1:116">
      <c r="A377" s="133"/>
      <c r="B377" s="134"/>
      <c r="C377" s="134"/>
      <c r="D377" s="134"/>
      <c r="E377" s="133"/>
      <c r="F377" s="134"/>
      <c r="G377" s="134"/>
      <c r="H377" s="134"/>
      <c r="I377" s="133"/>
      <c r="J377" s="133"/>
      <c r="K377" s="133"/>
      <c r="L377" s="134"/>
      <c r="DJ377" s="195">
        <v>0.61264924241331031</v>
      </c>
      <c r="DK377" s="195">
        <v>1.7742712355360541</v>
      </c>
      <c r="DL377" s="199">
        <v>39</v>
      </c>
    </row>
    <row r="378" spans="1:116">
      <c r="A378" s="133"/>
      <c r="B378" s="134"/>
      <c r="C378" s="134"/>
      <c r="D378" s="134"/>
      <c r="E378" s="133"/>
      <c r="F378" s="134"/>
      <c r="G378" s="134"/>
      <c r="H378" s="134"/>
      <c r="I378" s="133"/>
      <c r="J378" s="133"/>
      <c r="K378" s="133"/>
      <c r="L378" s="134"/>
      <c r="DJ378" s="195">
        <v>6.3072000000000003E-2</v>
      </c>
      <c r="DK378" s="195">
        <v>1.3499583466082465</v>
      </c>
      <c r="DL378" s="195">
        <v>40</v>
      </c>
    </row>
    <row r="379" spans="1:116">
      <c r="A379" s="133"/>
      <c r="B379" s="134"/>
      <c r="C379" s="134"/>
      <c r="D379" s="134"/>
      <c r="E379" s="133"/>
      <c r="F379" s="134"/>
      <c r="G379" s="134"/>
      <c r="H379" s="134"/>
      <c r="I379" s="133"/>
      <c r="J379" s="133"/>
      <c r="K379" s="133"/>
      <c r="L379" s="134"/>
      <c r="DJ379" s="195">
        <v>0.53937078584970277</v>
      </c>
      <c r="DK379" s="195">
        <v>1.7503448476143439</v>
      </c>
      <c r="DL379" s="199">
        <v>40</v>
      </c>
    </row>
    <row r="380" spans="1:116">
      <c r="A380" s="133"/>
      <c r="B380" s="134"/>
      <c r="C380" s="134"/>
      <c r="D380" s="134"/>
      <c r="E380" s="133"/>
      <c r="F380" s="134"/>
      <c r="G380" s="134"/>
      <c r="H380" s="134"/>
      <c r="I380" s="133"/>
      <c r="J380" s="133"/>
      <c r="K380" s="133"/>
      <c r="L380" s="134"/>
      <c r="DJ380" s="195">
        <v>0.42624000000000006</v>
      </c>
      <c r="DK380" s="195">
        <v>1.3276139702099985</v>
      </c>
      <c r="DL380" s="195">
        <v>41</v>
      </c>
    </row>
    <row r="381" spans="1:116">
      <c r="A381" s="133"/>
      <c r="B381" s="134"/>
      <c r="C381" s="134"/>
      <c r="D381" s="134"/>
      <c r="E381" s="133"/>
      <c r="F381" s="134"/>
      <c r="G381" s="134"/>
      <c r="H381" s="134"/>
      <c r="I381" s="133"/>
      <c r="J381" s="133"/>
      <c r="K381" s="133"/>
      <c r="L381" s="134"/>
      <c r="DJ381" s="195">
        <v>1.1293620348458043E-2</v>
      </c>
      <c r="DK381" s="195">
        <v>1.7278583466082462</v>
      </c>
      <c r="DL381" s="199">
        <v>41</v>
      </c>
    </row>
    <row r="382" spans="1:116">
      <c r="A382" s="133"/>
      <c r="B382" s="134"/>
      <c r="C382" s="134"/>
      <c r="D382" s="134"/>
      <c r="E382" s="133"/>
      <c r="F382" s="134"/>
      <c r="G382" s="134"/>
      <c r="H382" s="134"/>
      <c r="I382" s="133"/>
      <c r="J382" s="133"/>
      <c r="K382" s="133"/>
      <c r="L382" s="134"/>
      <c r="DJ382" s="195">
        <v>1.0396800000000002</v>
      </c>
      <c r="DK382" s="195">
        <v>1.305385945263374</v>
      </c>
      <c r="DL382" s="195">
        <v>42</v>
      </c>
    </row>
    <row r="383" spans="1:116">
      <c r="A383" s="133"/>
      <c r="B383" s="134"/>
      <c r="C383" s="134"/>
      <c r="D383" s="134"/>
      <c r="E383" s="133"/>
      <c r="F383" s="134"/>
      <c r="G383" s="134"/>
      <c r="H383" s="134"/>
      <c r="I383" s="133"/>
      <c r="J383" s="133"/>
      <c r="K383" s="133"/>
      <c r="L383" s="134"/>
      <c r="DJ383" s="195">
        <v>0.35020825485241841</v>
      </c>
      <c r="DK383" s="195">
        <v>1.7063139702099981</v>
      </c>
      <c r="DL383" s="199">
        <v>42</v>
      </c>
    </row>
    <row r="384" spans="1:116">
      <c r="A384" s="133"/>
      <c r="B384" s="134"/>
      <c r="C384" s="134"/>
      <c r="D384" s="134"/>
      <c r="E384" s="133"/>
      <c r="F384" s="134"/>
      <c r="G384" s="134"/>
      <c r="H384" s="134"/>
      <c r="I384" s="133"/>
      <c r="J384" s="133"/>
      <c r="K384" s="133"/>
      <c r="L384" s="134"/>
      <c r="DJ384" s="195">
        <v>2.6783999999999999E-2</v>
      </c>
      <c r="DK384" s="195">
        <v>1.2829575198718639</v>
      </c>
      <c r="DL384" s="195">
        <v>43</v>
      </c>
    </row>
    <row r="385" spans="1:116">
      <c r="A385" s="133"/>
      <c r="B385" s="134"/>
      <c r="C385" s="134"/>
      <c r="D385" s="134"/>
      <c r="E385" s="133"/>
      <c r="F385" s="134"/>
      <c r="G385" s="134"/>
      <c r="H385" s="134"/>
      <c r="I385" s="133"/>
      <c r="J385" s="133"/>
      <c r="K385" s="133"/>
      <c r="L385" s="134"/>
      <c r="DJ385" s="195">
        <v>-0.47808</v>
      </c>
      <c r="DK385" s="195">
        <v>1.6838859452633741</v>
      </c>
      <c r="DL385" s="199">
        <v>43</v>
      </c>
    </row>
    <row r="386" spans="1:116">
      <c r="A386" s="133"/>
      <c r="B386" s="134"/>
      <c r="C386" s="134"/>
      <c r="D386" s="134"/>
      <c r="E386" s="133"/>
      <c r="F386" s="134"/>
      <c r="G386" s="134"/>
      <c r="H386" s="134"/>
      <c r="I386" s="133"/>
      <c r="J386" s="133"/>
      <c r="K386" s="133"/>
      <c r="L386" s="134"/>
      <c r="DJ386" s="195">
        <v>-1.2830399999999999E-2</v>
      </c>
      <c r="DK386" s="195">
        <v>1.2593783796036564</v>
      </c>
      <c r="DL386" s="195">
        <v>44</v>
      </c>
    </row>
    <row r="387" spans="1:116">
      <c r="A387" s="133"/>
      <c r="B387" s="134"/>
      <c r="C387" s="134"/>
      <c r="D387" s="134"/>
      <c r="E387" s="133"/>
      <c r="F387" s="134"/>
      <c r="G387" s="134"/>
      <c r="H387" s="134"/>
      <c r="I387" s="133"/>
      <c r="J387" s="133"/>
      <c r="K387" s="133"/>
      <c r="L387" s="134"/>
      <c r="DJ387" s="195">
        <v>-0.15984000000000001</v>
      </c>
      <c r="DK387" s="195">
        <v>1.6634575198718646</v>
      </c>
      <c r="DL387" s="199">
        <v>44</v>
      </c>
    </row>
    <row r="388" spans="1:116">
      <c r="A388" s="133"/>
      <c r="B388" s="134"/>
      <c r="C388" s="134"/>
      <c r="D388" s="134"/>
      <c r="E388" s="133"/>
      <c r="F388" s="134"/>
      <c r="G388" s="134"/>
      <c r="H388" s="134"/>
      <c r="I388" s="133"/>
      <c r="J388" s="133"/>
      <c r="K388" s="133"/>
      <c r="L388" s="134"/>
      <c r="DJ388" s="195">
        <v>9.6192E-2</v>
      </c>
      <c r="DK388" s="195">
        <v>1.2354814463819692</v>
      </c>
      <c r="DL388" s="195">
        <v>45</v>
      </c>
    </row>
    <row r="389" spans="1:116">
      <c r="A389" s="133"/>
      <c r="B389" s="134"/>
      <c r="C389" s="134"/>
      <c r="D389" s="134"/>
      <c r="E389" s="133"/>
      <c r="F389" s="134"/>
      <c r="G389" s="134"/>
      <c r="H389" s="134"/>
      <c r="I389" s="133"/>
      <c r="J389" s="133"/>
      <c r="K389" s="133"/>
      <c r="L389" s="134"/>
      <c r="DJ389" s="195">
        <v>-0.41039999999999999</v>
      </c>
      <c r="DK389" s="195">
        <v>1.6420783796036555</v>
      </c>
      <c r="DL389" s="199">
        <v>45</v>
      </c>
    </row>
    <row r="390" spans="1:116">
      <c r="A390" s="133"/>
      <c r="B390" s="134"/>
      <c r="C390" s="134"/>
      <c r="D390" s="134"/>
      <c r="E390" s="133"/>
      <c r="F390" s="134"/>
      <c r="G390" s="134"/>
      <c r="H390" s="134"/>
      <c r="I390" s="133"/>
      <c r="J390" s="133"/>
      <c r="K390" s="133"/>
      <c r="L390" s="134"/>
      <c r="DJ390" s="195">
        <v>0.18432000000000001</v>
      </c>
      <c r="DK390" s="195">
        <v>1.2124260277020418</v>
      </c>
      <c r="DL390" s="195">
        <v>46</v>
      </c>
    </row>
    <row r="391" spans="1:116">
      <c r="A391" s="133"/>
      <c r="B391" s="134"/>
      <c r="C391" s="134"/>
      <c r="D391" s="134"/>
      <c r="E391" s="133"/>
      <c r="F391" s="134"/>
      <c r="G391" s="134"/>
      <c r="H391" s="134"/>
      <c r="I391" s="133"/>
      <c r="J391" s="133"/>
      <c r="K391" s="133"/>
      <c r="L391" s="134"/>
      <c r="DJ391" s="195">
        <v>-0.24191999999999997</v>
      </c>
      <c r="DK391" s="195">
        <v>1.6201814463819708</v>
      </c>
      <c r="DL391" s="199">
        <v>46</v>
      </c>
    </row>
    <row r="392" spans="1:116">
      <c r="A392" s="133"/>
      <c r="B392" s="134"/>
      <c r="C392" s="134"/>
      <c r="D392" s="134"/>
      <c r="E392" s="133"/>
      <c r="F392" s="134"/>
      <c r="G392" s="134"/>
      <c r="H392" s="134"/>
      <c r="I392" s="133"/>
      <c r="J392" s="133"/>
      <c r="K392" s="133"/>
      <c r="L392" s="134"/>
      <c r="DJ392" s="195">
        <v>-3.8736E-2</v>
      </c>
      <c r="DK392" s="195">
        <v>1.1877430056676022</v>
      </c>
      <c r="DL392" s="195">
        <v>47</v>
      </c>
    </row>
    <row r="393" spans="1:116">
      <c r="A393" s="133"/>
      <c r="B393" s="134"/>
      <c r="C393" s="134"/>
      <c r="D393" s="134"/>
      <c r="E393" s="133"/>
      <c r="F393" s="134"/>
      <c r="G393" s="134"/>
      <c r="H393" s="134"/>
      <c r="I393" s="133"/>
      <c r="J393" s="133"/>
      <c r="K393" s="133"/>
      <c r="L393" s="134"/>
      <c r="DJ393" s="195">
        <v>-0.23327999999999999</v>
      </c>
      <c r="DK393" s="195">
        <v>1.5991260277020405</v>
      </c>
      <c r="DL393" s="199">
        <v>47</v>
      </c>
    </row>
    <row r="394" spans="1:116">
      <c r="A394" s="133"/>
      <c r="B394" s="134"/>
      <c r="C394" s="134"/>
      <c r="D394" s="134"/>
      <c r="E394" s="133"/>
      <c r="F394" s="134"/>
      <c r="G394" s="134"/>
      <c r="H394" s="134"/>
      <c r="I394" s="133"/>
      <c r="J394" s="133"/>
      <c r="K394" s="133"/>
      <c r="L394" s="134"/>
      <c r="DJ394" s="195">
        <v>0.11232</v>
      </c>
      <c r="DK394" s="195">
        <v>1.1624562973899848</v>
      </c>
      <c r="DL394" s="195">
        <v>48</v>
      </c>
    </row>
    <row r="395" spans="1:116">
      <c r="A395" s="133"/>
      <c r="B395" s="134"/>
      <c r="C395" s="134"/>
      <c r="D395" s="134"/>
      <c r="E395" s="133"/>
      <c r="F395" s="134"/>
      <c r="G395" s="134"/>
      <c r="H395" s="134"/>
      <c r="I395" s="133"/>
      <c r="J395" s="133"/>
      <c r="K395" s="133"/>
      <c r="L395" s="134"/>
      <c r="DJ395" s="195">
        <v>-7.1856000000000003E-2</v>
      </c>
      <c r="DK395" s="195">
        <v>1.5776430056676023</v>
      </c>
      <c r="DL395" s="199">
        <v>48</v>
      </c>
    </row>
    <row r="396" spans="1:116">
      <c r="A396" s="133"/>
      <c r="B396" s="134"/>
      <c r="C396" s="134"/>
      <c r="D396" s="134"/>
      <c r="E396" s="133"/>
      <c r="F396" s="134"/>
      <c r="G396" s="134"/>
      <c r="H396" s="134"/>
      <c r="I396" s="133"/>
      <c r="J396" s="133"/>
      <c r="K396" s="133"/>
      <c r="L396" s="134"/>
      <c r="DJ396" s="195">
        <v>0.30528</v>
      </c>
      <c r="DK396" s="195">
        <v>1.1376661054413257</v>
      </c>
      <c r="DL396" s="195">
        <v>49</v>
      </c>
    </row>
    <row r="397" spans="1:116">
      <c r="A397" s="133"/>
      <c r="B397" s="134"/>
      <c r="C397" s="134"/>
      <c r="D397" s="134"/>
      <c r="E397" s="133"/>
      <c r="F397" s="134"/>
      <c r="G397" s="134"/>
      <c r="H397" s="134"/>
      <c r="I397" s="133"/>
      <c r="J397" s="133"/>
      <c r="K397" s="133"/>
      <c r="L397" s="134"/>
      <c r="DJ397" s="195">
        <v>-0.14371200000000001</v>
      </c>
      <c r="DK397" s="195">
        <v>1.5563562973899845</v>
      </c>
      <c r="DL397" s="199">
        <v>49</v>
      </c>
    </row>
    <row r="398" spans="1:116">
      <c r="A398" s="133"/>
      <c r="B398" s="134"/>
      <c r="C398" s="134"/>
      <c r="D398" s="134"/>
      <c r="E398" s="133"/>
      <c r="F398" s="134"/>
      <c r="G398" s="134"/>
      <c r="H398" s="134"/>
      <c r="I398" s="133"/>
      <c r="J398" s="133"/>
      <c r="K398" s="133"/>
      <c r="L398" s="134"/>
      <c r="DJ398" s="195">
        <v>-0.17712</v>
      </c>
      <c r="DK398" s="195">
        <v>1.112165702646752</v>
      </c>
      <c r="DL398" s="195">
        <v>50</v>
      </c>
    </row>
    <row r="399" spans="1:116">
      <c r="A399" s="133"/>
      <c r="B399" s="134"/>
      <c r="C399" s="134"/>
      <c r="D399" s="134"/>
      <c r="E399" s="133"/>
      <c r="F399" s="134"/>
      <c r="G399" s="134"/>
      <c r="H399" s="134"/>
      <c r="I399" s="133"/>
      <c r="J399" s="133"/>
      <c r="K399" s="133"/>
      <c r="L399" s="134"/>
      <c r="DJ399" s="195">
        <v>-6.3072000000000003E-2</v>
      </c>
      <c r="DK399" s="195">
        <v>1.5351661054413257</v>
      </c>
      <c r="DL399" s="195">
        <v>50</v>
      </c>
    </row>
    <row r="400" spans="1:116">
      <c r="A400" s="133"/>
      <c r="B400" s="134"/>
      <c r="C400" s="134"/>
      <c r="D400" s="134"/>
      <c r="E400" s="133"/>
      <c r="F400" s="134"/>
      <c r="G400" s="134"/>
      <c r="H400" s="134"/>
      <c r="I400" s="133"/>
      <c r="J400" s="133"/>
      <c r="K400" s="133"/>
      <c r="L400" s="134"/>
      <c r="DJ400" s="195">
        <v>-4.8528000000000002E-2</v>
      </c>
      <c r="DK400" s="195">
        <v>1.08927653295753</v>
      </c>
      <c r="DL400" s="195">
        <v>51</v>
      </c>
    </row>
    <row r="401" spans="1:116">
      <c r="A401" s="133"/>
      <c r="B401" s="134"/>
      <c r="C401" s="134"/>
      <c r="D401" s="134"/>
      <c r="E401" s="133"/>
      <c r="F401" s="134"/>
      <c r="G401" s="134"/>
      <c r="H401" s="134"/>
      <c r="I401" s="133"/>
      <c r="J401" s="133"/>
      <c r="K401" s="133"/>
      <c r="L401" s="134"/>
      <c r="DJ401" s="195">
        <v>5.7312000000000002E-2</v>
      </c>
      <c r="DK401" s="195">
        <v>1.5152657026467513</v>
      </c>
      <c r="DL401" s="195">
        <v>51</v>
      </c>
    </row>
    <row r="402" spans="1:116">
      <c r="A402" s="133"/>
      <c r="B402" s="134"/>
      <c r="C402" s="134"/>
      <c r="D402" s="134"/>
      <c r="E402" s="133"/>
      <c r="F402" s="134"/>
      <c r="G402" s="134"/>
      <c r="H402" s="134"/>
      <c r="I402" s="133"/>
      <c r="J402" s="133"/>
      <c r="K402" s="133"/>
      <c r="L402" s="134"/>
      <c r="DJ402" s="195">
        <v>0.12844800000000001</v>
      </c>
      <c r="DK402" s="195">
        <v>1.0646573055512696</v>
      </c>
      <c r="DL402" s="195">
        <v>52</v>
      </c>
    </row>
    <row r="403" spans="1:116">
      <c r="A403" s="133"/>
      <c r="B403" s="134"/>
      <c r="C403" s="134"/>
      <c r="D403" s="134"/>
      <c r="E403" s="133"/>
      <c r="F403" s="134"/>
      <c r="G403" s="134"/>
      <c r="H403" s="134"/>
      <c r="I403" s="133"/>
      <c r="J403" s="133"/>
      <c r="K403" s="133"/>
      <c r="L403" s="134"/>
      <c r="DJ403" s="195">
        <v>0.11203199999999999</v>
      </c>
      <c r="DK403" s="195">
        <v>1.4951765329575299</v>
      </c>
      <c r="DL403" s="195">
        <v>52</v>
      </c>
    </row>
    <row r="404" spans="1:116">
      <c r="A404" s="133"/>
      <c r="B404" s="134"/>
      <c r="C404" s="134"/>
      <c r="D404" s="134"/>
      <c r="E404" s="133"/>
      <c r="F404" s="134"/>
      <c r="G404" s="134"/>
      <c r="H404" s="134"/>
      <c r="I404" s="133"/>
      <c r="J404" s="133"/>
      <c r="K404" s="133"/>
      <c r="L404" s="134"/>
      <c r="DJ404" s="195">
        <v>0.22320000000000001</v>
      </c>
      <c r="DK404" s="195">
        <v>1.0399552539833183</v>
      </c>
      <c r="DL404" s="195">
        <v>53</v>
      </c>
    </row>
    <row r="405" spans="1:116">
      <c r="A405" s="133"/>
      <c r="B405" s="134"/>
      <c r="C405" s="134"/>
      <c r="D405" s="134"/>
      <c r="E405" s="133"/>
      <c r="F405" s="134"/>
      <c r="G405" s="134"/>
      <c r="H405" s="134"/>
      <c r="I405" s="133"/>
      <c r="J405" s="133"/>
      <c r="K405" s="133"/>
      <c r="L405" s="134"/>
      <c r="DJ405" s="195">
        <v>-0.71279999999999999</v>
      </c>
      <c r="DK405" s="195">
        <v>1.4721573055512711</v>
      </c>
      <c r="DL405" s="195">
        <v>53</v>
      </c>
    </row>
    <row r="406" spans="1:116">
      <c r="A406" s="133"/>
      <c r="B406" s="134"/>
      <c r="C406" s="134"/>
      <c r="D406" s="134"/>
      <c r="E406" s="133"/>
      <c r="F406" s="134"/>
      <c r="G406" s="134"/>
      <c r="H406" s="134"/>
      <c r="I406" s="133"/>
      <c r="J406" s="133"/>
      <c r="K406" s="133"/>
      <c r="L406" s="134"/>
      <c r="DJ406" s="195">
        <v>-0.97776000000000007</v>
      </c>
      <c r="DK406" s="195">
        <v>1.0165198800472619</v>
      </c>
      <c r="DL406" s="195">
        <v>54</v>
      </c>
    </row>
    <row r="407" spans="1:116">
      <c r="A407" s="133"/>
      <c r="B407" s="134"/>
      <c r="C407" s="134"/>
      <c r="D407" s="134"/>
      <c r="E407" s="133"/>
      <c r="F407" s="134"/>
      <c r="G407" s="134"/>
      <c r="H407" s="134"/>
      <c r="I407" s="133"/>
      <c r="J407" s="133"/>
      <c r="K407" s="133"/>
      <c r="L407" s="134"/>
      <c r="DJ407" s="195">
        <v>-0.66527999999999998</v>
      </c>
      <c r="DK407" s="195">
        <v>1.4525552539833169</v>
      </c>
      <c r="DL407" s="195">
        <v>54</v>
      </c>
    </row>
    <row r="408" spans="1:116">
      <c r="A408" s="133"/>
      <c r="B408" s="134"/>
      <c r="C408" s="134"/>
      <c r="D408" s="134"/>
      <c r="E408" s="133"/>
      <c r="F408" s="134"/>
      <c r="G408" s="134"/>
      <c r="H408" s="134"/>
      <c r="I408" s="133"/>
      <c r="J408" s="133"/>
      <c r="K408" s="133"/>
      <c r="L408" s="134"/>
      <c r="DJ408" s="195">
        <v>-0.54576000000000002</v>
      </c>
      <c r="DK408" s="195">
        <v>0.99477406919623368</v>
      </c>
      <c r="DL408" s="195">
        <v>55</v>
      </c>
    </row>
    <row r="409" spans="1:116">
      <c r="A409" s="133"/>
      <c r="B409" s="134"/>
      <c r="C409" s="134"/>
      <c r="D409" s="134"/>
      <c r="E409" s="133"/>
      <c r="F409" s="134"/>
      <c r="G409" s="134"/>
      <c r="H409" s="134"/>
      <c r="I409" s="133"/>
      <c r="J409" s="133"/>
      <c r="K409" s="133"/>
      <c r="L409" s="134"/>
      <c r="DJ409" s="195">
        <v>-1.2369600000000001</v>
      </c>
      <c r="DK409" s="195">
        <v>1.4321198800472623</v>
      </c>
      <c r="DL409" s="195">
        <v>55</v>
      </c>
    </row>
    <row r="410" spans="1:116">
      <c r="A410" s="133"/>
      <c r="B410" s="134"/>
      <c r="C410" s="134"/>
      <c r="D410" s="134"/>
      <c r="E410" s="133"/>
      <c r="F410" s="134"/>
      <c r="G410" s="134"/>
      <c r="H410" s="134"/>
      <c r="I410" s="133"/>
      <c r="J410" s="133"/>
      <c r="K410" s="133"/>
      <c r="L410" s="134"/>
      <c r="DJ410" s="195">
        <v>-0.30528</v>
      </c>
      <c r="DK410" s="195">
        <v>0.97102928765371876</v>
      </c>
      <c r="DL410" s="195">
        <v>56</v>
      </c>
    </row>
    <row r="411" spans="1:116">
      <c r="A411" s="133"/>
      <c r="B411" s="134"/>
      <c r="C411" s="134"/>
      <c r="D411" s="134"/>
      <c r="E411" s="133"/>
      <c r="F411" s="134"/>
      <c r="G411" s="134"/>
      <c r="H411" s="134"/>
      <c r="I411" s="133"/>
      <c r="J411" s="133"/>
      <c r="K411" s="133"/>
      <c r="L411" s="134"/>
      <c r="DJ411" s="195">
        <v>-1.04112</v>
      </c>
      <c r="DK411" s="195">
        <v>1.4101740691962346</v>
      </c>
      <c r="DL411" s="195">
        <v>56</v>
      </c>
    </row>
    <row r="412" spans="1:116">
      <c r="A412" s="133"/>
      <c r="B412" s="134"/>
      <c r="C412" s="134"/>
      <c r="D412" s="134"/>
      <c r="E412" s="133"/>
      <c r="F412" s="134"/>
      <c r="G412" s="134"/>
      <c r="H412" s="134"/>
      <c r="I412" s="133"/>
      <c r="J412" s="133"/>
      <c r="K412" s="133"/>
      <c r="L412" s="134"/>
      <c r="DJ412" s="195">
        <v>-0.4536</v>
      </c>
      <c r="DK412" s="195">
        <v>0.94512253463223272</v>
      </c>
      <c r="DL412" s="195">
        <v>57</v>
      </c>
    </row>
    <row r="413" spans="1:116">
      <c r="A413" s="133"/>
      <c r="B413" s="134"/>
      <c r="C413" s="134"/>
      <c r="D413" s="134"/>
      <c r="E413" s="133"/>
      <c r="F413" s="134"/>
      <c r="G413" s="134"/>
      <c r="H413" s="134"/>
      <c r="I413" s="133"/>
      <c r="J413" s="133"/>
      <c r="K413" s="133"/>
      <c r="L413" s="134"/>
      <c r="DJ413" s="195">
        <v>-0.87696000000000007</v>
      </c>
      <c r="DK413" s="195">
        <v>1.3890292876537189</v>
      </c>
      <c r="DL413" s="195">
        <v>57</v>
      </c>
    </row>
    <row r="414" spans="1:116">
      <c r="A414" s="133"/>
      <c r="B414" s="134"/>
      <c r="C414" s="134"/>
      <c r="D414" s="134"/>
      <c r="E414" s="133"/>
      <c r="F414" s="134"/>
      <c r="G414" s="134"/>
      <c r="H414" s="134"/>
      <c r="I414" s="133"/>
      <c r="J414" s="133"/>
      <c r="K414" s="133"/>
      <c r="L414" s="134"/>
      <c r="DJ414" s="195">
        <v>-0.61199999999999999</v>
      </c>
      <c r="DK414" s="195">
        <v>0.92076568619890642</v>
      </c>
      <c r="DL414" s="195">
        <v>58</v>
      </c>
    </row>
    <row r="415" spans="1:116">
      <c r="A415" s="133"/>
      <c r="B415" s="134"/>
      <c r="C415" s="134"/>
      <c r="D415" s="134"/>
      <c r="E415" s="133"/>
      <c r="F415" s="134"/>
      <c r="G415" s="134"/>
      <c r="H415" s="134"/>
      <c r="I415" s="133"/>
      <c r="J415" s="133"/>
      <c r="K415" s="133"/>
      <c r="L415" s="134"/>
      <c r="DJ415" s="195">
        <v>-0.98352000000000006</v>
      </c>
      <c r="DK415" s="195">
        <v>1.3675225346322315</v>
      </c>
      <c r="DL415" s="195">
        <v>58</v>
      </c>
    </row>
    <row r="416" spans="1:116">
      <c r="A416" s="133"/>
      <c r="B416" s="134"/>
      <c r="C416" s="134"/>
      <c r="D416" s="134"/>
      <c r="E416" s="133"/>
      <c r="F416" s="134"/>
      <c r="G416" s="134"/>
      <c r="H416" s="134"/>
      <c r="I416" s="133"/>
      <c r="J416" s="133"/>
      <c r="K416" s="133"/>
      <c r="L416" s="134"/>
      <c r="DJ416" s="195">
        <v>-0.93455999999999995</v>
      </c>
      <c r="DK416" s="195">
        <v>0.89365014268613008</v>
      </c>
      <c r="DL416" s="195">
        <v>59</v>
      </c>
    </row>
    <row r="417" spans="1:116">
      <c r="A417" s="133"/>
      <c r="B417" s="134"/>
      <c r="C417" s="134"/>
      <c r="D417" s="134"/>
      <c r="E417" s="133"/>
      <c r="F417" s="134"/>
      <c r="G417" s="134"/>
      <c r="H417" s="134"/>
      <c r="I417" s="133"/>
      <c r="J417" s="133"/>
      <c r="K417" s="133"/>
      <c r="L417" s="134"/>
      <c r="DJ417" s="195">
        <v>-1.05264</v>
      </c>
      <c r="DK417" s="195">
        <v>1.3459656861989058</v>
      </c>
      <c r="DL417" s="195">
        <v>59</v>
      </c>
    </row>
    <row r="418" spans="1:116">
      <c r="A418" s="133"/>
      <c r="B418" s="134"/>
      <c r="C418" s="134"/>
      <c r="D418" s="134"/>
      <c r="E418" s="133"/>
      <c r="F418" s="134"/>
      <c r="G418" s="134"/>
      <c r="H418" s="134"/>
      <c r="I418" s="133"/>
      <c r="J418" s="133"/>
      <c r="K418" s="133"/>
      <c r="L418" s="134"/>
      <c r="DJ418" s="195">
        <v>-0.12124800000000002</v>
      </c>
      <c r="DK418" s="195">
        <v>0.86809103541333377</v>
      </c>
      <c r="DL418" s="195">
        <v>60</v>
      </c>
    </row>
    <row r="419" spans="1:116">
      <c r="A419" s="133"/>
      <c r="B419" s="134"/>
      <c r="C419" s="134"/>
      <c r="D419" s="134"/>
      <c r="E419" s="133"/>
      <c r="F419" s="134"/>
      <c r="G419" s="134"/>
      <c r="H419" s="134"/>
      <c r="I419" s="133"/>
      <c r="J419" s="133"/>
      <c r="K419" s="133"/>
      <c r="L419" s="134"/>
      <c r="DJ419" s="195">
        <v>-0.98063999999999996</v>
      </c>
      <c r="DK419" s="195">
        <v>1.3257501426861293</v>
      </c>
      <c r="DL419" s="195">
        <v>60</v>
      </c>
    </row>
    <row r="420" spans="1:116">
      <c r="A420" s="133"/>
      <c r="B420" s="134"/>
      <c r="C420" s="134"/>
      <c r="D420" s="134"/>
      <c r="E420" s="133"/>
      <c r="F420" s="134"/>
      <c r="G420" s="134"/>
      <c r="H420" s="134"/>
      <c r="I420" s="133"/>
      <c r="J420" s="133"/>
      <c r="K420" s="133"/>
      <c r="L420" s="134"/>
      <c r="DJ420" s="195">
        <v>0.30384</v>
      </c>
      <c r="DK420" s="195">
        <v>0.84340679089701309</v>
      </c>
      <c r="DL420" s="195">
        <v>61</v>
      </c>
    </row>
    <row r="421" spans="1:116">
      <c r="A421" s="133"/>
      <c r="B421" s="134"/>
      <c r="C421" s="134"/>
      <c r="D421" s="134"/>
      <c r="E421" s="133"/>
      <c r="F421" s="134"/>
      <c r="G421" s="134"/>
      <c r="H421" s="134"/>
      <c r="I421" s="133"/>
      <c r="J421" s="133"/>
      <c r="K421" s="133"/>
      <c r="L421" s="134"/>
      <c r="DJ421" s="200">
        <v>-8.524799999999999E-2</v>
      </c>
      <c r="DK421" s="195">
        <v>1.3051910354133338</v>
      </c>
      <c r="DL421" s="195">
        <v>61</v>
      </c>
    </row>
    <row r="422" spans="1:116">
      <c r="A422" s="133"/>
      <c r="B422" s="134"/>
      <c r="C422" s="134"/>
      <c r="D422" s="134"/>
      <c r="E422" s="133"/>
      <c r="F422" s="134"/>
      <c r="G422" s="134"/>
      <c r="H422" s="134"/>
      <c r="I422" s="133"/>
      <c r="J422" s="133"/>
      <c r="K422" s="133"/>
      <c r="L422" s="134"/>
      <c r="DJ422" s="195">
        <v>1.6992</v>
      </c>
      <c r="DK422" s="195">
        <v>0.81532704526209576</v>
      </c>
      <c r="DL422" s="195">
        <v>62</v>
      </c>
    </row>
    <row r="423" spans="1:116">
      <c r="A423" s="133"/>
      <c r="B423" s="134"/>
      <c r="C423" s="134"/>
      <c r="D423" s="134"/>
      <c r="E423" s="133"/>
      <c r="F423" s="134"/>
      <c r="G423" s="134"/>
      <c r="H423" s="134"/>
      <c r="I423" s="133"/>
      <c r="J423" s="133"/>
      <c r="K423" s="133"/>
      <c r="L423" s="134"/>
      <c r="DJ423" s="195">
        <v>0.12196799999999999</v>
      </c>
      <c r="DK423" s="195">
        <v>1.2847067908970122</v>
      </c>
      <c r="DL423" s="195">
        <v>62</v>
      </c>
    </row>
    <row r="424" spans="1:116">
      <c r="A424" s="133"/>
      <c r="B424" s="134"/>
      <c r="C424" s="134"/>
      <c r="D424" s="134"/>
      <c r="E424" s="133"/>
      <c r="F424" s="134"/>
      <c r="G424" s="134"/>
      <c r="H424" s="134"/>
      <c r="I424" s="133"/>
      <c r="J424" s="133"/>
      <c r="K424" s="133"/>
      <c r="L424" s="134"/>
      <c r="DJ424" s="195">
        <v>-0.3024</v>
      </c>
      <c r="DK424" s="195">
        <v>0.78949329895218723</v>
      </c>
      <c r="DL424" s="195">
        <v>63</v>
      </c>
    </row>
    <row r="425" spans="1:116">
      <c r="A425" s="133"/>
      <c r="B425" s="134"/>
      <c r="C425" s="134"/>
      <c r="D425" s="134"/>
      <c r="E425" s="133"/>
      <c r="F425" s="134"/>
      <c r="G425" s="134"/>
      <c r="H425" s="134"/>
      <c r="I425" s="133"/>
      <c r="J425" s="133"/>
      <c r="K425" s="133"/>
      <c r="L425" s="134"/>
      <c r="DJ425" s="195">
        <v>0.74015999999999993</v>
      </c>
      <c r="DK425" s="195">
        <v>1.2617270452620954</v>
      </c>
      <c r="DL425" s="195">
        <v>63</v>
      </c>
    </row>
    <row r="426" spans="1:116">
      <c r="A426" s="133"/>
      <c r="B426" s="134"/>
      <c r="C426" s="134"/>
      <c r="D426" s="134"/>
      <c r="E426" s="133"/>
      <c r="F426" s="134"/>
      <c r="G426" s="134"/>
      <c r="H426" s="134"/>
      <c r="I426" s="133"/>
      <c r="J426" s="133"/>
      <c r="K426" s="133"/>
      <c r="L426" s="134"/>
      <c r="DJ426" s="195">
        <v>-0.26495999999999997</v>
      </c>
      <c r="DK426" s="195">
        <v>0.76517836315581134</v>
      </c>
      <c r="DL426" s="195">
        <v>64</v>
      </c>
    </row>
    <row r="427" spans="1:116">
      <c r="A427" s="133"/>
      <c r="B427" s="134"/>
      <c r="C427" s="134"/>
      <c r="D427" s="134"/>
      <c r="E427" s="133"/>
      <c r="F427" s="134"/>
      <c r="G427" s="134"/>
      <c r="H427" s="134"/>
      <c r="I427" s="133"/>
      <c r="J427" s="133"/>
      <c r="K427" s="133"/>
      <c r="L427" s="134"/>
      <c r="DJ427" s="195">
        <v>0.22320000000000001</v>
      </c>
      <c r="DK427" s="195">
        <v>1.2418932989521871</v>
      </c>
      <c r="DL427" s="195">
        <v>64</v>
      </c>
    </row>
    <row r="428" spans="1:116">
      <c r="A428" s="133"/>
      <c r="B428" s="134"/>
      <c r="C428" s="134"/>
      <c r="D428" s="134"/>
      <c r="E428" s="133"/>
      <c r="F428" s="134"/>
      <c r="G428" s="134"/>
      <c r="H428" s="134"/>
      <c r="I428" s="133"/>
      <c r="J428" s="133"/>
      <c r="K428" s="133"/>
      <c r="L428" s="134"/>
      <c r="DJ428" s="195">
        <v>0.71711999999999998</v>
      </c>
      <c r="DK428" s="195">
        <v>0.74098941248656969</v>
      </c>
      <c r="DL428" s="195">
        <v>65</v>
      </c>
    </row>
    <row r="429" spans="1:116">
      <c r="A429" s="133"/>
      <c r="B429" s="134"/>
      <c r="C429" s="134"/>
      <c r="D429" s="134"/>
      <c r="E429" s="133"/>
      <c r="F429" s="134"/>
      <c r="G429" s="134"/>
      <c r="H429" s="134"/>
      <c r="I429" s="133"/>
      <c r="J429" s="133"/>
      <c r="K429" s="133"/>
      <c r="L429" s="134"/>
      <c r="DJ429" s="195">
        <v>0.19583999999999999</v>
      </c>
      <c r="DK429" s="195">
        <v>1.2223783631558125</v>
      </c>
      <c r="DL429" s="195">
        <v>65</v>
      </c>
    </row>
    <row r="430" spans="1:116">
      <c r="A430" s="133"/>
      <c r="B430" s="134"/>
      <c r="C430" s="134"/>
      <c r="D430" s="134"/>
      <c r="E430" s="133"/>
      <c r="F430" s="134"/>
      <c r="G430" s="134"/>
      <c r="H430" s="134"/>
      <c r="I430" s="133"/>
      <c r="J430" s="133"/>
      <c r="K430" s="133"/>
      <c r="L430" s="134"/>
      <c r="DJ430" s="195">
        <v>0.28223999999999999</v>
      </c>
      <c r="DK430" s="195">
        <v>0.71552950432400797</v>
      </c>
      <c r="DL430" s="195">
        <v>66</v>
      </c>
    </row>
    <row r="431" spans="1:116">
      <c r="A431" s="133"/>
      <c r="B431" s="134"/>
      <c r="C431" s="134"/>
      <c r="D431" s="134"/>
      <c r="E431" s="133"/>
      <c r="F431" s="134"/>
      <c r="G431" s="134"/>
      <c r="H431" s="134"/>
      <c r="I431" s="133"/>
      <c r="J431" s="133"/>
      <c r="K431" s="133"/>
      <c r="L431" s="134"/>
      <c r="DJ431" s="195">
        <v>0.52127999999999997</v>
      </c>
      <c r="DK431" s="195">
        <v>1.2017894124865713</v>
      </c>
      <c r="DL431" s="195">
        <v>66</v>
      </c>
    </row>
    <row r="432" spans="1:116">
      <c r="A432" s="133"/>
      <c r="B432" s="134"/>
      <c r="C432" s="134"/>
      <c r="D432" s="134"/>
      <c r="E432" s="133"/>
      <c r="F432" s="134"/>
      <c r="G432" s="134"/>
      <c r="H432" s="134"/>
      <c r="I432" s="133"/>
      <c r="J432" s="133"/>
      <c r="K432" s="133"/>
      <c r="L432" s="134"/>
      <c r="DJ432" s="195">
        <v>-1.1664000000000001</v>
      </c>
      <c r="DK432" s="195">
        <v>0.69674443542099906</v>
      </c>
      <c r="DL432" s="195">
        <v>67</v>
      </c>
    </row>
    <row r="433" spans="1:116">
      <c r="A433" s="133"/>
      <c r="B433" s="134"/>
      <c r="C433" s="134"/>
      <c r="D433" s="134"/>
      <c r="E433" s="133"/>
      <c r="F433" s="134"/>
      <c r="G433" s="134"/>
      <c r="H433" s="134"/>
      <c r="I433" s="133"/>
      <c r="J433" s="133"/>
      <c r="K433" s="133"/>
      <c r="L433" s="134"/>
      <c r="DJ433" s="195">
        <v>7.6607999999999997E-3</v>
      </c>
      <c r="DK433" s="195">
        <v>1.1800295043240081</v>
      </c>
      <c r="DL433" s="195">
        <v>67</v>
      </c>
    </row>
    <row r="434" spans="1:116">
      <c r="A434" s="133"/>
      <c r="B434" s="134"/>
      <c r="C434" s="134"/>
      <c r="D434" s="134"/>
      <c r="E434" s="133"/>
      <c r="F434" s="134"/>
      <c r="G434" s="134"/>
      <c r="H434" s="134"/>
      <c r="I434" s="133"/>
      <c r="J434" s="133"/>
      <c r="K434" s="133"/>
      <c r="L434" s="134"/>
      <c r="DJ434" s="195">
        <v>-6.6096000000000002E-2</v>
      </c>
      <c r="DK434" s="195">
        <v>0.67210271125803045</v>
      </c>
      <c r="DL434" s="195">
        <v>68</v>
      </c>
    </row>
    <row r="435" spans="1:116">
      <c r="A435" s="133"/>
      <c r="B435" s="134"/>
      <c r="C435" s="134"/>
      <c r="D435" s="134"/>
      <c r="E435" s="133"/>
      <c r="F435" s="134"/>
      <c r="G435" s="134"/>
      <c r="H435" s="134"/>
      <c r="I435" s="133"/>
      <c r="J435" s="133"/>
      <c r="K435" s="133"/>
      <c r="L435" s="134"/>
      <c r="DJ435" s="195">
        <v>-0.13852800000000001</v>
      </c>
      <c r="DK435" s="195">
        <v>1.1658444354209991</v>
      </c>
      <c r="DL435" s="195">
        <v>68</v>
      </c>
    </row>
    <row r="436" spans="1:116">
      <c r="A436" s="133"/>
      <c r="B436" s="134"/>
      <c r="C436" s="134"/>
      <c r="D436" s="134"/>
      <c r="E436" s="133"/>
      <c r="F436" s="134"/>
      <c r="G436" s="134"/>
      <c r="H436" s="134"/>
      <c r="I436" s="133"/>
      <c r="J436" s="133"/>
      <c r="K436" s="133"/>
      <c r="L436" s="134"/>
      <c r="DJ436" s="195">
        <v>-1.0728</v>
      </c>
      <c r="DK436" s="195">
        <v>0.52862664481721344</v>
      </c>
      <c r="DL436" s="195">
        <v>69</v>
      </c>
    </row>
    <row r="437" spans="1:116">
      <c r="A437" s="133"/>
      <c r="B437" s="134"/>
      <c r="C437" s="134"/>
      <c r="D437" s="134"/>
      <c r="E437" s="133"/>
      <c r="F437" s="134"/>
      <c r="G437" s="134"/>
      <c r="H437" s="134"/>
      <c r="I437" s="133"/>
      <c r="J437" s="133"/>
      <c r="K437" s="133"/>
      <c r="L437" s="134"/>
      <c r="DJ437" s="195">
        <v>3.0096000000000001E-2</v>
      </c>
      <c r="DK437" s="195">
        <v>1.1438027112580298</v>
      </c>
      <c r="DL437" s="195">
        <v>69</v>
      </c>
    </row>
    <row r="438" spans="1:116">
      <c r="A438" s="133"/>
      <c r="B438" s="134"/>
      <c r="C438" s="134"/>
      <c r="D438" s="134"/>
      <c r="E438" s="133"/>
      <c r="F438" s="134"/>
      <c r="G438" s="134"/>
      <c r="H438" s="134"/>
      <c r="I438" s="133"/>
      <c r="J438" s="133"/>
      <c r="K438" s="133"/>
      <c r="L438" s="134"/>
      <c r="DJ438" s="195">
        <v>0.16847999999999999</v>
      </c>
      <c r="DK438" s="195">
        <v>1.1231266448172126</v>
      </c>
      <c r="DL438" s="195">
        <v>70</v>
      </c>
    </row>
    <row r="439" spans="1:116">
      <c r="A439" s="133"/>
      <c r="B439" s="134"/>
      <c r="C439" s="134"/>
      <c r="D439" s="134"/>
      <c r="E439" s="133"/>
      <c r="F439" s="134"/>
      <c r="G439" s="134"/>
      <c r="H439" s="134"/>
      <c r="I439" s="133"/>
      <c r="J439" s="133"/>
      <c r="K439" s="133"/>
      <c r="L439" s="134"/>
    </row>
    <row r="440" spans="1:116">
      <c r="A440" s="133"/>
      <c r="B440" s="134"/>
      <c r="C440" s="134"/>
      <c r="D440" s="134"/>
      <c r="E440" s="133"/>
      <c r="F440" s="134"/>
      <c r="G440" s="134"/>
      <c r="H440" s="134"/>
      <c r="I440" s="133"/>
      <c r="J440" s="133"/>
      <c r="K440" s="133"/>
      <c r="L440" s="134"/>
    </row>
    <row r="441" spans="1:116">
      <c r="A441" s="133"/>
      <c r="B441" s="134"/>
      <c r="C441" s="134"/>
      <c r="D441" s="134"/>
      <c r="E441" s="133"/>
      <c r="F441" s="134"/>
      <c r="G441" s="134"/>
      <c r="H441" s="134"/>
      <c r="I441" s="133"/>
      <c r="J441" s="133"/>
      <c r="K441" s="133"/>
      <c r="L441" s="134"/>
    </row>
    <row r="442" spans="1:116">
      <c r="A442" s="133"/>
      <c r="B442" s="134"/>
      <c r="C442" s="134"/>
      <c r="D442" s="134"/>
      <c r="E442" s="133"/>
      <c r="F442" s="134"/>
      <c r="G442" s="134"/>
      <c r="H442" s="134"/>
      <c r="I442" s="133"/>
      <c r="J442" s="133"/>
      <c r="K442" s="133"/>
      <c r="L442" s="134"/>
    </row>
    <row r="443" spans="1:116">
      <c r="A443" s="133"/>
      <c r="B443" s="134"/>
      <c r="C443" s="134"/>
      <c r="D443" s="134"/>
      <c r="E443" s="133"/>
      <c r="F443" s="134"/>
      <c r="G443" s="134"/>
      <c r="H443" s="134"/>
      <c r="I443" s="133"/>
      <c r="J443" s="133"/>
      <c r="K443" s="133"/>
      <c r="L443" s="134"/>
    </row>
    <row r="444" spans="1:116">
      <c r="A444" s="133"/>
      <c r="B444" s="134"/>
      <c r="C444" s="134"/>
      <c r="D444" s="134"/>
      <c r="E444" s="133"/>
      <c r="F444" s="134"/>
      <c r="G444" s="134"/>
      <c r="H444" s="134"/>
      <c r="I444" s="133"/>
      <c r="J444" s="133"/>
      <c r="K444" s="133"/>
      <c r="L444" s="134"/>
    </row>
    <row r="445" spans="1:116">
      <c r="A445" s="133"/>
      <c r="B445" s="134"/>
      <c r="C445" s="134"/>
      <c r="D445" s="134"/>
      <c r="E445" s="133"/>
      <c r="F445" s="134"/>
      <c r="G445" s="134"/>
      <c r="H445" s="134"/>
      <c r="I445" s="133"/>
      <c r="J445" s="133"/>
      <c r="K445" s="133"/>
      <c r="L445" s="134"/>
    </row>
    <row r="446" spans="1:116">
      <c r="A446" s="133"/>
      <c r="B446" s="134"/>
      <c r="C446" s="134"/>
      <c r="D446" s="134"/>
      <c r="E446" s="133"/>
      <c r="F446" s="134"/>
      <c r="G446" s="134"/>
      <c r="H446" s="134"/>
      <c r="I446" s="133"/>
      <c r="J446" s="133"/>
      <c r="K446" s="133"/>
      <c r="L446" s="134"/>
    </row>
    <row r="447" spans="1:116">
      <c r="A447" s="133"/>
      <c r="B447" s="134"/>
      <c r="C447" s="134"/>
      <c r="D447" s="134"/>
      <c r="E447" s="133"/>
      <c r="F447" s="134"/>
      <c r="G447" s="134"/>
      <c r="H447" s="134"/>
      <c r="I447" s="133"/>
      <c r="J447" s="133"/>
      <c r="K447" s="133"/>
      <c r="L447" s="134"/>
    </row>
    <row r="448" spans="1:116">
      <c r="A448" s="133"/>
      <c r="B448" s="134"/>
      <c r="C448" s="134"/>
      <c r="D448" s="134"/>
      <c r="E448" s="133"/>
      <c r="F448" s="134"/>
      <c r="G448" s="134"/>
      <c r="H448" s="134"/>
      <c r="I448" s="133"/>
      <c r="J448" s="133"/>
      <c r="K448" s="133"/>
      <c r="L448" s="134"/>
    </row>
    <row r="449" spans="1:12">
      <c r="A449" s="133"/>
      <c r="B449" s="134"/>
      <c r="C449" s="134"/>
      <c r="D449" s="134"/>
      <c r="E449" s="133"/>
      <c r="F449" s="134"/>
      <c r="G449" s="134"/>
      <c r="H449" s="134"/>
      <c r="I449" s="133"/>
      <c r="J449" s="133"/>
      <c r="K449" s="133"/>
      <c r="L449" s="134"/>
    </row>
    <row r="450" spans="1:12">
      <c r="A450" s="133"/>
      <c r="B450" s="134"/>
      <c r="C450" s="134"/>
      <c r="D450" s="134"/>
      <c r="E450" s="133"/>
      <c r="F450" s="134"/>
      <c r="G450" s="134"/>
      <c r="H450" s="134"/>
      <c r="I450" s="133"/>
      <c r="J450" s="133"/>
      <c r="K450" s="133"/>
      <c r="L450" s="134"/>
    </row>
    <row r="451" spans="1:12">
      <c r="A451" s="133"/>
      <c r="B451" s="134"/>
      <c r="C451" s="134"/>
      <c r="D451" s="134"/>
      <c r="E451" s="133"/>
      <c r="F451" s="134"/>
      <c r="G451" s="134"/>
      <c r="H451" s="134"/>
      <c r="I451" s="133"/>
      <c r="J451" s="133"/>
      <c r="K451" s="133"/>
      <c r="L451" s="134"/>
    </row>
    <row r="452" spans="1:12">
      <c r="A452" s="133"/>
      <c r="B452" s="134"/>
      <c r="C452" s="134"/>
      <c r="D452" s="134"/>
      <c r="E452" s="133"/>
      <c r="F452" s="134"/>
      <c r="G452" s="134"/>
      <c r="H452" s="134"/>
      <c r="I452" s="133"/>
      <c r="J452" s="133"/>
      <c r="K452" s="133"/>
      <c r="L452" s="134"/>
    </row>
    <row r="453" spans="1:12">
      <c r="A453" s="133"/>
      <c r="B453" s="134"/>
      <c r="C453" s="134"/>
      <c r="D453" s="134"/>
      <c r="E453" s="133"/>
      <c r="F453" s="134"/>
      <c r="G453" s="134"/>
      <c r="H453" s="134"/>
      <c r="I453" s="133"/>
      <c r="J453" s="133"/>
      <c r="K453" s="133"/>
      <c r="L453" s="134"/>
    </row>
    <row r="454" spans="1:12">
      <c r="A454" s="133"/>
      <c r="B454" s="134"/>
      <c r="C454" s="134"/>
      <c r="D454" s="134"/>
      <c r="E454" s="133"/>
      <c r="F454" s="134"/>
      <c r="G454" s="134"/>
      <c r="H454" s="134"/>
      <c r="I454" s="133"/>
      <c r="J454" s="133"/>
      <c r="K454" s="133"/>
      <c r="L454" s="134"/>
    </row>
    <row r="455" spans="1:12">
      <c r="A455" s="133"/>
      <c r="B455" s="134"/>
      <c r="C455" s="134"/>
      <c r="D455" s="134"/>
      <c r="E455" s="133"/>
      <c r="F455" s="134"/>
      <c r="G455" s="134"/>
      <c r="H455" s="134"/>
      <c r="I455" s="133"/>
      <c r="J455" s="133"/>
      <c r="K455" s="133"/>
      <c r="L455" s="134"/>
    </row>
    <row r="456" spans="1:12">
      <c r="A456" s="133"/>
      <c r="B456" s="134"/>
      <c r="C456" s="134"/>
      <c r="D456" s="134"/>
      <c r="E456" s="133"/>
      <c r="F456" s="134"/>
      <c r="G456" s="134"/>
      <c r="H456" s="134"/>
      <c r="I456" s="133"/>
      <c r="J456" s="133"/>
      <c r="K456" s="133"/>
      <c r="L456" s="134"/>
    </row>
    <row r="457" spans="1:12">
      <c r="A457" s="133"/>
      <c r="B457" s="134"/>
      <c r="C457" s="134"/>
      <c r="D457" s="134"/>
      <c r="E457" s="133"/>
      <c r="F457" s="134"/>
      <c r="G457" s="134"/>
      <c r="H457" s="134"/>
      <c r="I457" s="133"/>
      <c r="J457" s="133"/>
      <c r="K457" s="133"/>
      <c r="L457" s="134"/>
    </row>
    <row r="458" spans="1:12">
      <c r="A458" s="133"/>
      <c r="B458" s="134"/>
      <c r="C458" s="134"/>
      <c r="D458" s="134"/>
      <c r="E458" s="133"/>
      <c r="F458" s="134"/>
      <c r="G458" s="134"/>
      <c r="H458" s="134"/>
      <c r="I458" s="133"/>
      <c r="J458" s="133"/>
      <c r="K458" s="133"/>
      <c r="L458" s="134"/>
    </row>
    <row r="459" spans="1:12">
      <c r="A459" s="133"/>
      <c r="B459" s="134"/>
      <c r="C459" s="134"/>
      <c r="D459" s="134"/>
      <c r="E459" s="133"/>
      <c r="F459" s="134"/>
      <c r="G459" s="134"/>
      <c r="H459" s="134"/>
      <c r="I459" s="133"/>
      <c r="J459" s="133"/>
      <c r="K459" s="133"/>
      <c r="L459" s="134"/>
    </row>
    <row r="460" spans="1:12">
      <c r="A460" s="133"/>
      <c r="B460" s="134"/>
      <c r="C460" s="134"/>
      <c r="D460" s="134"/>
      <c r="E460" s="133"/>
      <c r="F460" s="134"/>
      <c r="G460" s="134"/>
      <c r="H460" s="134"/>
      <c r="I460" s="133"/>
      <c r="J460" s="133"/>
      <c r="K460" s="133"/>
      <c r="L460" s="134"/>
    </row>
    <row r="461" spans="1:12">
      <c r="A461" s="133"/>
      <c r="B461" s="134"/>
      <c r="C461" s="134"/>
      <c r="D461" s="134"/>
      <c r="E461" s="133"/>
      <c r="F461" s="134"/>
      <c r="G461" s="134"/>
      <c r="H461" s="134"/>
      <c r="I461" s="133"/>
      <c r="J461" s="133"/>
      <c r="K461" s="133"/>
      <c r="L461" s="134"/>
    </row>
    <row r="462" spans="1:12">
      <c r="A462" s="133"/>
      <c r="B462" s="134"/>
      <c r="C462" s="134"/>
      <c r="D462" s="134"/>
      <c r="E462" s="133"/>
      <c r="F462" s="134"/>
      <c r="G462" s="134"/>
      <c r="H462" s="134"/>
      <c r="I462" s="133"/>
      <c r="J462" s="133"/>
      <c r="K462" s="133"/>
      <c r="L462" s="134"/>
    </row>
    <row r="463" spans="1:12">
      <c r="A463" s="133"/>
      <c r="B463" s="134"/>
      <c r="C463" s="134"/>
      <c r="D463" s="134"/>
      <c r="E463" s="133"/>
      <c r="F463" s="134"/>
      <c r="G463" s="134"/>
      <c r="H463" s="134"/>
      <c r="I463" s="133"/>
      <c r="J463" s="133"/>
      <c r="K463" s="133"/>
      <c r="L463" s="134"/>
    </row>
    <row r="464" spans="1:12">
      <c r="A464" s="133"/>
      <c r="B464" s="134"/>
      <c r="C464" s="134"/>
      <c r="D464" s="134"/>
      <c r="E464" s="133"/>
      <c r="F464" s="134"/>
      <c r="G464" s="134"/>
      <c r="H464" s="134"/>
      <c r="I464" s="133"/>
      <c r="J464" s="133"/>
      <c r="K464" s="133"/>
      <c r="L464" s="134"/>
    </row>
    <row r="465" spans="1:12">
      <c r="A465" s="133"/>
      <c r="B465" s="134"/>
      <c r="C465" s="134"/>
      <c r="D465" s="134"/>
      <c r="E465" s="133"/>
      <c r="F465" s="134"/>
      <c r="G465" s="134"/>
      <c r="H465" s="134"/>
      <c r="I465" s="133"/>
      <c r="J465" s="133"/>
      <c r="K465" s="133"/>
      <c r="L465" s="134"/>
    </row>
    <row r="466" spans="1:12">
      <c r="A466" s="133"/>
      <c r="B466" s="134"/>
      <c r="C466" s="134"/>
      <c r="D466" s="134"/>
      <c r="E466" s="133"/>
      <c r="F466" s="134"/>
      <c r="G466" s="134"/>
      <c r="H466" s="134"/>
      <c r="I466" s="133"/>
      <c r="J466" s="133"/>
      <c r="K466" s="133"/>
      <c r="L466" s="134"/>
    </row>
    <row r="467" spans="1:12">
      <c r="A467" s="133"/>
      <c r="B467" s="134"/>
      <c r="C467" s="134"/>
      <c r="D467" s="134"/>
      <c r="E467" s="133"/>
      <c r="F467" s="134"/>
      <c r="G467" s="134"/>
      <c r="H467" s="134"/>
      <c r="I467" s="133"/>
      <c r="J467" s="133"/>
      <c r="K467" s="133"/>
      <c r="L467" s="134"/>
    </row>
    <row r="468" spans="1:12">
      <c r="A468" s="133"/>
      <c r="B468" s="134"/>
      <c r="C468" s="134"/>
      <c r="D468" s="134"/>
      <c r="E468" s="133"/>
      <c r="F468" s="134"/>
      <c r="G468" s="134"/>
      <c r="H468" s="134"/>
      <c r="I468" s="133"/>
      <c r="J468" s="133"/>
      <c r="K468" s="133"/>
      <c r="L468" s="134"/>
    </row>
    <row r="469" spans="1:12">
      <c r="A469" s="133"/>
      <c r="B469" s="134"/>
      <c r="C469" s="134"/>
      <c r="D469" s="134"/>
      <c r="E469" s="133"/>
      <c r="F469" s="134"/>
      <c r="G469" s="134"/>
      <c r="H469" s="134"/>
      <c r="I469" s="133"/>
      <c r="J469" s="133"/>
      <c r="K469" s="133"/>
      <c r="L469" s="134"/>
    </row>
    <row r="470" spans="1:12">
      <c r="A470" s="133"/>
      <c r="B470" s="134"/>
      <c r="C470" s="134"/>
      <c r="D470" s="134"/>
      <c r="E470" s="133"/>
      <c r="F470" s="134"/>
      <c r="G470" s="134"/>
      <c r="H470" s="134"/>
      <c r="I470" s="133"/>
      <c r="J470" s="133"/>
      <c r="K470" s="133"/>
      <c r="L470" s="134"/>
    </row>
    <row r="471" spans="1:12">
      <c r="A471" s="133"/>
      <c r="B471" s="134"/>
      <c r="C471" s="134"/>
      <c r="D471" s="134"/>
      <c r="E471" s="133"/>
      <c r="F471" s="134"/>
      <c r="G471" s="134"/>
      <c r="H471" s="134"/>
      <c r="I471" s="133"/>
      <c r="J471" s="133"/>
      <c r="K471" s="133"/>
      <c r="L471" s="134"/>
    </row>
    <row r="472" spans="1:12">
      <c r="A472" s="133"/>
      <c r="B472" s="134"/>
      <c r="C472" s="134"/>
      <c r="D472" s="134"/>
      <c r="E472" s="133"/>
      <c r="F472" s="134"/>
      <c r="G472" s="134"/>
      <c r="H472" s="134"/>
      <c r="I472" s="133"/>
      <c r="J472" s="133"/>
      <c r="K472" s="133"/>
      <c r="L472" s="134"/>
    </row>
    <row r="473" spans="1:12">
      <c r="A473" s="133"/>
      <c r="B473" s="134"/>
      <c r="C473" s="134"/>
      <c r="D473" s="134"/>
      <c r="E473" s="133"/>
      <c r="F473" s="134"/>
      <c r="G473" s="134"/>
      <c r="H473" s="134"/>
      <c r="I473" s="133"/>
      <c r="J473" s="133"/>
      <c r="K473" s="133"/>
      <c r="L473" s="134"/>
    </row>
    <row r="474" spans="1:12">
      <c r="A474" s="133"/>
      <c r="B474" s="134"/>
      <c r="C474" s="134"/>
      <c r="D474" s="134"/>
      <c r="E474" s="133"/>
      <c r="F474" s="134"/>
      <c r="G474" s="134"/>
      <c r="H474" s="134"/>
      <c r="I474" s="133"/>
      <c r="J474" s="133"/>
      <c r="K474" s="133"/>
      <c r="L474" s="134"/>
    </row>
    <row r="475" spans="1:12">
      <c r="A475" s="133"/>
      <c r="B475" s="134"/>
      <c r="C475" s="134"/>
      <c r="D475" s="134"/>
      <c r="E475" s="133"/>
      <c r="F475" s="134"/>
      <c r="G475" s="134"/>
      <c r="H475" s="134"/>
      <c r="I475" s="133"/>
      <c r="J475" s="133"/>
      <c r="K475" s="133"/>
      <c r="L475" s="134"/>
    </row>
    <row r="476" spans="1:12">
      <c r="A476" s="133"/>
      <c r="B476" s="134"/>
      <c r="C476" s="134"/>
      <c r="D476" s="134"/>
      <c r="E476" s="133"/>
      <c r="F476" s="134"/>
      <c r="G476" s="134"/>
      <c r="H476" s="134"/>
      <c r="I476" s="133"/>
      <c r="J476" s="133"/>
      <c r="K476" s="133"/>
      <c r="L476" s="134"/>
    </row>
    <row r="477" spans="1:12">
      <c r="A477" s="133"/>
      <c r="B477" s="134"/>
      <c r="C477" s="134"/>
      <c r="D477" s="134"/>
      <c r="E477" s="133"/>
      <c r="F477" s="134"/>
      <c r="G477" s="134"/>
      <c r="H477" s="134"/>
      <c r="I477" s="133"/>
      <c r="J477" s="133"/>
      <c r="K477" s="133"/>
      <c r="L477" s="134"/>
    </row>
    <row r="478" spans="1:12">
      <c r="A478" s="133"/>
      <c r="B478" s="134"/>
      <c r="C478" s="134"/>
      <c r="D478" s="134"/>
      <c r="E478" s="133"/>
      <c r="F478" s="134"/>
      <c r="G478" s="134"/>
      <c r="H478" s="134"/>
      <c r="I478" s="133"/>
      <c r="J478" s="133"/>
      <c r="K478" s="133"/>
      <c r="L478" s="134"/>
    </row>
    <row r="479" spans="1:12">
      <c r="A479" s="133"/>
      <c r="B479" s="134"/>
      <c r="C479" s="134"/>
      <c r="D479" s="134"/>
      <c r="E479" s="133"/>
      <c r="F479" s="134"/>
      <c r="G479" s="134"/>
      <c r="H479" s="134"/>
      <c r="I479" s="133"/>
      <c r="J479" s="133"/>
      <c r="K479" s="133"/>
      <c r="L479" s="134"/>
    </row>
    <row r="480" spans="1:12">
      <c r="A480" s="133"/>
      <c r="B480" s="134"/>
      <c r="C480" s="134"/>
      <c r="D480" s="134"/>
      <c r="E480" s="133"/>
      <c r="F480" s="134"/>
      <c r="G480" s="134"/>
      <c r="H480" s="134"/>
      <c r="I480" s="133"/>
      <c r="J480" s="133"/>
      <c r="K480" s="133"/>
      <c r="L480" s="134"/>
    </row>
    <row r="481" spans="1:12">
      <c r="A481" s="133"/>
      <c r="B481" s="134"/>
      <c r="C481" s="134"/>
      <c r="D481" s="134"/>
      <c r="E481" s="133"/>
      <c r="F481" s="134"/>
      <c r="G481" s="134"/>
      <c r="H481" s="134"/>
      <c r="I481" s="133"/>
      <c r="J481" s="133"/>
      <c r="K481" s="133"/>
      <c r="L481" s="134"/>
    </row>
    <row r="482" spans="1:12">
      <c r="A482" s="133"/>
      <c r="B482" s="134"/>
      <c r="C482" s="134"/>
      <c r="D482" s="134"/>
      <c r="E482" s="133"/>
      <c r="F482" s="134"/>
      <c r="G482" s="134"/>
      <c r="H482" s="134"/>
      <c r="I482" s="133"/>
      <c r="J482" s="133"/>
      <c r="K482" s="133"/>
      <c r="L482" s="134"/>
    </row>
    <row r="483" spans="1:12">
      <c r="A483" s="133"/>
      <c r="B483" s="134"/>
      <c r="C483" s="134"/>
      <c r="D483" s="134"/>
      <c r="E483" s="133"/>
      <c r="F483" s="134"/>
      <c r="G483" s="134"/>
      <c r="H483" s="134"/>
      <c r="I483" s="133"/>
      <c r="J483" s="133"/>
      <c r="K483" s="133"/>
      <c r="L483" s="134"/>
    </row>
    <row r="484" spans="1:12">
      <c r="A484" s="133"/>
      <c r="B484" s="134"/>
      <c r="C484" s="134"/>
      <c r="D484" s="134"/>
      <c r="E484" s="133"/>
      <c r="F484" s="134"/>
      <c r="G484" s="134"/>
      <c r="H484" s="134"/>
      <c r="I484" s="133"/>
      <c r="J484" s="133"/>
      <c r="K484" s="133"/>
      <c r="L484" s="134"/>
    </row>
    <row r="485" spans="1:12">
      <c r="A485" s="133"/>
      <c r="B485" s="134"/>
      <c r="C485" s="134"/>
      <c r="D485" s="134"/>
      <c r="E485" s="133"/>
      <c r="F485" s="134"/>
      <c r="G485" s="134"/>
      <c r="H485" s="134"/>
      <c r="I485" s="133"/>
      <c r="J485" s="133"/>
      <c r="K485" s="133"/>
      <c r="L485" s="134"/>
    </row>
    <row r="486" spans="1:12">
      <c r="A486" s="133"/>
      <c r="B486" s="134"/>
      <c r="C486" s="134"/>
      <c r="D486" s="134"/>
      <c r="E486" s="133"/>
      <c r="F486" s="134"/>
      <c r="G486" s="134"/>
      <c r="H486" s="134"/>
      <c r="I486" s="133"/>
      <c r="J486" s="133"/>
      <c r="K486" s="133"/>
      <c r="L486" s="134"/>
    </row>
    <row r="487" spans="1:12">
      <c r="A487" s="133"/>
      <c r="B487" s="134"/>
      <c r="C487" s="134"/>
      <c r="D487" s="134"/>
      <c r="E487" s="133"/>
      <c r="F487" s="134"/>
      <c r="G487" s="134"/>
      <c r="H487" s="134"/>
      <c r="I487" s="133"/>
      <c r="J487" s="133"/>
      <c r="K487" s="133"/>
      <c r="L487" s="134"/>
    </row>
    <row r="488" spans="1:12">
      <c r="A488" s="133"/>
      <c r="B488" s="134"/>
      <c r="C488" s="134"/>
      <c r="D488" s="134"/>
      <c r="E488" s="133"/>
      <c r="F488" s="134"/>
      <c r="G488" s="134"/>
      <c r="H488" s="134"/>
      <c r="I488" s="133"/>
      <c r="J488" s="133"/>
      <c r="K488" s="133"/>
      <c r="L488" s="134"/>
    </row>
    <row r="489" spans="1:12">
      <c r="A489" s="133"/>
      <c r="B489" s="134"/>
      <c r="C489" s="134"/>
      <c r="D489" s="134"/>
      <c r="E489" s="133"/>
      <c r="F489" s="134"/>
      <c r="G489" s="134"/>
      <c r="H489" s="134"/>
      <c r="I489" s="133"/>
      <c r="J489" s="133"/>
      <c r="K489" s="133"/>
      <c r="L489" s="134"/>
    </row>
    <row r="490" spans="1:12">
      <c r="A490" s="133"/>
      <c r="B490" s="134"/>
      <c r="C490" s="134"/>
      <c r="D490" s="134"/>
      <c r="E490" s="133"/>
      <c r="F490" s="134"/>
      <c r="G490" s="134"/>
      <c r="H490" s="134"/>
      <c r="I490" s="133"/>
      <c r="J490" s="133"/>
      <c r="K490" s="133"/>
      <c r="L490" s="134"/>
    </row>
    <row r="491" spans="1:12">
      <c r="A491" s="133"/>
      <c r="B491" s="134"/>
      <c r="C491" s="134"/>
      <c r="D491" s="134"/>
      <c r="E491" s="133"/>
      <c r="F491" s="134"/>
      <c r="G491" s="134"/>
      <c r="H491" s="134"/>
      <c r="I491" s="133"/>
      <c r="J491" s="133"/>
      <c r="K491" s="133"/>
      <c r="L491" s="134"/>
    </row>
    <row r="492" spans="1:12">
      <c r="A492" s="133"/>
      <c r="B492" s="134"/>
      <c r="C492" s="134"/>
      <c r="D492" s="134"/>
      <c r="E492" s="133"/>
      <c r="F492" s="134"/>
      <c r="G492" s="134"/>
      <c r="H492" s="134"/>
      <c r="I492" s="133"/>
      <c r="J492" s="133"/>
      <c r="K492" s="133"/>
      <c r="L492" s="134"/>
    </row>
    <row r="493" spans="1:12">
      <c r="A493" s="133"/>
      <c r="B493" s="134"/>
      <c r="C493" s="134"/>
      <c r="D493" s="134"/>
      <c r="E493" s="133"/>
      <c r="F493" s="134"/>
      <c r="G493" s="134"/>
      <c r="H493" s="134"/>
      <c r="I493" s="133"/>
      <c r="J493" s="133"/>
      <c r="K493" s="133"/>
      <c r="L493" s="134"/>
    </row>
    <row r="494" spans="1:12">
      <c r="A494" s="133"/>
      <c r="B494" s="134"/>
      <c r="C494" s="134"/>
      <c r="D494" s="134"/>
      <c r="E494" s="133"/>
      <c r="F494" s="134"/>
      <c r="G494" s="134"/>
      <c r="H494" s="134"/>
      <c r="I494" s="133"/>
      <c r="J494" s="133"/>
      <c r="K494" s="133"/>
      <c r="L494" s="134"/>
    </row>
    <row r="495" spans="1:12">
      <c r="A495" s="133"/>
      <c r="B495" s="134"/>
      <c r="C495" s="134"/>
      <c r="D495" s="134"/>
      <c r="E495" s="133"/>
      <c r="F495" s="134"/>
      <c r="G495" s="134"/>
      <c r="H495" s="134"/>
      <c r="I495" s="133"/>
      <c r="J495" s="133"/>
      <c r="K495" s="133"/>
      <c r="L495" s="134"/>
    </row>
    <row r="496" spans="1:12">
      <c r="A496" s="133"/>
      <c r="B496" s="134"/>
      <c r="C496" s="134"/>
      <c r="D496" s="134"/>
      <c r="E496" s="133"/>
      <c r="F496" s="134"/>
      <c r="G496" s="134"/>
      <c r="H496" s="134"/>
      <c r="I496" s="133"/>
      <c r="J496" s="133"/>
      <c r="K496" s="133"/>
      <c r="L496" s="134"/>
    </row>
    <row r="497" spans="1:12">
      <c r="A497" s="133"/>
      <c r="B497" s="134"/>
      <c r="C497" s="134"/>
      <c r="D497" s="134"/>
      <c r="E497" s="133"/>
      <c r="F497" s="134"/>
      <c r="G497" s="134"/>
      <c r="H497" s="134"/>
      <c r="I497" s="133"/>
      <c r="J497" s="133"/>
      <c r="K497" s="133"/>
      <c r="L497" s="134"/>
    </row>
    <row r="498" spans="1:12">
      <c r="A498" s="133"/>
      <c r="B498" s="134"/>
      <c r="C498" s="134"/>
      <c r="D498" s="134"/>
      <c r="E498" s="133"/>
      <c r="F498" s="134"/>
      <c r="G498" s="134"/>
      <c r="H498" s="134"/>
      <c r="I498" s="133"/>
      <c r="J498" s="133"/>
      <c r="K498" s="133"/>
      <c r="L498" s="134"/>
    </row>
    <row r="499" spans="1:12">
      <c r="A499" s="133"/>
      <c r="B499" s="134"/>
      <c r="C499" s="134"/>
      <c r="D499" s="134"/>
      <c r="E499" s="133"/>
      <c r="F499" s="134"/>
      <c r="G499" s="134"/>
      <c r="H499" s="134"/>
      <c r="I499" s="133"/>
      <c r="J499" s="133"/>
      <c r="K499" s="133"/>
      <c r="L499" s="134"/>
    </row>
    <row r="500" spans="1:12">
      <c r="A500" s="133"/>
      <c r="B500" s="134"/>
      <c r="C500" s="134"/>
      <c r="D500" s="134"/>
      <c r="E500" s="133"/>
      <c r="F500" s="134"/>
      <c r="G500" s="134"/>
      <c r="H500" s="134"/>
      <c r="I500" s="133"/>
      <c r="J500" s="133"/>
      <c r="K500" s="133"/>
      <c r="L500" s="134"/>
    </row>
    <row r="501" spans="1:12">
      <c r="A501" s="133"/>
      <c r="B501" s="134"/>
      <c r="C501" s="134"/>
      <c r="D501" s="134"/>
      <c r="E501" s="133"/>
      <c r="F501" s="134"/>
      <c r="G501" s="134"/>
      <c r="H501" s="134"/>
      <c r="I501" s="133"/>
      <c r="J501" s="133"/>
      <c r="K501" s="133"/>
      <c r="L501" s="134"/>
    </row>
    <row r="502" spans="1:12">
      <c r="A502" s="133"/>
      <c r="B502" s="134"/>
      <c r="C502" s="134"/>
      <c r="D502" s="134"/>
      <c r="E502" s="133"/>
      <c r="F502" s="134"/>
      <c r="G502" s="134"/>
      <c r="H502" s="134"/>
      <c r="I502" s="133"/>
      <c r="J502" s="133"/>
      <c r="K502" s="133"/>
      <c r="L502" s="134"/>
    </row>
    <row r="503" spans="1:12">
      <c r="A503" s="133"/>
      <c r="B503" s="134"/>
      <c r="C503" s="134"/>
      <c r="D503" s="134"/>
      <c r="E503" s="133"/>
      <c r="F503" s="134"/>
      <c r="G503" s="134"/>
      <c r="H503" s="134"/>
      <c r="I503" s="133"/>
      <c r="J503" s="133"/>
      <c r="K503" s="133"/>
      <c r="L503" s="134"/>
    </row>
    <row r="504" spans="1:12">
      <c r="A504" s="133"/>
      <c r="B504" s="134"/>
      <c r="C504" s="134"/>
      <c r="D504" s="134"/>
      <c r="E504" s="133"/>
      <c r="F504" s="134"/>
      <c r="G504" s="134"/>
      <c r="H504" s="134"/>
      <c r="I504" s="133"/>
      <c r="J504" s="133"/>
      <c r="K504" s="133"/>
      <c r="L504" s="134"/>
    </row>
    <row r="505" spans="1:12">
      <c r="A505" s="133"/>
      <c r="B505" s="134"/>
      <c r="C505" s="134"/>
      <c r="D505" s="134"/>
      <c r="E505" s="133"/>
      <c r="F505" s="134"/>
      <c r="G505" s="134"/>
      <c r="H505" s="134"/>
      <c r="I505" s="133"/>
      <c r="J505" s="133"/>
      <c r="K505" s="133"/>
      <c r="L505" s="134"/>
    </row>
    <row r="506" spans="1:12">
      <c r="A506" s="133"/>
      <c r="B506" s="134"/>
      <c r="C506" s="134"/>
      <c r="D506" s="134"/>
      <c r="E506" s="133"/>
      <c r="F506" s="134"/>
      <c r="G506" s="134"/>
      <c r="H506" s="134"/>
      <c r="I506" s="133"/>
      <c r="J506" s="133"/>
      <c r="K506" s="133"/>
      <c r="L506" s="134"/>
    </row>
    <row r="507" spans="1:12">
      <c r="A507" s="133"/>
      <c r="B507" s="134"/>
      <c r="C507" s="134"/>
      <c r="D507" s="134"/>
      <c r="E507" s="133"/>
      <c r="F507" s="134"/>
      <c r="G507" s="134"/>
      <c r="H507" s="134"/>
      <c r="I507" s="133"/>
      <c r="J507" s="133"/>
      <c r="K507" s="133"/>
      <c r="L507" s="134"/>
    </row>
    <row r="508" spans="1:12">
      <c r="A508" s="133"/>
      <c r="B508" s="134"/>
      <c r="C508" s="134"/>
      <c r="D508" s="134"/>
      <c r="E508" s="133"/>
      <c r="F508" s="134"/>
      <c r="G508" s="134"/>
      <c r="H508" s="134"/>
      <c r="I508" s="133"/>
      <c r="J508" s="133"/>
      <c r="K508" s="133"/>
      <c r="L508" s="134"/>
    </row>
    <row r="509" spans="1:12">
      <c r="A509" s="133"/>
      <c r="B509" s="134"/>
      <c r="C509" s="134"/>
      <c r="D509" s="134"/>
      <c r="E509" s="133"/>
      <c r="F509" s="134"/>
      <c r="G509" s="134"/>
      <c r="H509" s="134"/>
      <c r="I509" s="133"/>
      <c r="J509" s="133"/>
      <c r="K509" s="133"/>
      <c r="L509" s="134"/>
    </row>
    <row r="510" spans="1:12">
      <c r="A510" s="133"/>
      <c r="B510" s="134"/>
      <c r="C510" s="134"/>
      <c r="D510" s="134"/>
      <c r="E510" s="133"/>
      <c r="F510" s="134"/>
      <c r="G510" s="134"/>
      <c r="H510" s="134"/>
      <c r="I510" s="133"/>
      <c r="J510" s="133"/>
      <c r="K510" s="133"/>
      <c r="L510" s="134"/>
    </row>
    <row r="511" spans="1:12">
      <c r="A511" s="133"/>
      <c r="B511" s="134"/>
      <c r="C511" s="134"/>
      <c r="D511" s="134"/>
      <c r="E511" s="133"/>
      <c r="F511" s="134"/>
      <c r="G511" s="134"/>
      <c r="H511" s="134"/>
      <c r="I511" s="133"/>
      <c r="J511" s="133"/>
      <c r="K511" s="133"/>
      <c r="L511" s="134"/>
    </row>
    <row r="512" spans="1:12">
      <c r="A512" s="133"/>
      <c r="B512" s="134"/>
      <c r="C512" s="134"/>
      <c r="D512" s="134"/>
      <c r="E512" s="133"/>
      <c r="F512" s="134"/>
      <c r="G512" s="134"/>
      <c r="H512" s="134"/>
      <c r="I512" s="133"/>
      <c r="J512" s="133"/>
      <c r="K512" s="133"/>
      <c r="L512" s="134"/>
    </row>
    <row r="513" spans="1:12">
      <c r="A513" s="133"/>
      <c r="B513" s="134"/>
      <c r="C513" s="134"/>
      <c r="D513" s="134"/>
      <c r="E513" s="133"/>
      <c r="F513" s="134"/>
      <c r="G513" s="134"/>
      <c r="H513" s="134"/>
      <c r="I513" s="133"/>
      <c r="J513" s="133"/>
      <c r="K513" s="133"/>
      <c r="L513" s="134"/>
    </row>
    <row r="514" spans="1:12">
      <c r="A514" s="133"/>
      <c r="B514" s="134"/>
      <c r="C514" s="134"/>
      <c r="D514" s="134"/>
      <c r="E514" s="133"/>
      <c r="F514" s="134"/>
      <c r="G514" s="134"/>
      <c r="H514" s="134"/>
      <c r="I514" s="133"/>
      <c r="J514" s="133"/>
      <c r="K514" s="133"/>
      <c r="L514" s="134"/>
    </row>
    <row r="515" spans="1:12">
      <c r="A515" s="133"/>
      <c r="B515" s="134"/>
      <c r="C515" s="134"/>
      <c r="D515" s="134"/>
      <c r="E515" s="133"/>
      <c r="F515" s="134"/>
      <c r="G515" s="134"/>
      <c r="H515" s="134"/>
      <c r="I515" s="133"/>
      <c r="J515" s="133"/>
      <c r="K515" s="133"/>
      <c r="L515" s="134"/>
    </row>
    <row r="516" spans="1:12">
      <c r="A516" s="133"/>
      <c r="B516" s="134"/>
      <c r="C516" s="134"/>
      <c r="D516" s="134"/>
      <c r="E516" s="133"/>
      <c r="F516" s="134"/>
      <c r="G516" s="134"/>
      <c r="H516" s="134"/>
      <c r="I516" s="133"/>
      <c r="J516" s="133"/>
      <c r="K516" s="133"/>
      <c r="L516" s="134"/>
    </row>
    <row r="517" spans="1:12">
      <c r="A517" s="133"/>
      <c r="B517" s="134"/>
      <c r="C517" s="134"/>
      <c r="D517" s="134"/>
      <c r="E517" s="133"/>
      <c r="F517" s="134"/>
      <c r="G517" s="134"/>
      <c r="H517" s="134"/>
      <c r="I517" s="133"/>
      <c r="J517" s="133"/>
      <c r="K517" s="133"/>
      <c r="L517" s="134"/>
    </row>
    <row r="518" spans="1:12">
      <c r="A518" s="133"/>
      <c r="B518" s="134"/>
      <c r="C518" s="134"/>
      <c r="D518" s="134"/>
      <c r="E518" s="133"/>
      <c r="F518" s="134"/>
      <c r="G518" s="134"/>
      <c r="H518" s="134"/>
      <c r="I518" s="133"/>
      <c r="J518" s="133"/>
      <c r="K518" s="133"/>
      <c r="L518" s="134"/>
    </row>
    <row r="519" spans="1:12">
      <c r="A519" s="133"/>
      <c r="B519" s="134"/>
      <c r="C519" s="134"/>
      <c r="D519" s="134"/>
      <c r="E519" s="133"/>
      <c r="F519" s="134"/>
      <c r="G519" s="134"/>
      <c r="H519" s="134"/>
      <c r="I519" s="133"/>
      <c r="J519" s="133"/>
      <c r="K519" s="133"/>
      <c r="L519" s="134"/>
    </row>
    <row r="520" spans="1:12">
      <c r="A520" s="133"/>
      <c r="B520" s="134"/>
      <c r="C520" s="134"/>
      <c r="D520" s="134"/>
      <c r="E520" s="133"/>
      <c r="F520" s="134"/>
      <c r="G520" s="134"/>
      <c r="H520" s="134"/>
      <c r="I520" s="133"/>
      <c r="J520" s="133"/>
      <c r="K520" s="133"/>
      <c r="L520" s="134"/>
    </row>
    <row r="521" spans="1:12">
      <c r="A521" s="133"/>
      <c r="B521" s="134"/>
      <c r="C521" s="134"/>
      <c r="D521" s="134"/>
      <c r="E521" s="133"/>
      <c r="F521" s="134"/>
      <c r="G521" s="134"/>
      <c r="H521" s="134"/>
      <c r="I521" s="133"/>
      <c r="J521" s="133"/>
      <c r="K521" s="133"/>
      <c r="L521" s="134"/>
    </row>
    <row r="522" spans="1:12">
      <c r="A522" s="133"/>
      <c r="B522" s="134"/>
      <c r="C522" s="134"/>
      <c r="D522" s="134"/>
      <c r="E522" s="133"/>
      <c r="F522" s="134"/>
      <c r="G522" s="134"/>
      <c r="H522" s="134"/>
      <c r="I522" s="133"/>
      <c r="J522" s="133"/>
      <c r="K522" s="133"/>
      <c r="L522" s="134"/>
    </row>
    <row r="523" spans="1:12">
      <c r="A523" s="133"/>
      <c r="B523" s="134"/>
      <c r="C523" s="134"/>
      <c r="D523" s="134"/>
      <c r="E523" s="133"/>
      <c r="F523" s="134"/>
      <c r="G523" s="134"/>
      <c r="H523" s="134"/>
      <c r="I523" s="133"/>
      <c r="J523" s="133"/>
      <c r="K523" s="133"/>
      <c r="L523" s="134"/>
    </row>
    <row r="524" spans="1:12">
      <c r="A524" s="133"/>
      <c r="B524" s="134"/>
      <c r="C524" s="134"/>
      <c r="D524" s="134"/>
      <c r="E524" s="133"/>
      <c r="F524" s="134"/>
      <c r="G524" s="134"/>
      <c r="H524" s="134"/>
      <c r="I524" s="133"/>
      <c r="J524" s="133"/>
      <c r="K524" s="133"/>
      <c r="L524" s="134"/>
    </row>
    <row r="525" spans="1:12">
      <c r="A525" s="133"/>
      <c r="B525" s="134"/>
      <c r="C525" s="134"/>
      <c r="D525" s="134"/>
      <c r="E525" s="133"/>
      <c r="F525" s="134"/>
      <c r="G525" s="134"/>
      <c r="H525" s="134"/>
      <c r="I525" s="133"/>
      <c r="J525" s="133"/>
      <c r="K525" s="133"/>
      <c r="L525" s="134"/>
    </row>
    <row r="526" spans="1:12">
      <c r="A526" s="133"/>
      <c r="B526" s="134"/>
      <c r="C526" s="134"/>
      <c r="D526" s="134"/>
      <c r="E526" s="133"/>
      <c r="F526" s="134"/>
      <c r="G526" s="134"/>
      <c r="H526" s="134"/>
      <c r="I526" s="133"/>
      <c r="J526" s="133"/>
      <c r="K526" s="133"/>
      <c r="L526" s="134"/>
    </row>
    <row r="527" spans="1:12">
      <c r="A527" s="133"/>
      <c r="B527" s="134"/>
      <c r="C527" s="134"/>
      <c r="D527" s="134"/>
      <c r="E527" s="133"/>
      <c r="F527" s="134"/>
      <c r="G527" s="134"/>
      <c r="H527" s="134"/>
      <c r="I527" s="133"/>
      <c r="J527" s="133"/>
      <c r="K527" s="133"/>
      <c r="L527" s="134"/>
    </row>
    <row r="528" spans="1:12">
      <c r="A528" s="133"/>
      <c r="B528" s="134"/>
      <c r="C528" s="134"/>
      <c r="D528" s="134"/>
      <c r="E528" s="133"/>
      <c r="F528" s="134"/>
      <c r="G528" s="134"/>
      <c r="H528" s="134"/>
      <c r="I528" s="133"/>
      <c r="J528" s="133"/>
      <c r="K528" s="133"/>
      <c r="L528" s="134"/>
    </row>
    <row r="529" spans="1:12">
      <c r="A529" s="133"/>
      <c r="B529" s="134"/>
      <c r="C529" s="134"/>
      <c r="D529" s="134"/>
      <c r="E529" s="133"/>
      <c r="F529" s="134"/>
      <c r="G529" s="134"/>
      <c r="H529" s="134"/>
      <c r="I529" s="133"/>
      <c r="J529" s="133"/>
      <c r="K529" s="133"/>
      <c r="L529" s="134"/>
    </row>
    <row r="530" spans="1:12">
      <c r="A530" s="133"/>
      <c r="B530" s="134"/>
      <c r="C530" s="134"/>
      <c r="D530" s="134"/>
      <c r="E530" s="133"/>
      <c r="F530" s="134"/>
      <c r="G530" s="134"/>
      <c r="H530" s="134"/>
      <c r="I530" s="133"/>
      <c r="J530" s="133"/>
      <c r="K530" s="133"/>
      <c r="L530" s="134"/>
    </row>
    <row r="531" spans="1:12">
      <c r="A531" s="133"/>
      <c r="B531" s="134"/>
      <c r="C531" s="134"/>
      <c r="D531" s="134"/>
      <c r="E531" s="133"/>
      <c r="F531" s="134"/>
      <c r="G531" s="134"/>
      <c r="H531" s="134"/>
      <c r="I531" s="133"/>
      <c r="J531" s="133"/>
      <c r="K531" s="133"/>
      <c r="L531" s="134"/>
    </row>
    <row r="532" spans="1:12">
      <c r="A532" s="133"/>
      <c r="B532" s="134"/>
      <c r="C532" s="134"/>
      <c r="D532" s="134"/>
      <c r="E532" s="133"/>
      <c r="F532" s="134"/>
      <c r="G532" s="134"/>
      <c r="H532" s="134"/>
      <c r="I532" s="133"/>
      <c r="J532" s="133"/>
      <c r="K532" s="133"/>
      <c r="L532" s="134"/>
    </row>
    <row r="533" spans="1:12">
      <c r="A533" s="133"/>
      <c r="B533" s="134"/>
      <c r="C533" s="134"/>
      <c r="D533" s="134"/>
      <c r="E533" s="133"/>
      <c r="F533" s="134"/>
      <c r="G533" s="134"/>
      <c r="H533" s="134"/>
      <c r="I533" s="133"/>
      <c r="J533" s="133"/>
      <c r="K533" s="133"/>
      <c r="L533" s="134"/>
    </row>
    <row r="534" spans="1:12">
      <c r="A534" s="133"/>
      <c r="B534" s="134"/>
      <c r="C534" s="134"/>
      <c r="D534" s="134"/>
      <c r="E534" s="133"/>
      <c r="F534" s="134"/>
      <c r="G534" s="134"/>
      <c r="H534" s="134"/>
      <c r="I534" s="133"/>
      <c r="J534" s="133"/>
      <c r="K534" s="133"/>
      <c r="L534" s="134"/>
    </row>
    <row r="535" spans="1:12">
      <c r="A535" s="133"/>
      <c r="B535" s="134"/>
      <c r="C535" s="134"/>
      <c r="D535" s="134"/>
      <c r="E535" s="133"/>
      <c r="F535" s="134"/>
      <c r="G535" s="134"/>
      <c r="H535" s="134"/>
      <c r="I535" s="133"/>
      <c r="J535" s="133"/>
      <c r="K535" s="133"/>
      <c r="L535" s="134"/>
    </row>
    <row r="536" spans="1:12">
      <c r="A536" s="133"/>
      <c r="B536" s="134"/>
      <c r="C536" s="134"/>
      <c r="D536" s="134"/>
      <c r="E536" s="133"/>
      <c r="F536" s="134"/>
      <c r="G536" s="134"/>
      <c r="H536" s="134"/>
      <c r="I536" s="133"/>
      <c r="J536" s="133"/>
      <c r="K536" s="133"/>
      <c r="L536" s="134"/>
    </row>
    <row r="537" spans="1:12">
      <c r="A537" s="133"/>
      <c r="B537" s="134"/>
      <c r="C537" s="134"/>
      <c r="D537" s="134"/>
      <c r="E537" s="133"/>
      <c r="F537" s="134"/>
      <c r="G537" s="134"/>
      <c r="H537" s="134"/>
      <c r="I537" s="133"/>
      <c r="J537" s="133"/>
      <c r="K537" s="133"/>
      <c r="L537" s="134"/>
    </row>
    <row r="538" spans="1:12">
      <c r="A538" s="133"/>
      <c r="B538" s="134"/>
      <c r="C538" s="134"/>
      <c r="D538" s="134"/>
      <c r="E538" s="133"/>
      <c r="F538" s="134"/>
      <c r="G538" s="134"/>
      <c r="H538" s="134"/>
      <c r="I538" s="133"/>
      <c r="J538" s="133"/>
      <c r="K538" s="133"/>
      <c r="L538" s="134"/>
    </row>
    <row r="539" spans="1:12">
      <c r="A539" s="133"/>
      <c r="B539" s="134"/>
      <c r="C539" s="134"/>
      <c r="D539" s="134"/>
      <c r="E539" s="133"/>
      <c r="F539" s="134"/>
      <c r="G539" s="134"/>
      <c r="H539" s="134"/>
      <c r="I539" s="133"/>
      <c r="J539" s="133"/>
      <c r="K539" s="133"/>
      <c r="L539" s="134"/>
    </row>
    <row r="540" spans="1:12">
      <c r="A540" s="133"/>
      <c r="B540" s="134"/>
      <c r="C540" s="134"/>
      <c r="D540" s="134"/>
      <c r="E540" s="133"/>
      <c r="F540" s="134"/>
      <c r="G540" s="134"/>
      <c r="H540" s="134"/>
      <c r="I540" s="133"/>
      <c r="J540" s="133"/>
      <c r="K540" s="133"/>
      <c r="L540" s="134"/>
    </row>
    <row r="541" spans="1:12">
      <c r="A541" s="133"/>
      <c r="B541" s="134"/>
      <c r="C541" s="134"/>
      <c r="D541" s="134"/>
      <c r="E541" s="133"/>
      <c r="F541" s="134"/>
      <c r="G541" s="134"/>
      <c r="H541" s="134"/>
      <c r="I541" s="133"/>
      <c r="J541" s="133"/>
      <c r="K541" s="133"/>
      <c r="L541" s="134"/>
    </row>
    <row r="542" spans="1:12">
      <c r="A542" s="133"/>
      <c r="B542" s="134"/>
      <c r="C542" s="134"/>
      <c r="D542" s="134"/>
      <c r="E542" s="133"/>
      <c r="F542" s="134"/>
      <c r="G542" s="134"/>
      <c r="H542" s="134"/>
      <c r="I542" s="133"/>
      <c r="J542" s="133"/>
      <c r="K542" s="133"/>
      <c r="L542" s="134"/>
    </row>
    <row r="543" spans="1:12">
      <c r="A543" s="133"/>
      <c r="B543" s="134"/>
      <c r="C543" s="134"/>
      <c r="D543" s="134"/>
      <c r="E543" s="133"/>
      <c r="F543" s="134"/>
      <c r="G543" s="134"/>
      <c r="H543" s="134"/>
      <c r="I543" s="133"/>
      <c r="J543" s="133"/>
      <c r="K543" s="133"/>
      <c r="L543" s="134"/>
    </row>
    <row r="544" spans="1:12">
      <c r="A544" s="133"/>
      <c r="B544" s="134"/>
      <c r="C544" s="134"/>
      <c r="D544" s="134"/>
      <c r="E544" s="133"/>
      <c r="F544" s="134"/>
      <c r="G544" s="134"/>
      <c r="H544" s="134"/>
      <c r="I544" s="133"/>
      <c r="J544" s="133"/>
      <c r="K544" s="133"/>
      <c r="L544" s="134"/>
    </row>
    <row r="545" spans="1:12">
      <c r="A545" s="133"/>
      <c r="B545" s="134"/>
      <c r="C545" s="134"/>
      <c r="D545" s="134"/>
      <c r="E545" s="133"/>
      <c r="F545" s="134"/>
      <c r="G545" s="134"/>
      <c r="H545" s="134"/>
      <c r="I545" s="133"/>
      <c r="J545" s="133"/>
      <c r="K545" s="133"/>
      <c r="L545" s="134"/>
    </row>
    <row r="546" spans="1:12">
      <c r="A546" s="133"/>
      <c r="B546" s="134"/>
      <c r="C546" s="134"/>
      <c r="D546" s="134"/>
      <c r="E546" s="133"/>
      <c r="F546" s="134"/>
      <c r="G546" s="134"/>
      <c r="H546" s="134"/>
      <c r="I546" s="133"/>
      <c r="J546" s="133"/>
      <c r="K546" s="133"/>
      <c r="L546" s="134"/>
    </row>
    <row r="547" spans="1:12">
      <c r="A547" s="133"/>
      <c r="B547" s="134"/>
      <c r="C547" s="134"/>
      <c r="D547" s="134"/>
      <c r="E547" s="133"/>
      <c r="F547" s="134"/>
      <c r="G547" s="134"/>
      <c r="H547" s="134"/>
      <c r="I547" s="133"/>
      <c r="J547" s="133"/>
      <c r="K547" s="133"/>
      <c r="L547" s="134"/>
    </row>
    <row r="548" spans="1:12">
      <c r="A548" s="133"/>
      <c r="B548" s="134"/>
      <c r="C548" s="134"/>
      <c r="D548" s="134"/>
      <c r="E548" s="133"/>
      <c r="F548" s="134"/>
      <c r="G548" s="134"/>
      <c r="H548" s="134"/>
      <c r="I548" s="133"/>
      <c r="J548" s="133"/>
      <c r="K548" s="133"/>
      <c r="L548" s="134"/>
    </row>
    <row r="549" spans="1:12">
      <c r="A549" s="133"/>
      <c r="B549" s="134"/>
      <c r="C549" s="134"/>
      <c r="D549" s="134"/>
      <c r="E549" s="133"/>
      <c r="F549" s="134"/>
      <c r="G549" s="134"/>
      <c r="H549" s="134"/>
      <c r="I549" s="133"/>
      <c r="J549" s="133"/>
      <c r="K549" s="133"/>
      <c r="L549" s="134"/>
    </row>
    <row r="550" spans="1:12">
      <c r="A550" s="133"/>
      <c r="B550" s="134"/>
      <c r="C550" s="134"/>
      <c r="D550" s="134"/>
      <c r="E550" s="133"/>
      <c r="F550" s="134"/>
      <c r="G550" s="134"/>
      <c r="H550" s="134"/>
      <c r="I550" s="133"/>
      <c r="J550" s="133"/>
      <c r="K550" s="133"/>
      <c r="L550" s="134"/>
    </row>
    <row r="551" spans="1:12">
      <c r="A551" s="133"/>
      <c r="B551" s="134"/>
      <c r="C551" s="134"/>
      <c r="D551" s="134"/>
      <c r="E551" s="133"/>
      <c r="F551" s="134"/>
      <c r="G551" s="134"/>
      <c r="H551" s="134"/>
      <c r="I551" s="133"/>
      <c r="J551" s="133"/>
      <c r="K551" s="133"/>
      <c r="L551" s="134"/>
    </row>
    <row r="552" spans="1:12">
      <c r="A552" s="133"/>
      <c r="B552" s="134"/>
      <c r="C552" s="134"/>
      <c r="D552" s="134"/>
      <c r="E552" s="133"/>
      <c r="F552" s="134"/>
      <c r="G552" s="134"/>
      <c r="H552" s="134"/>
      <c r="I552" s="133"/>
      <c r="J552" s="133"/>
      <c r="K552" s="133"/>
      <c r="L552" s="134"/>
    </row>
    <row r="553" spans="1:12">
      <c r="A553" s="133"/>
      <c r="B553" s="134"/>
      <c r="C553" s="134"/>
      <c r="D553" s="134"/>
      <c r="E553" s="133"/>
      <c r="F553" s="134"/>
      <c r="G553" s="134"/>
      <c r="H553" s="134"/>
      <c r="I553" s="133"/>
      <c r="J553" s="133"/>
      <c r="K553" s="133"/>
      <c r="L553" s="134"/>
    </row>
    <row r="554" spans="1:12">
      <c r="A554" s="133"/>
      <c r="B554" s="134"/>
      <c r="C554" s="134"/>
      <c r="D554" s="134"/>
      <c r="E554" s="133"/>
      <c r="F554" s="134"/>
      <c r="G554" s="134"/>
      <c r="H554" s="134"/>
      <c r="I554" s="133"/>
      <c r="J554" s="133"/>
      <c r="K554" s="133"/>
      <c r="L554" s="134"/>
    </row>
    <row r="555" spans="1:12">
      <c r="A555" s="133"/>
      <c r="B555" s="134"/>
      <c r="C555" s="134"/>
      <c r="D555" s="134"/>
      <c r="E555" s="133"/>
      <c r="F555" s="134"/>
      <c r="G555" s="134"/>
      <c r="H555" s="134"/>
      <c r="I555" s="133"/>
      <c r="J555" s="133"/>
      <c r="K555" s="133"/>
      <c r="L555" s="134"/>
    </row>
    <row r="556" spans="1:12">
      <c r="A556" s="133"/>
      <c r="B556" s="134"/>
      <c r="C556" s="134"/>
      <c r="D556" s="134"/>
      <c r="E556" s="133"/>
      <c r="F556" s="134"/>
      <c r="G556" s="134"/>
      <c r="H556" s="134"/>
      <c r="I556" s="133"/>
      <c r="J556" s="133"/>
      <c r="K556" s="133"/>
      <c r="L556" s="134"/>
    </row>
    <row r="557" spans="1:12">
      <c r="A557" s="133"/>
      <c r="B557" s="134"/>
      <c r="C557" s="134"/>
      <c r="D557" s="134"/>
      <c r="E557" s="133"/>
      <c r="F557" s="134"/>
      <c r="G557" s="134"/>
      <c r="H557" s="134"/>
      <c r="I557" s="133"/>
      <c r="J557" s="133"/>
      <c r="K557" s="133"/>
      <c r="L557" s="134"/>
    </row>
    <row r="558" spans="1:12">
      <c r="A558" s="133"/>
      <c r="B558" s="134"/>
      <c r="C558" s="134"/>
      <c r="D558" s="134"/>
      <c r="E558" s="133"/>
      <c r="F558" s="134"/>
      <c r="G558" s="134"/>
      <c r="H558" s="134"/>
      <c r="I558" s="133"/>
      <c r="J558" s="133"/>
      <c r="K558" s="133"/>
      <c r="L558" s="134"/>
    </row>
    <row r="559" spans="1:12">
      <c r="A559" s="133"/>
      <c r="B559" s="134"/>
      <c r="C559" s="134"/>
      <c r="D559" s="134"/>
      <c r="E559" s="133"/>
      <c r="F559" s="134"/>
      <c r="G559" s="134"/>
      <c r="H559" s="134"/>
      <c r="I559" s="133"/>
      <c r="J559" s="133"/>
      <c r="K559" s="133"/>
      <c r="L559" s="134"/>
    </row>
    <row r="560" spans="1:12">
      <c r="A560" s="133"/>
      <c r="B560" s="134"/>
      <c r="C560" s="134"/>
      <c r="D560" s="134"/>
      <c r="E560" s="133"/>
      <c r="F560" s="134"/>
      <c r="G560" s="134"/>
      <c r="H560" s="134"/>
      <c r="I560" s="133"/>
      <c r="J560" s="133"/>
      <c r="K560" s="133"/>
      <c r="L560" s="134"/>
    </row>
    <row r="561" spans="1:12">
      <c r="A561" s="133"/>
      <c r="B561" s="134"/>
      <c r="C561" s="134"/>
      <c r="D561" s="134"/>
      <c r="E561" s="133"/>
      <c r="F561" s="134"/>
      <c r="G561" s="134"/>
      <c r="H561" s="134"/>
      <c r="I561" s="133"/>
      <c r="J561" s="133"/>
      <c r="K561" s="133"/>
      <c r="L561" s="134"/>
    </row>
    <row r="562" spans="1:12">
      <c r="A562" s="133"/>
      <c r="B562" s="134"/>
      <c r="C562" s="134"/>
      <c r="D562" s="134"/>
      <c r="E562" s="133"/>
      <c r="F562" s="134"/>
      <c r="G562" s="134"/>
      <c r="H562" s="134"/>
      <c r="I562" s="133"/>
      <c r="J562" s="133"/>
      <c r="K562" s="133"/>
      <c r="L562" s="134"/>
    </row>
    <row r="563" spans="1:12">
      <c r="A563" s="133"/>
      <c r="B563" s="134"/>
      <c r="C563" s="134"/>
      <c r="D563" s="134"/>
      <c r="E563" s="133"/>
      <c r="F563" s="134"/>
      <c r="G563" s="134"/>
      <c r="H563" s="134"/>
      <c r="I563" s="133"/>
      <c r="J563" s="133"/>
      <c r="K563" s="133"/>
      <c r="L563" s="134"/>
    </row>
    <row r="564" spans="1:12">
      <c r="A564" s="133"/>
      <c r="B564" s="134"/>
      <c r="C564" s="134"/>
      <c r="D564" s="134"/>
      <c r="E564" s="133"/>
      <c r="F564" s="134"/>
      <c r="G564" s="134"/>
      <c r="H564" s="134"/>
      <c r="I564" s="133"/>
      <c r="J564" s="133"/>
      <c r="K564" s="133"/>
      <c r="L564" s="134"/>
    </row>
    <row r="565" spans="1:12">
      <c r="A565" s="133"/>
      <c r="B565" s="134"/>
      <c r="C565" s="134"/>
      <c r="D565" s="134"/>
      <c r="E565" s="133"/>
      <c r="F565" s="134"/>
      <c r="G565" s="134"/>
      <c r="H565" s="134"/>
      <c r="I565" s="133"/>
      <c r="J565" s="133"/>
      <c r="K565" s="133"/>
      <c r="L565" s="134"/>
    </row>
    <row r="566" spans="1:12">
      <c r="A566" s="133"/>
      <c r="B566" s="134"/>
      <c r="C566" s="134"/>
      <c r="D566" s="134"/>
      <c r="E566" s="133"/>
      <c r="F566" s="134"/>
      <c r="G566" s="134"/>
      <c r="H566" s="134"/>
      <c r="I566" s="133"/>
      <c r="J566" s="133"/>
      <c r="K566" s="133"/>
      <c r="L566" s="134"/>
    </row>
    <row r="567" spans="1:12">
      <c r="A567" s="133"/>
      <c r="B567" s="134"/>
      <c r="C567" s="134"/>
      <c r="D567" s="134"/>
      <c r="E567" s="133"/>
      <c r="F567" s="134"/>
      <c r="G567" s="134"/>
      <c r="H567" s="134"/>
      <c r="I567" s="133"/>
      <c r="J567" s="133"/>
      <c r="K567" s="133"/>
      <c r="L567" s="134"/>
    </row>
    <row r="568" spans="1:12">
      <c r="A568" s="133"/>
      <c r="B568" s="134"/>
      <c r="C568" s="134"/>
      <c r="D568" s="134"/>
      <c r="E568" s="133"/>
      <c r="F568" s="134"/>
      <c r="G568" s="134"/>
      <c r="H568" s="134"/>
      <c r="I568" s="133"/>
      <c r="J568" s="133"/>
      <c r="K568" s="133"/>
      <c r="L568" s="134"/>
    </row>
    <row r="569" spans="1:12">
      <c r="A569" s="133"/>
      <c r="B569" s="134"/>
      <c r="C569" s="134"/>
      <c r="D569" s="134"/>
      <c r="E569" s="133"/>
      <c r="F569" s="134"/>
      <c r="G569" s="134"/>
      <c r="H569" s="134"/>
      <c r="I569" s="133"/>
      <c r="J569" s="133"/>
      <c r="K569" s="133"/>
      <c r="L569" s="134"/>
    </row>
    <row r="570" spans="1:12">
      <c r="A570" s="133"/>
      <c r="B570" s="134"/>
      <c r="C570" s="134"/>
      <c r="D570" s="134"/>
      <c r="E570" s="133"/>
      <c r="F570" s="134"/>
      <c r="G570" s="134"/>
      <c r="H570" s="134"/>
      <c r="I570" s="133"/>
      <c r="J570" s="133"/>
      <c r="K570" s="133"/>
      <c r="L570" s="134"/>
    </row>
    <row r="571" spans="1:12">
      <c r="A571" s="133"/>
      <c r="B571" s="134"/>
      <c r="C571" s="134"/>
      <c r="D571" s="134"/>
      <c r="E571" s="133"/>
      <c r="F571" s="134"/>
      <c r="G571" s="134"/>
      <c r="H571" s="134"/>
      <c r="I571" s="133"/>
      <c r="J571" s="133"/>
      <c r="K571" s="133"/>
      <c r="L571" s="134"/>
    </row>
    <row r="572" spans="1:12">
      <c r="A572" s="133"/>
      <c r="B572" s="134"/>
      <c r="C572" s="134"/>
      <c r="D572" s="134"/>
      <c r="E572" s="133"/>
      <c r="F572" s="134"/>
      <c r="G572" s="134"/>
      <c r="H572" s="134"/>
      <c r="I572" s="133"/>
      <c r="J572" s="133"/>
      <c r="K572" s="133"/>
      <c r="L572" s="134"/>
    </row>
    <row r="573" spans="1:12">
      <c r="A573" s="133"/>
      <c r="B573" s="134"/>
      <c r="C573" s="134"/>
      <c r="D573" s="134"/>
      <c r="E573" s="133"/>
      <c r="F573" s="134"/>
      <c r="G573" s="134"/>
      <c r="H573" s="134"/>
      <c r="I573" s="133"/>
      <c r="J573" s="133"/>
      <c r="K573" s="133"/>
      <c r="L573" s="134"/>
    </row>
    <row r="574" spans="1:12">
      <c r="A574" s="133"/>
      <c r="B574" s="134"/>
      <c r="C574" s="134"/>
      <c r="D574" s="134"/>
      <c r="E574" s="133"/>
      <c r="F574" s="134"/>
      <c r="G574" s="134"/>
      <c r="H574" s="134"/>
      <c r="I574" s="133"/>
      <c r="J574" s="133"/>
      <c r="K574" s="133"/>
      <c r="L574" s="134"/>
    </row>
    <row r="575" spans="1:12">
      <c r="A575" s="133"/>
      <c r="B575" s="134"/>
      <c r="C575" s="134"/>
      <c r="D575" s="134"/>
      <c r="E575" s="133"/>
      <c r="F575" s="134"/>
      <c r="G575" s="134"/>
      <c r="H575" s="134"/>
      <c r="I575" s="133"/>
      <c r="J575" s="133"/>
      <c r="K575" s="133"/>
      <c r="L575" s="134"/>
    </row>
    <row r="576" spans="1:12">
      <c r="A576" s="133"/>
      <c r="B576" s="134"/>
      <c r="C576" s="134"/>
      <c r="D576" s="134"/>
      <c r="E576" s="133"/>
      <c r="F576" s="134"/>
      <c r="G576" s="134"/>
      <c r="H576" s="134"/>
      <c r="I576" s="133"/>
      <c r="J576" s="133"/>
      <c r="K576" s="133"/>
      <c r="L576" s="134"/>
    </row>
    <row r="577" spans="1:12">
      <c r="A577" s="133"/>
      <c r="B577" s="134"/>
      <c r="C577" s="134"/>
      <c r="D577" s="134"/>
      <c r="E577" s="133"/>
      <c r="F577" s="134"/>
      <c r="G577" s="134"/>
      <c r="H577" s="134"/>
      <c r="I577" s="133"/>
      <c r="J577" s="133"/>
      <c r="K577" s="133"/>
      <c r="L577" s="134"/>
    </row>
    <row r="578" spans="1:12">
      <c r="A578" s="133"/>
      <c r="B578" s="134"/>
      <c r="C578" s="134"/>
      <c r="D578" s="134"/>
      <c r="E578" s="133"/>
      <c r="F578" s="134"/>
      <c r="G578" s="134"/>
      <c r="H578" s="134"/>
      <c r="I578" s="133"/>
      <c r="J578" s="133"/>
      <c r="K578" s="133"/>
      <c r="L578" s="134"/>
    </row>
    <row r="579" spans="1:12">
      <c r="A579" s="133"/>
      <c r="B579" s="134"/>
      <c r="C579" s="134"/>
      <c r="D579" s="134"/>
      <c r="E579" s="133"/>
      <c r="F579" s="134"/>
      <c r="G579" s="134"/>
      <c r="H579" s="134"/>
      <c r="I579" s="133"/>
      <c r="J579" s="133"/>
      <c r="K579" s="133"/>
      <c r="L579" s="134"/>
    </row>
    <row r="580" spans="1:12">
      <c r="A580" s="133"/>
      <c r="B580" s="134"/>
      <c r="C580" s="134"/>
      <c r="D580" s="134"/>
      <c r="E580" s="133"/>
      <c r="F580" s="134"/>
      <c r="G580" s="134"/>
      <c r="H580" s="134"/>
      <c r="I580" s="133"/>
      <c r="J580" s="133"/>
      <c r="K580" s="133"/>
      <c r="L580" s="134"/>
    </row>
    <row r="581" spans="1:12">
      <c r="A581" s="133"/>
      <c r="B581" s="134"/>
      <c r="C581" s="134"/>
      <c r="D581" s="134"/>
      <c r="E581" s="133"/>
      <c r="F581" s="134"/>
      <c r="G581" s="134"/>
      <c r="H581" s="134"/>
      <c r="I581" s="133"/>
      <c r="J581" s="133"/>
      <c r="K581" s="133"/>
      <c r="L581" s="134"/>
    </row>
    <row r="582" spans="1:12">
      <c r="A582" s="133"/>
      <c r="B582" s="134"/>
      <c r="C582" s="134"/>
      <c r="D582" s="134"/>
      <c r="E582" s="133"/>
      <c r="F582" s="134"/>
      <c r="G582" s="134"/>
      <c r="H582" s="134"/>
      <c r="I582" s="133"/>
      <c r="J582" s="133"/>
      <c r="K582" s="133"/>
      <c r="L582" s="134"/>
    </row>
    <row r="583" spans="1:12">
      <c r="A583" s="133"/>
      <c r="B583" s="134"/>
      <c r="C583" s="134"/>
      <c r="D583" s="134"/>
      <c r="E583" s="133"/>
      <c r="F583" s="134"/>
      <c r="G583" s="134"/>
      <c r="H583" s="134"/>
      <c r="I583" s="133"/>
      <c r="J583" s="133"/>
      <c r="K583" s="133"/>
      <c r="L583" s="134"/>
    </row>
    <row r="584" spans="1:12">
      <c r="A584" s="133"/>
      <c r="B584" s="134"/>
      <c r="C584" s="134"/>
      <c r="D584" s="134"/>
      <c r="E584" s="133"/>
      <c r="F584" s="134"/>
      <c r="G584" s="134"/>
      <c r="H584" s="134"/>
      <c r="I584" s="133"/>
      <c r="J584" s="133"/>
      <c r="K584" s="133"/>
      <c r="L584" s="134"/>
    </row>
    <row r="585" spans="1:12">
      <c r="A585" s="133"/>
      <c r="B585" s="134"/>
      <c r="C585" s="134"/>
      <c r="D585" s="134"/>
      <c r="E585" s="133"/>
      <c r="F585" s="134"/>
      <c r="G585" s="134"/>
      <c r="H585" s="134"/>
      <c r="I585" s="133"/>
      <c r="J585" s="133"/>
      <c r="K585" s="133"/>
      <c r="L585" s="134"/>
    </row>
    <row r="586" spans="1:12">
      <c r="A586" s="133"/>
      <c r="B586" s="134"/>
      <c r="C586" s="134"/>
      <c r="D586" s="134"/>
      <c r="E586" s="133"/>
      <c r="F586" s="134"/>
      <c r="G586" s="134"/>
      <c r="H586" s="134"/>
      <c r="I586" s="133"/>
      <c r="J586" s="133"/>
      <c r="K586" s="133"/>
      <c r="L586" s="134"/>
    </row>
    <row r="587" spans="1:12">
      <c r="A587" s="133"/>
      <c r="B587" s="134"/>
      <c r="C587" s="134"/>
      <c r="D587" s="134"/>
      <c r="E587" s="133"/>
      <c r="F587" s="134"/>
      <c r="G587" s="134"/>
      <c r="H587" s="134"/>
      <c r="I587" s="133"/>
      <c r="J587" s="133"/>
      <c r="K587" s="133"/>
      <c r="L587" s="134"/>
    </row>
    <row r="588" spans="1:12">
      <c r="A588" s="133"/>
      <c r="B588" s="134"/>
      <c r="C588" s="134"/>
      <c r="D588" s="134"/>
      <c r="E588" s="133"/>
      <c r="F588" s="134"/>
      <c r="G588" s="134"/>
      <c r="H588" s="134"/>
      <c r="I588" s="133"/>
      <c r="J588" s="133"/>
      <c r="K588" s="133"/>
      <c r="L588" s="134"/>
    </row>
    <row r="589" spans="1:12">
      <c r="A589" s="133"/>
      <c r="B589" s="134"/>
      <c r="C589" s="134"/>
      <c r="D589" s="134"/>
      <c r="E589" s="133"/>
      <c r="F589" s="134"/>
      <c r="G589" s="134"/>
      <c r="H589" s="134"/>
      <c r="I589" s="133"/>
      <c r="J589" s="133"/>
      <c r="K589" s="133"/>
      <c r="L589" s="134"/>
    </row>
    <row r="590" spans="1:12">
      <c r="A590" s="133"/>
      <c r="B590" s="134"/>
      <c r="C590" s="134"/>
      <c r="D590" s="134"/>
      <c r="E590" s="133"/>
      <c r="F590" s="134"/>
      <c r="G590" s="134"/>
      <c r="H590" s="134"/>
      <c r="I590" s="133"/>
      <c r="J590" s="133"/>
      <c r="K590" s="133"/>
      <c r="L590" s="134"/>
    </row>
    <row r="591" spans="1:12">
      <c r="A591" s="133"/>
      <c r="B591" s="134"/>
      <c r="C591" s="134"/>
      <c r="D591" s="134"/>
      <c r="E591" s="133"/>
      <c r="F591" s="134"/>
      <c r="G591" s="134"/>
      <c r="H591" s="134"/>
      <c r="I591" s="133"/>
      <c r="J591" s="133"/>
      <c r="K591" s="133"/>
      <c r="L591" s="134"/>
    </row>
    <row r="592" spans="1:12">
      <c r="A592" s="133"/>
      <c r="B592" s="134"/>
      <c r="C592" s="134"/>
      <c r="D592" s="134"/>
      <c r="E592" s="133"/>
      <c r="F592" s="134"/>
      <c r="G592" s="134"/>
      <c r="H592" s="134"/>
      <c r="I592" s="133"/>
      <c r="J592" s="133"/>
      <c r="K592" s="133"/>
      <c r="L592" s="134"/>
    </row>
    <row r="593" spans="1:12">
      <c r="A593" s="133"/>
      <c r="B593" s="134"/>
      <c r="C593" s="134"/>
      <c r="D593" s="134"/>
      <c r="E593" s="133"/>
      <c r="F593" s="134"/>
      <c r="G593" s="134"/>
      <c r="H593" s="134"/>
      <c r="I593" s="133"/>
      <c r="J593" s="133"/>
      <c r="K593" s="133"/>
      <c r="L593" s="134"/>
    </row>
    <row r="594" spans="1:12">
      <c r="A594" s="133"/>
      <c r="B594" s="134"/>
      <c r="C594" s="134"/>
      <c r="D594" s="134"/>
      <c r="E594" s="133"/>
      <c r="F594" s="134"/>
      <c r="G594" s="134"/>
      <c r="H594" s="134"/>
      <c r="I594" s="133"/>
      <c r="J594" s="133"/>
      <c r="K594" s="133"/>
      <c r="L594" s="134"/>
    </row>
    <row r="595" spans="1:12">
      <c r="A595" s="133"/>
      <c r="B595" s="134"/>
      <c r="C595" s="134"/>
      <c r="D595" s="134"/>
      <c r="E595" s="133"/>
      <c r="F595" s="134"/>
      <c r="G595" s="134"/>
      <c r="H595" s="134"/>
      <c r="I595" s="133"/>
      <c r="J595" s="133"/>
      <c r="K595" s="133"/>
      <c r="L595" s="134"/>
    </row>
    <row r="596" spans="1:12">
      <c r="A596" s="133"/>
      <c r="B596" s="134"/>
      <c r="C596" s="134"/>
      <c r="D596" s="134"/>
      <c r="E596" s="133"/>
      <c r="F596" s="134"/>
      <c r="G596" s="134"/>
      <c r="H596" s="134"/>
      <c r="I596" s="133"/>
      <c r="J596" s="133"/>
      <c r="K596" s="133"/>
      <c r="L596" s="134"/>
    </row>
    <row r="597" spans="1:12">
      <c r="A597" s="133"/>
      <c r="B597" s="134"/>
      <c r="C597" s="134"/>
      <c r="D597" s="134"/>
      <c r="E597" s="133"/>
      <c r="F597" s="134"/>
      <c r="G597" s="134"/>
      <c r="H597" s="134"/>
      <c r="I597" s="133"/>
      <c r="J597" s="133"/>
      <c r="K597" s="133"/>
      <c r="L597" s="134"/>
    </row>
    <row r="598" spans="1:12">
      <c r="A598" s="133"/>
      <c r="B598" s="134"/>
      <c r="C598" s="134"/>
      <c r="D598" s="134"/>
      <c r="E598" s="133"/>
      <c r="F598" s="134"/>
      <c r="G598" s="134"/>
      <c r="H598" s="134"/>
      <c r="I598" s="133"/>
      <c r="J598" s="133"/>
      <c r="K598" s="133"/>
      <c r="L598" s="134"/>
    </row>
    <row r="599" spans="1:12">
      <c r="A599" s="133"/>
      <c r="B599" s="134"/>
      <c r="C599" s="134"/>
      <c r="D599" s="134"/>
      <c r="E599" s="133"/>
      <c r="F599" s="134"/>
      <c r="G599" s="134"/>
      <c r="H599" s="134"/>
      <c r="I599" s="133"/>
      <c r="J599" s="133"/>
      <c r="K599" s="133"/>
      <c r="L599" s="134"/>
    </row>
    <row r="600" spans="1:12">
      <c r="A600" s="133"/>
      <c r="B600" s="134"/>
      <c r="C600" s="134"/>
      <c r="D600" s="134"/>
      <c r="E600" s="133"/>
      <c r="F600" s="134"/>
      <c r="G600" s="134"/>
      <c r="H600" s="134"/>
      <c r="I600" s="133"/>
      <c r="J600" s="133"/>
      <c r="K600" s="133"/>
      <c r="L600" s="134"/>
    </row>
    <row r="601" spans="1:12">
      <c r="A601" s="133"/>
      <c r="B601" s="134"/>
      <c r="C601" s="134"/>
      <c r="D601" s="134"/>
      <c r="E601" s="133"/>
      <c r="F601" s="134"/>
      <c r="G601" s="134"/>
      <c r="H601" s="134"/>
      <c r="I601" s="133"/>
      <c r="J601" s="133"/>
      <c r="K601" s="133"/>
      <c r="L601" s="134"/>
    </row>
    <row r="602" spans="1:12">
      <c r="A602" s="133"/>
      <c r="B602" s="134"/>
      <c r="C602" s="134"/>
      <c r="D602" s="134"/>
      <c r="E602" s="133"/>
      <c r="F602" s="134"/>
      <c r="G602" s="134"/>
      <c r="H602" s="134"/>
      <c r="I602" s="133"/>
      <c r="J602" s="133"/>
      <c r="K602" s="133"/>
      <c r="L602" s="134"/>
    </row>
    <row r="603" spans="1:12">
      <c r="A603" s="133"/>
      <c r="B603" s="134"/>
      <c r="C603" s="134"/>
      <c r="D603" s="134"/>
      <c r="E603" s="133"/>
      <c r="F603" s="134"/>
      <c r="G603" s="134"/>
      <c r="H603" s="134"/>
      <c r="I603" s="133"/>
      <c r="J603" s="133"/>
      <c r="K603" s="133"/>
      <c r="L603" s="134"/>
    </row>
    <row r="604" spans="1:12">
      <c r="A604" s="133"/>
      <c r="B604" s="134"/>
      <c r="C604" s="134"/>
      <c r="D604" s="134"/>
      <c r="E604" s="133"/>
      <c r="F604" s="134"/>
      <c r="G604" s="134"/>
      <c r="H604" s="134"/>
      <c r="I604" s="133"/>
      <c r="J604" s="133"/>
      <c r="K604" s="133"/>
      <c r="L604" s="134"/>
    </row>
    <row r="605" spans="1:12">
      <c r="A605" s="133"/>
      <c r="B605" s="134"/>
      <c r="C605" s="134"/>
      <c r="D605" s="134"/>
      <c r="E605" s="133"/>
      <c r="F605" s="134"/>
      <c r="G605" s="134"/>
      <c r="H605" s="134"/>
      <c r="I605" s="133"/>
      <c r="J605" s="133"/>
      <c r="K605" s="133"/>
      <c r="L605" s="134"/>
    </row>
    <row r="606" spans="1:12">
      <c r="A606" s="133"/>
      <c r="B606" s="134"/>
      <c r="C606" s="134"/>
      <c r="D606" s="134"/>
      <c r="E606" s="133"/>
      <c r="F606" s="134"/>
      <c r="G606" s="134"/>
      <c r="H606" s="134"/>
      <c r="I606" s="133"/>
      <c r="J606" s="133"/>
      <c r="K606" s="133"/>
      <c r="L606" s="134"/>
    </row>
    <row r="607" spans="1:12">
      <c r="A607" s="133"/>
      <c r="B607" s="134"/>
      <c r="C607" s="134"/>
      <c r="D607" s="134"/>
      <c r="E607" s="133"/>
      <c r="F607" s="134"/>
      <c r="G607" s="134"/>
      <c r="H607" s="134"/>
      <c r="I607" s="133"/>
      <c r="J607" s="133"/>
      <c r="K607" s="133"/>
      <c r="L607" s="134"/>
    </row>
    <row r="608" spans="1:12">
      <c r="A608" s="133"/>
      <c r="B608" s="134"/>
      <c r="C608" s="134"/>
      <c r="D608" s="134"/>
      <c r="E608" s="133"/>
      <c r="F608" s="134"/>
      <c r="G608" s="134"/>
      <c r="H608" s="134"/>
      <c r="I608" s="133"/>
      <c r="J608" s="133"/>
      <c r="K608" s="133"/>
      <c r="L608" s="134"/>
    </row>
    <row r="609" spans="1:12">
      <c r="A609" s="133"/>
      <c r="B609" s="134"/>
      <c r="C609" s="134"/>
      <c r="D609" s="134"/>
      <c r="E609" s="133"/>
      <c r="F609" s="134"/>
      <c r="G609" s="134"/>
      <c r="H609" s="134"/>
      <c r="I609" s="133"/>
      <c r="J609" s="133"/>
      <c r="K609" s="133"/>
      <c r="L609" s="134"/>
    </row>
    <row r="610" spans="1:12">
      <c r="A610" s="133"/>
      <c r="B610" s="134"/>
      <c r="C610" s="134"/>
      <c r="D610" s="134"/>
      <c r="E610" s="133"/>
      <c r="F610" s="134"/>
      <c r="G610" s="134"/>
      <c r="H610" s="134"/>
      <c r="I610" s="133"/>
      <c r="J610" s="133"/>
      <c r="K610" s="133"/>
      <c r="L610" s="134"/>
    </row>
    <row r="611" spans="1:12">
      <c r="A611" s="133"/>
      <c r="B611" s="134"/>
      <c r="C611" s="134"/>
      <c r="D611" s="134"/>
      <c r="E611" s="133"/>
      <c r="F611" s="134"/>
      <c r="G611" s="134"/>
      <c r="H611" s="134"/>
      <c r="I611" s="133"/>
      <c r="J611" s="133"/>
      <c r="K611" s="133"/>
      <c r="L611" s="134"/>
    </row>
    <row r="612" spans="1:12">
      <c r="A612" s="133"/>
      <c r="B612" s="134"/>
      <c r="C612" s="134"/>
      <c r="D612" s="134"/>
      <c r="E612" s="133"/>
      <c r="F612" s="134"/>
      <c r="G612" s="134"/>
      <c r="H612" s="134"/>
      <c r="I612" s="133"/>
      <c r="J612" s="133"/>
      <c r="K612" s="133"/>
      <c r="L612" s="134"/>
    </row>
    <row r="613" spans="1:12">
      <c r="A613" s="133"/>
      <c r="B613" s="134"/>
      <c r="C613" s="134"/>
      <c r="D613" s="134"/>
      <c r="E613" s="133"/>
      <c r="F613" s="134"/>
      <c r="G613" s="134"/>
      <c r="H613" s="134"/>
      <c r="I613" s="133"/>
      <c r="J613" s="133"/>
      <c r="K613" s="133"/>
      <c r="L613" s="134"/>
    </row>
    <row r="614" spans="1:12">
      <c r="A614" s="133"/>
      <c r="B614" s="134"/>
      <c r="C614" s="134"/>
      <c r="D614" s="134"/>
      <c r="E614" s="133"/>
      <c r="F614" s="134"/>
      <c r="G614" s="134"/>
      <c r="H614" s="134"/>
      <c r="I614" s="133"/>
      <c r="J614" s="133"/>
      <c r="K614" s="133"/>
      <c r="L614" s="134"/>
    </row>
    <row r="615" spans="1:12">
      <c r="A615" s="133"/>
      <c r="B615" s="134"/>
      <c r="C615" s="134"/>
      <c r="D615" s="134"/>
      <c r="E615" s="133"/>
      <c r="F615" s="134"/>
      <c r="G615" s="134"/>
      <c r="H615" s="134"/>
      <c r="I615" s="133"/>
      <c r="J615" s="133"/>
      <c r="K615" s="133"/>
      <c r="L615" s="134"/>
    </row>
    <row r="616" spans="1:12">
      <c r="A616" s="133"/>
      <c r="B616" s="134"/>
      <c r="C616" s="134"/>
      <c r="D616" s="134"/>
      <c r="E616" s="133"/>
      <c r="F616" s="134"/>
      <c r="G616" s="134"/>
      <c r="H616" s="134"/>
      <c r="I616" s="133"/>
      <c r="J616" s="133"/>
      <c r="K616" s="133"/>
      <c r="L616" s="134"/>
    </row>
    <row r="617" spans="1:12">
      <c r="A617" s="133"/>
      <c r="B617" s="134"/>
      <c r="C617" s="134"/>
      <c r="D617" s="134"/>
      <c r="E617" s="133"/>
      <c r="F617" s="134"/>
      <c r="G617" s="134"/>
      <c r="H617" s="134"/>
      <c r="I617" s="133"/>
      <c r="J617" s="133"/>
      <c r="K617" s="133"/>
      <c r="L617" s="134"/>
    </row>
    <row r="618" spans="1:12">
      <c r="A618" s="133"/>
      <c r="B618" s="134"/>
      <c r="C618" s="134"/>
      <c r="D618" s="134"/>
      <c r="E618" s="133"/>
      <c r="F618" s="134"/>
      <c r="G618" s="134"/>
      <c r="H618" s="134"/>
      <c r="I618" s="133"/>
      <c r="J618" s="133"/>
      <c r="K618" s="133"/>
      <c r="L618" s="134"/>
    </row>
    <row r="619" spans="1:12">
      <c r="A619" s="133"/>
      <c r="B619" s="134"/>
      <c r="C619" s="134"/>
      <c r="D619" s="134"/>
      <c r="E619" s="133"/>
      <c r="F619" s="134"/>
      <c r="G619" s="134"/>
      <c r="H619" s="134"/>
      <c r="I619" s="133"/>
      <c r="J619" s="133"/>
      <c r="K619" s="133"/>
      <c r="L619" s="134"/>
    </row>
    <row r="620" spans="1:12">
      <c r="A620" s="133"/>
      <c r="B620" s="134"/>
      <c r="C620" s="134"/>
      <c r="D620" s="134"/>
      <c r="E620" s="133"/>
      <c r="F620" s="134"/>
      <c r="G620" s="134"/>
      <c r="H620" s="134"/>
      <c r="I620" s="133"/>
      <c r="J620" s="133"/>
      <c r="K620" s="133"/>
      <c r="L620" s="134"/>
    </row>
    <row r="621" spans="1:12">
      <c r="A621" s="133"/>
      <c r="B621" s="134"/>
      <c r="C621" s="134"/>
      <c r="D621" s="134"/>
      <c r="E621" s="133"/>
      <c r="F621" s="134"/>
      <c r="G621" s="134"/>
      <c r="H621" s="134"/>
      <c r="I621" s="133"/>
      <c r="J621" s="133"/>
      <c r="K621" s="133"/>
      <c r="L621" s="134"/>
    </row>
    <row r="622" spans="1:12">
      <c r="A622" s="133"/>
      <c r="B622" s="134"/>
      <c r="C622" s="134"/>
      <c r="D622" s="134"/>
      <c r="E622" s="133"/>
      <c r="F622" s="134"/>
      <c r="G622" s="134"/>
      <c r="H622" s="134"/>
      <c r="I622" s="133"/>
      <c r="J622" s="133"/>
      <c r="K622" s="133"/>
      <c r="L622" s="134"/>
    </row>
    <row r="623" spans="1:12">
      <c r="A623" s="133"/>
      <c r="B623" s="134"/>
      <c r="C623" s="134"/>
      <c r="D623" s="134"/>
      <c r="E623" s="133"/>
      <c r="F623" s="134"/>
      <c r="G623" s="134"/>
      <c r="H623" s="134"/>
      <c r="I623" s="133"/>
      <c r="J623" s="133"/>
      <c r="K623" s="133"/>
      <c r="L623" s="134"/>
    </row>
    <row r="624" spans="1:12">
      <c r="A624" s="133"/>
      <c r="B624" s="134"/>
      <c r="C624" s="134"/>
      <c r="D624" s="134"/>
      <c r="E624" s="133"/>
      <c r="F624" s="134"/>
      <c r="G624" s="134"/>
      <c r="H624" s="134"/>
      <c r="I624" s="133"/>
      <c r="J624" s="133"/>
      <c r="K624" s="133"/>
      <c r="L624" s="134"/>
    </row>
    <row r="625" spans="1:12">
      <c r="A625" s="133"/>
      <c r="B625" s="134"/>
      <c r="C625" s="134"/>
      <c r="D625" s="134"/>
      <c r="E625" s="133"/>
      <c r="F625" s="134"/>
      <c r="G625" s="134"/>
      <c r="H625" s="134"/>
      <c r="I625" s="133"/>
      <c r="J625" s="133"/>
      <c r="K625" s="133"/>
      <c r="L625" s="134"/>
    </row>
    <row r="626" spans="1:12">
      <c r="A626" s="133"/>
      <c r="B626" s="134"/>
      <c r="C626" s="134"/>
      <c r="D626" s="134"/>
      <c r="E626" s="133"/>
      <c r="F626" s="134"/>
      <c r="G626" s="134"/>
      <c r="H626" s="134"/>
      <c r="I626" s="133"/>
      <c r="J626" s="133"/>
      <c r="K626" s="133"/>
      <c r="L626" s="134"/>
    </row>
    <row r="627" spans="1:12">
      <c r="A627" s="133"/>
      <c r="B627" s="134"/>
      <c r="C627" s="134"/>
      <c r="D627" s="134"/>
      <c r="E627" s="133"/>
      <c r="F627" s="134"/>
      <c r="G627" s="134"/>
      <c r="H627" s="134"/>
      <c r="I627" s="133"/>
      <c r="J627" s="133"/>
      <c r="K627" s="133"/>
      <c r="L627" s="134"/>
    </row>
    <row r="628" spans="1:12">
      <c r="A628" s="133"/>
      <c r="B628" s="134"/>
      <c r="C628" s="134"/>
      <c r="D628" s="134"/>
      <c r="E628" s="133"/>
      <c r="F628" s="134"/>
      <c r="G628" s="134"/>
      <c r="H628" s="134"/>
      <c r="I628" s="133"/>
      <c r="J628" s="133"/>
      <c r="K628" s="133"/>
      <c r="L628" s="134"/>
    </row>
    <row r="629" spans="1:12">
      <c r="A629" s="133"/>
      <c r="B629" s="134"/>
      <c r="C629" s="134"/>
      <c r="D629" s="134"/>
      <c r="E629" s="133"/>
      <c r="F629" s="134"/>
      <c r="G629" s="134"/>
      <c r="H629" s="134"/>
      <c r="I629" s="133"/>
      <c r="J629" s="133"/>
      <c r="K629" s="133"/>
      <c r="L629" s="134"/>
    </row>
    <row r="630" spans="1:12">
      <c r="A630" s="133"/>
      <c r="B630" s="134"/>
      <c r="C630" s="134"/>
      <c r="D630" s="134"/>
      <c r="E630" s="133"/>
      <c r="F630" s="134"/>
      <c r="G630" s="134"/>
      <c r="H630" s="134"/>
      <c r="I630" s="133"/>
      <c r="J630" s="133"/>
      <c r="K630" s="133"/>
      <c r="L630" s="134"/>
    </row>
    <row r="631" spans="1:12">
      <c r="A631" s="133"/>
      <c r="B631" s="134"/>
      <c r="C631" s="134"/>
      <c r="D631" s="134"/>
      <c r="E631" s="133"/>
      <c r="F631" s="134"/>
      <c r="G631" s="134"/>
      <c r="H631" s="134"/>
      <c r="I631" s="133"/>
      <c r="J631" s="133"/>
      <c r="K631" s="133"/>
      <c r="L631" s="134"/>
    </row>
    <row r="632" spans="1:12">
      <c r="A632" s="133"/>
      <c r="B632" s="134"/>
      <c r="C632" s="134"/>
      <c r="D632" s="134"/>
      <c r="E632" s="133"/>
      <c r="F632" s="134"/>
      <c r="G632" s="134"/>
      <c r="H632" s="134"/>
      <c r="I632" s="133"/>
      <c r="J632" s="133"/>
      <c r="K632" s="133"/>
      <c r="L632" s="134"/>
    </row>
    <row r="633" spans="1:12">
      <c r="A633" s="133"/>
      <c r="B633" s="134"/>
      <c r="C633" s="134"/>
      <c r="D633" s="134"/>
      <c r="E633" s="133"/>
      <c r="F633" s="134"/>
      <c r="G633" s="134"/>
      <c r="H633" s="134"/>
      <c r="I633" s="133"/>
      <c r="J633" s="133"/>
      <c r="K633" s="133"/>
      <c r="L633" s="134"/>
    </row>
    <row r="634" spans="1:12">
      <c r="A634" s="133"/>
      <c r="B634" s="134"/>
      <c r="C634" s="134"/>
      <c r="D634" s="134"/>
      <c r="E634" s="133"/>
      <c r="F634" s="134"/>
      <c r="G634" s="134"/>
      <c r="H634" s="134"/>
      <c r="I634" s="133"/>
      <c r="J634" s="133"/>
      <c r="K634" s="133"/>
      <c r="L634" s="134"/>
    </row>
    <row r="635" spans="1:12">
      <c r="A635" s="133"/>
      <c r="B635" s="134"/>
      <c r="C635" s="134"/>
      <c r="D635" s="134"/>
      <c r="E635" s="133"/>
      <c r="F635" s="134"/>
      <c r="G635" s="134"/>
      <c r="H635" s="134"/>
      <c r="I635" s="133"/>
      <c r="J635" s="133"/>
      <c r="K635" s="133"/>
      <c r="L635" s="134"/>
    </row>
    <row r="636" spans="1:12">
      <c r="A636" s="133"/>
      <c r="B636" s="134"/>
      <c r="C636" s="134"/>
      <c r="D636" s="134"/>
      <c r="E636" s="133"/>
      <c r="F636" s="134"/>
      <c r="G636" s="134"/>
      <c r="H636" s="134"/>
      <c r="I636" s="133"/>
      <c r="J636" s="133"/>
      <c r="K636" s="133"/>
      <c r="L636" s="134"/>
    </row>
    <row r="637" spans="1:12">
      <c r="A637" s="133"/>
      <c r="B637" s="134"/>
      <c r="C637" s="134"/>
      <c r="D637" s="134"/>
      <c r="E637" s="133"/>
      <c r="F637" s="134"/>
      <c r="G637" s="134"/>
      <c r="H637" s="134"/>
      <c r="I637" s="133"/>
      <c r="J637" s="133"/>
      <c r="K637" s="133"/>
      <c r="L637" s="134"/>
    </row>
    <row r="638" spans="1:12">
      <c r="A638" s="133"/>
      <c r="B638" s="134"/>
      <c r="C638" s="134"/>
      <c r="D638" s="134"/>
      <c r="E638" s="133"/>
      <c r="F638" s="134"/>
      <c r="G638" s="134"/>
      <c r="H638" s="134"/>
      <c r="I638" s="133"/>
      <c r="J638" s="133"/>
      <c r="K638" s="133"/>
      <c r="L638" s="134"/>
    </row>
    <row r="639" spans="1:12">
      <c r="A639" s="133"/>
      <c r="B639" s="134"/>
      <c r="C639" s="134"/>
      <c r="D639" s="134"/>
      <c r="E639" s="133"/>
      <c r="F639" s="134"/>
      <c r="G639" s="134"/>
      <c r="H639" s="134"/>
      <c r="I639" s="133"/>
      <c r="J639" s="133"/>
      <c r="K639" s="133"/>
      <c r="L639" s="134"/>
    </row>
    <row r="640" spans="1:12">
      <c r="A640" s="133"/>
      <c r="B640" s="134"/>
      <c r="C640" s="134"/>
      <c r="D640" s="134"/>
      <c r="E640" s="133"/>
      <c r="F640" s="134"/>
      <c r="G640" s="134"/>
      <c r="H640" s="134"/>
      <c r="I640" s="133"/>
      <c r="J640" s="133"/>
      <c r="K640" s="133"/>
      <c r="L640" s="134"/>
    </row>
    <row r="641" spans="1:12">
      <c r="A641" s="133"/>
      <c r="B641" s="134"/>
      <c r="C641" s="134"/>
      <c r="D641" s="134"/>
      <c r="E641" s="133"/>
      <c r="F641" s="134"/>
      <c r="G641" s="134"/>
      <c r="H641" s="134"/>
      <c r="I641" s="133"/>
      <c r="J641" s="133"/>
      <c r="K641" s="133"/>
      <c r="L641" s="134"/>
    </row>
    <row r="642" spans="1:12">
      <c r="A642" s="133"/>
      <c r="B642" s="134"/>
      <c r="C642" s="134"/>
      <c r="D642" s="134"/>
      <c r="E642" s="133"/>
      <c r="F642" s="134"/>
      <c r="G642" s="134"/>
      <c r="H642" s="134"/>
      <c r="I642" s="133"/>
      <c r="J642" s="133"/>
      <c r="K642" s="133"/>
      <c r="L642" s="134"/>
    </row>
    <row r="643" spans="1:12">
      <c r="A643" s="133"/>
      <c r="B643" s="134"/>
      <c r="C643" s="134"/>
      <c r="D643" s="134"/>
      <c r="E643" s="133"/>
      <c r="F643" s="134"/>
      <c r="G643" s="134"/>
      <c r="H643" s="134"/>
      <c r="I643" s="133"/>
      <c r="J643" s="133"/>
      <c r="K643" s="133"/>
      <c r="L643" s="134"/>
    </row>
    <row r="644" spans="1:12">
      <c r="A644" s="133"/>
      <c r="B644" s="134"/>
      <c r="C644" s="134"/>
      <c r="D644" s="134"/>
      <c r="E644" s="133"/>
      <c r="F644" s="134"/>
      <c r="G644" s="134"/>
      <c r="H644" s="134"/>
      <c r="I644" s="133"/>
      <c r="J644" s="133"/>
      <c r="K644" s="133"/>
      <c r="L644" s="134"/>
    </row>
    <row r="645" spans="1:12">
      <c r="A645" s="133"/>
      <c r="B645" s="134"/>
      <c r="C645" s="134"/>
      <c r="D645" s="134"/>
      <c r="E645" s="133"/>
      <c r="F645" s="134"/>
      <c r="G645" s="134"/>
      <c r="H645" s="134"/>
      <c r="I645" s="133"/>
      <c r="J645" s="133"/>
      <c r="K645" s="133"/>
      <c r="L645" s="134"/>
    </row>
    <row r="646" spans="1:12">
      <c r="A646" s="133"/>
      <c r="B646" s="134"/>
      <c r="C646" s="134"/>
      <c r="D646" s="134"/>
      <c r="E646" s="133"/>
      <c r="F646" s="134"/>
      <c r="G646" s="134"/>
      <c r="H646" s="134"/>
      <c r="I646" s="133"/>
      <c r="J646" s="133"/>
      <c r="K646" s="133"/>
      <c r="L646" s="134"/>
    </row>
    <row r="647" spans="1:12">
      <c r="A647" s="133"/>
      <c r="B647" s="134"/>
      <c r="C647" s="134"/>
      <c r="D647" s="134"/>
      <c r="E647" s="133"/>
      <c r="F647" s="134"/>
      <c r="G647" s="134"/>
      <c r="H647" s="134"/>
      <c r="I647" s="133"/>
      <c r="J647" s="133"/>
      <c r="K647" s="133"/>
      <c r="L647" s="134"/>
    </row>
    <row r="648" spans="1:12">
      <c r="A648" s="133"/>
      <c r="B648" s="134"/>
      <c r="C648" s="134"/>
      <c r="D648" s="134"/>
      <c r="E648" s="133"/>
      <c r="F648" s="134"/>
      <c r="G648" s="134"/>
      <c r="H648" s="134"/>
      <c r="I648" s="133"/>
      <c r="J648" s="133"/>
      <c r="K648" s="133"/>
      <c r="L648" s="134"/>
    </row>
    <row r="649" spans="1:12">
      <c r="A649" s="133"/>
      <c r="B649" s="134"/>
      <c r="C649" s="134"/>
      <c r="D649" s="134"/>
      <c r="E649" s="133"/>
      <c r="F649" s="134"/>
      <c r="G649" s="134"/>
      <c r="H649" s="134"/>
      <c r="I649" s="133"/>
      <c r="J649" s="133"/>
      <c r="K649" s="133"/>
      <c r="L649" s="134"/>
    </row>
    <row r="650" spans="1:12">
      <c r="A650" s="133"/>
      <c r="B650" s="134"/>
      <c r="C650" s="134"/>
      <c r="D650" s="134"/>
      <c r="E650" s="133"/>
      <c r="F650" s="134"/>
      <c r="G650" s="134"/>
      <c r="H650" s="134"/>
      <c r="I650" s="133"/>
      <c r="J650" s="133"/>
      <c r="K650" s="133"/>
      <c r="L650" s="134"/>
    </row>
    <row r="651" spans="1:12">
      <c r="A651" s="133"/>
      <c r="B651" s="134"/>
      <c r="C651" s="134"/>
      <c r="D651" s="134"/>
      <c r="E651" s="133"/>
      <c r="F651" s="134"/>
      <c r="G651" s="134"/>
      <c r="H651" s="134"/>
      <c r="I651" s="133"/>
      <c r="J651" s="133"/>
      <c r="K651" s="133"/>
      <c r="L651" s="134"/>
    </row>
    <row r="652" spans="1:12">
      <c r="A652" s="133"/>
      <c r="B652" s="134"/>
      <c r="C652" s="134"/>
      <c r="D652" s="134"/>
      <c r="E652" s="133"/>
      <c r="F652" s="134"/>
      <c r="G652" s="134"/>
      <c r="H652" s="134"/>
      <c r="I652" s="133"/>
      <c r="J652" s="133"/>
      <c r="K652" s="133"/>
      <c r="L652" s="134"/>
    </row>
    <row r="653" spans="1:12">
      <c r="A653" s="133"/>
      <c r="B653" s="134"/>
      <c r="C653" s="134"/>
      <c r="D653" s="134"/>
      <c r="E653" s="133"/>
      <c r="F653" s="134"/>
      <c r="G653" s="134"/>
      <c r="H653" s="134"/>
      <c r="I653" s="133"/>
      <c r="J653" s="133"/>
      <c r="K653" s="133"/>
      <c r="L653" s="134"/>
    </row>
    <row r="654" spans="1:12">
      <c r="A654" s="133"/>
      <c r="B654" s="134"/>
      <c r="C654" s="134"/>
      <c r="D654" s="134"/>
      <c r="E654" s="133"/>
      <c r="F654" s="134"/>
      <c r="G654" s="134"/>
      <c r="H654" s="134"/>
      <c r="I654" s="133"/>
      <c r="J654" s="133"/>
      <c r="K654" s="133"/>
      <c r="L654" s="134"/>
    </row>
    <row r="655" spans="1:12">
      <c r="A655" s="133"/>
      <c r="B655" s="134"/>
      <c r="C655" s="134"/>
      <c r="D655" s="134"/>
      <c r="E655" s="133"/>
      <c r="F655" s="134"/>
      <c r="G655" s="134"/>
      <c r="H655" s="134"/>
      <c r="I655" s="133"/>
      <c r="J655" s="133"/>
      <c r="K655" s="133"/>
      <c r="L655" s="134"/>
    </row>
    <row r="656" spans="1:12">
      <c r="A656" s="133"/>
      <c r="B656" s="134"/>
      <c r="C656" s="134"/>
      <c r="D656" s="134"/>
      <c r="E656" s="133"/>
      <c r="F656" s="134"/>
      <c r="G656" s="134"/>
      <c r="H656" s="134"/>
      <c r="I656" s="133"/>
      <c r="J656" s="133"/>
      <c r="K656" s="133"/>
      <c r="L656" s="134"/>
    </row>
    <row r="657" spans="1:12">
      <c r="A657" s="133"/>
      <c r="B657" s="134"/>
      <c r="C657" s="134"/>
      <c r="D657" s="134"/>
      <c r="E657" s="133"/>
      <c r="F657" s="134"/>
      <c r="G657" s="134"/>
      <c r="H657" s="134"/>
      <c r="I657" s="133"/>
      <c r="J657" s="133"/>
      <c r="K657" s="133"/>
      <c r="L657" s="134"/>
    </row>
    <row r="658" spans="1:12">
      <c r="A658" s="133"/>
      <c r="B658" s="134"/>
      <c r="C658" s="134"/>
      <c r="D658" s="134"/>
      <c r="E658" s="133"/>
      <c r="F658" s="134"/>
      <c r="G658" s="134"/>
      <c r="H658" s="134"/>
      <c r="I658" s="133"/>
      <c r="J658" s="133"/>
      <c r="K658" s="133"/>
      <c r="L658" s="134"/>
    </row>
    <row r="659" spans="1:12">
      <c r="A659" s="133"/>
      <c r="B659" s="134"/>
      <c r="C659" s="134"/>
      <c r="D659" s="134"/>
      <c r="E659" s="133"/>
      <c r="F659" s="134"/>
      <c r="G659" s="134"/>
      <c r="H659" s="134"/>
      <c r="I659" s="133"/>
      <c r="J659" s="133"/>
      <c r="K659" s="133"/>
      <c r="L659" s="134"/>
    </row>
    <row r="660" spans="1:12">
      <c r="A660" s="133"/>
      <c r="B660" s="134"/>
      <c r="C660" s="134"/>
      <c r="D660" s="134"/>
      <c r="E660" s="133"/>
      <c r="F660" s="134"/>
      <c r="G660" s="134"/>
      <c r="H660" s="134"/>
      <c r="I660" s="133"/>
      <c r="J660" s="133"/>
      <c r="K660" s="133"/>
      <c r="L660" s="134"/>
    </row>
    <row r="661" spans="1:12">
      <c r="A661" s="133"/>
      <c r="B661" s="134"/>
      <c r="C661" s="134"/>
      <c r="D661" s="134"/>
      <c r="E661" s="133"/>
      <c r="F661" s="134"/>
      <c r="G661" s="134"/>
      <c r="H661" s="134"/>
      <c r="I661" s="133"/>
      <c r="J661" s="133"/>
      <c r="K661" s="133"/>
      <c r="L661" s="134"/>
    </row>
    <row r="662" spans="1:12">
      <c r="A662" s="133"/>
      <c r="B662" s="134"/>
      <c r="C662" s="134"/>
      <c r="D662" s="134"/>
      <c r="E662" s="133"/>
      <c r="F662" s="134"/>
      <c r="G662" s="134"/>
      <c r="H662" s="134"/>
      <c r="I662" s="133"/>
      <c r="J662" s="133"/>
      <c r="K662" s="133"/>
      <c r="L662" s="134"/>
    </row>
    <row r="663" spans="1:12">
      <c r="A663" s="133"/>
      <c r="B663" s="134"/>
      <c r="C663" s="134"/>
      <c r="D663" s="134"/>
      <c r="E663" s="133"/>
      <c r="F663" s="134"/>
      <c r="G663" s="134"/>
      <c r="H663" s="134"/>
      <c r="I663" s="133"/>
      <c r="J663" s="133"/>
      <c r="K663" s="133"/>
      <c r="L663" s="134"/>
    </row>
    <row r="664" spans="1:12">
      <c r="A664" s="133"/>
      <c r="B664" s="134"/>
      <c r="C664" s="134"/>
      <c r="D664" s="134"/>
      <c r="E664" s="133"/>
      <c r="F664" s="134"/>
      <c r="G664" s="134"/>
      <c r="H664" s="134"/>
      <c r="I664" s="133"/>
      <c r="J664" s="133"/>
      <c r="K664" s="133"/>
      <c r="L664" s="134"/>
    </row>
    <row r="665" spans="1:12">
      <c r="A665" s="133"/>
      <c r="B665" s="134"/>
      <c r="C665" s="134"/>
      <c r="D665" s="134"/>
      <c r="E665" s="133"/>
      <c r="F665" s="134"/>
      <c r="G665" s="134"/>
      <c r="H665" s="134"/>
      <c r="I665" s="133"/>
      <c r="J665" s="133"/>
      <c r="K665" s="133"/>
      <c r="L665" s="134"/>
    </row>
    <row r="666" spans="1:12">
      <c r="A666" s="133"/>
      <c r="B666" s="134"/>
      <c r="C666" s="134"/>
      <c r="D666" s="134"/>
      <c r="E666" s="133"/>
      <c r="F666" s="134"/>
      <c r="G666" s="134"/>
      <c r="H666" s="134"/>
      <c r="I666" s="133"/>
      <c r="J666" s="133"/>
      <c r="K666" s="133"/>
      <c r="L666" s="134"/>
    </row>
    <row r="667" spans="1:12">
      <c r="A667" s="133"/>
      <c r="B667" s="134"/>
      <c r="C667" s="134"/>
      <c r="D667" s="134"/>
      <c r="E667" s="133"/>
      <c r="F667" s="134"/>
      <c r="G667" s="134"/>
      <c r="H667" s="134"/>
      <c r="I667" s="133"/>
      <c r="J667" s="133"/>
      <c r="K667" s="133"/>
      <c r="L667" s="134"/>
    </row>
    <row r="668" spans="1:12">
      <c r="A668" s="133"/>
      <c r="B668" s="134"/>
      <c r="C668" s="134"/>
      <c r="D668" s="134"/>
      <c r="E668" s="133"/>
      <c r="F668" s="134"/>
      <c r="G668" s="134"/>
      <c r="H668" s="134"/>
      <c r="I668" s="133"/>
      <c r="J668" s="133"/>
      <c r="K668" s="133"/>
      <c r="L668" s="134"/>
    </row>
    <row r="669" spans="1:12">
      <c r="A669" s="133"/>
      <c r="B669" s="134"/>
      <c r="C669" s="134"/>
      <c r="D669" s="134"/>
      <c r="E669" s="133"/>
      <c r="F669" s="134"/>
      <c r="G669" s="134"/>
      <c r="H669" s="134"/>
      <c r="I669" s="133"/>
      <c r="J669" s="133"/>
      <c r="K669" s="133"/>
      <c r="L669" s="134"/>
    </row>
    <row r="670" spans="1:12">
      <c r="A670" s="133"/>
      <c r="B670" s="134"/>
      <c r="C670" s="134"/>
      <c r="D670" s="134"/>
      <c r="E670" s="133"/>
      <c r="F670" s="134"/>
      <c r="G670" s="134"/>
      <c r="H670" s="134"/>
      <c r="I670" s="133"/>
      <c r="J670" s="133"/>
      <c r="K670" s="133"/>
      <c r="L670" s="134"/>
    </row>
    <row r="671" spans="1:12">
      <c r="A671" s="133"/>
      <c r="B671" s="134"/>
      <c r="C671" s="134"/>
      <c r="D671" s="134"/>
      <c r="E671" s="133"/>
      <c r="F671" s="134"/>
      <c r="G671" s="134"/>
      <c r="H671" s="134"/>
      <c r="I671" s="133"/>
      <c r="J671" s="133"/>
      <c r="K671" s="133"/>
      <c r="L671" s="134"/>
    </row>
    <row r="672" spans="1:12">
      <c r="A672" s="133"/>
      <c r="B672" s="134"/>
      <c r="C672" s="134"/>
      <c r="D672" s="134"/>
      <c r="E672" s="133"/>
      <c r="F672" s="134"/>
      <c r="G672" s="134"/>
      <c r="H672" s="134"/>
      <c r="I672" s="133"/>
      <c r="J672" s="133"/>
      <c r="K672" s="133"/>
      <c r="L672" s="134"/>
    </row>
    <row r="673" spans="1:12">
      <c r="A673" s="133"/>
      <c r="B673" s="134"/>
      <c r="C673" s="134"/>
      <c r="D673" s="134"/>
      <c r="E673" s="133"/>
      <c r="F673" s="134"/>
      <c r="G673" s="134"/>
      <c r="H673" s="134"/>
      <c r="I673" s="133"/>
      <c r="J673" s="133"/>
      <c r="K673" s="133"/>
      <c r="L673" s="134"/>
    </row>
    <row r="674" spans="1:12">
      <c r="A674" s="133"/>
      <c r="B674" s="134"/>
      <c r="C674" s="134"/>
      <c r="D674" s="134"/>
      <c r="E674" s="133"/>
      <c r="F674" s="134"/>
      <c r="G674" s="134"/>
      <c r="H674" s="134"/>
      <c r="I674" s="133"/>
      <c r="J674" s="133"/>
      <c r="K674" s="133"/>
      <c r="L674" s="134"/>
    </row>
    <row r="675" spans="1:12">
      <c r="A675" s="133"/>
      <c r="B675" s="134"/>
      <c r="C675" s="134"/>
      <c r="D675" s="134"/>
      <c r="E675" s="133"/>
      <c r="F675" s="134"/>
      <c r="G675" s="134"/>
      <c r="H675" s="134"/>
      <c r="I675" s="133"/>
      <c r="J675" s="133"/>
      <c r="K675" s="133"/>
      <c r="L675" s="134"/>
    </row>
    <row r="676" spans="1:12">
      <c r="A676" s="133"/>
      <c r="B676" s="134"/>
      <c r="C676" s="134"/>
      <c r="D676" s="134"/>
      <c r="E676" s="133"/>
      <c r="F676" s="134"/>
      <c r="G676" s="134"/>
      <c r="H676" s="134"/>
      <c r="I676" s="133"/>
      <c r="J676" s="133"/>
      <c r="K676" s="133"/>
      <c r="L676" s="134"/>
    </row>
    <row r="677" spans="1:12">
      <c r="A677" s="133"/>
      <c r="B677" s="134"/>
      <c r="C677" s="134"/>
      <c r="D677" s="134"/>
      <c r="E677" s="133"/>
      <c r="F677" s="134"/>
      <c r="G677" s="134"/>
      <c r="H677" s="134"/>
      <c r="I677" s="133"/>
      <c r="J677" s="133"/>
      <c r="K677" s="133"/>
      <c r="L677" s="134"/>
    </row>
    <row r="678" spans="1:12">
      <c r="A678" s="133"/>
      <c r="B678" s="134"/>
      <c r="C678" s="134"/>
      <c r="D678" s="134"/>
      <c r="E678" s="133"/>
      <c r="F678" s="134"/>
      <c r="G678" s="134"/>
      <c r="H678" s="134"/>
      <c r="I678" s="133"/>
      <c r="J678" s="133"/>
      <c r="K678" s="133"/>
      <c r="L678" s="134"/>
    </row>
    <row r="679" spans="1:12">
      <c r="A679" s="133"/>
      <c r="B679" s="134"/>
      <c r="C679" s="134"/>
      <c r="D679" s="134"/>
      <c r="E679" s="133"/>
      <c r="F679" s="134"/>
      <c r="G679" s="134"/>
      <c r="H679" s="134"/>
      <c r="I679" s="133"/>
      <c r="J679" s="133"/>
      <c r="K679" s="133"/>
      <c r="L679" s="134"/>
    </row>
    <row r="680" spans="1:12">
      <c r="A680" s="133"/>
      <c r="B680" s="134"/>
      <c r="C680" s="134"/>
      <c r="D680" s="134"/>
      <c r="E680" s="133"/>
      <c r="F680" s="134"/>
      <c r="G680" s="134"/>
      <c r="H680" s="134"/>
      <c r="I680" s="133"/>
      <c r="J680" s="133"/>
      <c r="K680" s="133"/>
      <c r="L680" s="134"/>
    </row>
    <row r="681" spans="1:12">
      <c r="A681" s="133"/>
      <c r="B681" s="134"/>
      <c r="C681" s="134"/>
      <c r="D681" s="134"/>
      <c r="E681" s="133"/>
      <c r="F681" s="134"/>
      <c r="G681" s="134"/>
      <c r="H681" s="134"/>
      <c r="I681" s="133"/>
      <c r="J681" s="133"/>
      <c r="K681" s="133"/>
      <c r="L681" s="134"/>
    </row>
    <row r="682" spans="1:12">
      <c r="A682" s="133"/>
      <c r="B682" s="134"/>
      <c r="C682" s="134"/>
      <c r="D682" s="134"/>
      <c r="E682" s="133"/>
      <c r="F682" s="134"/>
      <c r="G682" s="134"/>
      <c r="H682" s="134"/>
      <c r="I682" s="133"/>
      <c r="J682" s="133"/>
      <c r="K682" s="133"/>
      <c r="L682" s="134"/>
    </row>
    <row r="683" spans="1:12">
      <c r="A683" s="133"/>
      <c r="B683" s="134"/>
      <c r="C683" s="134"/>
      <c r="D683" s="134"/>
      <c r="E683" s="133"/>
      <c r="F683" s="134"/>
      <c r="G683" s="134"/>
      <c r="H683" s="134"/>
      <c r="I683" s="133"/>
      <c r="J683" s="133"/>
      <c r="K683" s="133"/>
      <c r="L683" s="134"/>
    </row>
    <row r="684" spans="1:12">
      <c r="A684" s="133"/>
      <c r="B684" s="134"/>
      <c r="C684" s="134"/>
      <c r="D684" s="134"/>
      <c r="E684" s="133"/>
      <c r="F684" s="134"/>
      <c r="G684" s="134"/>
      <c r="H684" s="134"/>
      <c r="I684" s="133"/>
      <c r="J684" s="133"/>
      <c r="K684" s="133"/>
      <c r="L684" s="134"/>
    </row>
    <row r="685" spans="1:12">
      <c r="A685" s="133"/>
      <c r="B685" s="134"/>
      <c r="C685" s="134"/>
      <c r="D685" s="134"/>
      <c r="E685" s="133"/>
      <c r="F685" s="134"/>
      <c r="G685" s="134"/>
      <c r="H685" s="134"/>
      <c r="I685" s="133"/>
      <c r="J685" s="133"/>
      <c r="K685" s="133"/>
      <c r="L685" s="134"/>
    </row>
    <row r="686" spans="1:12">
      <c r="A686" s="133"/>
      <c r="B686" s="134"/>
      <c r="C686" s="134"/>
      <c r="D686" s="134"/>
      <c r="E686" s="133"/>
      <c r="F686" s="134"/>
      <c r="G686" s="134"/>
      <c r="H686" s="134"/>
      <c r="I686" s="133"/>
      <c r="J686" s="133"/>
      <c r="K686" s="133"/>
      <c r="L686" s="134"/>
    </row>
    <row r="687" spans="1:12">
      <c r="A687" s="133"/>
      <c r="B687" s="134"/>
      <c r="C687" s="134"/>
      <c r="D687" s="134"/>
      <c r="E687" s="133"/>
      <c r="F687" s="134"/>
      <c r="G687" s="134"/>
      <c r="H687" s="134"/>
      <c r="I687" s="133"/>
      <c r="J687" s="133"/>
      <c r="K687" s="133"/>
      <c r="L687" s="134"/>
    </row>
    <row r="688" spans="1:12">
      <c r="A688" s="133"/>
      <c r="B688" s="134"/>
      <c r="C688" s="134"/>
      <c r="D688" s="134"/>
      <c r="E688" s="133"/>
      <c r="F688" s="134"/>
      <c r="G688" s="134"/>
      <c r="H688" s="134"/>
      <c r="I688" s="133"/>
      <c r="J688" s="133"/>
      <c r="K688" s="133"/>
      <c r="L688" s="134"/>
    </row>
    <row r="689" spans="1:12">
      <c r="A689" s="133"/>
      <c r="B689" s="134"/>
      <c r="C689" s="134"/>
      <c r="D689" s="134"/>
      <c r="E689" s="133"/>
      <c r="F689" s="134"/>
      <c r="G689" s="134"/>
      <c r="H689" s="134"/>
      <c r="I689" s="133"/>
      <c r="J689" s="133"/>
      <c r="K689" s="133"/>
      <c r="L689" s="134"/>
    </row>
    <row r="690" spans="1:12">
      <c r="A690" s="133"/>
      <c r="B690" s="134"/>
      <c r="C690" s="134"/>
      <c r="D690" s="134"/>
      <c r="E690" s="133"/>
      <c r="F690" s="134"/>
      <c r="G690" s="134"/>
      <c r="H690" s="134"/>
      <c r="I690" s="133"/>
      <c r="J690" s="133"/>
      <c r="K690" s="133"/>
      <c r="L690" s="134"/>
    </row>
    <row r="691" spans="1:12">
      <c r="A691" s="133"/>
      <c r="B691" s="134"/>
      <c r="C691" s="134"/>
      <c r="D691" s="134"/>
      <c r="E691" s="133"/>
      <c r="F691" s="134"/>
      <c r="G691" s="134"/>
      <c r="H691" s="134"/>
      <c r="I691" s="133"/>
      <c r="J691" s="133"/>
      <c r="K691" s="133"/>
      <c r="L691" s="134"/>
    </row>
    <row r="692" spans="1:12">
      <c r="A692" s="133"/>
      <c r="B692" s="134"/>
      <c r="C692" s="134"/>
      <c r="D692" s="134"/>
      <c r="E692" s="133"/>
      <c r="F692" s="134"/>
      <c r="G692" s="134"/>
      <c r="H692" s="134"/>
      <c r="I692" s="133"/>
      <c r="J692" s="133"/>
      <c r="K692" s="133"/>
      <c r="L692" s="134"/>
    </row>
    <row r="693" spans="1:12">
      <c r="A693" s="133"/>
      <c r="B693" s="134"/>
      <c r="C693" s="134"/>
      <c r="D693" s="134"/>
      <c r="E693" s="133"/>
      <c r="F693" s="134"/>
      <c r="G693" s="134"/>
      <c r="H693" s="134"/>
      <c r="I693" s="133"/>
      <c r="J693" s="133"/>
      <c r="K693" s="133"/>
      <c r="L693" s="134"/>
    </row>
    <row r="694" spans="1:12">
      <c r="A694" s="133"/>
      <c r="B694" s="134"/>
      <c r="C694" s="134"/>
      <c r="D694" s="134"/>
      <c r="E694" s="133"/>
      <c r="F694" s="134"/>
      <c r="G694" s="134"/>
      <c r="H694" s="134"/>
      <c r="I694" s="133"/>
      <c r="J694" s="133"/>
      <c r="K694" s="133"/>
      <c r="L694" s="134"/>
    </row>
    <row r="695" spans="1:12">
      <c r="A695" s="133"/>
      <c r="B695" s="134"/>
      <c r="C695" s="134"/>
      <c r="D695" s="134"/>
      <c r="E695" s="133"/>
      <c r="F695" s="134"/>
      <c r="G695" s="134"/>
      <c r="H695" s="134"/>
      <c r="I695" s="133"/>
      <c r="J695" s="133"/>
      <c r="K695" s="133"/>
      <c r="L695" s="134"/>
    </row>
    <row r="696" spans="1:12">
      <c r="A696" s="133"/>
      <c r="B696" s="134"/>
      <c r="C696" s="134"/>
      <c r="D696" s="134"/>
      <c r="E696" s="133"/>
      <c r="F696" s="134"/>
      <c r="G696" s="134"/>
      <c r="H696" s="134"/>
      <c r="I696" s="133"/>
      <c r="J696" s="133"/>
      <c r="K696" s="133"/>
      <c r="L696" s="134"/>
    </row>
    <row r="697" spans="1:12">
      <c r="A697" s="133"/>
      <c r="B697" s="134"/>
      <c r="C697" s="134"/>
      <c r="D697" s="134"/>
      <c r="E697" s="133"/>
      <c r="F697" s="134"/>
      <c r="G697" s="134"/>
      <c r="H697" s="134"/>
      <c r="I697" s="133"/>
      <c r="J697" s="133"/>
      <c r="K697" s="133"/>
      <c r="L697" s="134"/>
    </row>
    <row r="698" spans="1:12">
      <c r="A698" s="133"/>
      <c r="B698" s="134"/>
      <c r="C698" s="134"/>
      <c r="D698" s="134"/>
      <c r="E698" s="133"/>
      <c r="F698" s="134"/>
      <c r="G698" s="134"/>
      <c r="H698" s="134"/>
      <c r="I698" s="133"/>
      <c r="J698" s="133"/>
      <c r="K698" s="133"/>
      <c r="L698" s="134"/>
    </row>
    <row r="699" spans="1:12">
      <c r="A699" s="133"/>
      <c r="B699" s="134"/>
      <c r="C699" s="134"/>
      <c r="D699" s="134"/>
      <c r="E699" s="133"/>
      <c r="F699" s="134"/>
      <c r="G699" s="134"/>
      <c r="H699" s="134"/>
      <c r="I699" s="133"/>
      <c r="J699" s="133"/>
      <c r="K699" s="133"/>
      <c r="L699" s="134"/>
    </row>
    <row r="700" spans="1:12">
      <c r="A700" s="133"/>
      <c r="B700" s="134"/>
      <c r="C700" s="134"/>
      <c r="D700" s="134"/>
      <c r="E700" s="133"/>
      <c r="F700" s="134"/>
      <c r="G700" s="134"/>
      <c r="H700" s="134"/>
      <c r="I700" s="133"/>
      <c r="J700" s="133"/>
      <c r="K700" s="133"/>
      <c r="L700" s="134"/>
    </row>
    <row r="701" spans="1:12">
      <c r="A701" s="133"/>
      <c r="B701" s="134"/>
      <c r="C701" s="134"/>
      <c r="D701" s="134"/>
      <c r="E701" s="133"/>
      <c r="F701" s="134"/>
      <c r="G701" s="134"/>
      <c r="H701" s="134"/>
      <c r="I701" s="133"/>
      <c r="J701" s="133"/>
      <c r="K701" s="133"/>
      <c r="L701" s="134"/>
    </row>
    <row r="702" spans="1:12">
      <c r="A702" s="133"/>
      <c r="B702" s="134"/>
      <c r="C702" s="134"/>
      <c r="D702" s="134"/>
      <c r="E702" s="133"/>
      <c r="F702" s="134"/>
      <c r="G702" s="134"/>
      <c r="H702" s="134"/>
      <c r="I702" s="133"/>
      <c r="J702" s="133"/>
      <c r="K702" s="133"/>
      <c r="L702" s="134"/>
    </row>
    <row r="703" spans="1:12">
      <c r="A703" s="133"/>
      <c r="B703" s="134"/>
      <c r="C703" s="134"/>
      <c r="D703" s="134"/>
      <c r="E703" s="133"/>
      <c r="F703" s="134"/>
      <c r="G703" s="134"/>
      <c r="H703" s="134"/>
      <c r="I703" s="133"/>
      <c r="J703" s="133"/>
      <c r="K703" s="133"/>
      <c r="L703" s="134"/>
    </row>
    <row r="704" spans="1:12">
      <c r="A704" s="133"/>
      <c r="B704" s="134"/>
      <c r="C704" s="134"/>
      <c r="D704" s="134"/>
      <c r="E704" s="133"/>
      <c r="F704" s="134"/>
      <c r="G704" s="134"/>
      <c r="H704" s="134"/>
      <c r="I704" s="133"/>
      <c r="J704" s="133"/>
      <c r="K704" s="133"/>
      <c r="L704" s="134"/>
    </row>
    <row r="705" spans="1:12">
      <c r="A705" s="133"/>
      <c r="B705" s="134"/>
      <c r="C705" s="134"/>
      <c r="D705" s="134"/>
      <c r="E705" s="133"/>
      <c r="F705" s="134"/>
      <c r="G705" s="134"/>
      <c r="H705" s="134"/>
      <c r="I705" s="133"/>
      <c r="J705" s="133"/>
      <c r="K705" s="133"/>
      <c r="L705" s="134"/>
    </row>
    <row r="706" spans="1:12">
      <c r="A706" s="133"/>
      <c r="B706" s="134"/>
      <c r="C706" s="134"/>
      <c r="D706" s="134"/>
      <c r="E706" s="133"/>
      <c r="F706" s="134"/>
      <c r="G706" s="134"/>
      <c r="H706" s="134"/>
      <c r="I706" s="133"/>
      <c r="J706" s="133"/>
      <c r="K706" s="133"/>
      <c r="L706" s="134"/>
    </row>
    <row r="707" spans="1:12">
      <c r="A707" s="133"/>
      <c r="B707" s="134"/>
      <c r="C707" s="134"/>
      <c r="D707" s="134"/>
      <c r="E707" s="133"/>
      <c r="F707" s="134"/>
      <c r="G707" s="134"/>
      <c r="H707" s="134"/>
      <c r="I707" s="133"/>
      <c r="J707" s="133"/>
      <c r="K707" s="133"/>
      <c r="L707" s="134"/>
    </row>
    <row r="708" spans="1:12">
      <c r="A708" s="133"/>
      <c r="B708" s="134"/>
      <c r="C708" s="134"/>
      <c r="D708" s="134"/>
      <c r="E708" s="133"/>
      <c r="F708" s="134"/>
      <c r="G708" s="134"/>
      <c r="H708" s="134"/>
      <c r="I708" s="133"/>
      <c r="J708" s="133"/>
      <c r="K708" s="133"/>
      <c r="L708" s="134"/>
    </row>
    <row r="709" spans="1:12">
      <c r="A709" s="133"/>
      <c r="B709" s="134"/>
      <c r="C709" s="134"/>
      <c r="D709" s="134"/>
      <c r="E709" s="133"/>
      <c r="F709" s="134"/>
      <c r="G709" s="134"/>
      <c r="H709" s="134"/>
      <c r="I709" s="133"/>
      <c r="J709" s="133"/>
      <c r="K709" s="133"/>
      <c r="L709" s="134"/>
    </row>
    <row r="710" spans="1:12">
      <c r="A710" s="133"/>
      <c r="B710" s="134"/>
      <c r="C710" s="134"/>
      <c r="D710" s="134"/>
      <c r="E710" s="133"/>
      <c r="F710" s="134"/>
      <c r="G710" s="134"/>
      <c r="H710" s="134"/>
      <c r="I710" s="133"/>
      <c r="J710" s="133"/>
      <c r="K710" s="133"/>
      <c r="L710" s="134"/>
    </row>
    <row r="711" spans="1:12">
      <c r="A711" s="133"/>
      <c r="B711" s="134"/>
      <c r="C711" s="134"/>
      <c r="D711" s="134"/>
      <c r="E711" s="133"/>
      <c r="F711" s="134"/>
      <c r="G711" s="134"/>
      <c r="H711" s="134"/>
      <c r="I711" s="133"/>
      <c r="J711" s="133"/>
      <c r="K711" s="133"/>
      <c r="L711" s="134"/>
    </row>
    <row r="712" spans="1:12">
      <c r="A712" s="133"/>
      <c r="B712" s="134"/>
      <c r="C712" s="134"/>
      <c r="D712" s="134"/>
      <c r="E712" s="133"/>
      <c r="F712" s="134"/>
      <c r="G712" s="134"/>
      <c r="H712" s="134"/>
      <c r="I712" s="133"/>
      <c r="J712" s="133"/>
      <c r="K712" s="133"/>
      <c r="L712" s="134"/>
    </row>
    <row r="713" spans="1:12">
      <c r="A713" s="133"/>
      <c r="B713" s="134"/>
      <c r="C713" s="134"/>
      <c r="D713" s="134"/>
      <c r="E713" s="133"/>
      <c r="F713" s="134"/>
      <c r="G713" s="134"/>
      <c r="H713" s="134"/>
      <c r="I713" s="133"/>
      <c r="J713" s="133"/>
      <c r="K713" s="133"/>
      <c r="L713" s="134"/>
    </row>
    <row r="714" spans="1:12">
      <c r="A714" s="133"/>
      <c r="B714" s="134"/>
      <c r="C714" s="134"/>
      <c r="D714" s="134"/>
      <c r="E714" s="133"/>
      <c r="F714" s="134"/>
      <c r="G714" s="134"/>
      <c r="H714" s="134"/>
      <c r="I714" s="133"/>
      <c r="J714" s="133"/>
      <c r="K714" s="133"/>
      <c r="L714" s="134"/>
    </row>
    <row r="715" spans="1:12">
      <c r="A715" s="133"/>
      <c r="B715" s="134"/>
      <c r="C715" s="134"/>
      <c r="D715" s="134"/>
      <c r="E715" s="133"/>
      <c r="F715" s="134"/>
      <c r="G715" s="134"/>
      <c r="H715" s="134"/>
      <c r="I715" s="133"/>
      <c r="J715" s="133"/>
      <c r="K715" s="133"/>
      <c r="L715" s="134"/>
    </row>
    <row r="716" spans="1:12">
      <c r="A716" s="133"/>
      <c r="B716" s="134"/>
      <c r="C716" s="134"/>
      <c r="D716" s="134"/>
      <c r="E716" s="133"/>
      <c r="F716" s="134"/>
      <c r="G716" s="134"/>
      <c r="H716" s="134"/>
      <c r="I716" s="133"/>
      <c r="J716" s="133"/>
      <c r="K716" s="133"/>
      <c r="L716" s="134"/>
    </row>
    <row r="717" spans="1:12">
      <c r="A717" s="133"/>
      <c r="B717" s="134"/>
      <c r="C717" s="134"/>
      <c r="D717" s="134"/>
      <c r="E717" s="133"/>
      <c r="F717" s="134"/>
      <c r="G717" s="134"/>
      <c r="H717" s="134"/>
      <c r="I717" s="133"/>
      <c r="J717" s="133"/>
      <c r="K717" s="133"/>
      <c r="L717" s="134"/>
    </row>
    <row r="718" spans="1:12">
      <c r="A718" s="133"/>
      <c r="B718" s="134"/>
      <c r="C718" s="134"/>
      <c r="D718" s="134"/>
      <c r="E718" s="133"/>
      <c r="F718" s="134"/>
      <c r="G718" s="134"/>
      <c r="H718" s="134"/>
      <c r="I718" s="133"/>
      <c r="J718" s="133"/>
      <c r="K718" s="133"/>
      <c r="L718" s="134"/>
    </row>
    <row r="719" spans="1:12">
      <c r="A719" s="133"/>
      <c r="B719" s="134"/>
      <c r="C719" s="134"/>
      <c r="D719" s="134"/>
      <c r="E719" s="133"/>
      <c r="F719" s="134"/>
      <c r="G719" s="134"/>
      <c r="H719" s="134"/>
      <c r="I719" s="133"/>
      <c r="J719" s="133"/>
      <c r="K719" s="133"/>
      <c r="L719" s="134"/>
    </row>
    <row r="720" spans="1:12">
      <c r="A720" s="133"/>
      <c r="B720" s="134"/>
      <c r="C720" s="134"/>
      <c r="D720" s="134"/>
      <c r="E720" s="133"/>
      <c r="F720" s="134"/>
      <c r="G720" s="134"/>
      <c r="H720" s="134"/>
      <c r="I720" s="133"/>
      <c r="J720" s="133"/>
      <c r="K720" s="133"/>
      <c r="L720" s="134"/>
    </row>
    <row r="721" spans="1:12">
      <c r="A721" s="133"/>
      <c r="B721" s="134"/>
      <c r="C721" s="134"/>
      <c r="D721" s="134"/>
      <c r="E721" s="133"/>
      <c r="F721" s="134"/>
      <c r="G721" s="134"/>
      <c r="H721" s="134"/>
      <c r="I721" s="133"/>
      <c r="J721" s="133"/>
      <c r="K721" s="133"/>
      <c r="L721" s="134"/>
    </row>
    <row r="722" spans="1:12">
      <c r="A722" s="133"/>
      <c r="B722" s="134"/>
      <c r="C722" s="134"/>
      <c r="D722" s="134"/>
      <c r="E722" s="133"/>
      <c r="F722" s="134"/>
      <c r="G722" s="134"/>
      <c r="H722" s="134"/>
      <c r="I722" s="133"/>
      <c r="J722" s="133"/>
      <c r="K722" s="133"/>
      <c r="L722" s="134"/>
    </row>
    <row r="723" spans="1:12">
      <c r="A723" s="133"/>
      <c r="B723" s="134"/>
      <c r="C723" s="134"/>
      <c r="D723" s="134"/>
      <c r="E723" s="133"/>
      <c r="F723" s="134"/>
      <c r="G723" s="134"/>
      <c r="H723" s="134"/>
      <c r="I723" s="133"/>
      <c r="J723" s="133"/>
      <c r="K723" s="133"/>
      <c r="L723" s="134"/>
    </row>
    <row r="724" spans="1:12">
      <c r="A724" s="133"/>
      <c r="B724" s="134"/>
      <c r="C724" s="134"/>
      <c r="D724" s="134"/>
      <c r="E724" s="133"/>
      <c r="F724" s="134"/>
      <c r="G724" s="134"/>
      <c r="H724" s="134"/>
      <c r="I724" s="133"/>
      <c r="J724" s="133"/>
      <c r="K724" s="133"/>
      <c r="L724" s="134"/>
    </row>
    <row r="725" spans="1:12">
      <c r="A725" s="133"/>
      <c r="B725" s="134"/>
      <c r="C725" s="134"/>
      <c r="D725" s="134"/>
      <c r="E725" s="133"/>
      <c r="F725" s="134"/>
      <c r="G725" s="134"/>
      <c r="H725" s="134"/>
      <c r="I725" s="133"/>
      <c r="J725" s="133"/>
      <c r="K725" s="133"/>
      <c r="L725" s="134"/>
    </row>
    <row r="726" spans="1:12">
      <c r="A726" s="133"/>
      <c r="B726" s="134"/>
      <c r="C726" s="134"/>
      <c r="D726" s="134"/>
      <c r="E726" s="133"/>
      <c r="F726" s="134"/>
      <c r="G726" s="134"/>
      <c r="H726" s="134"/>
      <c r="I726" s="133"/>
      <c r="J726" s="133"/>
      <c r="K726" s="133"/>
      <c r="L726" s="134"/>
    </row>
    <row r="727" spans="1:12">
      <c r="A727" s="133"/>
      <c r="B727" s="134"/>
      <c r="C727" s="134"/>
      <c r="D727" s="134"/>
      <c r="E727" s="133"/>
      <c r="F727" s="134"/>
      <c r="G727" s="134"/>
      <c r="H727" s="134"/>
      <c r="I727" s="133"/>
      <c r="J727" s="133"/>
      <c r="K727" s="133"/>
      <c r="L727" s="134"/>
    </row>
    <row r="728" spans="1:12">
      <c r="A728" s="133"/>
      <c r="B728" s="134"/>
      <c r="C728" s="134"/>
      <c r="D728" s="134"/>
      <c r="E728" s="133"/>
      <c r="F728" s="134"/>
      <c r="G728" s="134"/>
      <c r="H728" s="134"/>
      <c r="I728" s="133"/>
      <c r="J728" s="133"/>
      <c r="K728" s="133"/>
      <c r="L728" s="134"/>
    </row>
    <row r="729" spans="1:12">
      <c r="A729" s="133"/>
      <c r="B729" s="134"/>
      <c r="C729" s="134"/>
      <c r="D729" s="134"/>
      <c r="E729" s="133"/>
      <c r="F729" s="134"/>
      <c r="G729" s="134"/>
      <c r="H729" s="134"/>
      <c r="I729" s="133"/>
      <c r="J729" s="133"/>
      <c r="K729" s="133"/>
      <c r="L729" s="134"/>
    </row>
    <row r="730" spans="1:12">
      <c r="A730" s="133"/>
      <c r="B730" s="134"/>
      <c r="C730" s="134"/>
      <c r="D730" s="134"/>
      <c r="E730" s="133"/>
      <c r="F730" s="134"/>
      <c r="G730" s="134"/>
      <c r="H730" s="134"/>
      <c r="I730" s="133"/>
      <c r="J730" s="133"/>
      <c r="K730" s="133"/>
      <c r="L730" s="134"/>
    </row>
    <row r="731" spans="1:12">
      <c r="A731" s="133"/>
      <c r="B731" s="134"/>
      <c r="C731" s="134"/>
      <c r="D731" s="134"/>
      <c r="E731" s="133"/>
      <c r="F731" s="134"/>
      <c r="G731" s="134"/>
      <c r="H731" s="134"/>
      <c r="I731" s="133"/>
      <c r="J731" s="133"/>
      <c r="K731" s="133"/>
      <c r="L731" s="134"/>
    </row>
    <row r="732" spans="1:12">
      <c r="A732" s="133"/>
      <c r="B732" s="134"/>
      <c r="C732" s="134"/>
      <c r="D732" s="134"/>
      <c r="E732" s="133"/>
      <c r="F732" s="134"/>
      <c r="G732" s="134"/>
      <c r="H732" s="134"/>
      <c r="I732" s="133"/>
      <c r="J732" s="133"/>
      <c r="K732" s="133"/>
      <c r="L732" s="134"/>
    </row>
    <row r="733" spans="1:12">
      <c r="A733" s="133"/>
      <c r="B733" s="134"/>
      <c r="C733" s="134"/>
      <c r="D733" s="134"/>
      <c r="E733" s="133"/>
      <c r="F733" s="134"/>
      <c r="G733" s="134"/>
      <c r="H733" s="134"/>
      <c r="I733" s="133"/>
      <c r="J733" s="133"/>
      <c r="K733" s="133"/>
      <c r="L733" s="134"/>
    </row>
    <row r="734" spans="1:12">
      <c r="A734" s="133"/>
      <c r="B734" s="134"/>
      <c r="C734" s="134"/>
      <c r="D734" s="134"/>
      <c r="E734" s="133"/>
      <c r="F734" s="134"/>
      <c r="G734" s="134"/>
      <c r="H734" s="134"/>
      <c r="I734" s="133"/>
      <c r="J734" s="133"/>
      <c r="K734" s="133"/>
      <c r="L734" s="134"/>
    </row>
    <row r="735" spans="1:12">
      <c r="A735" s="133"/>
      <c r="B735" s="134"/>
      <c r="C735" s="134"/>
      <c r="D735" s="134"/>
      <c r="E735" s="133"/>
      <c r="F735" s="134"/>
      <c r="G735" s="134"/>
      <c r="H735" s="134"/>
      <c r="I735" s="133"/>
      <c r="J735" s="133"/>
      <c r="K735" s="133"/>
      <c r="L735" s="134"/>
    </row>
    <row r="736" spans="1:12">
      <c r="A736" s="133"/>
      <c r="B736" s="134"/>
      <c r="C736" s="134"/>
      <c r="D736" s="134"/>
      <c r="E736" s="133"/>
      <c r="F736" s="134"/>
      <c r="G736" s="134"/>
      <c r="H736" s="134"/>
      <c r="I736" s="133"/>
      <c r="J736" s="133"/>
      <c r="K736" s="133"/>
      <c r="L736" s="134"/>
    </row>
    <row r="737" spans="1:12">
      <c r="A737" s="133"/>
      <c r="B737" s="134"/>
      <c r="C737" s="134"/>
      <c r="D737" s="134"/>
      <c r="E737" s="133"/>
      <c r="F737" s="134"/>
      <c r="G737" s="134"/>
      <c r="H737" s="134"/>
      <c r="I737" s="133"/>
      <c r="J737" s="133"/>
      <c r="K737" s="133"/>
      <c r="L737" s="134"/>
    </row>
    <row r="738" spans="1:12">
      <c r="A738" s="133"/>
      <c r="B738" s="134"/>
      <c r="C738" s="134"/>
      <c r="D738" s="134"/>
      <c r="E738" s="133"/>
      <c r="F738" s="134"/>
      <c r="G738" s="134"/>
      <c r="H738" s="134"/>
      <c r="I738" s="133"/>
      <c r="J738" s="133"/>
      <c r="K738" s="133"/>
      <c r="L738" s="134"/>
    </row>
    <row r="739" spans="1:12">
      <c r="A739" s="133"/>
      <c r="B739" s="134"/>
      <c r="C739" s="134"/>
      <c r="D739" s="134"/>
      <c r="E739" s="133"/>
      <c r="F739" s="134"/>
      <c r="G739" s="134"/>
      <c r="H739" s="134"/>
      <c r="I739" s="133"/>
      <c r="J739" s="133"/>
      <c r="K739" s="133"/>
      <c r="L739" s="134"/>
    </row>
    <row r="740" spans="1:12">
      <c r="A740" s="133"/>
      <c r="B740" s="134"/>
      <c r="C740" s="134"/>
      <c r="D740" s="134"/>
      <c r="E740" s="133"/>
      <c r="F740" s="134"/>
      <c r="G740" s="134"/>
      <c r="H740" s="134"/>
      <c r="I740" s="133"/>
      <c r="J740" s="133"/>
      <c r="K740" s="133"/>
      <c r="L740" s="134"/>
    </row>
    <row r="741" spans="1:12">
      <c r="A741" s="133"/>
      <c r="B741" s="134"/>
      <c r="C741" s="134"/>
      <c r="D741" s="134"/>
      <c r="E741" s="133"/>
      <c r="F741" s="134"/>
      <c r="G741" s="134"/>
      <c r="H741" s="134"/>
      <c r="I741" s="133"/>
      <c r="J741" s="133"/>
      <c r="K741" s="133"/>
      <c r="L741" s="134"/>
    </row>
    <row r="742" spans="1:12">
      <c r="A742" s="133"/>
      <c r="B742" s="134"/>
      <c r="C742" s="134"/>
      <c r="D742" s="134"/>
      <c r="E742" s="133"/>
      <c r="F742" s="134"/>
      <c r="G742" s="134"/>
      <c r="H742" s="134"/>
      <c r="I742" s="133"/>
      <c r="J742" s="133"/>
      <c r="K742" s="133"/>
      <c r="L742" s="134"/>
    </row>
    <row r="743" spans="1:12">
      <c r="A743" s="133"/>
      <c r="B743" s="134"/>
      <c r="C743" s="134"/>
      <c r="D743" s="134"/>
      <c r="E743" s="133"/>
      <c r="F743" s="134"/>
      <c r="G743" s="134"/>
      <c r="H743" s="134"/>
      <c r="I743" s="133"/>
      <c r="J743" s="133"/>
      <c r="K743" s="133"/>
      <c r="L743" s="134"/>
    </row>
    <row r="744" spans="1:12">
      <c r="A744" s="133"/>
      <c r="B744" s="134"/>
      <c r="C744" s="134"/>
      <c r="D744" s="134"/>
      <c r="E744" s="133"/>
      <c r="F744" s="134"/>
      <c r="G744" s="134"/>
      <c r="H744" s="134"/>
      <c r="I744" s="133"/>
      <c r="J744" s="133"/>
      <c r="K744" s="133"/>
      <c r="L744" s="134"/>
    </row>
    <row r="745" spans="1:12">
      <c r="A745" s="133"/>
      <c r="B745" s="134"/>
      <c r="C745" s="134"/>
      <c r="D745" s="134"/>
      <c r="E745" s="133"/>
      <c r="F745" s="134"/>
      <c r="G745" s="134"/>
      <c r="H745" s="134"/>
      <c r="I745" s="133"/>
      <c r="J745" s="133"/>
      <c r="K745" s="133"/>
      <c r="L745" s="134"/>
    </row>
    <row r="746" spans="1:12">
      <c r="A746" s="133"/>
      <c r="B746" s="134"/>
      <c r="C746" s="134"/>
      <c r="D746" s="134"/>
      <c r="E746" s="133"/>
      <c r="F746" s="134"/>
      <c r="G746" s="134"/>
      <c r="H746" s="134"/>
      <c r="I746" s="133"/>
      <c r="J746" s="133"/>
      <c r="K746" s="133"/>
      <c r="L746" s="134"/>
    </row>
    <row r="747" spans="1:12">
      <c r="A747" s="133"/>
      <c r="B747" s="134"/>
      <c r="C747" s="134"/>
      <c r="D747" s="134"/>
      <c r="E747" s="133"/>
      <c r="F747" s="134"/>
      <c r="G747" s="134"/>
      <c r="H747" s="134"/>
      <c r="I747" s="133"/>
      <c r="J747" s="133"/>
      <c r="K747" s="133"/>
      <c r="L747" s="134"/>
    </row>
    <row r="748" spans="1:12">
      <c r="A748" s="133"/>
      <c r="B748" s="134"/>
      <c r="C748" s="134"/>
      <c r="D748" s="134"/>
      <c r="E748" s="133"/>
      <c r="F748" s="134"/>
      <c r="G748" s="134"/>
      <c r="H748" s="134"/>
      <c r="I748" s="133"/>
      <c r="J748" s="133"/>
      <c r="K748" s="133"/>
      <c r="L748" s="134"/>
    </row>
    <row r="749" spans="1:12">
      <c r="A749" s="133"/>
      <c r="B749" s="134"/>
      <c r="C749" s="134"/>
      <c r="D749" s="134"/>
      <c r="E749" s="133"/>
      <c r="F749" s="134"/>
      <c r="G749" s="134"/>
      <c r="H749" s="134"/>
      <c r="I749" s="133"/>
      <c r="J749" s="133"/>
      <c r="K749" s="133"/>
      <c r="L749" s="134"/>
    </row>
    <row r="750" spans="1:12">
      <c r="A750" s="133"/>
      <c r="B750" s="134"/>
      <c r="C750" s="134"/>
      <c r="D750" s="134"/>
      <c r="E750" s="133"/>
      <c r="F750" s="134"/>
      <c r="G750" s="134"/>
      <c r="H750" s="134"/>
      <c r="I750" s="133"/>
      <c r="J750" s="133"/>
      <c r="K750" s="133"/>
      <c r="L750" s="134"/>
    </row>
    <row r="751" spans="1:12">
      <c r="A751" s="133"/>
      <c r="B751" s="134"/>
      <c r="C751" s="134"/>
      <c r="D751" s="134"/>
      <c r="E751" s="133"/>
      <c r="F751" s="134"/>
      <c r="G751" s="134"/>
      <c r="H751" s="134"/>
      <c r="I751" s="133"/>
      <c r="J751" s="133"/>
      <c r="K751" s="133"/>
      <c r="L751" s="134"/>
    </row>
    <row r="752" spans="1:12">
      <c r="A752" s="133"/>
      <c r="B752" s="134"/>
      <c r="C752" s="134"/>
      <c r="D752" s="134"/>
      <c r="E752" s="133"/>
      <c r="F752" s="134"/>
      <c r="G752" s="134"/>
      <c r="H752" s="134"/>
      <c r="I752" s="133"/>
      <c r="J752" s="133"/>
      <c r="K752" s="133"/>
      <c r="L752" s="134"/>
    </row>
    <row r="753" spans="1:12">
      <c r="A753" s="133"/>
      <c r="B753" s="134"/>
      <c r="C753" s="134"/>
      <c r="D753" s="134"/>
      <c r="E753" s="133"/>
      <c r="F753" s="134"/>
      <c r="G753" s="134"/>
      <c r="H753" s="134"/>
      <c r="I753" s="133"/>
      <c r="J753" s="133"/>
      <c r="K753" s="133"/>
      <c r="L753" s="134"/>
    </row>
    <row r="754" spans="1:12">
      <c r="A754" s="133"/>
      <c r="B754" s="134"/>
      <c r="C754" s="134"/>
      <c r="D754" s="134"/>
      <c r="E754" s="133"/>
      <c r="F754" s="134"/>
      <c r="G754" s="134"/>
      <c r="H754" s="134"/>
      <c r="I754" s="133"/>
      <c r="J754" s="133"/>
      <c r="K754" s="133"/>
      <c r="L754" s="134"/>
    </row>
    <row r="755" spans="1:12">
      <c r="A755" s="133"/>
      <c r="B755" s="134"/>
      <c r="C755" s="134"/>
      <c r="D755" s="134"/>
      <c r="E755" s="133"/>
      <c r="F755" s="134"/>
      <c r="G755" s="134"/>
      <c r="H755" s="134"/>
      <c r="I755" s="133"/>
      <c r="J755" s="133"/>
      <c r="K755" s="133"/>
      <c r="L755" s="134"/>
    </row>
    <row r="756" spans="1:12">
      <c r="A756" s="133"/>
      <c r="B756" s="134"/>
      <c r="C756" s="134"/>
      <c r="D756" s="134"/>
      <c r="E756" s="133"/>
      <c r="F756" s="134"/>
      <c r="G756" s="134"/>
      <c r="H756" s="134"/>
      <c r="I756" s="133"/>
      <c r="J756" s="133"/>
      <c r="K756" s="133"/>
      <c r="L756" s="134"/>
    </row>
    <row r="757" spans="1:12">
      <c r="A757" s="133"/>
      <c r="B757" s="134"/>
      <c r="C757" s="134"/>
      <c r="D757" s="134"/>
      <c r="E757" s="133"/>
      <c r="F757" s="134"/>
      <c r="G757" s="134"/>
      <c r="H757" s="134"/>
      <c r="I757" s="133"/>
      <c r="J757" s="133"/>
      <c r="K757" s="133"/>
      <c r="L757" s="134"/>
    </row>
    <row r="758" spans="1:12">
      <c r="A758" s="133"/>
      <c r="B758" s="134"/>
      <c r="C758" s="134"/>
      <c r="D758" s="134"/>
      <c r="E758" s="133"/>
      <c r="F758" s="134"/>
      <c r="G758" s="134"/>
      <c r="H758" s="134"/>
      <c r="I758" s="133"/>
      <c r="J758" s="133"/>
      <c r="K758" s="133"/>
      <c r="L758" s="134"/>
    </row>
    <row r="759" spans="1:12">
      <c r="A759" s="133"/>
      <c r="B759" s="134"/>
      <c r="C759" s="134"/>
      <c r="D759" s="134"/>
      <c r="E759" s="133"/>
      <c r="F759" s="134"/>
      <c r="G759" s="134"/>
      <c r="H759" s="134"/>
      <c r="I759" s="133"/>
      <c r="J759" s="133"/>
      <c r="K759" s="133"/>
      <c r="L759" s="134"/>
    </row>
    <row r="760" spans="1:12">
      <c r="A760" s="133"/>
      <c r="B760" s="134"/>
      <c r="C760" s="134"/>
      <c r="D760" s="134"/>
      <c r="E760" s="133"/>
      <c r="F760" s="134"/>
      <c r="G760" s="134"/>
      <c r="H760" s="134"/>
      <c r="I760" s="133"/>
      <c r="J760" s="133"/>
      <c r="K760" s="133"/>
      <c r="L760" s="134"/>
    </row>
    <row r="761" spans="1:12">
      <c r="A761" s="133"/>
      <c r="B761" s="134"/>
      <c r="C761" s="134"/>
      <c r="D761" s="134"/>
      <c r="E761" s="133"/>
      <c r="F761" s="134"/>
      <c r="G761" s="134"/>
      <c r="H761" s="134"/>
      <c r="I761" s="133"/>
      <c r="J761" s="133"/>
      <c r="K761" s="133"/>
      <c r="L761" s="134"/>
    </row>
    <row r="762" spans="1:12">
      <c r="A762" s="133"/>
      <c r="B762" s="134"/>
      <c r="C762" s="134"/>
      <c r="D762" s="134"/>
      <c r="E762" s="133"/>
      <c r="F762" s="134"/>
      <c r="G762" s="134"/>
      <c r="H762" s="134"/>
      <c r="I762" s="133"/>
      <c r="J762" s="133"/>
      <c r="K762" s="133"/>
      <c r="L762" s="134"/>
    </row>
    <row r="763" spans="1:12">
      <c r="A763" s="133"/>
      <c r="B763" s="134"/>
      <c r="C763" s="134"/>
      <c r="D763" s="134"/>
      <c r="E763" s="133"/>
      <c r="F763" s="134"/>
      <c r="G763" s="134"/>
      <c r="H763" s="134"/>
      <c r="I763" s="133"/>
      <c r="J763" s="133"/>
      <c r="K763" s="133"/>
      <c r="L763" s="134"/>
    </row>
    <row r="764" spans="1:12">
      <c r="A764" s="133"/>
      <c r="B764" s="134"/>
      <c r="C764" s="134"/>
      <c r="D764" s="134"/>
      <c r="E764" s="133"/>
      <c r="F764" s="134"/>
      <c r="G764" s="134"/>
      <c r="H764" s="134"/>
      <c r="I764" s="133"/>
      <c r="J764" s="133"/>
      <c r="K764" s="133"/>
      <c r="L764" s="134"/>
    </row>
    <row r="765" spans="1:12">
      <c r="A765" s="133"/>
      <c r="B765" s="134"/>
      <c r="C765" s="134"/>
      <c r="D765" s="134"/>
      <c r="E765" s="133"/>
      <c r="F765" s="134"/>
      <c r="G765" s="134"/>
      <c r="H765" s="134"/>
      <c r="I765" s="133"/>
      <c r="J765" s="133"/>
      <c r="K765" s="133"/>
      <c r="L765" s="134"/>
    </row>
    <row r="766" spans="1:12">
      <c r="A766" s="133"/>
      <c r="B766" s="134"/>
      <c r="C766" s="134"/>
      <c r="D766" s="134"/>
      <c r="E766" s="133"/>
      <c r="F766" s="134"/>
      <c r="G766" s="134"/>
      <c r="H766" s="134"/>
      <c r="I766" s="133"/>
      <c r="J766" s="133"/>
      <c r="K766" s="133"/>
      <c r="L766" s="134"/>
    </row>
    <row r="767" spans="1:12">
      <c r="A767" s="133"/>
      <c r="B767" s="134"/>
      <c r="C767" s="134"/>
      <c r="D767" s="134"/>
      <c r="E767" s="133"/>
      <c r="F767" s="134"/>
      <c r="G767" s="134"/>
      <c r="H767" s="134"/>
      <c r="I767" s="133"/>
      <c r="J767" s="133"/>
      <c r="K767" s="133"/>
      <c r="L767" s="134"/>
    </row>
    <row r="768" spans="1:12">
      <c r="A768" s="133"/>
      <c r="B768" s="134"/>
      <c r="C768" s="134"/>
      <c r="D768" s="134"/>
      <c r="E768" s="133"/>
      <c r="F768" s="134"/>
      <c r="G768" s="134"/>
      <c r="H768" s="134"/>
      <c r="I768" s="133"/>
      <c r="J768" s="133"/>
      <c r="K768" s="133"/>
      <c r="L768" s="134"/>
    </row>
    <row r="769" spans="1:12">
      <c r="A769" s="133"/>
      <c r="B769" s="134"/>
      <c r="C769" s="134"/>
      <c r="D769" s="134"/>
      <c r="E769" s="133"/>
      <c r="F769" s="134"/>
      <c r="G769" s="134"/>
      <c r="H769" s="134"/>
      <c r="I769" s="133"/>
      <c r="J769" s="133"/>
      <c r="K769" s="133"/>
      <c r="L769" s="134"/>
    </row>
    <row r="770" spans="1:12">
      <c r="A770" s="133"/>
      <c r="B770" s="134"/>
      <c r="C770" s="134"/>
      <c r="D770" s="134"/>
      <c r="E770" s="133"/>
      <c r="F770" s="134"/>
      <c r="G770" s="134"/>
      <c r="H770" s="134"/>
      <c r="I770" s="133"/>
      <c r="J770" s="133"/>
      <c r="K770" s="133"/>
      <c r="L770" s="134"/>
    </row>
    <row r="771" spans="1:12">
      <c r="A771" s="133"/>
      <c r="B771" s="134"/>
      <c r="C771" s="134"/>
      <c r="D771" s="134"/>
      <c r="E771" s="133"/>
      <c r="F771" s="134"/>
      <c r="G771" s="134"/>
      <c r="H771" s="134"/>
      <c r="I771" s="133"/>
      <c r="J771" s="133"/>
      <c r="K771" s="133"/>
      <c r="L771" s="134"/>
    </row>
    <row r="772" spans="1:12">
      <c r="A772" s="133"/>
      <c r="B772" s="134"/>
      <c r="C772" s="134"/>
      <c r="D772" s="134"/>
      <c r="E772" s="133"/>
      <c r="F772" s="134"/>
      <c r="G772" s="134"/>
      <c r="H772" s="134"/>
      <c r="I772" s="133"/>
      <c r="J772" s="133"/>
      <c r="K772" s="133"/>
      <c r="L772" s="134"/>
    </row>
    <row r="773" spans="1:12">
      <c r="A773" s="133"/>
      <c r="B773" s="134"/>
      <c r="C773" s="134"/>
      <c r="D773" s="134"/>
      <c r="E773" s="133"/>
      <c r="F773" s="134"/>
      <c r="G773" s="134"/>
      <c r="H773" s="134"/>
      <c r="I773" s="133"/>
      <c r="J773" s="133"/>
      <c r="K773" s="133"/>
      <c r="L773" s="134"/>
    </row>
    <row r="774" spans="1:12">
      <c r="A774" s="133"/>
      <c r="B774" s="134"/>
      <c r="C774" s="134"/>
      <c r="D774" s="134"/>
      <c r="E774" s="133"/>
      <c r="F774" s="134"/>
      <c r="G774" s="134"/>
      <c r="H774" s="134"/>
      <c r="I774" s="133"/>
      <c r="J774" s="133"/>
      <c r="K774" s="133"/>
      <c r="L774" s="134"/>
    </row>
    <row r="775" spans="1:12">
      <c r="A775" s="133"/>
      <c r="B775" s="134"/>
      <c r="C775" s="134"/>
      <c r="D775" s="134"/>
      <c r="E775" s="133"/>
      <c r="F775" s="134"/>
      <c r="G775" s="134"/>
      <c r="H775" s="134"/>
      <c r="I775" s="133"/>
      <c r="J775" s="133"/>
      <c r="K775" s="133"/>
      <c r="L775" s="134"/>
    </row>
    <row r="776" spans="1:12">
      <c r="A776" s="133"/>
      <c r="B776" s="134"/>
      <c r="C776" s="134"/>
      <c r="D776" s="134"/>
      <c r="E776" s="133"/>
      <c r="F776" s="134"/>
      <c r="G776" s="134"/>
      <c r="H776" s="134"/>
      <c r="I776" s="133"/>
      <c r="J776" s="133"/>
      <c r="K776" s="133"/>
      <c r="L776" s="134"/>
    </row>
    <row r="777" spans="1:12">
      <c r="A777" s="133"/>
      <c r="B777" s="134"/>
      <c r="C777" s="134"/>
      <c r="D777" s="134"/>
      <c r="E777" s="133"/>
      <c r="F777" s="134"/>
      <c r="G777" s="134"/>
      <c r="H777" s="134"/>
      <c r="I777" s="133"/>
      <c r="J777" s="133"/>
      <c r="K777" s="133"/>
      <c r="L777" s="134"/>
    </row>
    <row r="778" spans="1:12">
      <c r="A778" s="133"/>
      <c r="B778" s="134"/>
      <c r="C778" s="134"/>
      <c r="D778" s="134"/>
      <c r="E778" s="133"/>
      <c r="F778" s="134"/>
      <c r="G778" s="134"/>
      <c r="H778" s="134"/>
      <c r="I778" s="133"/>
      <c r="J778" s="133"/>
      <c r="K778" s="133"/>
      <c r="L778" s="134"/>
    </row>
    <row r="779" spans="1:12">
      <c r="A779" s="133"/>
      <c r="B779" s="134"/>
      <c r="C779" s="134"/>
      <c r="D779" s="134"/>
      <c r="E779" s="133"/>
      <c r="F779" s="134"/>
      <c r="G779" s="134"/>
      <c r="H779" s="134"/>
      <c r="I779" s="133"/>
      <c r="J779" s="133"/>
      <c r="K779" s="133"/>
      <c r="L779" s="134"/>
    </row>
    <row r="780" spans="1:12">
      <c r="A780" s="133"/>
      <c r="B780" s="134"/>
      <c r="C780" s="134"/>
      <c r="D780" s="134"/>
      <c r="E780" s="133"/>
      <c r="F780" s="134"/>
      <c r="G780" s="134"/>
      <c r="H780" s="134"/>
      <c r="I780" s="133"/>
      <c r="J780" s="133"/>
      <c r="K780" s="133"/>
      <c r="L780" s="134"/>
    </row>
    <row r="781" spans="1:12">
      <c r="A781" s="133"/>
      <c r="B781" s="134"/>
      <c r="C781" s="134"/>
      <c r="D781" s="134"/>
      <c r="E781" s="133"/>
      <c r="F781" s="134"/>
      <c r="G781" s="134"/>
      <c r="H781" s="134"/>
      <c r="I781" s="133"/>
      <c r="J781" s="133"/>
      <c r="K781" s="133"/>
      <c r="L781" s="134"/>
    </row>
    <row r="782" spans="1:12">
      <c r="A782" s="133"/>
      <c r="B782" s="134"/>
      <c r="C782" s="134"/>
      <c r="D782" s="134"/>
      <c r="E782" s="133"/>
      <c r="F782" s="134"/>
      <c r="G782" s="134"/>
      <c r="H782" s="134"/>
      <c r="I782" s="133"/>
      <c r="J782" s="133"/>
      <c r="K782" s="133"/>
      <c r="L782" s="134"/>
    </row>
    <row r="783" spans="1:12">
      <c r="A783" s="133"/>
      <c r="B783" s="134"/>
      <c r="C783" s="134"/>
      <c r="D783" s="134"/>
      <c r="E783" s="133"/>
      <c r="F783" s="134"/>
      <c r="G783" s="134"/>
      <c r="H783" s="134"/>
      <c r="I783" s="133"/>
      <c r="J783" s="133"/>
      <c r="K783" s="133"/>
      <c r="L783" s="134"/>
    </row>
    <row r="784" spans="1:12">
      <c r="A784" s="133"/>
      <c r="B784" s="134"/>
      <c r="C784" s="134"/>
      <c r="D784" s="134"/>
      <c r="E784" s="133"/>
      <c r="F784" s="134"/>
      <c r="G784" s="134"/>
      <c r="H784" s="134"/>
      <c r="I784" s="133"/>
      <c r="J784" s="133"/>
      <c r="K784" s="133"/>
      <c r="L784" s="134"/>
    </row>
    <row r="785" spans="1:12">
      <c r="A785" s="133"/>
      <c r="B785" s="134"/>
      <c r="C785" s="134"/>
      <c r="D785" s="134"/>
      <c r="E785" s="133"/>
      <c r="F785" s="134"/>
      <c r="G785" s="134"/>
      <c r="H785" s="134"/>
      <c r="I785" s="133"/>
      <c r="J785" s="133"/>
      <c r="K785" s="133"/>
      <c r="L785" s="134"/>
    </row>
    <row r="786" spans="1:12">
      <c r="A786" s="133"/>
      <c r="B786" s="134"/>
      <c r="C786" s="134"/>
      <c r="D786" s="134"/>
      <c r="E786" s="133"/>
      <c r="F786" s="134"/>
      <c r="G786" s="134"/>
      <c r="H786" s="134"/>
      <c r="I786" s="133"/>
      <c r="J786" s="133"/>
      <c r="K786" s="133"/>
      <c r="L786" s="134"/>
    </row>
    <row r="787" spans="1:12">
      <c r="A787" s="133"/>
      <c r="B787" s="134"/>
      <c r="C787" s="134"/>
      <c r="D787" s="134"/>
      <c r="E787" s="133"/>
      <c r="F787" s="134"/>
      <c r="G787" s="134"/>
      <c r="H787" s="134"/>
      <c r="I787" s="133"/>
      <c r="J787" s="133"/>
      <c r="K787" s="133"/>
      <c r="L787" s="134"/>
    </row>
    <row r="788" spans="1:12">
      <c r="A788" s="133"/>
      <c r="B788" s="134"/>
      <c r="C788" s="134"/>
      <c r="D788" s="134"/>
      <c r="E788" s="133"/>
      <c r="F788" s="134"/>
      <c r="G788" s="134"/>
      <c r="H788" s="134"/>
      <c r="I788" s="133"/>
      <c r="J788" s="133"/>
      <c r="K788" s="133"/>
      <c r="L788" s="134"/>
    </row>
    <row r="789" spans="1:12">
      <c r="A789" s="133"/>
      <c r="B789" s="134"/>
      <c r="C789" s="134"/>
      <c r="D789" s="134"/>
      <c r="E789" s="133"/>
      <c r="F789" s="134"/>
      <c r="G789" s="134"/>
      <c r="H789" s="134"/>
      <c r="I789" s="133"/>
      <c r="J789" s="133"/>
      <c r="K789" s="133"/>
      <c r="L789" s="134"/>
    </row>
    <row r="790" spans="1:12">
      <c r="A790" s="133"/>
      <c r="B790" s="134"/>
      <c r="C790" s="134"/>
      <c r="D790" s="134"/>
      <c r="E790" s="133"/>
      <c r="F790" s="134"/>
      <c r="G790" s="134"/>
      <c r="H790" s="134"/>
      <c r="I790" s="133"/>
      <c r="J790" s="133"/>
      <c r="K790" s="133"/>
      <c r="L790" s="134"/>
    </row>
    <row r="791" spans="1:12">
      <c r="A791" s="133"/>
      <c r="B791" s="134"/>
      <c r="C791" s="134"/>
      <c r="D791" s="134"/>
      <c r="E791" s="133"/>
      <c r="F791" s="134"/>
      <c r="G791" s="134"/>
      <c r="H791" s="134"/>
      <c r="I791" s="133"/>
      <c r="J791" s="133"/>
      <c r="K791" s="133"/>
      <c r="L791" s="134"/>
    </row>
    <row r="792" spans="1:12">
      <c r="A792" s="133"/>
      <c r="B792" s="134"/>
      <c r="C792" s="134"/>
      <c r="D792" s="134"/>
      <c r="E792" s="133"/>
      <c r="F792" s="134"/>
      <c r="G792" s="134"/>
      <c r="H792" s="134"/>
      <c r="I792" s="133"/>
      <c r="J792" s="133"/>
      <c r="K792" s="133"/>
      <c r="L792" s="134"/>
    </row>
    <row r="793" spans="1:12">
      <c r="A793" s="133"/>
      <c r="B793" s="134"/>
      <c r="C793" s="134"/>
      <c r="D793" s="134"/>
      <c r="E793" s="133"/>
      <c r="F793" s="134"/>
      <c r="G793" s="134"/>
      <c r="H793" s="134"/>
      <c r="I793" s="133"/>
      <c r="J793" s="133"/>
      <c r="K793" s="133"/>
      <c r="L793" s="134"/>
    </row>
    <row r="794" spans="1:12">
      <c r="A794" s="133"/>
      <c r="B794" s="134"/>
      <c r="C794" s="134"/>
      <c r="D794" s="134"/>
      <c r="E794" s="133"/>
      <c r="F794" s="134"/>
      <c r="G794" s="134"/>
      <c r="H794" s="134"/>
      <c r="I794" s="133"/>
      <c r="J794" s="133"/>
      <c r="K794" s="133"/>
      <c r="L794" s="134"/>
    </row>
    <row r="795" spans="1:12">
      <c r="A795" s="133"/>
      <c r="B795" s="134"/>
      <c r="C795" s="134"/>
      <c r="D795" s="134"/>
      <c r="E795" s="133"/>
      <c r="F795" s="134"/>
      <c r="G795" s="134"/>
      <c r="H795" s="134"/>
      <c r="I795" s="133"/>
      <c r="J795" s="133"/>
      <c r="K795" s="133"/>
      <c r="L795" s="134"/>
    </row>
    <row r="796" spans="1:12">
      <c r="A796" s="133"/>
      <c r="B796" s="134"/>
      <c r="C796" s="134"/>
      <c r="D796" s="134"/>
      <c r="E796" s="133"/>
      <c r="F796" s="134"/>
      <c r="G796" s="134"/>
      <c r="H796" s="134"/>
      <c r="I796" s="133"/>
      <c r="J796" s="133"/>
      <c r="K796" s="133"/>
      <c r="L796" s="134"/>
    </row>
    <row r="797" spans="1:12">
      <c r="A797" s="133"/>
      <c r="B797" s="134"/>
      <c r="C797" s="134"/>
      <c r="D797" s="134"/>
      <c r="E797" s="133"/>
      <c r="F797" s="134"/>
      <c r="G797" s="134"/>
      <c r="H797" s="134"/>
      <c r="I797" s="133"/>
      <c r="J797" s="133"/>
      <c r="K797" s="133"/>
      <c r="L797" s="134"/>
    </row>
    <row r="798" spans="1:12">
      <c r="A798" s="133"/>
      <c r="B798" s="134"/>
      <c r="C798" s="134"/>
      <c r="D798" s="134"/>
      <c r="E798" s="133"/>
      <c r="F798" s="134"/>
      <c r="G798" s="134"/>
      <c r="H798" s="134"/>
      <c r="I798" s="133"/>
      <c r="J798" s="133"/>
      <c r="K798" s="133"/>
      <c r="L798" s="134"/>
    </row>
    <row r="799" spans="1:12">
      <c r="A799" s="133"/>
      <c r="B799" s="134"/>
      <c r="C799" s="134"/>
      <c r="D799" s="134"/>
      <c r="E799" s="133"/>
      <c r="F799" s="134"/>
      <c r="G799" s="134"/>
      <c r="H799" s="134"/>
      <c r="I799" s="133"/>
      <c r="J799" s="133"/>
      <c r="K799" s="133"/>
      <c r="L799" s="134"/>
    </row>
    <row r="800" spans="1:12">
      <c r="A800" s="133"/>
      <c r="B800" s="134"/>
      <c r="C800" s="134"/>
      <c r="D800" s="134"/>
      <c r="E800" s="133"/>
      <c r="F800" s="134"/>
      <c r="G800" s="134"/>
      <c r="H800" s="134"/>
      <c r="I800" s="133"/>
      <c r="J800" s="133"/>
      <c r="K800" s="133"/>
      <c r="L800" s="134"/>
    </row>
    <row r="801" spans="1:12">
      <c r="A801" s="133"/>
      <c r="B801" s="134"/>
      <c r="C801" s="134"/>
      <c r="D801" s="134"/>
      <c r="E801" s="133"/>
      <c r="F801" s="134"/>
      <c r="G801" s="134"/>
      <c r="H801" s="134"/>
      <c r="I801" s="133"/>
      <c r="J801" s="133"/>
      <c r="K801" s="133"/>
      <c r="L801" s="134"/>
    </row>
    <row r="802" spans="1:12">
      <c r="A802" s="133"/>
      <c r="B802" s="134"/>
      <c r="C802" s="134"/>
      <c r="D802" s="134"/>
      <c r="E802" s="133"/>
      <c r="F802" s="134"/>
      <c r="G802" s="134"/>
      <c r="H802" s="134"/>
      <c r="I802" s="133"/>
      <c r="J802" s="133"/>
      <c r="K802" s="133"/>
      <c r="L802" s="134"/>
    </row>
    <row r="803" spans="1:12">
      <c r="A803" s="133"/>
      <c r="B803" s="134"/>
      <c r="C803" s="134"/>
      <c r="D803" s="134"/>
      <c r="E803" s="133"/>
      <c r="F803" s="134"/>
      <c r="G803" s="134"/>
      <c r="H803" s="134"/>
      <c r="I803" s="133"/>
      <c r="J803" s="133"/>
      <c r="K803" s="133"/>
      <c r="L803" s="134"/>
    </row>
    <row r="804" spans="1:12">
      <c r="A804" s="133"/>
      <c r="B804" s="134"/>
      <c r="C804" s="134"/>
      <c r="D804" s="134"/>
      <c r="E804" s="133"/>
      <c r="F804" s="134"/>
      <c r="G804" s="134"/>
      <c r="H804" s="134"/>
      <c r="I804" s="133"/>
      <c r="J804" s="133"/>
      <c r="K804" s="133"/>
      <c r="L804" s="134"/>
    </row>
    <row r="805" spans="1:12">
      <c r="A805" s="133"/>
      <c r="B805" s="134"/>
      <c r="C805" s="134"/>
      <c r="D805" s="134"/>
      <c r="E805" s="133"/>
      <c r="F805" s="134"/>
      <c r="G805" s="134"/>
      <c r="H805" s="134"/>
      <c r="I805" s="133"/>
      <c r="J805" s="133"/>
      <c r="K805" s="133"/>
      <c r="L805" s="134"/>
    </row>
    <row r="806" spans="1:12">
      <c r="A806" s="133"/>
      <c r="B806" s="134"/>
      <c r="C806" s="134"/>
      <c r="D806" s="134"/>
      <c r="E806" s="133"/>
      <c r="F806" s="134"/>
      <c r="G806" s="134"/>
      <c r="H806" s="134"/>
      <c r="I806" s="133"/>
      <c r="J806" s="133"/>
      <c r="K806" s="133"/>
      <c r="L806" s="134"/>
    </row>
    <row r="807" spans="1:12">
      <c r="A807" s="133"/>
      <c r="B807" s="134"/>
      <c r="C807" s="134"/>
      <c r="D807" s="134"/>
      <c r="E807" s="133"/>
      <c r="F807" s="134"/>
      <c r="G807" s="134"/>
      <c r="H807" s="134"/>
      <c r="I807" s="133"/>
      <c r="J807" s="133"/>
      <c r="K807" s="133"/>
      <c r="L807" s="134"/>
    </row>
    <row r="808" spans="1:12">
      <c r="A808" s="133"/>
      <c r="B808" s="134"/>
      <c r="C808" s="134"/>
      <c r="D808" s="134"/>
      <c r="E808" s="133"/>
      <c r="F808" s="134"/>
      <c r="G808" s="134"/>
      <c r="H808" s="134"/>
      <c r="I808" s="133"/>
      <c r="J808" s="133"/>
      <c r="K808" s="133"/>
      <c r="L808" s="134"/>
    </row>
    <row r="809" spans="1:12">
      <c r="A809" s="133"/>
      <c r="B809" s="134"/>
      <c r="C809" s="134"/>
      <c r="D809" s="134"/>
      <c r="E809" s="133"/>
      <c r="F809" s="134"/>
      <c r="G809" s="134"/>
      <c r="H809" s="134"/>
      <c r="I809" s="133"/>
      <c r="J809" s="133"/>
      <c r="K809" s="133"/>
      <c r="L809" s="134"/>
    </row>
    <row r="810" spans="1:12">
      <c r="A810" s="133"/>
      <c r="B810" s="134"/>
      <c r="C810" s="134"/>
      <c r="D810" s="134"/>
      <c r="E810" s="133"/>
      <c r="F810" s="134"/>
      <c r="G810" s="134"/>
      <c r="H810" s="134"/>
      <c r="I810" s="133"/>
      <c r="J810" s="133"/>
      <c r="K810" s="133"/>
      <c r="L810" s="134"/>
    </row>
    <row r="811" spans="1:12">
      <c r="A811" s="133"/>
      <c r="B811" s="134"/>
      <c r="C811" s="134"/>
      <c r="D811" s="134"/>
      <c r="E811" s="133"/>
      <c r="F811" s="134"/>
      <c r="G811" s="134"/>
      <c r="H811" s="134"/>
      <c r="I811" s="133"/>
      <c r="J811" s="133"/>
      <c r="K811" s="133"/>
      <c r="L811" s="134"/>
    </row>
    <row r="812" spans="1:12">
      <c r="A812" s="133"/>
      <c r="B812" s="134"/>
      <c r="C812" s="134"/>
      <c r="D812" s="134"/>
      <c r="E812" s="133"/>
      <c r="F812" s="134"/>
      <c r="G812" s="134"/>
      <c r="H812" s="134"/>
      <c r="I812" s="133"/>
      <c r="J812" s="133"/>
      <c r="K812" s="133"/>
      <c r="L812" s="134"/>
    </row>
    <row r="813" spans="1:12">
      <c r="A813" s="133"/>
      <c r="B813" s="134"/>
      <c r="C813" s="134"/>
      <c r="D813" s="134"/>
      <c r="E813" s="133"/>
      <c r="F813" s="134"/>
      <c r="G813" s="134"/>
      <c r="H813" s="134"/>
      <c r="I813" s="133"/>
      <c r="J813" s="133"/>
      <c r="K813" s="133"/>
      <c r="L813" s="134"/>
    </row>
    <row r="814" spans="1:12">
      <c r="A814" s="133"/>
      <c r="B814" s="134"/>
      <c r="C814" s="134"/>
      <c r="D814" s="134"/>
      <c r="E814" s="133"/>
      <c r="F814" s="134"/>
      <c r="G814" s="134"/>
      <c r="H814" s="134"/>
      <c r="I814" s="133"/>
      <c r="J814" s="133"/>
      <c r="K814" s="133"/>
      <c r="L814" s="134"/>
    </row>
    <row r="815" spans="1:12">
      <c r="A815" s="133"/>
      <c r="B815" s="134"/>
      <c r="C815" s="134"/>
      <c r="D815" s="134"/>
      <c r="E815" s="133"/>
      <c r="F815" s="134"/>
      <c r="G815" s="134"/>
      <c r="H815" s="134"/>
      <c r="I815" s="133"/>
      <c r="J815" s="133"/>
      <c r="K815" s="133"/>
      <c r="L815" s="134"/>
    </row>
    <row r="816" spans="1:12">
      <c r="A816" s="133"/>
      <c r="B816" s="134"/>
      <c r="C816" s="134"/>
      <c r="D816" s="134"/>
      <c r="E816" s="133"/>
      <c r="F816" s="134"/>
      <c r="G816" s="134"/>
      <c r="H816" s="134"/>
      <c r="I816" s="133"/>
      <c r="J816" s="133"/>
      <c r="K816" s="133"/>
      <c r="L816" s="134"/>
    </row>
    <row r="817" spans="1:12">
      <c r="A817" s="133"/>
      <c r="B817" s="134"/>
      <c r="C817" s="134"/>
      <c r="D817" s="134"/>
      <c r="E817" s="133"/>
      <c r="F817" s="134"/>
      <c r="G817" s="134"/>
      <c r="H817" s="134"/>
      <c r="I817" s="133"/>
      <c r="J817" s="133"/>
      <c r="K817" s="133"/>
      <c r="L817" s="134"/>
    </row>
    <row r="818" spans="1:12">
      <c r="A818" s="133"/>
      <c r="B818" s="134"/>
      <c r="C818" s="134"/>
      <c r="D818" s="134"/>
      <c r="E818" s="133"/>
      <c r="F818" s="134"/>
      <c r="G818" s="134"/>
      <c r="H818" s="134"/>
      <c r="I818" s="133"/>
      <c r="J818" s="133"/>
      <c r="K818" s="133"/>
      <c r="L818" s="134"/>
    </row>
    <row r="819" spans="1:12">
      <c r="A819" s="133"/>
      <c r="B819" s="134"/>
      <c r="C819" s="134"/>
      <c r="D819" s="134"/>
      <c r="E819" s="133"/>
      <c r="F819" s="134"/>
      <c r="G819" s="134"/>
      <c r="H819" s="134"/>
      <c r="I819" s="133"/>
      <c r="J819" s="133"/>
      <c r="K819" s="133"/>
      <c r="L819" s="134"/>
    </row>
    <row r="820" spans="1:12">
      <c r="A820" s="133"/>
      <c r="B820" s="134"/>
      <c r="C820" s="134"/>
      <c r="D820" s="134"/>
      <c r="E820" s="133"/>
      <c r="F820" s="134"/>
      <c r="G820" s="134"/>
      <c r="H820" s="134"/>
      <c r="I820" s="133"/>
      <c r="J820" s="133"/>
      <c r="K820" s="133"/>
      <c r="L820" s="134"/>
    </row>
    <row r="821" spans="1:12">
      <c r="A821" s="133"/>
      <c r="B821" s="134"/>
      <c r="C821" s="134"/>
      <c r="D821" s="134"/>
      <c r="E821" s="133"/>
      <c r="F821" s="134"/>
      <c r="G821" s="134"/>
      <c r="H821" s="134"/>
      <c r="I821" s="133"/>
      <c r="J821" s="133"/>
      <c r="K821" s="133"/>
      <c r="L821" s="134"/>
    </row>
    <row r="822" spans="1:12">
      <c r="A822" s="133"/>
      <c r="B822" s="134"/>
      <c r="C822" s="134"/>
      <c r="D822" s="134"/>
      <c r="E822" s="133"/>
      <c r="F822" s="134"/>
      <c r="G822" s="134"/>
      <c r="H822" s="134"/>
      <c r="I822" s="133"/>
      <c r="J822" s="133"/>
      <c r="K822" s="133"/>
      <c r="L822" s="134"/>
    </row>
    <row r="823" spans="1:12">
      <c r="A823" s="133"/>
      <c r="B823" s="134"/>
      <c r="C823" s="134"/>
      <c r="D823" s="134"/>
      <c r="E823" s="133"/>
      <c r="F823" s="134"/>
      <c r="G823" s="134"/>
      <c r="H823" s="134"/>
      <c r="I823" s="133"/>
      <c r="J823" s="133"/>
      <c r="K823" s="133"/>
      <c r="L823" s="134"/>
    </row>
    <row r="824" spans="1:12">
      <c r="A824" s="133"/>
      <c r="B824" s="134"/>
      <c r="C824" s="134"/>
      <c r="D824" s="134"/>
      <c r="E824" s="133"/>
      <c r="F824" s="134"/>
      <c r="G824" s="134"/>
      <c r="H824" s="134"/>
      <c r="I824" s="133"/>
      <c r="J824" s="133"/>
      <c r="K824" s="133"/>
      <c r="L824" s="134"/>
    </row>
    <row r="825" spans="1:12">
      <c r="A825" s="133"/>
      <c r="B825" s="134"/>
      <c r="C825" s="134"/>
      <c r="D825" s="134"/>
      <c r="E825" s="133"/>
      <c r="F825" s="134"/>
      <c r="G825" s="134"/>
      <c r="H825" s="134"/>
      <c r="I825" s="133"/>
      <c r="J825" s="133"/>
      <c r="K825" s="133"/>
      <c r="L825" s="134"/>
    </row>
    <row r="826" spans="1:12">
      <c r="A826" s="133"/>
      <c r="B826" s="134"/>
      <c r="C826" s="134"/>
      <c r="D826" s="134"/>
      <c r="E826" s="133"/>
      <c r="F826" s="134"/>
      <c r="G826" s="134"/>
      <c r="H826" s="134"/>
      <c r="I826" s="133"/>
      <c r="J826" s="133"/>
      <c r="K826" s="133"/>
      <c r="L826" s="134"/>
    </row>
    <row r="827" spans="1:12">
      <c r="A827" s="133"/>
      <c r="B827" s="134"/>
      <c r="C827" s="134"/>
      <c r="D827" s="134"/>
      <c r="E827" s="133"/>
      <c r="F827" s="134"/>
      <c r="G827" s="134"/>
      <c r="H827" s="134"/>
      <c r="I827" s="133"/>
      <c r="J827" s="133"/>
      <c r="K827" s="133"/>
      <c r="L827" s="134"/>
    </row>
    <row r="828" spans="1:12">
      <c r="A828" s="133"/>
      <c r="B828" s="134"/>
      <c r="C828" s="134"/>
      <c r="D828" s="134"/>
      <c r="E828" s="133"/>
      <c r="F828" s="134"/>
      <c r="G828" s="134"/>
      <c r="H828" s="134"/>
      <c r="I828" s="133"/>
      <c r="J828" s="133"/>
      <c r="K828" s="133"/>
      <c r="L828" s="134"/>
    </row>
    <row r="829" spans="1:12">
      <c r="A829" s="133"/>
      <c r="B829" s="134"/>
      <c r="C829" s="134"/>
      <c r="D829" s="134"/>
      <c r="E829" s="133"/>
      <c r="F829" s="134"/>
      <c r="G829" s="134"/>
      <c r="H829" s="134"/>
      <c r="I829" s="133"/>
      <c r="J829" s="133"/>
      <c r="K829" s="133"/>
      <c r="L829" s="134"/>
    </row>
    <row r="830" spans="1:12">
      <c r="A830" s="133"/>
      <c r="B830" s="134"/>
      <c r="C830" s="134"/>
      <c r="D830" s="134"/>
      <c r="E830" s="133"/>
      <c r="F830" s="134"/>
      <c r="G830" s="134"/>
      <c r="H830" s="134"/>
      <c r="I830" s="133"/>
      <c r="J830" s="133"/>
      <c r="K830" s="133"/>
      <c r="L830" s="134"/>
    </row>
    <row r="831" spans="1:12">
      <c r="A831" s="133"/>
      <c r="B831" s="134"/>
      <c r="C831" s="134"/>
      <c r="D831" s="134"/>
      <c r="E831" s="133"/>
      <c r="F831" s="134"/>
      <c r="G831" s="134"/>
      <c r="H831" s="134"/>
      <c r="I831" s="133"/>
      <c r="J831" s="133"/>
      <c r="K831" s="133"/>
      <c r="L831" s="134"/>
    </row>
    <row r="832" spans="1:12">
      <c r="A832" s="133"/>
      <c r="B832" s="134"/>
      <c r="C832" s="134"/>
      <c r="D832" s="134"/>
      <c r="E832" s="133"/>
      <c r="F832" s="134"/>
      <c r="G832" s="134"/>
      <c r="H832" s="134"/>
      <c r="I832" s="133"/>
      <c r="J832" s="133"/>
      <c r="K832" s="133"/>
      <c r="L832" s="134"/>
    </row>
    <row r="833" spans="1:12">
      <c r="A833" s="133"/>
      <c r="B833" s="134"/>
      <c r="C833" s="134"/>
      <c r="D833" s="134"/>
      <c r="E833" s="133"/>
      <c r="F833" s="134"/>
      <c r="G833" s="134"/>
      <c r="H833" s="134"/>
      <c r="I833" s="133"/>
      <c r="J833" s="133"/>
      <c r="K833" s="133"/>
      <c r="L833" s="134"/>
    </row>
    <row r="834" spans="1:12">
      <c r="A834" s="133"/>
      <c r="B834" s="134"/>
      <c r="C834" s="134"/>
      <c r="D834" s="134"/>
      <c r="E834" s="133"/>
      <c r="F834" s="134"/>
      <c r="G834" s="134"/>
      <c r="H834" s="134"/>
      <c r="I834" s="133"/>
      <c r="J834" s="133"/>
      <c r="K834" s="133"/>
      <c r="L834" s="134"/>
    </row>
    <row r="835" spans="1:12">
      <c r="A835" s="133"/>
      <c r="B835" s="134"/>
      <c r="C835" s="134"/>
      <c r="D835" s="134"/>
      <c r="E835" s="133"/>
      <c r="F835" s="134"/>
      <c r="G835" s="134"/>
      <c r="H835" s="134"/>
      <c r="I835" s="133"/>
      <c r="J835" s="133"/>
      <c r="K835" s="133"/>
      <c r="L835" s="134"/>
    </row>
    <row r="836" spans="1:12">
      <c r="A836" s="133"/>
      <c r="B836" s="134"/>
      <c r="C836" s="134"/>
      <c r="D836" s="134"/>
      <c r="E836" s="133"/>
      <c r="F836" s="134"/>
      <c r="G836" s="134"/>
      <c r="H836" s="134"/>
      <c r="I836" s="133"/>
      <c r="J836" s="133"/>
      <c r="K836" s="133"/>
      <c r="L836" s="134"/>
    </row>
    <row r="837" spans="1:12">
      <c r="A837" s="133"/>
      <c r="B837" s="134"/>
      <c r="C837" s="134"/>
      <c r="D837" s="134"/>
      <c r="E837" s="133"/>
      <c r="F837" s="134"/>
      <c r="G837" s="134"/>
      <c r="H837" s="134"/>
      <c r="I837" s="133"/>
      <c r="J837" s="133"/>
      <c r="K837" s="133"/>
      <c r="L837" s="134"/>
    </row>
    <row r="838" spans="1:12">
      <c r="A838" s="133"/>
      <c r="B838" s="134"/>
      <c r="C838" s="134"/>
      <c r="D838" s="134"/>
      <c r="E838" s="133"/>
      <c r="F838" s="134"/>
      <c r="G838" s="134"/>
      <c r="H838" s="134"/>
      <c r="I838" s="133"/>
      <c r="J838" s="133"/>
      <c r="K838" s="133"/>
      <c r="L838" s="134"/>
    </row>
    <row r="839" spans="1:12">
      <c r="A839" s="133"/>
      <c r="B839" s="134"/>
      <c r="C839" s="134"/>
      <c r="D839" s="134"/>
      <c r="E839" s="133"/>
      <c r="F839" s="134"/>
      <c r="G839" s="134"/>
      <c r="H839" s="134"/>
      <c r="I839" s="133"/>
      <c r="J839" s="133"/>
      <c r="K839" s="133"/>
      <c r="L839" s="134"/>
    </row>
    <row r="840" spans="1:12">
      <c r="A840" s="133"/>
      <c r="B840" s="134"/>
      <c r="C840" s="134"/>
      <c r="D840" s="134"/>
      <c r="E840" s="133"/>
      <c r="F840" s="134"/>
      <c r="G840" s="134"/>
      <c r="H840" s="134"/>
      <c r="I840" s="133"/>
      <c r="J840" s="133"/>
      <c r="K840" s="133"/>
      <c r="L840" s="134"/>
    </row>
    <row r="841" spans="1:12">
      <c r="A841" s="133"/>
      <c r="B841" s="134"/>
      <c r="C841" s="134"/>
      <c r="D841" s="134"/>
      <c r="E841" s="133"/>
      <c r="F841" s="134"/>
      <c r="G841" s="134"/>
      <c r="H841" s="134"/>
      <c r="I841" s="133"/>
      <c r="J841" s="133"/>
      <c r="K841" s="133"/>
      <c r="L841" s="134"/>
    </row>
    <row r="842" spans="1:12">
      <c r="A842" s="133"/>
      <c r="B842" s="134"/>
      <c r="C842" s="134"/>
      <c r="D842" s="134"/>
      <c r="E842" s="133"/>
      <c r="F842" s="134"/>
      <c r="G842" s="134"/>
      <c r="H842" s="134"/>
      <c r="I842" s="133"/>
      <c r="J842" s="133"/>
      <c r="K842" s="133"/>
      <c r="L842" s="134"/>
    </row>
    <row r="843" spans="1:12">
      <c r="A843" s="133"/>
      <c r="B843" s="134"/>
      <c r="C843" s="134"/>
      <c r="D843" s="134"/>
      <c r="E843" s="133"/>
      <c r="F843" s="134"/>
      <c r="G843" s="134"/>
      <c r="H843" s="134"/>
      <c r="I843" s="133"/>
      <c r="J843" s="133"/>
      <c r="K843" s="133"/>
      <c r="L843" s="134"/>
    </row>
    <row r="844" spans="1:12">
      <c r="A844" s="133"/>
      <c r="B844" s="134"/>
      <c r="C844" s="134"/>
      <c r="D844" s="134"/>
      <c r="E844" s="133"/>
      <c r="F844" s="134"/>
      <c r="G844" s="134"/>
      <c r="H844" s="134"/>
      <c r="I844" s="133"/>
      <c r="J844" s="133"/>
      <c r="K844" s="133"/>
      <c r="L844" s="134"/>
    </row>
    <row r="845" spans="1:12">
      <c r="A845" s="133"/>
      <c r="B845" s="134"/>
      <c r="C845" s="134"/>
      <c r="D845" s="134"/>
      <c r="E845" s="133"/>
      <c r="F845" s="134"/>
      <c r="G845" s="134"/>
      <c r="H845" s="134"/>
      <c r="I845" s="133"/>
      <c r="J845" s="133"/>
      <c r="K845" s="133"/>
      <c r="L845" s="134"/>
    </row>
    <row r="846" spans="1:12">
      <c r="A846" s="133"/>
      <c r="B846" s="134"/>
      <c r="C846" s="134"/>
      <c r="D846" s="134"/>
      <c r="E846" s="133"/>
      <c r="F846" s="134"/>
      <c r="G846" s="134"/>
      <c r="H846" s="134"/>
      <c r="I846" s="133"/>
      <c r="J846" s="133"/>
      <c r="K846" s="133"/>
      <c r="L846" s="134"/>
    </row>
    <row r="847" spans="1:12">
      <c r="A847" s="133"/>
      <c r="B847" s="134"/>
      <c r="C847" s="134"/>
      <c r="D847" s="134"/>
      <c r="E847" s="133"/>
      <c r="F847" s="134"/>
      <c r="G847" s="134"/>
      <c r="H847" s="134"/>
      <c r="I847" s="133"/>
      <c r="J847" s="133"/>
      <c r="K847" s="133"/>
      <c r="L847" s="134"/>
    </row>
    <row r="848" spans="1:12">
      <c r="A848" s="133"/>
      <c r="B848" s="134"/>
      <c r="C848" s="134"/>
      <c r="D848" s="134"/>
      <c r="E848" s="133"/>
      <c r="F848" s="134"/>
      <c r="G848" s="134"/>
      <c r="H848" s="134"/>
      <c r="I848" s="133"/>
      <c r="J848" s="133"/>
      <c r="K848" s="133"/>
      <c r="L848" s="134"/>
    </row>
    <row r="849" spans="1:12">
      <c r="A849" s="133"/>
      <c r="B849" s="134"/>
      <c r="C849" s="134"/>
      <c r="D849" s="134"/>
      <c r="E849" s="133"/>
      <c r="F849" s="134"/>
      <c r="G849" s="134"/>
      <c r="H849" s="134"/>
      <c r="I849" s="133"/>
      <c r="J849" s="133"/>
      <c r="K849" s="133"/>
      <c r="L849" s="134"/>
    </row>
    <row r="850" spans="1:12">
      <c r="A850" s="133"/>
      <c r="B850" s="134"/>
      <c r="C850" s="134"/>
      <c r="D850" s="134"/>
      <c r="E850" s="133"/>
      <c r="F850" s="134"/>
      <c r="G850" s="134"/>
      <c r="H850" s="134"/>
      <c r="I850" s="133"/>
      <c r="J850" s="133"/>
      <c r="K850" s="133"/>
      <c r="L850" s="134"/>
    </row>
    <row r="851" spans="1:12">
      <c r="A851" s="133"/>
      <c r="B851" s="134"/>
      <c r="C851" s="134"/>
      <c r="D851" s="134"/>
      <c r="E851" s="133"/>
      <c r="F851" s="134"/>
      <c r="G851" s="134"/>
      <c r="H851" s="134"/>
      <c r="I851" s="133"/>
      <c r="J851" s="133"/>
      <c r="K851" s="133"/>
      <c r="L851" s="134"/>
    </row>
    <row r="852" spans="1:12">
      <c r="A852" s="133"/>
      <c r="B852" s="134"/>
      <c r="C852" s="134"/>
      <c r="D852" s="134"/>
      <c r="E852" s="133"/>
      <c r="F852" s="134"/>
      <c r="G852" s="134"/>
      <c r="H852" s="134"/>
      <c r="I852" s="133"/>
      <c r="J852" s="133"/>
      <c r="K852" s="133"/>
      <c r="L852" s="134"/>
    </row>
    <row r="853" spans="1:12">
      <c r="A853" s="133"/>
      <c r="B853" s="134"/>
      <c r="C853" s="134"/>
      <c r="D853" s="134"/>
      <c r="E853" s="133"/>
      <c r="F853" s="134"/>
      <c r="G853" s="134"/>
      <c r="H853" s="134"/>
      <c r="I853" s="133"/>
      <c r="J853" s="133"/>
      <c r="K853" s="133"/>
      <c r="L853" s="134"/>
    </row>
    <row r="854" spans="1:12">
      <c r="A854" s="133"/>
      <c r="B854" s="134"/>
      <c r="C854" s="134"/>
      <c r="D854" s="134"/>
      <c r="E854" s="133"/>
      <c r="F854" s="134"/>
      <c r="G854" s="134"/>
      <c r="H854" s="134"/>
      <c r="I854" s="133"/>
      <c r="J854" s="133"/>
      <c r="K854" s="133"/>
      <c r="L854" s="134"/>
    </row>
    <row r="855" spans="1:12">
      <c r="A855" s="133"/>
      <c r="B855" s="134"/>
      <c r="C855" s="134"/>
      <c r="D855" s="134"/>
      <c r="E855" s="133"/>
      <c r="F855" s="134"/>
      <c r="G855" s="134"/>
      <c r="H855" s="134"/>
      <c r="I855" s="133"/>
      <c r="J855" s="133"/>
      <c r="K855" s="133"/>
      <c r="L855" s="134"/>
    </row>
    <row r="856" spans="1:12">
      <c r="A856" s="133"/>
      <c r="B856" s="134"/>
      <c r="C856" s="134"/>
      <c r="D856" s="134"/>
      <c r="E856" s="133"/>
      <c r="F856" s="134"/>
      <c r="G856" s="134"/>
      <c r="H856" s="134"/>
      <c r="I856" s="133"/>
      <c r="J856" s="133"/>
      <c r="K856" s="133"/>
      <c r="L856" s="134"/>
    </row>
    <row r="857" spans="1:12">
      <c r="A857" s="133"/>
      <c r="B857" s="134"/>
      <c r="C857" s="134"/>
      <c r="D857" s="134"/>
      <c r="E857" s="133"/>
      <c r="F857" s="134"/>
      <c r="G857" s="134"/>
      <c r="H857" s="134"/>
      <c r="I857" s="133"/>
      <c r="J857" s="133"/>
      <c r="K857" s="133"/>
      <c r="L857" s="134"/>
    </row>
    <row r="858" spans="1:12">
      <c r="A858" s="133"/>
      <c r="B858" s="134"/>
      <c r="C858" s="134"/>
      <c r="D858" s="134"/>
      <c r="E858" s="133"/>
      <c r="F858" s="134"/>
      <c r="G858" s="134"/>
      <c r="H858" s="134"/>
      <c r="I858" s="133"/>
      <c r="J858" s="133"/>
      <c r="K858" s="133"/>
      <c r="L858" s="134"/>
    </row>
    <row r="859" spans="1:12">
      <c r="A859" s="133"/>
      <c r="B859" s="134"/>
      <c r="C859" s="134"/>
      <c r="D859" s="134"/>
      <c r="E859" s="133"/>
      <c r="F859" s="134"/>
      <c r="G859" s="134"/>
      <c r="H859" s="134"/>
      <c r="I859" s="133"/>
      <c r="J859" s="133"/>
      <c r="K859" s="133"/>
      <c r="L859" s="134"/>
    </row>
    <row r="860" spans="1:12">
      <c r="A860" s="133"/>
      <c r="B860" s="134"/>
      <c r="C860" s="134"/>
      <c r="D860" s="134"/>
      <c r="E860" s="133"/>
      <c r="F860" s="134"/>
      <c r="G860" s="134"/>
      <c r="H860" s="134"/>
      <c r="I860" s="133"/>
      <c r="J860" s="133"/>
      <c r="K860" s="133"/>
      <c r="L860" s="134"/>
    </row>
    <row r="861" spans="1:12">
      <c r="A861" s="133"/>
      <c r="B861" s="134"/>
      <c r="C861" s="134"/>
      <c r="D861" s="134"/>
      <c r="E861" s="133"/>
      <c r="F861" s="134"/>
      <c r="G861" s="134"/>
      <c r="H861" s="134"/>
      <c r="I861" s="133"/>
      <c r="J861" s="133"/>
      <c r="K861" s="133"/>
      <c r="L861" s="134"/>
    </row>
    <row r="862" spans="1:12">
      <c r="A862" s="133"/>
      <c r="B862" s="134"/>
      <c r="C862" s="134"/>
      <c r="D862" s="134"/>
      <c r="E862" s="133"/>
      <c r="F862" s="134"/>
      <c r="G862" s="134"/>
      <c r="H862" s="134"/>
      <c r="I862" s="133"/>
      <c r="J862" s="133"/>
      <c r="K862" s="133"/>
      <c r="L862" s="134"/>
    </row>
    <row r="863" spans="1:12">
      <c r="A863" s="133"/>
      <c r="B863" s="134"/>
      <c r="C863" s="134"/>
      <c r="D863" s="134"/>
      <c r="E863" s="133"/>
      <c r="F863" s="134"/>
      <c r="G863" s="134"/>
      <c r="H863" s="134"/>
      <c r="I863" s="133"/>
      <c r="J863" s="133"/>
      <c r="K863" s="133"/>
      <c r="L863" s="134"/>
    </row>
    <row r="864" spans="1:12">
      <c r="A864" s="133"/>
      <c r="B864" s="134"/>
      <c r="C864" s="134"/>
      <c r="D864" s="134"/>
      <c r="E864" s="133"/>
      <c r="F864" s="134"/>
      <c r="G864" s="134"/>
      <c r="H864" s="134"/>
      <c r="I864" s="133"/>
      <c r="J864" s="133"/>
      <c r="K864" s="133"/>
      <c r="L864" s="134"/>
    </row>
    <row r="865" spans="1:12">
      <c r="A865" s="133"/>
      <c r="B865" s="134"/>
      <c r="C865" s="134"/>
      <c r="D865" s="134"/>
      <c r="E865" s="133"/>
      <c r="F865" s="134"/>
      <c r="G865" s="134"/>
      <c r="H865" s="134"/>
      <c r="I865" s="133"/>
      <c r="J865" s="133"/>
      <c r="K865" s="133"/>
      <c r="L865" s="134"/>
    </row>
    <row r="866" spans="1:12">
      <c r="A866" s="133"/>
      <c r="B866" s="134"/>
      <c r="C866" s="134"/>
      <c r="D866" s="134"/>
      <c r="E866" s="133"/>
      <c r="F866" s="134"/>
      <c r="G866" s="134"/>
      <c r="H866" s="134"/>
      <c r="I866" s="133"/>
      <c r="J866" s="133"/>
      <c r="K866" s="133"/>
      <c r="L866" s="134"/>
    </row>
    <row r="867" spans="1:12">
      <c r="A867" s="133"/>
      <c r="B867" s="134"/>
      <c r="C867" s="134"/>
      <c r="D867" s="134"/>
      <c r="E867" s="133"/>
      <c r="F867" s="134"/>
      <c r="G867" s="134"/>
      <c r="H867" s="134"/>
      <c r="I867" s="133"/>
      <c r="J867" s="133"/>
      <c r="K867" s="133"/>
      <c r="L867" s="134"/>
    </row>
    <row r="868" spans="1:12">
      <c r="A868" s="133"/>
      <c r="B868" s="134"/>
      <c r="C868" s="134"/>
      <c r="D868" s="134"/>
      <c r="E868" s="133"/>
      <c r="F868" s="134"/>
      <c r="G868" s="134"/>
      <c r="H868" s="134"/>
      <c r="I868" s="133"/>
      <c r="J868" s="133"/>
      <c r="K868" s="133"/>
      <c r="L868" s="134"/>
    </row>
    <row r="869" spans="1:12">
      <c r="A869" s="133"/>
      <c r="B869" s="134"/>
      <c r="C869" s="134"/>
      <c r="D869" s="134"/>
      <c r="E869" s="133"/>
      <c r="F869" s="134"/>
      <c r="G869" s="134"/>
      <c r="H869" s="134"/>
      <c r="I869" s="133"/>
      <c r="J869" s="133"/>
      <c r="K869" s="133"/>
      <c r="L869" s="134"/>
    </row>
    <row r="870" spans="1:12">
      <c r="A870" s="133"/>
      <c r="B870" s="134"/>
      <c r="C870" s="134"/>
      <c r="D870" s="134"/>
      <c r="E870" s="133"/>
      <c r="F870" s="134"/>
      <c r="G870" s="134"/>
      <c r="H870" s="134"/>
      <c r="I870" s="133"/>
      <c r="J870" s="133"/>
      <c r="K870" s="133"/>
      <c r="L870" s="134"/>
    </row>
    <row r="871" spans="1:12">
      <c r="A871" s="133"/>
      <c r="B871" s="134"/>
      <c r="C871" s="134"/>
      <c r="D871" s="134"/>
      <c r="E871" s="133"/>
      <c r="F871" s="134"/>
      <c r="G871" s="134"/>
      <c r="H871" s="134"/>
      <c r="I871" s="133"/>
      <c r="J871" s="133"/>
      <c r="K871" s="133"/>
      <c r="L871" s="134"/>
    </row>
    <row r="872" spans="1:12">
      <c r="A872" s="133"/>
      <c r="B872" s="134"/>
      <c r="C872" s="134"/>
      <c r="D872" s="134"/>
      <c r="E872" s="133"/>
      <c r="F872" s="134"/>
      <c r="G872" s="134"/>
      <c r="H872" s="134"/>
      <c r="I872" s="133"/>
      <c r="J872" s="133"/>
      <c r="K872" s="133"/>
      <c r="L872" s="134"/>
    </row>
    <row r="873" spans="1:12">
      <c r="A873" s="133"/>
      <c r="B873" s="134"/>
      <c r="C873" s="134"/>
      <c r="D873" s="134"/>
      <c r="E873" s="133"/>
      <c r="F873" s="134"/>
      <c r="G873" s="134"/>
      <c r="H873" s="134"/>
      <c r="I873" s="133"/>
      <c r="J873" s="133"/>
      <c r="K873" s="133"/>
      <c r="L873" s="134"/>
    </row>
    <row r="874" spans="1:12">
      <c r="A874" s="133"/>
      <c r="B874" s="134"/>
      <c r="C874" s="134"/>
      <c r="D874" s="134"/>
      <c r="E874" s="133"/>
      <c r="F874" s="134"/>
      <c r="G874" s="134"/>
      <c r="H874" s="134"/>
      <c r="I874" s="133"/>
      <c r="J874" s="133"/>
      <c r="K874" s="133"/>
      <c r="L874" s="134"/>
    </row>
    <row r="875" spans="1:12">
      <c r="A875" s="133"/>
      <c r="B875" s="134"/>
      <c r="C875" s="134"/>
      <c r="D875" s="134"/>
      <c r="E875" s="133"/>
      <c r="F875" s="134"/>
      <c r="G875" s="134"/>
      <c r="H875" s="134"/>
      <c r="I875" s="133"/>
      <c r="J875" s="133"/>
      <c r="K875" s="133"/>
      <c r="L875" s="134"/>
    </row>
    <row r="876" spans="1:12">
      <c r="A876" s="133"/>
      <c r="B876" s="134"/>
      <c r="C876" s="134"/>
      <c r="D876" s="134"/>
      <c r="E876" s="133"/>
      <c r="F876" s="134"/>
      <c r="G876" s="134"/>
      <c r="H876" s="134"/>
      <c r="I876" s="133"/>
      <c r="J876" s="133"/>
      <c r="K876" s="133"/>
      <c r="L876" s="134"/>
    </row>
    <row r="877" spans="1:12">
      <c r="A877" s="133"/>
      <c r="B877" s="134"/>
      <c r="C877" s="134"/>
      <c r="D877" s="134"/>
      <c r="E877" s="133"/>
      <c r="F877" s="134"/>
      <c r="G877" s="134"/>
      <c r="H877" s="134"/>
      <c r="I877" s="133"/>
      <c r="J877" s="133"/>
      <c r="K877" s="133"/>
      <c r="L877" s="134"/>
    </row>
    <row r="878" spans="1:12">
      <c r="A878" s="133"/>
      <c r="B878" s="134"/>
      <c r="C878" s="134"/>
      <c r="D878" s="134"/>
      <c r="E878" s="133"/>
      <c r="F878" s="134"/>
      <c r="G878" s="134"/>
      <c r="H878" s="134"/>
      <c r="I878" s="133"/>
      <c r="J878" s="133"/>
      <c r="K878" s="133"/>
      <c r="L878" s="134"/>
    </row>
    <row r="879" spans="1:12">
      <c r="A879" s="133"/>
      <c r="B879" s="134"/>
      <c r="C879" s="134"/>
      <c r="D879" s="134"/>
      <c r="E879" s="133"/>
      <c r="F879" s="134"/>
      <c r="G879" s="134"/>
      <c r="H879" s="134"/>
      <c r="I879" s="133"/>
      <c r="J879" s="133"/>
      <c r="K879" s="133"/>
      <c r="L879" s="134"/>
    </row>
    <row r="880" spans="1:12">
      <c r="A880" s="133"/>
      <c r="B880" s="134"/>
      <c r="C880" s="134"/>
      <c r="D880" s="134"/>
      <c r="E880" s="133"/>
      <c r="F880" s="134"/>
      <c r="G880" s="134"/>
      <c r="H880" s="134"/>
      <c r="I880" s="133"/>
      <c r="J880" s="133"/>
      <c r="K880" s="133"/>
      <c r="L880" s="134"/>
    </row>
    <row r="881" spans="1:12">
      <c r="A881" s="133"/>
      <c r="B881" s="134"/>
      <c r="C881" s="134"/>
      <c r="D881" s="134"/>
      <c r="E881" s="133"/>
      <c r="F881" s="134"/>
      <c r="G881" s="134"/>
      <c r="H881" s="134"/>
      <c r="I881" s="133"/>
      <c r="J881" s="133"/>
      <c r="K881" s="133"/>
      <c r="L881" s="134"/>
    </row>
    <row r="882" spans="1:12">
      <c r="A882" s="133"/>
      <c r="B882" s="134"/>
      <c r="C882" s="134"/>
      <c r="D882" s="134"/>
      <c r="E882" s="133"/>
      <c r="F882" s="134"/>
      <c r="G882" s="134"/>
      <c r="H882" s="134"/>
      <c r="I882" s="133"/>
      <c r="J882" s="133"/>
      <c r="K882" s="133"/>
      <c r="L882" s="134"/>
    </row>
    <row r="883" spans="1:12">
      <c r="A883" s="133"/>
      <c r="B883" s="134"/>
      <c r="C883" s="134"/>
      <c r="D883" s="134"/>
      <c r="E883" s="133"/>
      <c r="F883" s="134"/>
      <c r="G883" s="134"/>
      <c r="H883" s="134"/>
      <c r="I883" s="133"/>
      <c r="J883" s="133"/>
      <c r="K883" s="133"/>
      <c r="L883" s="134"/>
    </row>
    <row r="884" spans="1:12">
      <c r="A884" s="133"/>
      <c r="B884" s="134"/>
      <c r="C884" s="134"/>
      <c r="D884" s="134"/>
      <c r="E884" s="133"/>
      <c r="F884" s="134"/>
      <c r="G884" s="134"/>
      <c r="H884" s="134"/>
      <c r="I884" s="133"/>
      <c r="J884" s="133"/>
      <c r="K884" s="133"/>
      <c r="L884" s="134"/>
    </row>
    <row r="885" spans="1:12">
      <c r="A885" s="133"/>
      <c r="B885" s="134"/>
      <c r="C885" s="134"/>
      <c r="D885" s="134"/>
      <c r="E885" s="133"/>
      <c r="F885" s="134"/>
      <c r="G885" s="134"/>
      <c r="H885" s="134"/>
      <c r="I885" s="133"/>
      <c r="J885" s="133"/>
      <c r="K885" s="133"/>
      <c r="L885" s="134"/>
    </row>
    <row r="886" spans="1:12">
      <c r="A886" s="133"/>
      <c r="B886" s="134"/>
      <c r="C886" s="134"/>
      <c r="D886" s="134"/>
      <c r="E886" s="133"/>
      <c r="F886" s="134"/>
      <c r="G886" s="134"/>
      <c r="H886" s="134"/>
      <c r="I886" s="133"/>
      <c r="J886" s="133"/>
      <c r="K886" s="133"/>
      <c r="L886" s="134"/>
    </row>
    <row r="887" spans="1:12">
      <c r="A887" s="133"/>
      <c r="B887" s="134"/>
      <c r="C887" s="134"/>
      <c r="D887" s="134"/>
      <c r="E887" s="133"/>
      <c r="F887" s="134"/>
      <c r="G887" s="134"/>
      <c r="H887" s="134"/>
      <c r="I887" s="133"/>
      <c r="J887" s="133"/>
      <c r="K887" s="133"/>
      <c r="L887" s="134"/>
    </row>
    <row r="888" spans="1:12">
      <c r="A888" s="133"/>
      <c r="B888" s="134"/>
      <c r="C888" s="134"/>
      <c r="D888" s="134"/>
      <c r="E888" s="133"/>
      <c r="F888" s="134"/>
      <c r="G888" s="134"/>
      <c r="H888" s="134"/>
      <c r="I888" s="133"/>
      <c r="J888" s="133"/>
      <c r="K888" s="133"/>
      <c r="L888" s="134"/>
    </row>
    <row r="889" spans="1:12">
      <c r="A889" s="133"/>
      <c r="B889" s="134"/>
      <c r="C889" s="134"/>
      <c r="D889" s="134"/>
      <c r="E889" s="133"/>
      <c r="F889" s="134"/>
      <c r="G889" s="134"/>
      <c r="H889" s="134"/>
      <c r="I889" s="133"/>
      <c r="J889" s="133"/>
      <c r="K889" s="133"/>
      <c r="L889" s="134"/>
    </row>
    <row r="890" spans="1:12">
      <c r="A890" s="133"/>
      <c r="B890" s="134"/>
      <c r="C890" s="134"/>
      <c r="D890" s="134"/>
      <c r="E890" s="133"/>
      <c r="F890" s="134"/>
      <c r="G890" s="134"/>
      <c r="H890" s="134"/>
      <c r="I890" s="133"/>
      <c r="J890" s="133"/>
      <c r="K890" s="133"/>
      <c r="L890" s="134"/>
    </row>
    <row r="891" spans="1:12">
      <c r="A891" s="133"/>
      <c r="B891" s="134"/>
      <c r="C891" s="134"/>
      <c r="D891" s="134"/>
      <c r="E891" s="133"/>
      <c r="F891" s="134"/>
      <c r="G891" s="134"/>
      <c r="H891" s="134"/>
      <c r="I891" s="133"/>
      <c r="J891" s="133"/>
      <c r="K891" s="133"/>
      <c r="L891" s="134"/>
    </row>
    <row r="892" spans="1:12">
      <c r="A892" s="133"/>
      <c r="B892" s="134"/>
      <c r="C892" s="134"/>
      <c r="D892" s="134"/>
      <c r="E892" s="133"/>
      <c r="F892" s="134"/>
      <c r="G892" s="134"/>
      <c r="H892" s="134"/>
      <c r="I892" s="133"/>
      <c r="J892" s="133"/>
      <c r="K892" s="133"/>
      <c r="L892" s="134"/>
    </row>
    <row r="893" spans="1:12">
      <c r="A893" s="133"/>
      <c r="B893" s="134"/>
      <c r="C893" s="134"/>
      <c r="D893" s="134"/>
      <c r="E893" s="133"/>
      <c r="F893" s="134"/>
      <c r="G893" s="134"/>
      <c r="H893" s="134"/>
      <c r="I893" s="133"/>
      <c r="J893" s="133"/>
      <c r="K893" s="133"/>
      <c r="L893" s="134"/>
    </row>
    <row r="894" spans="1:12">
      <c r="A894" s="133"/>
      <c r="B894" s="134"/>
      <c r="C894" s="134"/>
      <c r="D894" s="134"/>
      <c r="E894" s="133"/>
      <c r="F894" s="134"/>
      <c r="G894" s="134"/>
      <c r="H894" s="134"/>
      <c r="I894" s="133"/>
      <c r="J894" s="133"/>
      <c r="K894" s="133"/>
      <c r="L894" s="134"/>
    </row>
    <row r="895" spans="1:12">
      <c r="A895" s="133"/>
      <c r="B895" s="134"/>
      <c r="C895" s="134"/>
      <c r="D895" s="134"/>
      <c r="E895" s="133"/>
      <c r="F895" s="134"/>
      <c r="G895" s="134"/>
      <c r="H895" s="134"/>
      <c r="I895" s="133"/>
      <c r="J895" s="133"/>
      <c r="K895" s="133"/>
      <c r="L895" s="134"/>
    </row>
    <row r="896" spans="1:12">
      <c r="A896" s="133"/>
      <c r="B896" s="134"/>
      <c r="C896" s="134"/>
      <c r="D896" s="134"/>
      <c r="E896" s="133"/>
      <c r="F896" s="134"/>
      <c r="G896" s="134"/>
      <c r="H896" s="134"/>
      <c r="I896" s="133"/>
      <c r="J896" s="133"/>
      <c r="K896" s="133"/>
      <c r="L896" s="134"/>
    </row>
    <row r="897" spans="1:12">
      <c r="A897" s="133"/>
      <c r="B897" s="134"/>
      <c r="C897" s="134"/>
      <c r="D897" s="134"/>
      <c r="E897" s="133"/>
      <c r="F897" s="134"/>
      <c r="G897" s="134"/>
      <c r="H897" s="134"/>
      <c r="I897" s="133"/>
      <c r="J897" s="133"/>
      <c r="K897" s="133"/>
      <c r="L897" s="134"/>
    </row>
    <row r="898" spans="1:12">
      <c r="A898" s="133"/>
      <c r="B898" s="134"/>
      <c r="C898" s="134"/>
      <c r="D898" s="134"/>
      <c r="E898" s="133"/>
      <c r="F898" s="134"/>
      <c r="G898" s="134"/>
      <c r="H898" s="134"/>
      <c r="I898" s="133"/>
      <c r="J898" s="133"/>
      <c r="K898" s="133"/>
      <c r="L898" s="134"/>
    </row>
    <row r="899" spans="1:12">
      <c r="A899" s="133"/>
      <c r="B899" s="134"/>
      <c r="C899" s="134"/>
      <c r="D899" s="134"/>
      <c r="E899" s="133"/>
      <c r="F899" s="134"/>
      <c r="G899" s="134"/>
      <c r="H899" s="134"/>
      <c r="I899" s="133"/>
      <c r="J899" s="133"/>
      <c r="K899" s="133"/>
      <c r="L899" s="134"/>
    </row>
    <row r="900" spans="1:12">
      <c r="A900" s="133"/>
      <c r="B900" s="134"/>
      <c r="C900" s="134"/>
      <c r="D900" s="134"/>
      <c r="E900" s="133"/>
      <c r="F900" s="134"/>
      <c r="G900" s="134"/>
      <c r="H900" s="134"/>
      <c r="I900" s="133"/>
      <c r="J900" s="133"/>
      <c r="K900" s="133"/>
      <c r="L900" s="134"/>
    </row>
    <row r="901" spans="1:12">
      <c r="A901" s="133"/>
      <c r="B901" s="134"/>
      <c r="C901" s="134"/>
      <c r="D901" s="134"/>
      <c r="E901" s="133"/>
      <c r="F901" s="134"/>
      <c r="G901" s="134"/>
      <c r="H901" s="134"/>
      <c r="I901" s="133"/>
      <c r="J901" s="133"/>
      <c r="K901" s="133"/>
      <c r="L901" s="134"/>
    </row>
    <row r="902" spans="1:12">
      <c r="A902" s="133"/>
      <c r="B902" s="134"/>
      <c r="C902" s="134"/>
      <c r="D902" s="134"/>
      <c r="E902" s="133"/>
      <c r="F902" s="134"/>
      <c r="G902" s="134"/>
      <c r="H902" s="134"/>
      <c r="I902" s="133"/>
      <c r="J902" s="133"/>
      <c r="K902" s="133"/>
      <c r="L902" s="134"/>
    </row>
    <row r="903" spans="1:12">
      <c r="A903" s="133"/>
      <c r="B903" s="134"/>
      <c r="C903" s="134"/>
      <c r="D903" s="134"/>
      <c r="E903" s="133"/>
      <c r="F903" s="134"/>
      <c r="G903" s="134"/>
      <c r="H903" s="134"/>
      <c r="I903" s="133"/>
      <c r="J903" s="133"/>
      <c r="K903" s="133"/>
      <c r="L903" s="134"/>
    </row>
    <row r="904" spans="1:12">
      <c r="A904" s="133"/>
      <c r="B904" s="134"/>
      <c r="C904" s="134"/>
      <c r="D904" s="134"/>
      <c r="E904" s="133"/>
      <c r="F904" s="134"/>
      <c r="G904" s="134"/>
      <c r="H904" s="134"/>
      <c r="I904" s="133"/>
      <c r="J904" s="133"/>
      <c r="K904" s="133"/>
      <c r="L904" s="134"/>
    </row>
    <row r="905" spans="1:12">
      <c r="A905" s="133"/>
      <c r="B905" s="134"/>
      <c r="C905" s="134"/>
      <c r="D905" s="134"/>
      <c r="E905" s="133"/>
      <c r="F905" s="134"/>
      <c r="G905" s="134"/>
      <c r="H905" s="134"/>
      <c r="I905" s="133"/>
      <c r="J905" s="133"/>
      <c r="K905" s="133"/>
      <c r="L905" s="134"/>
    </row>
    <row r="906" spans="1:12">
      <c r="A906" s="133"/>
      <c r="B906" s="134"/>
      <c r="C906" s="134"/>
      <c r="D906" s="134"/>
      <c r="E906" s="133"/>
      <c r="F906" s="134"/>
      <c r="G906" s="134"/>
      <c r="H906" s="134"/>
      <c r="I906" s="133"/>
      <c r="J906" s="133"/>
      <c r="K906" s="133"/>
      <c r="L906" s="134"/>
    </row>
    <row r="907" spans="1:12">
      <c r="A907" s="133"/>
      <c r="B907" s="134"/>
      <c r="C907" s="134"/>
      <c r="D907" s="134"/>
      <c r="E907" s="133"/>
      <c r="F907" s="134"/>
      <c r="G907" s="134"/>
      <c r="H907" s="134"/>
      <c r="I907" s="133"/>
      <c r="J907" s="133"/>
      <c r="K907" s="133"/>
      <c r="L907" s="134"/>
    </row>
    <row r="908" spans="1:12">
      <c r="A908" s="133"/>
      <c r="B908" s="134"/>
      <c r="C908" s="134"/>
      <c r="D908" s="134"/>
      <c r="E908" s="133"/>
      <c r="F908" s="134"/>
      <c r="G908" s="134"/>
      <c r="H908" s="134"/>
      <c r="I908" s="133"/>
      <c r="J908" s="133"/>
      <c r="K908" s="133"/>
      <c r="L908" s="134"/>
    </row>
    <row r="909" spans="1:12">
      <c r="A909" s="133"/>
      <c r="B909" s="134"/>
      <c r="C909" s="134"/>
      <c r="D909" s="134"/>
      <c r="E909" s="133"/>
      <c r="F909" s="134"/>
      <c r="G909" s="134"/>
      <c r="H909" s="134"/>
      <c r="I909" s="133"/>
      <c r="J909" s="133"/>
      <c r="K909" s="133"/>
      <c r="L909" s="134"/>
    </row>
    <row r="910" spans="1:12">
      <c r="A910" s="133"/>
      <c r="B910" s="134"/>
      <c r="C910" s="134"/>
      <c r="D910" s="134"/>
      <c r="E910" s="133"/>
      <c r="F910" s="134"/>
      <c r="G910" s="134"/>
      <c r="H910" s="134"/>
      <c r="I910" s="133"/>
      <c r="J910" s="133"/>
      <c r="K910" s="133"/>
      <c r="L910" s="134"/>
    </row>
    <row r="911" spans="1:12">
      <c r="A911" s="133"/>
      <c r="B911" s="134"/>
      <c r="C911" s="134"/>
      <c r="D911" s="134"/>
      <c r="E911" s="133"/>
      <c r="F911" s="134"/>
      <c r="G911" s="134"/>
      <c r="H911" s="134"/>
      <c r="I911" s="133"/>
      <c r="J911" s="133"/>
      <c r="K911" s="133"/>
      <c r="L911" s="134"/>
    </row>
    <row r="912" spans="1:12">
      <c r="A912" s="133"/>
      <c r="B912" s="134"/>
      <c r="C912" s="134"/>
      <c r="D912" s="134"/>
      <c r="E912" s="133"/>
      <c r="F912" s="134"/>
      <c r="G912" s="134"/>
      <c r="H912" s="134"/>
      <c r="I912" s="133"/>
      <c r="J912" s="133"/>
      <c r="K912" s="133"/>
      <c r="L912" s="134"/>
    </row>
    <row r="913" spans="1:12">
      <c r="A913" s="133"/>
      <c r="B913" s="134"/>
      <c r="C913" s="134"/>
      <c r="D913" s="134"/>
      <c r="E913" s="133"/>
      <c r="F913" s="134"/>
      <c r="G913" s="134"/>
      <c r="H913" s="134"/>
      <c r="I913" s="133"/>
      <c r="J913" s="133"/>
      <c r="K913" s="133"/>
      <c r="L913" s="134"/>
    </row>
    <row r="914" spans="1:12">
      <c r="A914" s="133"/>
      <c r="B914" s="134"/>
      <c r="C914" s="134"/>
      <c r="D914" s="134"/>
      <c r="E914" s="133"/>
      <c r="F914" s="134"/>
      <c r="G914" s="134"/>
      <c r="H914" s="134"/>
      <c r="I914" s="133"/>
      <c r="J914" s="133"/>
      <c r="K914" s="133"/>
      <c r="L914" s="134"/>
    </row>
    <row r="915" spans="1:12">
      <c r="A915" s="133"/>
      <c r="B915" s="134"/>
      <c r="C915" s="134"/>
      <c r="D915" s="134"/>
      <c r="E915" s="133"/>
      <c r="F915" s="134"/>
      <c r="G915" s="134"/>
      <c r="H915" s="134"/>
      <c r="I915" s="133"/>
      <c r="J915" s="133"/>
      <c r="K915" s="133"/>
      <c r="L915" s="134"/>
    </row>
    <row r="916" spans="1:12">
      <c r="A916" s="133"/>
      <c r="B916" s="134"/>
      <c r="C916" s="134"/>
      <c r="D916" s="134"/>
      <c r="E916" s="133"/>
      <c r="F916" s="134"/>
      <c r="G916" s="134"/>
      <c r="H916" s="134"/>
      <c r="I916" s="133"/>
      <c r="J916" s="133"/>
      <c r="K916" s="133"/>
      <c r="L916" s="134"/>
    </row>
    <row r="917" spans="1:12">
      <c r="A917" s="133"/>
      <c r="B917" s="134"/>
      <c r="C917" s="134"/>
      <c r="D917" s="134"/>
      <c r="E917" s="133"/>
      <c r="F917" s="134"/>
      <c r="G917" s="134"/>
      <c r="H917" s="134"/>
      <c r="I917" s="133"/>
      <c r="J917" s="133"/>
      <c r="K917" s="133"/>
      <c r="L917" s="134"/>
    </row>
    <row r="918" spans="1:12">
      <c r="A918" s="133"/>
      <c r="B918" s="134"/>
      <c r="C918" s="134"/>
      <c r="D918" s="134"/>
      <c r="E918" s="133"/>
      <c r="F918" s="134"/>
      <c r="G918" s="134"/>
      <c r="H918" s="134"/>
      <c r="I918" s="133"/>
      <c r="J918" s="133"/>
      <c r="K918" s="133"/>
      <c r="L918" s="134"/>
    </row>
    <row r="919" spans="1:12">
      <c r="A919" s="133"/>
      <c r="B919" s="134"/>
      <c r="C919" s="134"/>
      <c r="D919" s="134"/>
      <c r="E919" s="133"/>
      <c r="F919" s="134"/>
      <c r="G919" s="134"/>
      <c r="H919" s="134"/>
      <c r="I919" s="133"/>
      <c r="J919" s="133"/>
      <c r="K919" s="133"/>
      <c r="L919" s="134"/>
    </row>
    <row r="920" spans="1:12">
      <c r="A920" s="133"/>
      <c r="B920" s="134"/>
      <c r="C920" s="134"/>
      <c r="D920" s="134"/>
      <c r="E920" s="133"/>
      <c r="F920" s="134"/>
      <c r="G920" s="134"/>
      <c r="H920" s="134"/>
      <c r="I920" s="133"/>
      <c r="J920" s="133"/>
      <c r="K920" s="133"/>
      <c r="L920" s="134"/>
    </row>
    <row r="921" spans="1:12">
      <c r="A921" s="133"/>
      <c r="B921" s="134"/>
      <c r="C921" s="134"/>
      <c r="D921" s="134"/>
      <c r="E921" s="133"/>
      <c r="F921" s="134"/>
      <c r="G921" s="134"/>
      <c r="H921" s="134"/>
      <c r="I921" s="133"/>
      <c r="J921" s="133"/>
      <c r="K921" s="133"/>
      <c r="L921" s="134"/>
    </row>
    <row r="922" spans="1:12">
      <c r="A922" s="133"/>
      <c r="B922" s="134"/>
      <c r="C922" s="134"/>
      <c r="D922" s="134"/>
      <c r="E922" s="133"/>
      <c r="F922" s="134"/>
      <c r="G922" s="134"/>
      <c r="H922" s="134"/>
      <c r="I922" s="133"/>
      <c r="J922" s="133"/>
      <c r="K922" s="133"/>
      <c r="L922" s="134"/>
    </row>
    <row r="923" spans="1:12">
      <c r="A923" s="133"/>
      <c r="B923" s="134"/>
      <c r="C923" s="134"/>
      <c r="D923" s="134"/>
      <c r="E923" s="133"/>
      <c r="F923" s="134"/>
      <c r="G923" s="134"/>
      <c r="H923" s="134"/>
      <c r="I923" s="133"/>
      <c r="J923" s="133"/>
      <c r="K923" s="133"/>
      <c r="L923" s="134"/>
    </row>
    <row r="924" spans="1:12">
      <c r="A924" s="133"/>
      <c r="B924" s="134"/>
      <c r="C924" s="134"/>
      <c r="D924" s="134"/>
      <c r="E924" s="133"/>
      <c r="F924" s="134"/>
      <c r="G924" s="134"/>
      <c r="H924" s="134"/>
      <c r="I924" s="133"/>
      <c r="J924" s="133"/>
      <c r="K924" s="133"/>
      <c r="L924" s="134"/>
    </row>
    <row r="925" spans="1:12">
      <c r="A925" s="133"/>
      <c r="B925" s="134"/>
      <c r="C925" s="134"/>
      <c r="D925" s="134"/>
      <c r="E925" s="133"/>
      <c r="F925" s="134"/>
      <c r="G925" s="134"/>
      <c r="H925" s="134"/>
      <c r="I925" s="133"/>
      <c r="J925" s="133"/>
      <c r="K925" s="133"/>
      <c r="L925" s="134"/>
    </row>
    <row r="926" spans="1:12">
      <c r="A926" s="133"/>
      <c r="B926" s="134"/>
      <c r="C926" s="134"/>
      <c r="D926" s="134"/>
      <c r="E926" s="133"/>
      <c r="F926" s="134"/>
      <c r="G926" s="134"/>
      <c r="H926" s="134"/>
      <c r="I926" s="133"/>
      <c r="J926" s="133"/>
      <c r="K926" s="133"/>
      <c r="L926" s="134"/>
    </row>
    <row r="927" spans="1:12">
      <c r="A927" s="133"/>
      <c r="B927" s="134"/>
      <c r="C927" s="134"/>
      <c r="D927" s="134"/>
      <c r="E927" s="133"/>
      <c r="F927" s="134"/>
      <c r="G927" s="134"/>
      <c r="H927" s="134"/>
      <c r="I927" s="133"/>
      <c r="J927" s="133"/>
      <c r="K927" s="133"/>
      <c r="L927" s="134"/>
    </row>
    <row r="928" spans="1:12">
      <c r="A928" s="133"/>
      <c r="B928" s="134"/>
      <c r="C928" s="134"/>
      <c r="D928" s="134"/>
      <c r="E928" s="133"/>
      <c r="F928" s="134"/>
      <c r="G928" s="134"/>
      <c r="H928" s="134"/>
      <c r="I928" s="133"/>
      <c r="J928" s="133"/>
      <c r="K928" s="133"/>
      <c r="L928" s="134"/>
    </row>
    <row r="929" spans="1:12">
      <c r="A929" s="133"/>
      <c r="B929" s="134"/>
      <c r="C929" s="134"/>
      <c r="D929" s="134"/>
      <c r="E929" s="133"/>
      <c r="F929" s="134"/>
      <c r="G929" s="134"/>
      <c r="H929" s="134"/>
      <c r="I929" s="133"/>
      <c r="J929" s="133"/>
      <c r="K929" s="133"/>
      <c r="L929" s="134"/>
    </row>
    <row r="930" spans="1:12">
      <c r="A930" s="133"/>
      <c r="B930" s="134"/>
      <c r="C930" s="134"/>
      <c r="D930" s="134"/>
      <c r="E930" s="133"/>
      <c r="F930" s="134"/>
      <c r="G930" s="134"/>
      <c r="H930" s="134"/>
      <c r="I930" s="133"/>
      <c r="J930" s="133"/>
      <c r="K930" s="133"/>
      <c r="L930" s="134"/>
    </row>
    <row r="931" spans="1:12">
      <c r="A931" s="133"/>
      <c r="B931" s="134"/>
      <c r="C931" s="134"/>
      <c r="D931" s="134"/>
      <c r="E931" s="133"/>
      <c r="F931" s="134"/>
      <c r="G931" s="134"/>
      <c r="H931" s="134"/>
      <c r="I931" s="133"/>
      <c r="J931" s="133"/>
      <c r="K931" s="133"/>
      <c r="L931" s="134"/>
    </row>
    <row r="932" spans="1:12">
      <c r="A932" s="133"/>
      <c r="B932" s="134"/>
      <c r="C932" s="134"/>
      <c r="D932" s="134"/>
      <c r="E932" s="133"/>
      <c r="F932" s="134"/>
      <c r="G932" s="134"/>
      <c r="H932" s="134"/>
      <c r="I932" s="133"/>
      <c r="J932" s="133"/>
      <c r="K932" s="133"/>
      <c r="L932" s="134"/>
    </row>
    <row r="933" spans="1:12">
      <c r="A933" s="133"/>
      <c r="B933" s="134"/>
      <c r="C933" s="134"/>
      <c r="D933" s="134"/>
      <c r="E933" s="133"/>
      <c r="F933" s="134"/>
      <c r="G933" s="134"/>
      <c r="H933" s="134"/>
      <c r="I933" s="133"/>
      <c r="J933" s="133"/>
      <c r="K933" s="133"/>
      <c r="L933" s="134"/>
    </row>
    <row r="934" spans="1:12">
      <c r="A934" s="133"/>
      <c r="B934" s="134"/>
      <c r="C934" s="134"/>
      <c r="D934" s="134"/>
      <c r="E934" s="133"/>
      <c r="F934" s="134"/>
      <c r="G934" s="134"/>
      <c r="H934" s="134"/>
      <c r="I934" s="133"/>
      <c r="J934" s="133"/>
      <c r="K934" s="133"/>
      <c r="L934" s="134"/>
    </row>
    <row r="935" spans="1:12">
      <c r="A935" s="133"/>
      <c r="B935" s="134"/>
      <c r="C935" s="134"/>
      <c r="D935" s="134"/>
      <c r="E935" s="133"/>
      <c r="F935" s="134"/>
      <c r="G935" s="134"/>
      <c r="H935" s="134"/>
      <c r="I935" s="133"/>
      <c r="J935" s="133"/>
      <c r="K935" s="133"/>
      <c r="L935" s="134"/>
    </row>
    <row r="936" spans="1:12">
      <c r="A936" s="133"/>
      <c r="B936" s="134"/>
      <c r="C936" s="134"/>
      <c r="D936" s="134"/>
      <c r="E936" s="133"/>
      <c r="F936" s="134"/>
      <c r="G936" s="134"/>
      <c r="H936" s="134"/>
      <c r="I936" s="133"/>
      <c r="J936" s="133"/>
      <c r="K936" s="133"/>
      <c r="L936" s="134"/>
    </row>
    <row r="937" spans="1:12">
      <c r="A937" s="133"/>
      <c r="B937" s="134"/>
      <c r="C937" s="134"/>
      <c r="D937" s="134"/>
      <c r="E937" s="133"/>
      <c r="F937" s="134"/>
      <c r="G937" s="134"/>
      <c r="H937" s="134"/>
      <c r="I937" s="133"/>
      <c r="J937" s="133"/>
      <c r="K937" s="133"/>
      <c r="L937" s="134"/>
    </row>
    <row r="938" spans="1:12">
      <c r="A938" s="133"/>
      <c r="B938" s="134"/>
      <c r="C938" s="134"/>
      <c r="D938" s="134"/>
      <c r="E938" s="133"/>
      <c r="F938" s="134"/>
      <c r="G938" s="134"/>
      <c r="H938" s="134"/>
      <c r="I938" s="133"/>
      <c r="J938" s="133"/>
      <c r="K938" s="133"/>
      <c r="L938" s="134"/>
    </row>
    <row r="939" spans="1:12">
      <c r="A939" s="133"/>
      <c r="B939" s="134"/>
      <c r="C939" s="134"/>
      <c r="D939" s="134"/>
      <c r="E939" s="133"/>
      <c r="F939" s="134"/>
      <c r="G939" s="134"/>
      <c r="H939" s="134"/>
      <c r="I939" s="133"/>
      <c r="J939" s="133"/>
      <c r="K939" s="133"/>
      <c r="L939" s="134"/>
    </row>
    <row r="940" spans="1:12">
      <c r="A940" s="133"/>
      <c r="B940" s="134"/>
      <c r="C940" s="134"/>
      <c r="D940" s="134"/>
      <c r="E940" s="133"/>
      <c r="F940" s="134"/>
      <c r="G940" s="134"/>
      <c r="H940" s="134"/>
      <c r="I940" s="133"/>
      <c r="J940" s="133"/>
      <c r="K940" s="133"/>
      <c r="L940" s="134"/>
    </row>
    <row r="941" spans="1:12">
      <c r="A941" s="133"/>
      <c r="B941" s="134"/>
      <c r="C941" s="134"/>
      <c r="D941" s="134"/>
      <c r="E941" s="133"/>
      <c r="F941" s="134"/>
      <c r="G941" s="134"/>
      <c r="H941" s="134"/>
      <c r="I941" s="133"/>
      <c r="J941" s="133"/>
      <c r="K941" s="133"/>
      <c r="L941" s="134"/>
    </row>
    <row r="942" spans="1:12">
      <c r="A942" s="133"/>
      <c r="B942" s="134"/>
      <c r="C942" s="134"/>
      <c r="D942" s="134"/>
      <c r="E942" s="133"/>
      <c r="F942" s="134"/>
      <c r="G942" s="134"/>
      <c r="H942" s="134"/>
      <c r="I942" s="133"/>
      <c r="J942" s="133"/>
      <c r="K942" s="133"/>
      <c r="L942" s="134"/>
    </row>
    <row r="943" spans="1:12">
      <c r="A943" s="133"/>
      <c r="B943" s="134"/>
      <c r="C943" s="134"/>
      <c r="D943" s="134"/>
      <c r="E943" s="133"/>
      <c r="F943" s="134"/>
      <c r="G943" s="134"/>
      <c r="H943" s="134"/>
      <c r="I943" s="133"/>
      <c r="J943" s="133"/>
      <c r="K943" s="133"/>
      <c r="L943" s="134"/>
    </row>
    <row r="944" spans="1:12">
      <c r="A944" s="133"/>
      <c r="B944" s="134"/>
      <c r="C944" s="134"/>
      <c r="D944" s="134"/>
      <c r="E944" s="133"/>
      <c r="F944" s="134"/>
      <c r="G944" s="134"/>
      <c r="H944" s="134"/>
      <c r="I944" s="133"/>
      <c r="J944" s="133"/>
      <c r="K944" s="133"/>
      <c r="L944" s="134"/>
    </row>
    <row r="945" spans="1:12">
      <c r="A945" s="133"/>
      <c r="B945" s="134"/>
      <c r="C945" s="134"/>
      <c r="D945" s="134"/>
      <c r="E945" s="133"/>
      <c r="F945" s="134"/>
      <c r="G945" s="134"/>
      <c r="H945" s="134"/>
      <c r="I945" s="133"/>
      <c r="J945" s="133"/>
      <c r="K945" s="133"/>
      <c r="L945" s="134"/>
    </row>
    <row r="946" spans="1:12">
      <c r="A946" s="133"/>
      <c r="B946" s="134"/>
      <c r="C946" s="134"/>
      <c r="D946" s="134"/>
      <c r="E946" s="133"/>
      <c r="F946" s="134"/>
      <c r="G946" s="134"/>
      <c r="H946" s="134"/>
      <c r="I946" s="133"/>
      <c r="J946" s="133"/>
      <c r="K946" s="133"/>
      <c r="L946" s="134"/>
    </row>
    <row r="947" spans="1:12">
      <c r="A947" s="133"/>
      <c r="B947" s="134"/>
      <c r="C947" s="134"/>
      <c r="D947" s="134"/>
      <c r="E947" s="133"/>
      <c r="F947" s="134"/>
      <c r="G947" s="134"/>
      <c r="H947" s="134"/>
      <c r="I947" s="133"/>
      <c r="J947" s="133"/>
      <c r="K947" s="133"/>
      <c r="L947" s="134"/>
    </row>
    <row r="948" spans="1:12">
      <c r="A948" s="133"/>
      <c r="B948" s="134"/>
      <c r="C948" s="134"/>
      <c r="D948" s="134"/>
      <c r="E948" s="133"/>
      <c r="F948" s="134"/>
      <c r="G948" s="134"/>
      <c r="H948" s="134"/>
      <c r="I948" s="133"/>
      <c r="J948" s="133"/>
      <c r="K948" s="133"/>
      <c r="L948" s="134"/>
    </row>
    <row r="949" spans="1:12">
      <c r="A949" s="133"/>
      <c r="B949" s="134"/>
      <c r="C949" s="134"/>
      <c r="D949" s="134"/>
      <c r="E949" s="133"/>
      <c r="F949" s="134"/>
      <c r="G949" s="134"/>
      <c r="H949" s="134"/>
      <c r="I949" s="133"/>
      <c r="J949" s="133"/>
      <c r="K949" s="133"/>
      <c r="L949" s="134"/>
    </row>
    <row r="950" spans="1:12">
      <c r="A950" s="133"/>
      <c r="B950" s="134"/>
      <c r="C950" s="134"/>
      <c r="D950" s="134"/>
      <c r="E950" s="133"/>
      <c r="F950" s="134"/>
      <c r="G950" s="134"/>
      <c r="H950" s="134"/>
      <c r="I950" s="133"/>
      <c r="J950" s="133"/>
      <c r="K950" s="133"/>
      <c r="L950" s="134"/>
    </row>
    <row r="951" spans="1:12">
      <c r="A951" s="133"/>
      <c r="B951" s="134"/>
      <c r="C951" s="134"/>
      <c r="D951" s="134"/>
      <c r="E951" s="133"/>
      <c r="F951" s="134"/>
      <c r="G951" s="134"/>
      <c r="H951" s="134"/>
      <c r="I951" s="133"/>
      <c r="J951" s="133"/>
      <c r="K951" s="133"/>
      <c r="L951" s="134"/>
    </row>
    <row r="952" spans="1:12">
      <c r="A952" s="133"/>
      <c r="B952" s="134"/>
      <c r="C952" s="134"/>
      <c r="D952" s="134"/>
      <c r="E952" s="133"/>
      <c r="F952" s="134"/>
      <c r="G952" s="134"/>
      <c r="H952" s="134"/>
      <c r="I952" s="133"/>
      <c r="J952" s="133"/>
      <c r="K952" s="133"/>
      <c r="L952" s="134"/>
    </row>
    <row r="953" spans="1:12">
      <c r="A953" s="133"/>
      <c r="B953" s="134"/>
      <c r="C953" s="134"/>
      <c r="D953" s="134"/>
      <c r="E953" s="133"/>
      <c r="F953" s="134"/>
      <c r="G953" s="134"/>
      <c r="H953" s="134"/>
      <c r="I953" s="133"/>
      <c r="J953" s="133"/>
      <c r="K953" s="133"/>
      <c r="L953" s="134"/>
    </row>
    <row r="954" spans="1:12">
      <c r="A954" s="133"/>
      <c r="B954" s="134"/>
      <c r="C954" s="134"/>
      <c r="D954" s="134"/>
      <c r="E954" s="133"/>
      <c r="F954" s="134"/>
      <c r="G954" s="134"/>
      <c r="H954" s="134"/>
      <c r="I954" s="133"/>
      <c r="J954" s="133"/>
      <c r="K954" s="133"/>
      <c r="L954" s="134"/>
    </row>
    <row r="955" spans="1:12">
      <c r="A955" s="133"/>
      <c r="B955" s="134"/>
      <c r="C955" s="134"/>
      <c r="D955" s="134"/>
      <c r="E955" s="133"/>
      <c r="F955" s="134"/>
      <c r="G955" s="134"/>
      <c r="H955" s="134"/>
      <c r="I955" s="133"/>
      <c r="J955" s="133"/>
      <c r="K955" s="133"/>
      <c r="L955" s="134"/>
    </row>
    <row r="956" spans="1:12">
      <c r="A956" s="133"/>
      <c r="B956" s="134"/>
      <c r="C956" s="134"/>
      <c r="D956" s="134"/>
      <c r="E956" s="133"/>
      <c r="F956" s="134"/>
      <c r="G956" s="134"/>
      <c r="H956" s="134"/>
      <c r="I956" s="133"/>
      <c r="J956" s="133"/>
      <c r="K956" s="133"/>
      <c r="L956" s="134"/>
    </row>
    <row r="957" spans="1:12">
      <c r="A957" s="133"/>
      <c r="B957" s="134"/>
      <c r="C957" s="134"/>
      <c r="D957" s="134"/>
      <c r="E957" s="133"/>
      <c r="F957" s="134"/>
      <c r="G957" s="134"/>
      <c r="H957" s="134"/>
      <c r="I957" s="133"/>
      <c r="J957" s="133"/>
      <c r="K957" s="133"/>
      <c r="L957" s="134"/>
    </row>
    <row r="958" spans="1:12">
      <c r="A958" s="133"/>
      <c r="B958" s="134"/>
      <c r="C958" s="134"/>
      <c r="D958" s="134"/>
      <c r="E958" s="133"/>
      <c r="F958" s="134"/>
      <c r="G958" s="134"/>
      <c r="H958" s="134"/>
      <c r="I958" s="133"/>
      <c r="J958" s="133"/>
      <c r="K958" s="133"/>
      <c r="L958" s="134"/>
    </row>
    <row r="959" spans="1:12">
      <c r="A959" s="133"/>
      <c r="B959" s="134"/>
      <c r="C959" s="134"/>
      <c r="D959" s="134"/>
      <c r="E959" s="133"/>
      <c r="F959" s="134"/>
      <c r="G959" s="134"/>
      <c r="H959" s="134"/>
      <c r="I959" s="133"/>
      <c r="J959" s="133"/>
      <c r="K959" s="133"/>
      <c r="L959" s="134"/>
    </row>
    <row r="960" spans="1:12">
      <c r="A960" s="133"/>
      <c r="B960" s="134"/>
      <c r="C960" s="134"/>
      <c r="D960" s="134"/>
      <c r="E960" s="133"/>
      <c r="F960" s="134"/>
      <c r="G960" s="134"/>
      <c r="H960" s="134"/>
      <c r="I960" s="133"/>
      <c r="J960" s="133"/>
      <c r="K960" s="133"/>
      <c r="L960" s="134"/>
    </row>
    <row r="961" spans="1:12">
      <c r="A961" s="133"/>
      <c r="B961" s="134"/>
      <c r="C961" s="134"/>
      <c r="D961" s="134"/>
      <c r="E961" s="133"/>
      <c r="F961" s="134"/>
      <c r="G961" s="134"/>
      <c r="H961" s="134"/>
      <c r="I961" s="133"/>
      <c r="J961" s="133"/>
      <c r="K961" s="133"/>
      <c r="L961" s="134"/>
    </row>
    <row r="962" spans="1:12">
      <c r="A962" s="133"/>
      <c r="B962" s="134"/>
      <c r="C962" s="134"/>
      <c r="D962" s="134"/>
      <c r="E962" s="133"/>
      <c r="F962" s="134"/>
      <c r="G962" s="134"/>
      <c r="H962" s="134"/>
      <c r="I962" s="133"/>
      <c r="J962" s="133"/>
      <c r="K962" s="133"/>
      <c r="L962" s="134"/>
    </row>
    <row r="963" spans="1:12">
      <c r="A963" s="133"/>
      <c r="B963" s="134"/>
      <c r="C963" s="134"/>
      <c r="D963" s="134"/>
      <c r="E963" s="133"/>
      <c r="F963" s="134"/>
      <c r="G963" s="134"/>
      <c r="H963" s="134"/>
      <c r="I963" s="133"/>
      <c r="J963" s="133"/>
      <c r="K963" s="133"/>
      <c r="L963" s="134"/>
    </row>
    <row r="964" spans="1:12">
      <c r="A964" s="133"/>
      <c r="B964" s="134"/>
      <c r="C964" s="134"/>
      <c r="D964" s="134"/>
      <c r="E964" s="133"/>
      <c r="F964" s="134"/>
      <c r="G964" s="134"/>
      <c r="H964" s="134"/>
      <c r="I964" s="133"/>
      <c r="J964" s="133"/>
      <c r="K964" s="133"/>
      <c r="L964" s="134"/>
    </row>
    <row r="965" spans="1:12">
      <c r="A965" s="133"/>
      <c r="B965" s="134"/>
      <c r="C965" s="134"/>
      <c r="D965" s="134"/>
      <c r="E965" s="133"/>
      <c r="F965" s="134"/>
      <c r="G965" s="134"/>
      <c r="H965" s="134"/>
      <c r="I965" s="133"/>
      <c r="J965" s="133"/>
      <c r="K965" s="133"/>
      <c r="L965" s="134"/>
    </row>
    <row r="966" spans="1:12">
      <c r="A966" s="133"/>
      <c r="B966" s="134"/>
      <c r="C966" s="134"/>
      <c r="D966" s="134"/>
      <c r="E966" s="133"/>
      <c r="F966" s="134"/>
      <c r="G966" s="134"/>
      <c r="H966" s="134"/>
      <c r="I966" s="133"/>
      <c r="J966" s="133"/>
      <c r="K966" s="133"/>
      <c r="L966" s="134"/>
    </row>
    <row r="967" spans="1:12">
      <c r="A967" s="133"/>
      <c r="B967" s="134"/>
      <c r="C967" s="134"/>
      <c r="D967" s="134"/>
      <c r="E967" s="133"/>
      <c r="F967" s="134"/>
      <c r="G967" s="134"/>
      <c r="H967" s="134"/>
      <c r="I967" s="133"/>
      <c r="J967" s="133"/>
      <c r="K967" s="133"/>
      <c r="L967" s="134"/>
    </row>
    <row r="968" spans="1:12">
      <c r="A968" s="133"/>
      <c r="B968" s="134"/>
      <c r="C968" s="134"/>
      <c r="D968" s="134"/>
      <c r="E968" s="133"/>
      <c r="F968" s="134"/>
      <c r="G968" s="134"/>
      <c r="H968" s="134"/>
      <c r="I968" s="133"/>
      <c r="J968" s="133"/>
      <c r="K968" s="133"/>
      <c r="L968" s="134"/>
    </row>
    <row r="969" spans="1:12">
      <c r="A969" s="133"/>
      <c r="B969" s="134"/>
      <c r="C969" s="134"/>
      <c r="D969" s="134"/>
      <c r="E969" s="133"/>
      <c r="F969" s="134"/>
      <c r="G969" s="134"/>
      <c r="H969" s="134"/>
      <c r="I969" s="133"/>
      <c r="J969" s="133"/>
      <c r="K969" s="133"/>
      <c r="L969" s="134"/>
    </row>
    <row r="970" spans="1:12">
      <c r="A970" s="133"/>
      <c r="B970" s="134"/>
      <c r="C970" s="134"/>
      <c r="D970" s="134"/>
      <c r="E970" s="133"/>
      <c r="F970" s="134"/>
      <c r="G970" s="134"/>
      <c r="H970" s="134"/>
      <c r="I970" s="133"/>
      <c r="J970" s="133"/>
      <c r="K970" s="133"/>
      <c r="L970" s="134"/>
    </row>
    <row r="971" spans="1:12">
      <c r="A971" s="133"/>
      <c r="B971" s="134"/>
      <c r="C971" s="134"/>
      <c r="D971" s="134"/>
      <c r="E971" s="133"/>
      <c r="F971" s="134"/>
      <c r="G971" s="134"/>
      <c r="H971" s="134"/>
      <c r="I971" s="133"/>
      <c r="J971" s="133"/>
      <c r="K971" s="133"/>
      <c r="L971" s="134"/>
    </row>
    <row r="972" spans="1:12">
      <c r="A972" s="133"/>
      <c r="B972" s="134"/>
      <c r="C972" s="134"/>
      <c r="D972" s="134"/>
      <c r="E972" s="133"/>
      <c r="F972" s="134"/>
      <c r="G972" s="134"/>
      <c r="H972" s="134"/>
      <c r="I972" s="133"/>
      <c r="J972" s="133"/>
      <c r="K972" s="133"/>
      <c r="L972" s="134"/>
    </row>
    <row r="973" spans="1:12">
      <c r="A973" s="133"/>
      <c r="B973" s="134"/>
      <c r="C973" s="134"/>
      <c r="D973" s="134"/>
      <c r="E973" s="133"/>
      <c r="F973" s="134"/>
      <c r="G973" s="134"/>
      <c r="H973" s="134"/>
      <c r="I973" s="133"/>
      <c r="J973" s="133"/>
      <c r="K973" s="133"/>
      <c r="L973" s="134"/>
    </row>
    <row r="974" spans="1:12">
      <c r="A974" s="133"/>
      <c r="B974" s="134"/>
      <c r="C974" s="134"/>
      <c r="D974" s="134"/>
      <c r="E974" s="133"/>
      <c r="F974" s="134"/>
      <c r="G974" s="134"/>
      <c r="H974" s="134"/>
      <c r="I974" s="133"/>
      <c r="J974" s="133"/>
      <c r="K974" s="133"/>
      <c r="L974" s="134"/>
    </row>
    <row r="975" spans="1:12">
      <c r="A975" s="133"/>
      <c r="B975" s="134"/>
      <c r="C975" s="134"/>
      <c r="D975" s="134"/>
      <c r="E975" s="133"/>
      <c r="F975" s="134"/>
      <c r="G975" s="134"/>
      <c r="H975" s="134"/>
      <c r="I975" s="133"/>
      <c r="J975" s="133"/>
      <c r="K975" s="133"/>
      <c r="L975" s="134"/>
    </row>
    <row r="976" spans="1:12">
      <c r="A976" s="133"/>
      <c r="B976" s="134"/>
      <c r="C976" s="134"/>
      <c r="D976" s="134"/>
      <c r="E976" s="133"/>
      <c r="F976" s="134"/>
      <c r="G976" s="134"/>
      <c r="H976" s="134"/>
      <c r="I976" s="133"/>
      <c r="J976" s="133"/>
      <c r="K976" s="133"/>
      <c r="L976" s="134"/>
    </row>
    <row r="977" spans="1:12">
      <c r="A977" s="133"/>
      <c r="B977" s="134"/>
      <c r="C977" s="134"/>
      <c r="D977" s="134"/>
      <c r="E977" s="133"/>
      <c r="F977" s="134"/>
      <c r="G977" s="134"/>
      <c r="H977" s="134"/>
      <c r="I977" s="133"/>
      <c r="J977" s="133"/>
      <c r="K977" s="133"/>
      <c r="L977" s="134"/>
    </row>
    <row r="978" spans="1:12">
      <c r="A978" s="133"/>
      <c r="B978" s="134"/>
      <c r="C978" s="134"/>
      <c r="D978" s="134"/>
      <c r="E978" s="133"/>
      <c r="F978" s="134"/>
      <c r="G978" s="134"/>
      <c r="H978" s="134"/>
      <c r="I978" s="133"/>
      <c r="J978" s="133"/>
      <c r="K978" s="133"/>
      <c r="L978" s="134"/>
    </row>
    <row r="979" spans="1:12">
      <c r="A979" s="133"/>
      <c r="B979" s="134"/>
      <c r="C979" s="134"/>
      <c r="D979" s="134"/>
      <c r="E979" s="133"/>
      <c r="F979" s="134"/>
      <c r="G979" s="134"/>
      <c r="H979" s="134"/>
      <c r="I979" s="133"/>
      <c r="J979" s="133"/>
      <c r="K979" s="133"/>
      <c r="L979" s="134"/>
    </row>
    <row r="980" spans="1:12">
      <c r="A980" s="133"/>
      <c r="B980" s="134"/>
      <c r="C980" s="134"/>
      <c r="D980" s="134"/>
      <c r="E980" s="133"/>
      <c r="F980" s="134"/>
      <c r="G980" s="134"/>
      <c r="H980" s="134"/>
      <c r="I980" s="133"/>
      <c r="J980" s="133"/>
      <c r="K980" s="133"/>
      <c r="L980" s="134"/>
    </row>
    <row r="981" spans="1:12">
      <c r="A981" s="133"/>
      <c r="B981" s="134"/>
      <c r="C981" s="134"/>
      <c r="D981" s="134"/>
      <c r="E981" s="133"/>
      <c r="F981" s="134"/>
      <c r="G981" s="134"/>
      <c r="H981" s="134"/>
      <c r="I981" s="133"/>
      <c r="J981" s="133"/>
      <c r="K981" s="133"/>
      <c r="L981" s="134"/>
    </row>
    <row r="982" spans="1:12">
      <c r="A982" s="133"/>
      <c r="B982" s="134"/>
      <c r="C982" s="134"/>
      <c r="D982" s="134"/>
      <c r="E982" s="133"/>
      <c r="F982" s="134"/>
      <c r="G982" s="134"/>
      <c r="H982" s="134"/>
      <c r="I982" s="133"/>
      <c r="J982" s="133"/>
      <c r="K982" s="133"/>
      <c r="L982" s="134"/>
    </row>
    <row r="983" spans="1:12">
      <c r="A983" s="133"/>
      <c r="B983" s="134"/>
      <c r="C983" s="134"/>
      <c r="D983" s="134"/>
      <c r="E983" s="133"/>
      <c r="F983" s="134"/>
      <c r="G983" s="134"/>
      <c r="H983" s="134"/>
      <c r="I983" s="133"/>
      <c r="J983" s="133"/>
      <c r="K983" s="133"/>
      <c r="L983" s="134"/>
    </row>
    <row r="984" spans="1:12">
      <c r="A984" s="133"/>
      <c r="B984" s="134"/>
      <c r="C984" s="134"/>
      <c r="D984" s="134"/>
      <c r="E984" s="133"/>
      <c r="F984" s="134"/>
      <c r="G984" s="134"/>
      <c r="H984" s="134"/>
      <c r="I984" s="133"/>
      <c r="J984" s="133"/>
      <c r="K984" s="133"/>
      <c r="L984" s="134"/>
    </row>
    <row r="985" spans="1:12">
      <c r="A985" s="133"/>
      <c r="B985" s="134"/>
      <c r="C985" s="134"/>
      <c r="D985" s="134"/>
      <c r="E985" s="133"/>
      <c r="F985" s="134"/>
      <c r="G985" s="134"/>
      <c r="H985" s="134"/>
      <c r="I985" s="133"/>
      <c r="J985" s="133"/>
      <c r="K985" s="133"/>
      <c r="L985" s="134"/>
    </row>
    <row r="986" spans="1:12">
      <c r="A986" s="133"/>
      <c r="B986" s="134"/>
      <c r="C986" s="134"/>
      <c r="D986" s="134"/>
      <c r="E986" s="133"/>
      <c r="F986" s="134"/>
      <c r="G986" s="134"/>
      <c r="H986" s="134"/>
      <c r="I986" s="133"/>
      <c r="J986" s="133"/>
      <c r="K986" s="133"/>
      <c r="L986" s="134"/>
    </row>
    <row r="987" spans="1:12">
      <c r="A987" s="133"/>
      <c r="B987" s="134"/>
      <c r="C987" s="134"/>
      <c r="D987" s="134"/>
      <c r="E987" s="133"/>
      <c r="F987" s="134"/>
      <c r="G987" s="134"/>
      <c r="H987" s="134"/>
      <c r="I987" s="133"/>
      <c r="J987" s="133"/>
      <c r="K987" s="133"/>
      <c r="L987" s="134"/>
    </row>
    <row r="988" spans="1:12">
      <c r="A988" s="133"/>
      <c r="B988" s="134"/>
      <c r="C988" s="134"/>
      <c r="D988" s="134"/>
      <c r="E988" s="133"/>
      <c r="F988" s="134"/>
      <c r="G988" s="134"/>
      <c r="H988" s="134"/>
      <c r="I988" s="133"/>
      <c r="J988" s="133"/>
      <c r="K988" s="133"/>
      <c r="L988" s="134"/>
    </row>
    <row r="989" spans="1:12">
      <c r="A989" s="133"/>
      <c r="B989" s="134"/>
      <c r="C989" s="134"/>
      <c r="D989" s="134"/>
      <c r="E989" s="133"/>
      <c r="F989" s="134"/>
      <c r="G989" s="134"/>
      <c r="H989" s="134"/>
      <c r="I989" s="133"/>
      <c r="J989" s="133"/>
      <c r="K989" s="133"/>
      <c r="L989" s="134"/>
    </row>
    <row r="990" spans="1:12">
      <c r="A990" s="133"/>
      <c r="B990" s="134"/>
      <c r="C990" s="134"/>
      <c r="D990" s="134"/>
      <c r="E990" s="133"/>
      <c r="F990" s="134"/>
      <c r="G990" s="134"/>
      <c r="H990" s="134"/>
      <c r="I990" s="133"/>
      <c r="J990" s="133"/>
      <c r="K990" s="133"/>
      <c r="L990" s="134"/>
    </row>
    <row r="991" spans="1:12">
      <c r="A991" s="133"/>
      <c r="B991" s="134"/>
      <c r="C991" s="134"/>
      <c r="D991" s="134"/>
      <c r="E991" s="133"/>
      <c r="F991" s="134"/>
      <c r="G991" s="134"/>
      <c r="H991" s="134"/>
      <c r="I991" s="133"/>
      <c r="J991" s="133"/>
      <c r="K991" s="133"/>
      <c r="L991" s="134"/>
    </row>
    <row r="992" spans="1:12">
      <c r="A992" s="133"/>
      <c r="B992" s="134"/>
      <c r="C992" s="134"/>
      <c r="D992" s="134"/>
      <c r="E992" s="133"/>
      <c r="F992" s="134"/>
      <c r="G992" s="134"/>
      <c r="H992" s="134"/>
      <c r="I992" s="133"/>
      <c r="J992" s="133"/>
      <c r="K992" s="133"/>
      <c r="L992" s="134"/>
    </row>
    <row r="993" spans="1:12">
      <c r="A993" s="133"/>
      <c r="B993" s="134"/>
      <c r="C993" s="134"/>
      <c r="D993" s="134"/>
      <c r="E993" s="133"/>
      <c r="F993" s="134"/>
      <c r="G993" s="134"/>
      <c r="H993" s="134"/>
      <c r="I993" s="133"/>
      <c r="J993" s="133"/>
      <c r="K993" s="133"/>
      <c r="L993" s="134"/>
    </row>
    <row r="994" spans="1:12">
      <c r="A994" s="133"/>
      <c r="B994" s="134"/>
      <c r="C994" s="134"/>
      <c r="D994" s="134"/>
      <c r="E994" s="133"/>
      <c r="F994" s="134"/>
      <c r="G994" s="134"/>
      <c r="H994" s="134"/>
      <c r="I994" s="133"/>
      <c r="J994" s="133"/>
      <c r="K994" s="133"/>
      <c r="L994" s="134"/>
    </row>
    <row r="995" spans="1:12">
      <c r="A995" s="133"/>
      <c r="B995" s="134"/>
      <c r="C995" s="134"/>
      <c r="D995" s="134"/>
      <c r="E995" s="133"/>
      <c r="F995" s="134"/>
      <c r="G995" s="134"/>
      <c r="H995" s="134"/>
      <c r="I995" s="133"/>
      <c r="J995" s="133"/>
      <c r="K995" s="133"/>
      <c r="L995" s="134"/>
    </row>
    <row r="996" spans="1:12">
      <c r="A996" s="133"/>
      <c r="B996" s="134"/>
      <c r="C996" s="134"/>
      <c r="D996" s="134"/>
      <c r="E996" s="133"/>
      <c r="F996" s="134"/>
      <c r="G996" s="134"/>
      <c r="H996" s="134"/>
      <c r="I996" s="133"/>
      <c r="J996" s="133"/>
      <c r="K996" s="133"/>
      <c r="L996" s="134"/>
    </row>
    <row r="997" spans="1:12">
      <c r="A997" s="133"/>
      <c r="B997" s="134"/>
      <c r="C997" s="134"/>
      <c r="D997" s="134"/>
      <c r="E997" s="133"/>
      <c r="F997" s="134"/>
      <c r="G997" s="134"/>
      <c r="H997" s="134"/>
      <c r="I997" s="133"/>
      <c r="J997" s="133"/>
      <c r="K997" s="133"/>
      <c r="L997" s="134"/>
    </row>
    <row r="998" spans="1:12">
      <c r="A998" s="133"/>
      <c r="B998" s="134"/>
      <c r="C998" s="134"/>
      <c r="D998" s="134"/>
      <c r="E998" s="133"/>
      <c r="F998" s="134"/>
      <c r="G998" s="134"/>
      <c r="H998" s="134"/>
      <c r="I998" s="133"/>
      <c r="J998" s="133"/>
      <c r="K998" s="133"/>
      <c r="L998" s="134"/>
    </row>
    <row r="999" spans="1:12">
      <c r="A999" s="133"/>
      <c r="B999" s="134"/>
      <c r="C999" s="134"/>
      <c r="D999" s="134"/>
      <c r="E999" s="133"/>
      <c r="F999" s="134"/>
      <c r="G999" s="134"/>
      <c r="H999" s="134"/>
      <c r="I999" s="133"/>
      <c r="J999" s="133"/>
      <c r="K999" s="133"/>
      <c r="L999" s="134"/>
    </row>
    <row r="1000" spans="1:12">
      <c r="A1000" s="133"/>
      <c r="B1000" s="134"/>
      <c r="C1000" s="134"/>
      <c r="D1000" s="134"/>
      <c r="E1000" s="133"/>
      <c r="F1000" s="134"/>
      <c r="G1000" s="134"/>
      <c r="H1000" s="134"/>
      <c r="I1000" s="133"/>
      <c r="J1000" s="133"/>
      <c r="K1000" s="133"/>
      <c r="L1000" s="134"/>
    </row>
    <row r="1001" spans="1:12">
      <c r="A1001" s="133"/>
      <c r="B1001" s="134"/>
      <c r="C1001" s="134"/>
      <c r="D1001" s="134"/>
      <c r="E1001" s="133"/>
      <c r="F1001" s="134"/>
      <c r="G1001" s="134"/>
      <c r="H1001" s="134"/>
      <c r="I1001" s="133"/>
      <c r="J1001" s="133"/>
      <c r="K1001" s="133"/>
      <c r="L1001" s="134"/>
    </row>
    <row r="1002" spans="1:12">
      <c r="A1002" s="133"/>
      <c r="B1002" s="134"/>
      <c r="C1002" s="134"/>
      <c r="D1002" s="134"/>
      <c r="E1002" s="133"/>
      <c r="F1002" s="134"/>
      <c r="G1002" s="134"/>
      <c r="H1002" s="134"/>
      <c r="I1002" s="133"/>
      <c r="J1002" s="133"/>
      <c r="K1002" s="133"/>
      <c r="L1002" s="134"/>
    </row>
    <row r="1003" spans="1:12">
      <c r="A1003" s="133"/>
      <c r="B1003" s="134"/>
      <c r="C1003" s="134"/>
      <c r="D1003" s="134"/>
      <c r="E1003" s="133"/>
      <c r="F1003" s="134"/>
      <c r="G1003" s="134"/>
      <c r="H1003" s="134"/>
      <c r="I1003" s="133"/>
      <c r="J1003" s="133"/>
      <c r="K1003" s="133"/>
      <c r="L1003" s="134"/>
    </row>
    <row r="1004" spans="1:12">
      <c r="A1004" s="133"/>
      <c r="B1004" s="134"/>
      <c r="C1004" s="134"/>
      <c r="D1004" s="134"/>
      <c r="E1004" s="133"/>
      <c r="F1004" s="134"/>
      <c r="G1004" s="134"/>
      <c r="H1004" s="134"/>
      <c r="I1004" s="133"/>
      <c r="J1004" s="133"/>
      <c r="K1004" s="133"/>
      <c r="L1004" s="134"/>
    </row>
    <row r="1005" spans="1:12">
      <c r="A1005" s="133"/>
      <c r="B1005" s="134"/>
      <c r="C1005" s="134"/>
      <c r="D1005" s="134"/>
      <c r="E1005" s="133"/>
      <c r="F1005" s="134"/>
      <c r="G1005" s="134"/>
      <c r="H1005" s="134"/>
      <c r="I1005" s="133"/>
      <c r="J1005" s="133"/>
      <c r="K1005" s="133"/>
      <c r="L1005" s="134"/>
    </row>
    <row r="1006" spans="1:12">
      <c r="A1006" s="133"/>
      <c r="B1006" s="134"/>
      <c r="C1006" s="134"/>
      <c r="D1006" s="134"/>
      <c r="E1006" s="133"/>
      <c r="F1006" s="134"/>
      <c r="G1006" s="134"/>
      <c r="H1006" s="134"/>
      <c r="I1006" s="133"/>
      <c r="J1006" s="133"/>
      <c r="K1006" s="133"/>
      <c r="L1006" s="134"/>
    </row>
    <row r="1007" spans="1:12">
      <c r="A1007" s="133"/>
      <c r="B1007" s="134"/>
      <c r="C1007" s="134"/>
      <c r="D1007" s="134"/>
      <c r="E1007" s="133"/>
      <c r="F1007" s="134"/>
      <c r="G1007" s="134"/>
      <c r="H1007" s="134"/>
      <c r="I1007" s="133"/>
      <c r="J1007" s="133"/>
      <c r="K1007" s="133"/>
      <c r="L1007" s="134"/>
    </row>
    <row r="1008" spans="1:12">
      <c r="A1008" s="133"/>
      <c r="B1008" s="134"/>
      <c r="C1008" s="134"/>
      <c r="D1008" s="134"/>
      <c r="E1008" s="133"/>
      <c r="F1008" s="134"/>
      <c r="G1008" s="134"/>
      <c r="H1008" s="134"/>
      <c r="I1008" s="133"/>
      <c r="J1008" s="133"/>
      <c r="K1008" s="133"/>
      <c r="L1008" s="134"/>
    </row>
    <row r="1009" spans="1:12">
      <c r="A1009" s="133"/>
      <c r="B1009" s="134"/>
      <c r="C1009" s="134"/>
      <c r="D1009" s="134"/>
      <c r="E1009" s="133"/>
      <c r="F1009" s="134"/>
      <c r="G1009" s="134"/>
      <c r="H1009" s="134"/>
      <c r="I1009" s="133"/>
      <c r="J1009" s="133"/>
      <c r="K1009" s="133"/>
      <c r="L1009" s="134"/>
    </row>
    <row r="1010" spans="1:12">
      <c r="A1010" s="133"/>
      <c r="B1010" s="134"/>
      <c r="C1010" s="134"/>
      <c r="D1010" s="134"/>
      <c r="E1010" s="133"/>
      <c r="F1010" s="134"/>
      <c r="G1010" s="134"/>
      <c r="H1010" s="134"/>
      <c r="I1010" s="133"/>
      <c r="J1010" s="133"/>
      <c r="K1010" s="133"/>
      <c r="L1010" s="134"/>
    </row>
    <row r="1011" spans="1:12">
      <c r="A1011" s="133"/>
      <c r="B1011" s="134"/>
      <c r="C1011" s="134"/>
      <c r="D1011" s="134"/>
      <c r="E1011" s="133"/>
      <c r="F1011" s="134"/>
      <c r="G1011" s="134"/>
      <c r="H1011" s="134"/>
      <c r="I1011" s="133"/>
      <c r="J1011" s="133"/>
      <c r="K1011" s="133"/>
      <c r="L1011" s="134"/>
    </row>
    <row r="1012" spans="1:12">
      <c r="A1012" s="133"/>
      <c r="B1012" s="134"/>
      <c r="C1012" s="134"/>
      <c r="D1012" s="134"/>
      <c r="E1012" s="133"/>
      <c r="F1012" s="134"/>
      <c r="G1012" s="134"/>
      <c r="H1012" s="134"/>
      <c r="I1012" s="133"/>
      <c r="J1012" s="133"/>
      <c r="K1012" s="133"/>
      <c r="L1012" s="134"/>
    </row>
    <row r="1013" spans="1:12">
      <c r="A1013" s="133"/>
      <c r="B1013" s="134"/>
      <c r="C1013" s="134"/>
      <c r="D1013" s="134"/>
      <c r="E1013" s="133"/>
      <c r="F1013" s="134"/>
      <c r="G1013" s="134"/>
      <c r="H1013" s="134"/>
      <c r="I1013" s="133"/>
      <c r="J1013" s="133"/>
      <c r="K1013" s="133"/>
      <c r="L1013" s="134"/>
    </row>
    <row r="1014" spans="1:12">
      <c r="A1014" s="133"/>
      <c r="B1014" s="134"/>
      <c r="C1014" s="134"/>
      <c r="D1014" s="134"/>
      <c r="E1014" s="133"/>
      <c r="F1014" s="134"/>
      <c r="G1014" s="134"/>
      <c r="H1014" s="134"/>
      <c r="I1014" s="133"/>
      <c r="J1014" s="133"/>
      <c r="K1014" s="133"/>
      <c r="L1014" s="134"/>
    </row>
    <row r="1015" spans="1:12">
      <c r="A1015" s="133"/>
      <c r="B1015" s="134"/>
      <c r="C1015" s="134"/>
      <c r="D1015" s="134"/>
      <c r="E1015" s="133"/>
      <c r="F1015" s="134"/>
      <c r="G1015" s="134"/>
      <c r="H1015" s="134"/>
      <c r="I1015" s="133"/>
      <c r="J1015" s="133"/>
      <c r="K1015" s="133"/>
      <c r="L1015" s="134"/>
    </row>
    <row r="1016" spans="1:12">
      <c r="A1016" s="133"/>
      <c r="B1016" s="134"/>
      <c r="C1016" s="134"/>
      <c r="D1016" s="134"/>
      <c r="E1016" s="133"/>
      <c r="F1016" s="134"/>
      <c r="G1016" s="134"/>
      <c r="H1016" s="134"/>
      <c r="I1016" s="133"/>
      <c r="J1016" s="133"/>
      <c r="K1016" s="133"/>
      <c r="L1016" s="134"/>
    </row>
    <row r="1017" spans="1:12">
      <c r="A1017" s="133"/>
      <c r="B1017" s="134"/>
      <c r="C1017" s="134"/>
      <c r="D1017" s="134"/>
      <c r="E1017" s="133"/>
      <c r="F1017" s="134"/>
      <c r="G1017" s="134"/>
      <c r="H1017" s="134"/>
      <c r="I1017" s="133"/>
      <c r="J1017" s="133"/>
      <c r="K1017" s="133"/>
      <c r="L1017" s="134"/>
    </row>
    <row r="1018" spans="1:12">
      <c r="A1018" s="133"/>
      <c r="B1018" s="134"/>
      <c r="C1018" s="134"/>
      <c r="D1018" s="134"/>
      <c r="E1018" s="133"/>
      <c r="F1018" s="134"/>
      <c r="G1018" s="134"/>
      <c r="H1018" s="134"/>
      <c r="I1018" s="133"/>
      <c r="J1018" s="133"/>
      <c r="K1018" s="133"/>
      <c r="L1018" s="134"/>
    </row>
    <row r="1019" spans="1:12">
      <c r="A1019" s="133"/>
      <c r="B1019" s="134"/>
      <c r="C1019" s="134"/>
      <c r="D1019" s="134"/>
      <c r="E1019" s="133"/>
      <c r="F1019" s="134"/>
      <c r="G1019" s="134"/>
      <c r="H1019" s="134"/>
      <c r="I1019" s="133"/>
      <c r="J1019" s="133"/>
      <c r="K1019" s="133"/>
      <c r="L1019" s="134"/>
    </row>
    <row r="1020" spans="1:12">
      <c r="A1020" s="133"/>
      <c r="B1020" s="134"/>
      <c r="C1020" s="134"/>
      <c r="D1020" s="134"/>
      <c r="E1020" s="133"/>
      <c r="F1020" s="134"/>
      <c r="G1020" s="134"/>
      <c r="H1020" s="134"/>
      <c r="I1020" s="133"/>
      <c r="J1020" s="133"/>
      <c r="K1020" s="133"/>
      <c r="L1020" s="134"/>
    </row>
    <row r="1021" spans="1:12">
      <c r="A1021" s="133"/>
      <c r="B1021" s="134"/>
      <c r="C1021" s="134"/>
      <c r="D1021" s="134"/>
      <c r="E1021" s="133"/>
      <c r="F1021" s="134"/>
      <c r="G1021" s="134"/>
      <c r="H1021" s="134"/>
      <c r="I1021" s="133"/>
      <c r="J1021" s="133"/>
      <c r="K1021" s="133"/>
      <c r="L1021" s="134"/>
    </row>
    <row r="1022" spans="1:12">
      <c r="A1022" s="133"/>
      <c r="B1022" s="134"/>
      <c r="C1022" s="134"/>
      <c r="D1022" s="134"/>
      <c r="E1022" s="133"/>
      <c r="F1022" s="134"/>
      <c r="G1022" s="134"/>
      <c r="H1022" s="134"/>
      <c r="I1022" s="133"/>
      <c r="J1022" s="133"/>
      <c r="K1022" s="133"/>
      <c r="L1022" s="134"/>
    </row>
    <row r="1023" spans="1:12">
      <c r="A1023" s="133"/>
      <c r="B1023" s="134"/>
      <c r="C1023" s="134"/>
      <c r="D1023" s="134"/>
      <c r="E1023" s="133"/>
      <c r="F1023" s="134"/>
      <c r="G1023" s="134"/>
      <c r="H1023" s="134"/>
      <c r="I1023" s="133"/>
      <c r="J1023" s="133"/>
      <c r="K1023" s="133"/>
      <c r="L1023" s="134"/>
    </row>
    <row r="1024" spans="1:12">
      <c r="A1024" s="133"/>
      <c r="B1024" s="134"/>
      <c r="C1024" s="134"/>
      <c r="D1024" s="134"/>
      <c r="E1024" s="133"/>
      <c r="F1024" s="134"/>
      <c r="G1024" s="134"/>
      <c r="H1024" s="134"/>
      <c r="I1024" s="133"/>
      <c r="J1024" s="133"/>
      <c r="K1024" s="133"/>
      <c r="L1024" s="134"/>
    </row>
    <row r="1025" spans="1:12">
      <c r="A1025" s="133"/>
      <c r="B1025" s="134"/>
      <c r="C1025" s="134"/>
      <c r="D1025" s="134"/>
      <c r="E1025" s="133"/>
      <c r="F1025" s="134"/>
      <c r="G1025" s="134"/>
      <c r="H1025" s="134"/>
      <c r="I1025" s="133"/>
      <c r="J1025" s="133"/>
      <c r="K1025" s="133"/>
      <c r="L1025" s="134"/>
    </row>
    <row r="1026" spans="1:12">
      <c r="A1026" s="133"/>
      <c r="B1026" s="134"/>
      <c r="C1026" s="134"/>
      <c r="D1026" s="134"/>
      <c r="E1026" s="133"/>
      <c r="F1026" s="134"/>
      <c r="G1026" s="134"/>
      <c r="H1026" s="134"/>
      <c r="I1026" s="133"/>
      <c r="J1026" s="133"/>
      <c r="K1026" s="133"/>
      <c r="L1026" s="134"/>
    </row>
    <row r="1027" spans="1:12">
      <c r="A1027" s="133"/>
      <c r="B1027" s="134"/>
      <c r="C1027" s="134"/>
      <c r="D1027" s="134"/>
      <c r="E1027" s="133"/>
      <c r="F1027" s="134"/>
      <c r="G1027" s="134"/>
      <c r="H1027" s="134"/>
      <c r="I1027" s="133"/>
      <c r="J1027" s="133"/>
      <c r="K1027" s="133"/>
      <c r="L1027" s="134"/>
    </row>
    <row r="1028" spans="1:12">
      <c r="A1028" s="133"/>
      <c r="B1028" s="134"/>
      <c r="C1028" s="134"/>
      <c r="D1028" s="134"/>
      <c r="E1028" s="133"/>
      <c r="F1028" s="134"/>
      <c r="G1028" s="134"/>
      <c r="H1028" s="134"/>
      <c r="I1028" s="133"/>
      <c r="J1028" s="133"/>
      <c r="K1028" s="133"/>
      <c r="L1028" s="134"/>
    </row>
    <row r="1029" spans="1:12">
      <c r="A1029" s="133"/>
      <c r="B1029" s="134"/>
      <c r="C1029" s="134"/>
      <c r="D1029" s="134"/>
      <c r="E1029" s="133"/>
      <c r="F1029" s="134"/>
      <c r="G1029" s="134"/>
      <c r="H1029" s="134"/>
      <c r="I1029" s="133"/>
      <c r="J1029" s="133"/>
      <c r="K1029" s="133"/>
      <c r="L1029" s="134"/>
    </row>
    <row r="1030" spans="1:12">
      <c r="A1030" s="133"/>
      <c r="B1030" s="134"/>
      <c r="C1030" s="134"/>
      <c r="D1030" s="134"/>
      <c r="E1030" s="133"/>
      <c r="F1030" s="134"/>
      <c r="G1030" s="134"/>
      <c r="H1030" s="134"/>
      <c r="I1030" s="133"/>
      <c r="J1030" s="133"/>
      <c r="K1030" s="133"/>
      <c r="L1030" s="134"/>
    </row>
    <row r="1031" spans="1:12">
      <c r="A1031" s="133"/>
      <c r="B1031" s="134"/>
      <c r="C1031" s="134"/>
      <c r="D1031" s="134"/>
      <c r="E1031" s="133"/>
      <c r="F1031" s="134"/>
      <c r="G1031" s="134"/>
      <c r="H1031" s="134"/>
      <c r="I1031" s="133"/>
      <c r="J1031" s="133"/>
      <c r="K1031" s="133"/>
      <c r="L1031" s="134"/>
    </row>
    <row r="1032" spans="1:12">
      <c r="A1032" s="133"/>
      <c r="B1032" s="134"/>
      <c r="C1032" s="134"/>
      <c r="D1032" s="134"/>
      <c r="E1032" s="133"/>
      <c r="F1032" s="134"/>
      <c r="G1032" s="134"/>
      <c r="H1032" s="134"/>
      <c r="I1032" s="133"/>
      <c r="J1032" s="133"/>
      <c r="K1032" s="133"/>
      <c r="L1032" s="134"/>
    </row>
    <row r="1033" spans="1:12">
      <c r="A1033" s="133"/>
      <c r="B1033" s="134"/>
      <c r="C1033" s="134"/>
      <c r="D1033" s="134"/>
      <c r="E1033" s="133"/>
      <c r="F1033" s="134"/>
      <c r="G1033" s="134"/>
      <c r="H1033" s="134"/>
      <c r="I1033" s="133"/>
      <c r="J1033" s="133"/>
      <c r="K1033" s="133"/>
      <c r="L1033" s="134"/>
    </row>
    <row r="1034" spans="1:12">
      <c r="A1034" s="133"/>
      <c r="B1034" s="134"/>
      <c r="C1034" s="134"/>
      <c r="D1034" s="134"/>
      <c r="E1034" s="133"/>
      <c r="F1034" s="134"/>
      <c r="G1034" s="134"/>
      <c r="H1034" s="134"/>
      <c r="I1034" s="133"/>
      <c r="J1034" s="133"/>
      <c r="K1034" s="133"/>
      <c r="L1034" s="134"/>
    </row>
    <row r="1035" spans="1:12">
      <c r="A1035" s="133"/>
      <c r="B1035" s="134"/>
      <c r="C1035" s="134"/>
      <c r="D1035" s="134"/>
      <c r="E1035" s="133"/>
      <c r="F1035" s="134"/>
      <c r="G1035" s="134"/>
      <c r="H1035" s="134"/>
      <c r="I1035" s="133"/>
      <c r="J1035" s="133"/>
      <c r="K1035" s="133"/>
      <c r="L1035" s="134"/>
    </row>
    <row r="1036" spans="1:12">
      <c r="A1036" s="133"/>
      <c r="B1036" s="134"/>
      <c r="C1036" s="134"/>
      <c r="D1036" s="134"/>
      <c r="E1036" s="133"/>
      <c r="F1036" s="134"/>
      <c r="G1036" s="134"/>
      <c r="H1036" s="134"/>
      <c r="I1036" s="133"/>
      <c r="J1036" s="133"/>
      <c r="K1036" s="133"/>
      <c r="L1036" s="134"/>
    </row>
    <row r="1037" spans="1:12">
      <c r="A1037" s="133"/>
      <c r="B1037" s="134"/>
      <c r="C1037" s="134"/>
      <c r="D1037" s="134"/>
      <c r="E1037" s="133"/>
      <c r="F1037" s="134"/>
      <c r="G1037" s="134"/>
      <c r="H1037" s="134"/>
      <c r="I1037" s="133"/>
      <c r="J1037" s="133"/>
      <c r="K1037" s="133"/>
      <c r="L1037" s="134"/>
    </row>
    <row r="1038" spans="1:12">
      <c r="A1038" s="133"/>
      <c r="B1038" s="134"/>
      <c r="C1038" s="134"/>
      <c r="D1038" s="134"/>
      <c r="E1038" s="133"/>
      <c r="F1038" s="134"/>
      <c r="G1038" s="134"/>
      <c r="H1038" s="134"/>
      <c r="I1038" s="133"/>
      <c r="J1038" s="133"/>
      <c r="K1038" s="133"/>
      <c r="L1038" s="134"/>
    </row>
    <row r="1039" spans="1:12">
      <c r="A1039" s="133"/>
      <c r="B1039" s="134"/>
      <c r="C1039" s="134"/>
      <c r="D1039" s="134"/>
      <c r="E1039" s="133"/>
      <c r="F1039" s="134"/>
      <c r="G1039" s="134"/>
      <c r="H1039" s="134"/>
      <c r="I1039" s="133"/>
      <c r="J1039" s="133"/>
      <c r="K1039" s="133"/>
      <c r="L1039" s="134"/>
    </row>
    <row r="1040" spans="1:12">
      <c r="A1040" s="133"/>
      <c r="B1040" s="134"/>
      <c r="C1040" s="134"/>
      <c r="D1040" s="134"/>
      <c r="E1040" s="133"/>
      <c r="F1040" s="134"/>
      <c r="G1040" s="134"/>
      <c r="H1040" s="134"/>
      <c r="I1040" s="133"/>
      <c r="J1040" s="133"/>
      <c r="K1040" s="133"/>
      <c r="L1040" s="134"/>
    </row>
    <row r="1041" spans="1:12">
      <c r="A1041" s="133"/>
      <c r="B1041" s="134"/>
      <c r="C1041" s="134"/>
      <c r="D1041" s="134"/>
      <c r="E1041" s="133"/>
      <c r="F1041" s="134"/>
      <c r="G1041" s="134"/>
      <c r="H1041" s="134"/>
      <c r="I1041" s="133"/>
      <c r="J1041" s="133"/>
      <c r="K1041" s="133"/>
      <c r="L1041" s="134"/>
    </row>
    <row r="1042" spans="1:12">
      <c r="A1042" s="133"/>
      <c r="B1042" s="134"/>
      <c r="C1042" s="134"/>
      <c r="D1042" s="134"/>
      <c r="E1042" s="133"/>
      <c r="F1042" s="134"/>
      <c r="G1042" s="134"/>
      <c r="H1042" s="134"/>
      <c r="I1042" s="133"/>
      <c r="J1042" s="133"/>
      <c r="K1042" s="133"/>
      <c r="L1042" s="134"/>
    </row>
    <row r="1043" spans="1:12">
      <c r="A1043" s="133"/>
      <c r="B1043" s="134"/>
      <c r="C1043" s="134"/>
      <c r="D1043" s="134"/>
      <c r="E1043" s="133"/>
      <c r="F1043" s="134"/>
      <c r="G1043" s="134"/>
      <c r="H1043" s="134"/>
      <c r="I1043" s="133"/>
      <c r="J1043" s="133"/>
      <c r="K1043" s="133"/>
      <c r="L1043" s="134"/>
    </row>
    <row r="1044" spans="1:12">
      <c r="A1044" s="133"/>
      <c r="B1044" s="134"/>
      <c r="C1044" s="134"/>
      <c r="D1044" s="134"/>
      <c r="E1044" s="133"/>
      <c r="F1044" s="134"/>
      <c r="G1044" s="134"/>
      <c r="H1044" s="134"/>
      <c r="I1044" s="133"/>
      <c r="J1044" s="133"/>
      <c r="K1044" s="133"/>
      <c r="L1044" s="134"/>
    </row>
    <row r="1045" spans="1:12">
      <c r="A1045" s="133"/>
      <c r="B1045" s="134"/>
      <c r="C1045" s="134"/>
      <c r="D1045" s="134"/>
      <c r="E1045" s="133"/>
      <c r="F1045" s="134"/>
      <c r="G1045" s="134"/>
      <c r="H1045" s="134"/>
      <c r="I1045" s="133"/>
      <c r="J1045" s="133"/>
      <c r="K1045" s="133"/>
      <c r="L1045" s="134"/>
    </row>
    <row r="1046" spans="1:12">
      <c r="A1046" s="133"/>
      <c r="B1046" s="134"/>
      <c r="C1046" s="134"/>
      <c r="D1046" s="134"/>
      <c r="E1046" s="133"/>
      <c r="F1046" s="134"/>
      <c r="G1046" s="134"/>
      <c r="H1046" s="134"/>
      <c r="I1046" s="133"/>
      <c r="J1046" s="133"/>
      <c r="K1046" s="133"/>
      <c r="L1046" s="134"/>
    </row>
    <row r="1047" spans="1:12">
      <c r="A1047" s="133"/>
      <c r="B1047" s="134"/>
      <c r="C1047" s="134"/>
      <c r="D1047" s="134"/>
      <c r="E1047" s="133"/>
      <c r="F1047" s="134"/>
      <c r="G1047" s="134"/>
      <c r="H1047" s="134"/>
      <c r="I1047" s="133"/>
      <c r="J1047" s="133"/>
      <c r="K1047" s="133"/>
      <c r="L1047" s="134"/>
    </row>
    <row r="1048" spans="1:12">
      <c r="A1048" s="133"/>
      <c r="B1048" s="134"/>
      <c r="C1048" s="134"/>
      <c r="D1048" s="134"/>
      <c r="E1048" s="133"/>
      <c r="F1048" s="134"/>
      <c r="G1048" s="134"/>
      <c r="H1048" s="134"/>
      <c r="I1048" s="133"/>
      <c r="J1048" s="133"/>
      <c r="K1048" s="133"/>
      <c r="L1048" s="134"/>
    </row>
    <row r="1049" spans="1:12">
      <c r="A1049" s="133"/>
      <c r="B1049" s="134"/>
      <c r="C1049" s="134"/>
      <c r="D1049" s="134"/>
      <c r="E1049" s="133"/>
      <c r="F1049" s="134"/>
      <c r="G1049" s="134"/>
      <c r="H1049" s="134"/>
      <c r="I1049" s="133"/>
      <c r="J1049" s="133"/>
      <c r="K1049" s="133"/>
      <c r="L1049" s="134"/>
    </row>
    <row r="1050" spans="1:12">
      <c r="A1050" s="133"/>
      <c r="B1050" s="134"/>
      <c r="C1050" s="134"/>
      <c r="D1050" s="134"/>
      <c r="E1050" s="133"/>
      <c r="F1050" s="134"/>
      <c r="G1050" s="134"/>
      <c r="H1050" s="134"/>
      <c r="I1050" s="133"/>
      <c r="J1050" s="133"/>
      <c r="K1050" s="133"/>
      <c r="L1050" s="134"/>
    </row>
    <row r="1051" spans="1:12">
      <c r="A1051" s="133"/>
      <c r="B1051" s="134"/>
      <c r="C1051" s="134"/>
      <c r="D1051" s="134"/>
      <c r="E1051" s="133"/>
      <c r="F1051" s="134"/>
      <c r="G1051" s="134"/>
      <c r="H1051" s="134"/>
      <c r="I1051" s="133"/>
      <c r="J1051" s="133"/>
      <c r="K1051" s="133"/>
      <c r="L1051" s="134"/>
    </row>
    <row r="1052" spans="1:12">
      <c r="A1052" s="133"/>
      <c r="B1052" s="134"/>
      <c r="C1052" s="134"/>
      <c r="D1052" s="134"/>
      <c r="E1052" s="133"/>
      <c r="F1052" s="134"/>
      <c r="G1052" s="134"/>
      <c r="H1052" s="134"/>
      <c r="I1052" s="133"/>
      <c r="J1052" s="133"/>
      <c r="K1052" s="133"/>
      <c r="L1052" s="134"/>
    </row>
    <row r="1053" spans="1:12">
      <c r="A1053" s="133"/>
      <c r="B1053" s="134"/>
      <c r="C1053" s="134"/>
      <c r="D1053" s="134"/>
      <c r="E1053" s="133"/>
      <c r="F1053" s="134"/>
      <c r="G1053" s="134"/>
      <c r="H1053" s="134"/>
      <c r="I1053" s="133"/>
      <c r="J1053" s="133"/>
      <c r="K1053" s="133"/>
      <c r="L1053" s="134"/>
    </row>
    <row r="1054" spans="1:12">
      <c r="A1054" s="133"/>
      <c r="B1054" s="134"/>
      <c r="C1054" s="134"/>
      <c r="D1054" s="134"/>
      <c r="E1054" s="133"/>
      <c r="F1054" s="134"/>
      <c r="G1054" s="134"/>
      <c r="H1054" s="134"/>
      <c r="I1054" s="133"/>
      <c r="J1054" s="133"/>
      <c r="K1054" s="133"/>
      <c r="L1054" s="134"/>
    </row>
    <row r="1055" spans="1:12">
      <c r="A1055" s="133"/>
      <c r="B1055" s="134"/>
      <c r="C1055" s="134"/>
      <c r="D1055" s="134"/>
      <c r="E1055" s="133"/>
      <c r="F1055" s="134"/>
      <c r="G1055" s="134"/>
      <c r="H1055" s="134"/>
      <c r="I1055" s="133"/>
      <c r="J1055" s="133"/>
      <c r="K1055" s="133"/>
      <c r="L1055" s="134"/>
    </row>
    <row r="1056" spans="1:12">
      <c r="A1056" s="133"/>
      <c r="B1056" s="134"/>
      <c r="C1056" s="134"/>
      <c r="D1056" s="134"/>
      <c r="E1056" s="133"/>
      <c r="F1056" s="134"/>
      <c r="G1056" s="134"/>
      <c r="H1056" s="134"/>
      <c r="I1056" s="133"/>
      <c r="J1056" s="133"/>
      <c r="K1056" s="133"/>
      <c r="L1056" s="134"/>
    </row>
    <row r="1057" spans="1:12">
      <c r="A1057" s="133"/>
      <c r="B1057" s="134"/>
      <c r="C1057" s="134"/>
      <c r="D1057" s="134"/>
      <c r="E1057" s="133"/>
      <c r="F1057" s="134"/>
      <c r="G1057" s="134"/>
      <c r="H1057" s="134"/>
      <c r="I1057" s="133"/>
      <c r="J1057" s="133"/>
      <c r="K1057" s="133"/>
      <c r="L1057" s="134"/>
    </row>
    <row r="1058" spans="1:12">
      <c r="A1058" s="133"/>
      <c r="B1058" s="134"/>
      <c r="C1058" s="134"/>
      <c r="D1058" s="134"/>
      <c r="E1058" s="133"/>
      <c r="F1058" s="134"/>
      <c r="G1058" s="134"/>
      <c r="H1058" s="134"/>
      <c r="I1058" s="133"/>
      <c r="J1058" s="133"/>
      <c r="K1058" s="133"/>
      <c r="L1058" s="134"/>
    </row>
    <row r="1059" spans="1:12">
      <c r="A1059" s="133"/>
      <c r="B1059" s="134"/>
      <c r="C1059" s="134"/>
      <c r="D1059" s="134"/>
      <c r="E1059" s="133"/>
      <c r="F1059" s="134"/>
      <c r="G1059" s="134"/>
      <c r="H1059" s="134"/>
      <c r="I1059" s="133"/>
      <c r="J1059" s="133"/>
      <c r="K1059" s="133"/>
      <c r="L1059" s="134"/>
    </row>
    <row r="1060" spans="1:12">
      <c r="A1060" s="133"/>
      <c r="B1060" s="134"/>
      <c r="C1060" s="134"/>
      <c r="D1060" s="134"/>
      <c r="E1060" s="133"/>
      <c r="F1060" s="134"/>
      <c r="G1060" s="134"/>
      <c r="H1060" s="134"/>
      <c r="I1060" s="133"/>
      <c r="J1060" s="133"/>
      <c r="K1060" s="133"/>
      <c r="L1060" s="134"/>
    </row>
    <row r="1061" spans="1:12">
      <c r="A1061" s="133"/>
      <c r="B1061" s="134"/>
      <c r="C1061" s="134"/>
      <c r="D1061" s="134"/>
      <c r="E1061" s="133"/>
      <c r="F1061" s="134"/>
      <c r="G1061" s="134"/>
      <c r="H1061" s="134"/>
      <c r="I1061" s="133"/>
      <c r="J1061" s="133"/>
      <c r="K1061" s="133"/>
      <c r="L1061" s="134"/>
    </row>
    <row r="1062" spans="1:12">
      <c r="A1062" s="133"/>
      <c r="B1062" s="134"/>
      <c r="C1062" s="134"/>
      <c r="D1062" s="134"/>
      <c r="E1062" s="133"/>
      <c r="F1062" s="134"/>
      <c r="G1062" s="134"/>
      <c r="H1062" s="134"/>
      <c r="I1062" s="133"/>
      <c r="J1062" s="133"/>
      <c r="K1062" s="133"/>
      <c r="L1062" s="134"/>
    </row>
    <row r="1063" spans="1:12">
      <c r="A1063" s="133"/>
      <c r="B1063" s="134"/>
      <c r="C1063" s="134"/>
      <c r="D1063" s="134"/>
      <c r="E1063" s="133"/>
      <c r="F1063" s="134"/>
      <c r="G1063" s="134"/>
      <c r="H1063" s="134"/>
      <c r="I1063" s="133"/>
      <c r="J1063" s="133"/>
      <c r="K1063" s="133"/>
      <c r="L1063" s="134"/>
    </row>
    <row r="1064" spans="1:12">
      <c r="A1064" s="133"/>
      <c r="B1064" s="134"/>
      <c r="C1064" s="134"/>
      <c r="D1064" s="134"/>
      <c r="E1064" s="133"/>
      <c r="F1064" s="134"/>
      <c r="G1064" s="134"/>
      <c r="H1064" s="134"/>
      <c r="I1064" s="133"/>
      <c r="J1064" s="133"/>
      <c r="K1064" s="133"/>
      <c r="L1064" s="134"/>
    </row>
    <row r="1065" spans="1:12">
      <c r="A1065" s="133"/>
      <c r="B1065" s="134"/>
      <c r="C1065" s="134"/>
      <c r="D1065" s="134"/>
      <c r="E1065" s="133"/>
      <c r="F1065" s="134"/>
      <c r="G1065" s="134"/>
      <c r="H1065" s="134"/>
      <c r="I1065" s="133"/>
      <c r="J1065" s="133"/>
      <c r="K1065" s="133"/>
      <c r="L1065" s="134"/>
    </row>
    <row r="1066" spans="1:12">
      <c r="A1066" s="133"/>
      <c r="B1066" s="134"/>
      <c r="C1066" s="134"/>
      <c r="D1066" s="134"/>
      <c r="E1066" s="133"/>
      <c r="F1066" s="134"/>
      <c r="G1066" s="134"/>
      <c r="H1066" s="134"/>
      <c r="I1066" s="133"/>
      <c r="J1066" s="133"/>
      <c r="K1066" s="133"/>
      <c r="L1066" s="134"/>
    </row>
    <row r="1067" spans="1:12">
      <c r="A1067" s="133"/>
      <c r="B1067" s="134"/>
      <c r="C1067" s="134"/>
      <c r="D1067" s="134"/>
      <c r="E1067" s="133"/>
      <c r="F1067" s="134"/>
      <c r="G1067" s="134"/>
      <c r="H1067" s="134"/>
      <c r="I1067" s="133"/>
      <c r="J1067" s="133"/>
      <c r="K1067" s="133"/>
      <c r="L1067" s="134"/>
    </row>
    <row r="1068" spans="1:12">
      <c r="A1068" s="133"/>
      <c r="B1068" s="134"/>
      <c r="C1068" s="134"/>
      <c r="D1068" s="134"/>
      <c r="E1068" s="133"/>
      <c r="F1068" s="134"/>
      <c r="G1068" s="134"/>
      <c r="H1068" s="134"/>
      <c r="I1068" s="133"/>
      <c r="J1068" s="133"/>
      <c r="K1068" s="133"/>
      <c r="L1068" s="134"/>
    </row>
    <row r="1069" spans="1:12">
      <c r="A1069" s="133"/>
      <c r="B1069" s="134"/>
      <c r="C1069" s="134"/>
      <c r="D1069" s="134"/>
      <c r="E1069" s="133"/>
      <c r="F1069" s="134"/>
      <c r="G1069" s="134"/>
      <c r="H1069" s="134"/>
      <c r="I1069" s="133"/>
      <c r="J1069" s="133"/>
      <c r="K1069" s="133"/>
      <c r="L1069" s="134"/>
    </row>
    <row r="1070" spans="1:12">
      <c r="A1070" s="133"/>
      <c r="B1070" s="134"/>
      <c r="C1070" s="134"/>
      <c r="D1070" s="134"/>
      <c r="E1070" s="133"/>
      <c r="F1070" s="134"/>
      <c r="G1070" s="134"/>
      <c r="H1070" s="134"/>
      <c r="I1070" s="133"/>
      <c r="J1070" s="133"/>
      <c r="K1070" s="133"/>
      <c r="L1070" s="134"/>
    </row>
    <row r="1071" spans="1:12">
      <c r="A1071" s="133"/>
      <c r="B1071" s="134"/>
      <c r="C1071" s="134"/>
      <c r="D1071" s="134"/>
      <c r="E1071" s="133"/>
      <c r="F1071" s="134"/>
      <c r="G1071" s="134"/>
      <c r="H1071" s="134"/>
      <c r="I1071" s="133"/>
      <c r="J1071" s="133"/>
      <c r="K1071" s="133"/>
      <c r="L1071" s="134"/>
    </row>
    <row r="1072" spans="1:12">
      <c r="A1072" s="133"/>
      <c r="B1072" s="134"/>
      <c r="C1072" s="134"/>
      <c r="D1072" s="134"/>
      <c r="E1072" s="133"/>
      <c r="F1072" s="134"/>
      <c r="G1072" s="134"/>
      <c r="H1072" s="134"/>
      <c r="I1072" s="133"/>
      <c r="J1072" s="133"/>
      <c r="K1072" s="133"/>
      <c r="L1072" s="134"/>
    </row>
    <row r="1073" spans="1:12">
      <c r="A1073" s="133"/>
      <c r="B1073" s="134"/>
      <c r="C1073" s="134"/>
      <c r="D1073" s="134"/>
      <c r="E1073" s="133"/>
      <c r="F1073" s="134"/>
      <c r="G1073" s="134"/>
      <c r="H1073" s="134"/>
      <c r="I1073" s="133"/>
      <c r="J1073" s="133"/>
      <c r="K1073" s="133"/>
      <c r="L1073" s="134"/>
    </row>
    <row r="1074" spans="1:12">
      <c r="A1074" s="133"/>
      <c r="B1074" s="134"/>
      <c r="C1074" s="134"/>
      <c r="D1074" s="134"/>
      <c r="E1074" s="133"/>
      <c r="F1074" s="134"/>
      <c r="G1074" s="134"/>
      <c r="H1074" s="134"/>
      <c r="I1074" s="133"/>
      <c r="J1074" s="133"/>
      <c r="K1074" s="133"/>
      <c r="L1074" s="134"/>
    </row>
    <row r="1075" spans="1:12">
      <c r="A1075" s="133"/>
      <c r="B1075" s="134"/>
      <c r="C1075" s="134"/>
      <c r="D1075" s="134"/>
      <c r="E1075" s="133"/>
      <c r="F1075" s="134"/>
      <c r="G1075" s="134"/>
      <c r="H1075" s="134"/>
      <c r="I1075" s="133"/>
      <c r="J1075" s="133"/>
      <c r="K1075" s="133"/>
      <c r="L1075" s="134"/>
    </row>
    <row r="1076" spans="1:12">
      <c r="A1076" s="133"/>
      <c r="B1076" s="134"/>
      <c r="C1076" s="134"/>
      <c r="D1076" s="134"/>
      <c r="E1076" s="133"/>
      <c r="F1076" s="134"/>
      <c r="G1076" s="134"/>
      <c r="H1076" s="134"/>
      <c r="I1076" s="133"/>
      <c r="J1076" s="133"/>
      <c r="K1076" s="133"/>
      <c r="L1076" s="134"/>
    </row>
    <row r="1077" spans="1:12">
      <c r="A1077" s="133"/>
      <c r="B1077" s="134"/>
      <c r="C1077" s="134"/>
      <c r="D1077" s="134"/>
      <c r="E1077" s="133"/>
      <c r="F1077" s="134"/>
      <c r="G1077" s="134"/>
      <c r="H1077" s="134"/>
      <c r="I1077" s="133"/>
      <c r="J1077" s="133"/>
      <c r="K1077" s="133"/>
      <c r="L1077" s="134"/>
    </row>
    <row r="1078" spans="1:12">
      <c r="A1078" s="133"/>
      <c r="B1078" s="134"/>
      <c r="C1078" s="134"/>
      <c r="D1078" s="134"/>
      <c r="E1078" s="133"/>
      <c r="F1078" s="134"/>
      <c r="G1078" s="134"/>
      <c r="H1078" s="134"/>
      <c r="I1078" s="133"/>
      <c r="J1078" s="133"/>
      <c r="K1078" s="133"/>
      <c r="L1078" s="134"/>
    </row>
    <row r="1079" spans="1:12">
      <c r="A1079" s="133"/>
      <c r="B1079" s="134"/>
      <c r="C1079" s="134"/>
      <c r="D1079" s="134"/>
      <c r="E1079" s="133"/>
      <c r="F1079" s="134"/>
      <c r="G1079" s="134"/>
      <c r="H1079" s="134"/>
      <c r="I1079" s="133"/>
      <c r="J1079" s="133"/>
      <c r="K1079" s="133"/>
      <c r="L1079" s="134"/>
    </row>
    <row r="1080" spans="1:12">
      <c r="A1080" s="133"/>
      <c r="B1080" s="134"/>
      <c r="C1080" s="134"/>
      <c r="D1080" s="134"/>
      <c r="E1080" s="133"/>
      <c r="F1080" s="134"/>
      <c r="G1080" s="134"/>
      <c r="H1080" s="134"/>
      <c r="I1080" s="133"/>
      <c r="J1080" s="133"/>
      <c r="K1080" s="133"/>
      <c r="L1080" s="134"/>
    </row>
    <row r="1081" spans="1:12">
      <c r="A1081" s="133"/>
      <c r="B1081" s="134"/>
      <c r="C1081" s="134"/>
      <c r="D1081" s="134"/>
      <c r="E1081" s="133"/>
      <c r="F1081" s="134"/>
      <c r="G1081" s="134"/>
      <c r="H1081" s="134"/>
      <c r="I1081" s="133"/>
      <c r="J1081" s="133"/>
      <c r="K1081" s="133"/>
      <c r="L1081" s="134"/>
    </row>
    <row r="1082" spans="1:12">
      <c r="A1082" s="133"/>
      <c r="B1082" s="134"/>
      <c r="C1082" s="134"/>
      <c r="D1082" s="134"/>
      <c r="E1082" s="133"/>
      <c r="F1082" s="134"/>
      <c r="G1082" s="134"/>
      <c r="H1082" s="134"/>
      <c r="I1082" s="133"/>
      <c r="J1082" s="133"/>
      <c r="K1082" s="133"/>
      <c r="L1082" s="134"/>
    </row>
    <row r="1083" spans="1:12">
      <c r="A1083" s="133"/>
      <c r="B1083" s="134"/>
      <c r="C1083" s="134"/>
      <c r="D1083" s="134"/>
      <c r="E1083" s="133"/>
      <c r="F1083" s="134"/>
      <c r="G1083" s="134"/>
      <c r="H1083" s="134"/>
      <c r="I1083" s="133"/>
      <c r="J1083" s="133"/>
      <c r="K1083" s="133"/>
      <c r="L1083" s="134"/>
    </row>
    <row r="1084" spans="1:12">
      <c r="A1084" s="133"/>
      <c r="B1084" s="134"/>
      <c r="C1084" s="134"/>
      <c r="D1084" s="134"/>
      <c r="E1084" s="133"/>
      <c r="F1084" s="134"/>
      <c r="G1084" s="134"/>
      <c r="H1084" s="134"/>
      <c r="I1084" s="133"/>
      <c r="J1084" s="133"/>
      <c r="K1084" s="133"/>
      <c r="L1084" s="134"/>
    </row>
    <row r="1085" spans="1:12">
      <c r="A1085" s="133"/>
      <c r="B1085" s="134"/>
      <c r="C1085" s="134"/>
      <c r="D1085" s="134"/>
      <c r="E1085" s="133"/>
      <c r="F1085" s="134"/>
      <c r="G1085" s="134"/>
      <c r="H1085" s="134"/>
      <c r="I1085" s="133"/>
      <c r="J1085" s="133"/>
      <c r="K1085" s="133"/>
      <c r="L1085" s="134"/>
    </row>
    <row r="1086" spans="1:12">
      <c r="A1086" s="133"/>
      <c r="B1086" s="134"/>
      <c r="C1086" s="134"/>
      <c r="D1086" s="134"/>
      <c r="E1086" s="133"/>
      <c r="F1086" s="134"/>
      <c r="G1086" s="134"/>
      <c r="H1086" s="134"/>
      <c r="I1086" s="133"/>
      <c r="J1086" s="133"/>
      <c r="K1086" s="133"/>
      <c r="L1086" s="134"/>
    </row>
    <row r="1087" spans="1:12">
      <c r="A1087" s="133"/>
      <c r="B1087" s="134"/>
      <c r="C1087" s="134"/>
      <c r="D1087" s="134"/>
      <c r="E1087" s="133"/>
      <c r="F1087" s="134"/>
      <c r="G1087" s="134"/>
      <c r="H1087" s="134"/>
      <c r="I1087" s="133"/>
      <c r="J1087" s="133"/>
      <c r="K1087" s="133"/>
      <c r="L1087" s="134"/>
    </row>
    <row r="1088" spans="1:12">
      <c r="A1088" s="133"/>
      <c r="B1088" s="134"/>
      <c r="C1088" s="134"/>
      <c r="D1088" s="134"/>
      <c r="E1088" s="133"/>
      <c r="F1088" s="134"/>
      <c r="G1088" s="134"/>
      <c r="H1088" s="134"/>
      <c r="I1088" s="133"/>
      <c r="J1088" s="133"/>
      <c r="K1088" s="133"/>
      <c r="L1088" s="134"/>
    </row>
    <row r="1089" spans="1:12">
      <c r="A1089" s="133"/>
      <c r="B1089" s="134"/>
      <c r="C1089" s="134"/>
      <c r="D1089" s="134"/>
      <c r="E1089" s="133"/>
      <c r="F1089" s="134"/>
      <c r="G1089" s="134"/>
      <c r="H1089" s="134"/>
      <c r="I1089" s="133"/>
      <c r="J1089" s="133"/>
      <c r="K1089" s="133"/>
      <c r="L1089" s="134"/>
    </row>
    <row r="1090" spans="1:12">
      <c r="A1090" s="133"/>
      <c r="B1090" s="134"/>
      <c r="C1090" s="134"/>
      <c r="D1090" s="134"/>
      <c r="E1090" s="133"/>
      <c r="F1090" s="134"/>
      <c r="G1090" s="134"/>
      <c r="H1090" s="134"/>
      <c r="I1090" s="133"/>
      <c r="J1090" s="133"/>
      <c r="K1090" s="133"/>
      <c r="L1090" s="134"/>
    </row>
    <row r="1091" spans="1:12">
      <c r="A1091" s="133"/>
      <c r="B1091" s="134"/>
      <c r="C1091" s="134"/>
      <c r="D1091" s="134"/>
      <c r="E1091" s="133"/>
      <c r="F1091" s="134"/>
      <c r="G1091" s="134"/>
      <c r="H1091" s="134"/>
      <c r="I1091" s="133"/>
      <c r="J1091" s="133"/>
      <c r="K1091" s="133"/>
      <c r="L1091" s="134"/>
    </row>
    <row r="1092" spans="1:12">
      <c r="A1092" s="133"/>
      <c r="B1092" s="134"/>
      <c r="C1092" s="134"/>
      <c r="D1092" s="134"/>
      <c r="E1092" s="133"/>
      <c r="F1092" s="134"/>
      <c r="G1092" s="134"/>
      <c r="H1092" s="134"/>
      <c r="I1092" s="133"/>
      <c r="J1092" s="133"/>
      <c r="K1092" s="133"/>
      <c r="L1092" s="134"/>
    </row>
    <row r="1093" spans="1:12">
      <c r="A1093" s="133"/>
      <c r="B1093" s="134"/>
      <c r="C1093" s="134"/>
      <c r="D1093" s="134"/>
      <c r="E1093" s="133"/>
      <c r="F1093" s="134"/>
      <c r="G1093" s="134"/>
      <c r="H1093" s="134"/>
      <c r="I1093" s="133"/>
      <c r="J1093" s="133"/>
      <c r="K1093" s="133"/>
      <c r="L1093" s="134"/>
    </row>
    <row r="1094" spans="1:12">
      <c r="A1094" s="133"/>
      <c r="B1094" s="134"/>
      <c r="C1094" s="134"/>
      <c r="D1094" s="134"/>
      <c r="E1094" s="133"/>
      <c r="F1094" s="134"/>
      <c r="G1094" s="134"/>
      <c r="H1094" s="134"/>
      <c r="I1094" s="133"/>
      <c r="J1094" s="133"/>
      <c r="K1094" s="133"/>
      <c r="L1094" s="134"/>
    </row>
    <row r="1095" spans="1:12">
      <c r="A1095" s="133"/>
      <c r="B1095" s="134"/>
      <c r="C1095" s="134"/>
      <c r="D1095" s="134"/>
      <c r="E1095" s="133"/>
      <c r="F1095" s="134"/>
      <c r="G1095" s="134"/>
      <c r="H1095" s="134"/>
      <c r="I1095" s="133"/>
      <c r="J1095" s="133"/>
      <c r="K1095" s="133"/>
      <c r="L1095" s="134"/>
    </row>
    <row r="1096" spans="1:12">
      <c r="A1096" s="133"/>
      <c r="B1096" s="134"/>
      <c r="C1096" s="134"/>
      <c r="D1096" s="134"/>
      <c r="E1096" s="133"/>
      <c r="F1096" s="134"/>
      <c r="G1096" s="134"/>
      <c r="H1096" s="134"/>
      <c r="I1096" s="133"/>
      <c r="J1096" s="133"/>
      <c r="K1096" s="133"/>
      <c r="L1096" s="134"/>
    </row>
    <row r="1097" spans="1:12">
      <c r="A1097" s="133"/>
      <c r="B1097" s="134"/>
      <c r="C1097" s="134"/>
      <c r="D1097" s="134"/>
      <c r="E1097" s="133"/>
      <c r="F1097" s="134"/>
      <c r="G1097" s="134"/>
      <c r="H1097" s="134"/>
      <c r="I1097" s="133"/>
      <c r="J1097" s="133"/>
      <c r="K1097" s="133"/>
      <c r="L1097" s="134"/>
    </row>
    <row r="1098" spans="1:12">
      <c r="A1098" s="133"/>
      <c r="B1098" s="134"/>
      <c r="C1098" s="134"/>
      <c r="D1098" s="134"/>
      <c r="E1098" s="133"/>
      <c r="F1098" s="134"/>
      <c r="G1098" s="134"/>
      <c r="H1098" s="134"/>
      <c r="I1098" s="133"/>
      <c r="J1098" s="133"/>
      <c r="K1098" s="133"/>
      <c r="L1098" s="134"/>
    </row>
    <row r="1099" spans="1:12">
      <c r="A1099" s="133"/>
      <c r="B1099" s="134"/>
      <c r="C1099" s="134"/>
      <c r="D1099" s="134"/>
      <c r="E1099" s="133"/>
      <c r="F1099" s="134"/>
      <c r="G1099" s="134"/>
      <c r="H1099" s="134"/>
      <c r="I1099" s="133"/>
      <c r="J1099" s="133"/>
      <c r="K1099" s="133"/>
      <c r="L1099" s="134"/>
    </row>
    <row r="1100" spans="1:12">
      <c r="A1100" s="133"/>
      <c r="B1100" s="134"/>
      <c r="C1100" s="134"/>
      <c r="D1100" s="134"/>
      <c r="E1100" s="133"/>
      <c r="F1100" s="134"/>
      <c r="G1100" s="134"/>
      <c r="H1100" s="134"/>
      <c r="I1100" s="133"/>
      <c r="J1100" s="133"/>
      <c r="K1100" s="133"/>
      <c r="L1100" s="134"/>
    </row>
    <row r="1101" spans="1:12">
      <c r="A1101" s="133"/>
      <c r="B1101" s="134"/>
      <c r="C1101" s="134"/>
      <c r="D1101" s="134"/>
      <c r="E1101" s="133"/>
      <c r="F1101" s="134"/>
      <c r="G1101" s="134"/>
      <c r="H1101" s="134"/>
      <c r="I1101" s="133"/>
      <c r="J1101" s="133"/>
      <c r="K1101" s="133"/>
      <c r="L1101" s="134"/>
    </row>
    <row r="1102" spans="1:12">
      <c r="A1102" s="133"/>
      <c r="B1102" s="134"/>
      <c r="C1102" s="134"/>
      <c r="D1102" s="134"/>
      <c r="E1102" s="133"/>
      <c r="F1102" s="134"/>
      <c r="G1102" s="134"/>
      <c r="H1102" s="134"/>
      <c r="I1102" s="133"/>
      <c r="J1102" s="133"/>
      <c r="K1102" s="133"/>
      <c r="L1102" s="134"/>
    </row>
    <row r="1103" spans="1:12">
      <c r="A1103" s="133"/>
      <c r="B1103" s="134"/>
      <c r="C1103" s="134"/>
      <c r="D1103" s="134"/>
      <c r="E1103" s="133"/>
      <c r="F1103" s="134"/>
      <c r="G1103" s="134"/>
      <c r="H1103" s="134"/>
      <c r="I1103" s="133"/>
      <c r="J1103" s="133"/>
      <c r="K1103" s="133"/>
      <c r="L1103" s="134"/>
    </row>
    <row r="1104" spans="1:12">
      <c r="A1104" s="133"/>
      <c r="B1104" s="134"/>
      <c r="C1104" s="134"/>
      <c r="D1104" s="134"/>
      <c r="E1104" s="133"/>
      <c r="F1104" s="134"/>
      <c r="G1104" s="134"/>
      <c r="H1104" s="134"/>
      <c r="I1104" s="133"/>
      <c r="J1104" s="133"/>
      <c r="K1104" s="133"/>
      <c r="L1104" s="134"/>
    </row>
    <row r="1105" spans="1:12">
      <c r="A1105" s="133"/>
      <c r="B1105" s="134"/>
      <c r="C1105" s="134"/>
      <c r="D1105" s="134"/>
      <c r="E1105" s="133"/>
      <c r="F1105" s="134"/>
      <c r="G1105" s="134"/>
      <c r="H1105" s="134"/>
      <c r="I1105" s="133"/>
      <c r="J1105" s="133"/>
      <c r="K1105" s="133"/>
      <c r="L1105" s="134"/>
    </row>
    <row r="1106" spans="1:12">
      <c r="A1106" s="133"/>
      <c r="B1106" s="134"/>
      <c r="C1106" s="134"/>
      <c r="D1106" s="134"/>
      <c r="E1106" s="133"/>
      <c r="F1106" s="134"/>
      <c r="G1106" s="134"/>
      <c r="H1106" s="134"/>
      <c r="I1106" s="133"/>
      <c r="J1106" s="133"/>
      <c r="K1106" s="133"/>
      <c r="L1106" s="134"/>
    </row>
    <row r="1107" spans="1:12">
      <c r="A1107" s="133"/>
      <c r="B1107" s="134"/>
      <c r="C1107" s="134"/>
      <c r="D1107" s="134"/>
      <c r="E1107" s="133"/>
      <c r="F1107" s="134"/>
      <c r="G1107" s="134"/>
      <c r="H1107" s="134"/>
      <c r="I1107" s="133"/>
      <c r="J1107" s="133"/>
      <c r="K1107" s="133"/>
      <c r="L1107" s="134"/>
    </row>
    <row r="1108" spans="1:12">
      <c r="A1108" s="133"/>
      <c r="B1108" s="134"/>
      <c r="C1108" s="134"/>
      <c r="D1108" s="134"/>
      <c r="E1108" s="133"/>
      <c r="F1108" s="134"/>
      <c r="G1108" s="134"/>
      <c r="H1108" s="134"/>
      <c r="I1108" s="133"/>
      <c r="J1108" s="133"/>
      <c r="K1108" s="133"/>
      <c r="L1108" s="134"/>
    </row>
    <row r="1109" spans="1:12">
      <c r="A1109" s="133"/>
      <c r="B1109" s="134"/>
      <c r="C1109" s="134"/>
      <c r="D1109" s="134"/>
      <c r="E1109" s="133"/>
      <c r="F1109" s="134"/>
      <c r="G1109" s="134"/>
      <c r="H1109" s="134"/>
      <c r="I1109" s="133"/>
      <c r="J1109" s="133"/>
      <c r="K1109" s="133"/>
      <c r="L1109" s="134"/>
    </row>
    <row r="1110" spans="1:12">
      <c r="A1110" s="133"/>
      <c r="B1110" s="134"/>
      <c r="C1110" s="134"/>
      <c r="D1110" s="134"/>
      <c r="E1110" s="133"/>
      <c r="F1110" s="134"/>
      <c r="G1110" s="134"/>
      <c r="H1110" s="134"/>
      <c r="I1110" s="133"/>
      <c r="J1110" s="133"/>
      <c r="K1110" s="133"/>
      <c r="L1110" s="134"/>
    </row>
    <row r="1111" spans="1:12">
      <c r="A1111" s="133"/>
      <c r="B1111" s="134"/>
      <c r="C1111" s="134"/>
      <c r="D1111" s="134"/>
      <c r="E1111" s="133"/>
      <c r="F1111" s="134"/>
      <c r="G1111" s="134"/>
      <c r="H1111" s="134"/>
      <c r="I1111" s="133"/>
      <c r="J1111" s="133"/>
      <c r="K1111" s="133"/>
      <c r="L1111" s="134"/>
    </row>
    <row r="1112" spans="1:12">
      <c r="A1112" s="133"/>
      <c r="B1112" s="134"/>
      <c r="C1112" s="134"/>
      <c r="D1112" s="134"/>
      <c r="E1112" s="133"/>
      <c r="F1112" s="134"/>
      <c r="G1112" s="134"/>
      <c r="H1112" s="134"/>
      <c r="I1112" s="133"/>
      <c r="J1112" s="133"/>
      <c r="K1112" s="133"/>
      <c r="L1112" s="134"/>
    </row>
    <row r="1113" spans="1:12">
      <c r="A1113" s="133"/>
      <c r="B1113" s="134"/>
      <c r="C1113" s="134"/>
      <c r="D1113" s="134"/>
      <c r="E1113" s="133"/>
      <c r="F1113" s="134"/>
      <c r="G1113" s="134"/>
      <c r="H1113" s="134"/>
      <c r="I1113" s="133"/>
      <c r="J1113" s="133"/>
      <c r="K1113" s="133"/>
      <c r="L1113" s="134"/>
    </row>
    <row r="1114" spans="1:12">
      <c r="A1114" s="133"/>
      <c r="B1114" s="134"/>
      <c r="C1114" s="134"/>
      <c r="D1114" s="134"/>
      <c r="E1114" s="133"/>
      <c r="F1114" s="134"/>
      <c r="G1114" s="134"/>
      <c r="H1114" s="134"/>
      <c r="I1114" s="133"/>
      <c r="J1114" s="133"/>
      <c r="K1114" s="133"/>
      <c r="L1114" s="134"/>
    </row>
    <row r="1115" spans="1:12">
      <c r="A1115" s="133"/>
      <c r="B1115" s="134"/>
      <c r="C1115" s="134"/>
      <c r="D1115" s="134"/>
      <c r="E1115" s="133"/>
      <c r="F1115" s="134"/>
      <c r="G1115" s="134"/>
      <c r="H1115" s="134"/>
      <c r="I1115" s="133"/>
      <c r="J1115" s="133"/>
      <c r="K1115" s="133"/>
      <c r="L1115" s="134"/>
    </row>
    <row r="1116" spans="1:12">
      <c r="A1116" s="133"/>
      <c r="B1116" s="134"/>
      <c r="C1116" s="134"/>
      <c r="D1116" s="134"/>
      <c r="E1116" s="133"/>
      <c r="F1116" s="134"/>
      <c r="G1116" s="134"/>
      <c r="H1116" s="134"/>
      <c r="I1116" s="133"/>
      <c r="J1116" s="133"/>
      <c r="K1116" s="133"/>
      <c r="L1116" s="134"/>
    </row>
    <row r="1117" spans="1:12">
      <c r="A1117" s="133"/>
      <c r="B1117" s="134"/>
      <c r="C1117" s="134"/>
      <c r="D1117" s="134"/>
      <c r="E1117" s="133"/>
      <c r="F1117" s="134"/>
      <c r="G1117" s="134"/>
      <c r="H1117" s="134"/>
      <c r="I1117" s="133"/>
      <c r="J1117" s="133"/>
      <c r="K1117" s="133"/>
      <c r="L1117" s="134"/>
    </row>
    <row r="1118" spans="1:12">
      <c r="A1118" s="133"/>
      <c r="B1118" s="134"/>
      <c r="C1118" s="134"/>
      <c r="D1118" s="134"/>
      <c r="E1118" s="133"/>
      <c r="F1118" s="134"/>
      <c r="G1118" s="134"/>
      <c r="H1118" s="134"/>
      <c r="I1118" s="133"/>
      <c r="J1118" s="133"/>
      <c r="K1118" s="133"/>
      <c r="L1118" s="134"/>
    </row>
    <row r="1119" spans="1:12">
      <c r="A1119" s="133"/>
      <c r="B1119" s="134"/>
      <c r="C1119" s="134"/>
      <c r="D1119" s="134"/>
      <c r="E1119" s="133"/>
      <c r="F1119" s="134"/>
      <c r="G1119" s="134"/>
      <c r="H1119" s="134"/>
      <c r="I1119" s="133"/>
      <c r="J1119" s="133"/>
      <c r="K1119" s="133"/>
      <c r="L1119" s="134"/>
    </row>
    <row r="1120" spans="1:12">
      <c r="A1120" s="133"/>
      <c r="B1120" s="134"/>
      <c r="C1120" s="134"/>
      <c r="D1120" s="134"/>
      <c r="E1120" s="133"/>
      <c r="F1120" s="134"/>
      <c r="G1120" s="134"/>
      <c r="H1120" s="134"/>
      <c r="I1120" s="133"/>
      <c r="J1120" s="133"/>
      <c r="K1120" s="133"/>
      <c r="L1120" s="134"/>
    </row>
    <row r="1121" spans="1:12">
      <c r="A1121" s="133"/>
      <c r="B1121" s="134"/>
      <c r="C1121" s="134"/>
      <c r="D1121" s="134"/>
      <c r="E1121" s="133"/>
      <c r="F1121" s="134"/>
      <c r="G1121" s="134"/>
      <c r="H1121" s="134"/>
      <c r="I1121" s="133"/>
      <c r="J1121" s="133"/>
      <c r="K1121" s="133"/>
      <c r="L1121" s="134"/>
    </row>
    <row r="1122" spans="1:12">
      <c r="A1122" s="133"/>
      <c r="B1122" s="134"/>
      <c r="C1122" s="134"/>
      <c r="D1122" s="134"/>
      <c r="E1122" s="133"/>
      <c r="F1122" s="134"/>
      <c r="G1122" s="134"/>
      <c r="H1122" s="134"/>
      <c r="I1122" s="133"/>
      <c r="J1122" s="133"/>
      <c r="K1122" s="133"/>
      <c r="L1122" s="134"/>
    </row>
    <row r="1123" spans="1:12">
      <c r="A1123" s="133"/>
      <c r="B1123" s="134"/>
      <c r="C1123" s="134"/>
      <c r="D1123" s="134"/>
      <c r="E1123" s="133"/>
      <c r="F1123" s="134"/>
      <c r="G1123" s="134"/>
      <c r="H1123" s="134"/>
      <c r="I1123" s="133"/>
      <c r="J1123" s="133"/>
      <c r="K1123" s="133"/>
      <c r="L1123" s="134"/>
    </row>
    <row r="1124" spans="1:12">
      <c r="A1124" s="133"/>
      <c r="B1124" s="134"/>
      <c r="C1124" s="134"/>
      <c r="D1124" s="134"/>
      <c r="E1124" s="133"/>
      <c r="F1124" s="134"/>
      <c r="G1124" s="134"/>
      <c r="H1124" s="134"/>
      <c r="I1124" s="133"/>
      <c r="J1124" s="133"/>
      <c r="K1124" s="133"/>
      <c r="L1124" s="134"/>
    </row>
    <row r="1125" spans="1:12">
      <c r="A1125" s="133"/>
      <c r="B1125" s="134"/>
      <c r="C1125" s="134"/>
      <c r="D1125" s="134"/>
      <c r="E1125" s="133"/>
      <c r="F1125" s="134"/>
      <c r="G1125" s="134"/>
      <c r="H1125" s="134"/>
      <c r="I1125" s="133"/>
      <c r="J1125" s="133"/>
      <c r="K1125" s="133"/>
      <c r="L1125" s="134"/>
    </row>
    <row r="1126" spans="1:12">
      <c r="A1126" s="133"/>
      <c r="B1126" s="134"/>
      <c r="C1126" s="134"/>
      <c r="D1126" s="134"/>
      <c r="E1126" s="133"/>
      <c r="F1126" s="134"/>
      <c r="G1126" s="134"/>
      <c r="H1126" s="134"/>
      <c r="I1126" s="133"/>
      <c r="J1126" s="133"/>
      <c r="K1126" s="133"/>
      <c r="L1126" s="134"/>
    </row>
    <row r="1127" spans="1:12">
      <c r="A1127" s="133"/>
      <c r="B1127" s="134"/>
      <c r="C1127" s="134"/>
      <c r="D1127" s="134"/>
      <c r="E1127" s="133"/>
      <c r="F1127" s="134"/>
      <c r="G1127" s="134"/>
      <c r="H1127" s="134"/>
      <c r="I1127" s="133"/>
      <c r="J1127" s="133"/>
      <c r="K1127" s="133"/>
      <c r="L1127" s="134"/>
    </row>
    <row r="1128" spans="1:12">
      <c r="A1128" s="133"/>
      <c r="B1128" s="134"/>
      <c r="C1128" s="134"/>
      <c r="D1128" s="134"/>
      <c r="E1128" s="133"/>
      <c r="F1128" s="134"/>
      <c r="G1128" s="134"/>
      <c r="H1128" s="134"/>
      <c r="I1128" s="133"/>
      <c r="J1128" s="133"/>
      <c r="K1128" s="133"/>
      <c r="L1128" s="134"/>
    </row>
    <row r="1129" spans="1:12">
      <c r="A1129" s="133"/>
      <c r="B1129" s="134"/>
      <c r="C1129" s="134"/>
      <c r="D1129" s="134"/>
      <c r="E1129" s="133"/>
      <c r="F1129" s="134"/>
      <c r="G1129" s="134"/>
      <c r="H1129" s="134"/>
      <c r="I1129" s="133"/>
      <c r="J1129" s="133"/>
      <c r="K1129" s="133"/>
      <c r="L1129" s="134"/>
    </row>
    <row r="1130" spans="1:12">
      <c r="A1130" s="133"/>
      <c r="B1130" s="134"/>
      <c r="C1130" s="134"/>
      <c r="D1130" s="134"/>
      <c r="E1130" s="133"/>
      <c r="F1130" s="134"/>
      <c r="G1130" s="134"/>
      <c r="H1130" s="134"/>
      <c r="I1130" s="133"/>
      <c r="J1130" s="133"/>
      <c r="K1130" s="133"/>
      <c r="L1130" s="134"/>
    </row>
    <row r="1131" spans="1:12">
      <c r="A1131" s="133"/>
      <c r="B1131" s="134"/>
      <c r="C1131" s="134"/>
      <c r="D1131" s="134"/>
      <c r="E1131" s="133"/>
      <c r="F1131" s="134"/>
      <c r="G1131" s="134"/>
      <c r="H1131" s="134"/>
      <c r="I1131" s="133"/>
      <c r="J1131" s="133"/>
      <c r="K1131" s="133"/>
      <c r="L1131" s="134"/>
    </row>
    <row r="1132" spans="1:12">
      <c r="A1132" s="133"/>
      <c r="B1132" s="134"/>
      <c r="C1132" s="134"/>
      <c r="D1132" s="134"/>
      <c r="E1132" s="133"/>
      <c r="F1132" s="134"/>
      <c r="G1132" s="134"/>
      <c r="H1132" s="134"/>
      <c r="I1132" s="133"/>
      <c r="J1132" s="133"/>
      <c r="K1132" s="133"/>
      <c r="L1132" s="134"/>
    </row>
    <row r="1133" spans="1:12">
      <c r="A1133" s="133"/>
      <c r="B1133" s="134"/>
      <c r="C1133" s="134"/>
      <c r="D1133" s="134"/>
      <c r="E1133" s="133"/>
      <c r="F1133" s="134"/>
      <c r="G1133" s="134"/>
      <c r="H1133" s="134"/>
      <c r="I1133" s="133"/>
      <c r="J1133" s="133"/>
      <c r="K1133" s="133"/>
      <c r="L1133" s="134"/>
    </row>
    <row r="1134" spans="1:12">
      <c r="A1134" s="133"/>
      <c r="B1134" s="134"/>
      <c r="C1134" s="134"/>
      <c r="D1134" s="134"/>
      <c r="E1134" s="133"/>
      <c r="F1134" s="134"/>
      <c r="G1134" s="134"/>
      <c r="H1134" s="134"/>
      <c r="I1134" s="133"/>
      <c r="J1134" s="133"/>
      <c r="K1134" s="133"/>
      <c r="L1134" s="134"/>
    </row>
    <row r="1135" spans="1:12">
      <c r="A1135" s="133"/>
      <c r="B1135" s="134"/>
      <c r="C1135" s="134"/>
      <c r="D1135" s="134"/>
      <c r="E1135" s="133"/>
      <c r="F1135" s="134"/>
      <c r="G1135" s="134"/>
      <c r="H1135" s="134"/>
      <c r="I1135" s="133"/>
      <c r="J1135" s="133"/>
      <c r="K1135" s="133"/>
      <c r="L1135" s="134"/>
    </row>
    <row r="1136" spans="1:12">
      <c r="A1136" s="133"/>
      <c r="B1136" s="134"/>
      <c r="C1136" s="134"/>
      <c r="D1136" s="134"/>
      <c r="E1136" s="133"/>
      <c r="F1136" s="134"/>
      <c r="G1136" s="134"/>
      <c r="H1136" s="134"/>
      <c r="I1136" s="133"/>
      <c r="J1136" s="133"/>
      <c r="K1136" s="133"/>
      <c r="L1136" s="134"/>
    </row>
    <row r="1137" spans="1:12">
      <c r="A1137" s="133"/>
      <c r="B1137" s="134"/>
      <c r="C1137" s="134"/>
      <c r="D1137" s="134"/>
      <c r="E1137" s="133"/>
      <c r="F1137" s="134"/>
      <c r="G1137" s="134"/>
      <c r="H1137" s="134"/>
      <c r="I1137" s="133"/>
      <c r="J1137" s="133"/>
      <c r="K1137" s="133"/>
      <c r="L1137" s="134"/>
    </row>
    <row r="1138" spans="1:12">
      <c r="A1138" s="133"/>
      <c r="B1138" s="134"/>
      <c r="C1138" s="134"/>
      <c r="D1138" s="134"/>
      <c r="E1138" s="133"/>
      <c r="F1138" s="134"/>
      <c r="G1138" s="134"/>
      <c r="H1138" s="134"/>
      <c r="I1138" s="133"/>
      <c r="J1138" s="133"/>
      <c r="K1138" s="133"/>
      <c r="L1138" s="134"/>
    </row>
    <row r="1139" spans="1:12">
      <c r="A1139" s="133"/>
      <c r="B1139" s="134"/>
      <c r="C1139" s="134"/>
      <c r="D1139" s="134"/>
      <c r="E1139" s="133"/>
      <c r="F1139" s="134"/>
      <c r="G1139" s="134"/>
      <c r="H1139" s="134"/>
      <c r="I1139" s="133"/>
      <c r="J1139" s="133"/>
      <c r="K1139" s="133"/>
      <c r="L1139" s="134"/>
    </row>
    <row r="1140" spans="1:12">
      <c r="A1140" s="133"/>
      <c r="B1140" s="134"/>
      <c r="C1140" s="134"/>
      <c r="D1140" s="134"/>
      <c r="E1140" s="133"/>
      <c r="F1140" s="134"/>
      <c r="G1140" s="134"/>
      <c r="H1140" s="134"/>
      <c r="I1140" s="133"/>
      <c r="J1140" s="133"/>
      <c r="K1140" s="133"/>
      <c r="L1140" s="134"/>
    </row>
    <row r="1141" spans="1:12">
      <c r="A1141" s="133"/>
      <c r="B1141" s="134"/>
      <c r="C1141" s="134"/>
      <c r="D1141" s="134"/>
      <c r="E1141" s="133"/>
      <c r="F1141" s="134"/>
      <c r="G1141" s="134"/>
      <c r="H1141" s="134"/>
      <c r="I1141" s="133"/>
      <c r="J1141" s="133"/>
      <c r="K1141" s="133"/>
      <c r="L1141" s="134"/>
    </row>
    <row r="1142" spans="1:12">
      <c r="A1142" s="133"/>
      <c r="B1142" s="134"/>
      <c r="C1142" s="134"/>
      <c r="D1142" s="134"/>
      <c r="E1142" s="133"/>
      <c r="F1142" s="134"/>
      <c r="G1142" s="134"/>
      <c r="H1142" s="134"/>
      <c r="I1142" s="133"/>
      <c r="J1142" s="133"/>
      <c r="K1142" s="133"/>
      <c r="L1142" s="134"/>
    </row>
    <row r="1143" spans="1:12">
      <c r="A1143" s="133"/>
      <c r="B1143" s="134"/>
      <c r="C1143" s="134"/>
      <c r="D1143" s="134"/>
      <c r="E1143" s="133"/>
      <c r="F1143" s="134"/>
      <c r="G1143" s="134"/>
      <c r="H1143" s="134"/>
      <c r="I1143" s="133"/>
      <c r="J1143" s="133"/>
      <c r="K1143" s="133"/>
      <c r="L1143" s="134"/>
    </row>
    <row r="1144" spans="1:12">
      <c r="A1144" s="133"/>
      <c r="B1144" s="134"/>
      <c r="C1144" s="134"/>
      <c r="D1144" s="134"/>
      <c r="E1144" s="133"/>
      <c r="F1144" s="134"/>
      <c r="G1144" s="134"/>
      <c r="H1144" s="134"/>
      <c r="I1144" s="133"/>
      <c r="J1144" s="133"/>
      <c r="K1144" s="133"/>
      <c r="L1144" s="134"/>
    </row>
    <row r="1145" spans="1:12">
      <c r="A1145" s="133"/>
      <c r="B1145" s="134"/>
      <c r="C1145" s="134"/>
      <c r="D1145" s="134"/>
      <c r="E1145" s="133"/>
      <c r="F1145" s="134"/>
      <c r="G1145" s="134"/>
      <c r="H1145" s="134"/>
      <c r="I1145" s="133"/>
      <c r="J1145" s="133"/>
      <c r="K1145" s="133"/>
      <c r="L1145" s="134"/>
    </row>
    <row r="1146" spans="1:12">
      <c r="A1146" s="133"/>
      <c r="B1146" s="134"/>
      <c r="C1146" s="134"/>
      <c r="D1146" s="134"/>
      <c r="E1146" s="133"/>
      <c r="F1146" s="134"/>
      <c r="G1146" s="134"/>
      <c r="H1146" s="134"/>
      <c r="I1146" s="133"/>
      <c r="J1146" s="133"/>
      <c r="K1146" s="133"/>
      <c r="L1146" s="134"/>
    </row>
    <row r="1147" spans="1:12">
      <c r="A1147" s="133"/>
      <c r="B1147" s="134"/>
      <c r="C1147" s="134"/>
      <c r="D1147" s="134"/>
      <c r="E1147" s="133"/>
      <c r="F1147" s="134"/>
      <c r="G1147" s="134"/>
      <c r="H1147" s="134"/>
      <c r="I1147" s="133"/>
      <c r="J1147" s="133"/>
      <c r="K1147" s="133"/>
      <c r="L1147" s="134"/>
    </row>
    <row r="1148" spans="1:12">
      <c r="A1148" s="133"/>
      <c r="B1148" s="134"/>
      <c r="C1148" s="134"/>
      <c r="D1148" s="134"/>
      <c r="E1148" s="133"/>
      <c r="F1148" s="134"/>
      <c r="G1148" s="134"/>
      <c r="H1148" s="134"/>
      <c r="I1148" s="133"/>
      <c r="J1148" s="133"/>
      <c r="K1148" s="133"/>
      <c r="L1148" s="134"/>
    </row>
    <row r="1149" spans="1:12">
      <c r="A1149" s="133"/>
      <c r="B1149" s="134"/>
      <c r="C1149" s="134"/>
      <c r="D1149" s="134"/>
      <c r="E1149" s="133"/>
      <c r="F1149" s="134"/>
      <c r="G1149" s="134"/>
      <c r="H1149" s="134"/>
      <c r="I1149" s="133"/>
      <c r="J1149" s="133"/>
      <c r="K1149" s="133"/>
      <c r="L1149" s="134"/>
    </row>
    <row r="1150" spans="1:12">
      <c r="A1150" s="133"/>
      <c r="B1150" s="134"/>
      <c r="C1150" s="134"/>
      <c r="D1150" s="134"/>
      <c r="E1150" s="133"/>
      <c r="F1150" s="134"/>
      <c r="G1150" s="134"/>
      <c r="H1150" s="134"/>
      <c r="I1150" s="133"/>
      <c r="J1150" s="133"/>
      <c r="K1150" s="133"/>
      <c r="L1150" s="134"/>
    </row>
    <row r="1151" spans="1:12">
      <c r="A1151" s="133"/>
      <c r="B1151" s="134"/>
      <c r="C1151" s="134"/>
      <c r="D1151" s="134"/>
      <c r="E1151" s="133"/>
      <c r="F1151" s="134"/>
      <c r="G1151" s="134"/>
      <c r="H1151" s="134"/>
      <c r="I1151" s="133"/>
      <c r="J1151" s="133"/>
      <c r="K1151" s="133"/>
      <c r="L1151" s="134"/>
    </row>
    <row r="1152" spans="1:12">
      <c r="A1152" s="133"/>
      <c r="B1152" s="134"/>
      <c r="C1152" s="134"/>
      <c r="D1152" s="134"/>
      <c r="E1152" s="133"/>
      <c r="F1152" s="134"/>
      <c r="G1152" s="134"/>
      <c r="H1152" s="134"/>
      <c r="I1152" s="133"/>
      <c r="J1152" s="133"/>
      <c r="K1152" s="133"/>
      <c r="L1152" s="134"/>
    </row>
    <row r="1153" spans="1:12">
      <c r="A1153" s="133"/>
      <c r="B1153" s="134"/>
      <c r="C1153" s="134"/>
      <c r="D1153" s="134"/>
      <c r="E1153" s="133"/>
      <c r="F1153" s="134"/>
      <c r="G1153" s="134"/>
      <c r="H1153" s="134"/>
      <c r="I1153" s="133"/>
      <c r="J1153" s="133"/>
      <c r="K1153" s="133"/>
      <c r="L1153" s="134"/>
    </row>
    <row r="1154" spans="1:12">
      <c r="A1154" s="133"/>
      <c r="B1154" s="134"/>
      <c r="C1154" s="134"/>
      <c r="D1154" s="134"/>
      <c r="E1154" s="133"/>
      <c r="F1154" s="134"/>
      <c r="G1154" s="134"/>
      <c r="H1154" s="134"/>
      <c r="I1154" s="133"/>
      <c r="J1154" s="133"/>
      <c r="K1154" s="133"/>
      <c r="L1154" s="134"/>
    </row>
    <row r="1155" spans="1:12">
      <c r="A1155" s="133"/>
      <c r="B1155" s="134"/>
      <c r="C1155" s="134"/>
      <c r="D1155" s="134"/>
      <c r="E1155" s="133"/>
      <c r="F1155" s="134"/>
      <c r="G1155" s="134"/>
      <c r="H1155" s="134"/>
      <c r="I1155" s="133"/>
      <c r="J1155" s="133"/>
      <c r="K1155" s="133"/>
      <c r="L1155" s="134"/>
    </row>
    <row r="1156" spans="1:12">
      <c r="A1156" s="133"/>
      <c r="B1156" s="134"/>
      <c r="C1156" s="134"/>
      <c r="D1156" s="134"/>
      <c r="E1156" s="133"/>
      <c r="F1156" s="134"/>
      <c r="G1156" s="134"/>
      <c r="H1156" s="134"/>
      <c r="I1156" s="133"/>
      <c r="J1156" s="133"/>
      <c r="K1156" s="133"/>
      <c r="L1156" s="134"/>
    </row>
    <row r="1157" spans="1:12">
      <c r="A1157" s="133"/>
      <c r="B1157" s="134"/>
      <c r="C1157" s="134"/>
      <c r="D1157" s="134"/>
      <c r="E1157" s="133"/>
      <c r="F1157" s="134"/>
      <c r="G1157" s="134"/>
      <c r="H1157" s="134"/>
      <c r="I1157" s="133"/>
      <c r="J1157" s="133"/>
      <c r="K1157" s="133"/>
      <c r="L1157" s="134"/>
    </row>
    <row r="1158" spans="1:12">
      <c r="A1158" s="133"/>
      <c r="B1158" s="134"/>
      <c r="C1158" s="134"/>
      <c r="D1158" s="134"/>
      <c r="E1158" s="133"/>
      <c r="F1158" s="134"/>
      <c r="G1158" s="134"/>
      <c r="H1158" s="134"/>
      <c r="I1158" s="133"/>
      <c r="J1158" s="133"/>
      <c r="K1158" s="133"/>
      <c r="L1158" s="134"/>
    </row>
    <row r="1159" spans="1:12">
      <c r="A1159" s="133"/>
      <c r="B1159" s="134"/>
      <c r="C1159" s="134"/>
      <c r="D1159" s="134"/>
      <c r="E1159" s="133"/>
      <c r="F1159" s="134"/>
      <c r="G1159" s="134"/>
      <c r="H1159" s="134"/>
      <c r="I1159" s="133"/>
      <c r="J1159" s="133"/>
      <c r="K1159" s="133"/>
      <c r="L1159" s="134"/>
    </row>
    <row r="1160" spans="1:12">
      <c r="A1160" s="133"/>
      <c r="B1160" s="134"/>
      <c r="C1160" s="134"/>
      <c r="D1160" s="134"/>
      <c r="E1160" s="133"/>
      <c r="F1160" s="134"/>
      <c r="G1160" s="134"/>
      <c r="H1160" s="134"/>
      <c r="I1160" s="133"/>
      <c r="J1160" s="133"/>
      <c r="K1160" s="133"/>
      <c r="L1160" s="134"/>
    </row>
    <row r="1161" spans="1:12">
      <c r="A1161" s="133"/>
      <c r="B1161" s="134"/>
      <c r="C1161" s="134"/>
      <c r="D1161" s="134"/>
      <c r="E1161" s="133"/>
      <c r="F1161" s="134"/>
      <c r="G1161" s="134"/>
      <c r="H1161" s="134"/>
      <c r="I1161" s="133"/>
      <c r="J1161" s="133"/>
      <c r="K1161" s="133"/>
      <c r="L1161" s="134"/>
    </row>
    <row r="1162" spans="1:12">
      <c r="A1162" s="133"/>
      <c r="B1162" s="134"/>
      <c r="C1162" s="134"/>
      <c r="D1162" s="134"/>
      <c r="E1162" s="133"/>
      <c r="F1162" s="134"/>
      <c r="G1162" s="134"/>
      <c r="H1162" s="134"/>
      <c r="I1162" s="133"/>
      <c r="J1162" s="133"/>
      <c r="K1162" s="133"/>
      <c r="L1162" s="134"/>
    </row>
    <row r="1163" spans="1:12">
      <c r="A1163" s="133"/>
      <c r="B1163" s="134"/>
      <c r="C1163" s="134"/>
      <c r="D1163" s="134"/>
      <c r="E1163" s="133"/>
      <c r="F1163" s="134"/>
      <c r="G1163" s="134"/>
      <c r="H1163" s="134"/>
      <c r="I1163" s="133"/>
      <c r="J1163" s="133"/>
      <c r="K1163" s="133"/>
      <c r="L1163" s="134"/>
    </row>
    <row r="1164" spans="1:12">
      <c r="A1164" s="133"/>
      <c r="B1164" s="134"/>
      <c r="C1164" s="134"/>
      <c r="D1164" s="134"/>
      <c r="E1164" s="133"/>
      <c r="F1164" s="134"/>
      <c r="G1164" s="134"/>
      <c r="H1164" s="134"/>
      <c r="I1164" s="133"/>
      <c r="J1164" s="133"/>
      <c r="K1164" s="133"/>
      <c r="L1164" s="134"/>
    </row>
    <row r="1165" spans="1:12">
      <c r="A1165" s="133"/>
      <c r="B1165" s="134"/>
      <c r="C1165" s="134"/>
      <c r="D1165" s="134"/>
      <c r="E1165" s="133"/>
      <c r="F1165" s="134"/>
      <c r="G1165" s="134"/>
      <c r="H1165" s="134"/>
      <c r="I1165" s="133"/>
      <c r="J1165" s="133"/>
      <c r="K1165" s="133"/>
      <c r="L1165" s="134"/>
    </row>
    <row r="1166" spans="1:12">
      <c r="A1166" s="133"/>
      <c r="B1166" s="134"/>
      <c r="C1166" s="134"/>
      <c r="D1166" s="134"/>
      <c r="E1166" s="133"/>
      <c r="F1166" s="134"/>
      <c r="G1166" s="134"/>
      <c r="H1166" s="134"/>
      <c r="I1166" s="133"/>
      <c r="J1166" s="133"/>
      <c r="K1166" s="133"/>
      <c r="L1166" s="134"/>
    </row>
    <row r="1167" spans="1:12">
      <c r="A1167" s="133"/>
      <c r="B1167" s="134"/>
      <c r="C1167" s="134"/>
      <c r="D1167" s="134"/>
      <c r="E1167" s="133"/>
      <c r="F1167" s="134"/>
      <c r="G1167" s="134"/>
      <c r="H1167" s="134"/>
      <c r="I1167" s="133"/>
      <c r="J1167" s="133"/>
      <c r="K1167" s="133"/>
      <c r="L1167" s="134"/>
    </row>
    <row r="1168" spans="1:12">
      <c r="A1168" s="133"/>
      <c r="B1168" s="134"/>
      <c r="C1168" s="134"/>
      <c r="D1168" s="134"/>
      <c r="E1168" s="133"/>
      <c r="F1168" s="134"/>
      <c r="G1168" s="134"/>
      <c r="H1168" s="134"/>
      <c r="I1168" s="133"/>
      <c r="J1168" s="133"/>
      <c r="K1168" s="133"/>
      <c r="L1168" s="134"/>
    </row>
    <row r="1169" spans="1:12">
      <c r="A1169" s="133"/>
      <c r="B1169" s="134"/>
      <c r="C1169" s="134"/>
      <c r="D1169" s="134"/>
      <c r="E1169" s="133"/>
      <c r="F1169" s="134"/>
      <c r="G1169" s="134"/>
      <c r="H1169" s="134"/>
      <c r="I1169" s="133"/>
      <c r="J1169" s="133"/>
      <c r="K1169" s="133"/>
      <c r="L1169" s="134"/>
    </row>
    <row r="1170" spans="1:12">
      <c r="A1170" s="133"/>
      <c r="B1170" s="134"/>
      <c r="C1170" s="134"/>
      <c r="D1170" s="134"/>
      <c r="E1170" s="133"/>
      <c r="F1170" s="134"/>
      <c r="G1170" s="134"/>
      <c r="H1170" s="134"/>
      <c r="I1170" s="133"/>
      <c r="J1170" s="133"/>
      <c r="K1170" s="133"/>
      <c r="L1170" s="134"/>
    </row>
    <row r="1171" spans="1:12">
      <c r="A1171" s="133"/>
      <c r="B1171" s="134"/>
      <c r="C1171" s="134"/>
      <c r="D1171" s="134"/>
      <c r="E1171" s="133"/>
      <c r="F1171" s="134"/>
      <c r="G1171" s="134"/>
      <c r="H1171" s="134"/>
      <c r="I1171" s="133"/>
      <c r="J1171" s="133"/>
      <c r="K1171" s="133"/>
      <c r="L1171" s="134"/>
    </row>
    <row r="1172" spans="1:12">
      <c r="A1172" s="133"/>
      <c r="B1172" s="134"/>
      <c r="C1172" s="134"/>
      <c r="D1172" s="134"/>
      <c r="E1172" s="133"/>
      <c r="F1172" s="134"/>
      <c r="G1172" s="134"/>
      <c r="H1172" s="134"/>
      <c r="I1172" s="133"/>
      <c r="J1172" s="133"/>
      <c r="K1172" s="133"/>
      <c r="L1172" s="134"/>
    </row>
    <row r="1173" spans="1:12">
      <c r="A1173" s="133"/>
      <c r="B1173" s="134"/>
      <c r="C1173" s="134"/>
      <c r="D1173" s="134"/>
      <c r="E1173" s="133"/>
      <c r="F1173" s="134"/>
      <c r="G1173" s="134"/>
      <c r="H1173" s="134"/>
      <c r="I1173" s="133"/>
      <c r="J1173" s="133"/>
      <c r="K1173" s="133"/>
      <c r="L1173" s="134"/>
    </row>
    <row r="1174" spans="1:12">
      <c r="A1174" s="133"/>
      <c r="B1174" s="134"/>
      <c r="C1174" s="134"/>
      <c r="D1174" s="134"/>
      <c r="E1174" s="133"/>
      <c r="F1174" s="134"/>
      <c r="G1174" s="134"/>
      <c r="H1174" s="134"/>
      <c r="I1174" s="133"/>
      <c r="J1174" s="133"/>
      <c r="K1174" s="133"/>
      <c r="L1174" s="134"/>
    </row>
    <row r="1175" spans="1:12">
      <c r="A1175" s="133"/>
      <c r="B1175" s="134"/>
      <c r="C1175" s="134"/>
      <c r="D1175" s="134"/>
      <c r="E1175" s="133"/>
      <c r="F1175" s="134"/>
      <c r="G1175" s="134"/>
      <c r="H1175" s="134"/>
      <c r="I1175" s="133"/>
      <c r="J1175" s="133"/>
      <c r="K1175" s="133"/>
      <c r="L1175" s="134"/>
    </row>
    <row r="1176" spans="1:12">
      <c r="A1176" s="133"/>
      <c r="B1176" s="134"/>
      <c r="C1176" s="134"/>
      <c r="D1176" s="134"/>
      <c r="E1176" s="133"/>
      <c r="F1176" s="134"/>
      <c r="G1176" s="134"/>
      <c r="H1176" s="134"/>
      <c r="I1176" s="133"/>
      <c r="J1176" s="133"/>
      <c r="K1176" s="133"/>
      <c r="L1176" s="134"/>
    </row>
    <row r="1177" spans="1:12">
      <c r="A1177" s="133"/>
      <c r="B1177" s="134"/>
      <c r="C1177" s="134"/>
      <c r="D1177" s="134"/>
      <c r="E1177" s="133"/>
      <c r="F1177" s="134"/>
      <c r="G1177" s="134"/>
      <c r="H1177" s="134"/>
      <c r="I1177" s="133"/>
      <c r="J1177" s="133"/>
      <c r="K1177" s="133"/>
      <c r="L1177" s="134"/>
    </row>
    <row r="1178" spans="1:12">
      <c r="A1178" s="133"/>
      <c r="B1178" s="134"/>
      <c r="C1178" s="134"/>
      <c r="D1178" s="134"/>
      <c r="E1178" s="133"/>
      <c r="F1178" s="134"/>
      <c r="G1178" s="134"/>
      <c r="H1178" s="134"/>
      <c r="I1178" s="133"/>
      <c r="J1178" s="133"/>
      <c r="K1178" s="133"/>
      <c r="L1178" s="134"/>
    </row>
    <row r="1179" spans="1:12">
      <c r="A1179" s="133"/>
      <c r="B1179" s="134"/>
      <c r="C1179" s="134"/>
      <c r="D1179" s="134"/>
      <c r="E1179" s="133"/>
      <c r="F1179" s="134"/>
      <c r="G1179" s="134"/>
      <c r="H1179" s="134"/>
      <c r="I1179" s="133"/>
      <c r="J1179" s="133"/>
      <c r="K1179" s="133"/>
      <c r="L1179" s="134"/>
    </row>
    <row r="1180" spans="1:12">
      <c r="A1180" s="133"/>
      <c r="B1180" s="134"/>
      <c r="C1180" s="134"/>
      <c r="D1180" s="134"/>
      <c r="E1180" s="133"/>
      <c r="F1180" s="134"/>
      <c r="G1180" s="134"/>
      <c r="H1180" s="134"/>
      <c r="I1180" s="133"/>
      <c r="J1180" s="133"/>
      <c r="K1180" s="133"/>
      <c r="L1180" s="134"/>
    </row>
    <row r="1181" spans="1:12">
      <c r="A1181" s="133"/>
      <c r="B1181" s="134"/>
      <c r="C1181" s="134"/>
      <c r="D1181" s="134"/>
      <c r="E1181" s="133"/>
      <c r="F1181" s="134"/>
      <c r="G1181" s="134"/>
      <c r="H1181" s="134"/>
      <c r="I1181" s="133"/>
      <c r="J1181" s="133"/>
      <c r="K1181" s="133"/>
      <c r="L1181" s="134"/>
    </row>
    <row r="1182" spans="1:12">
      <c r="A1182" s="133"/>
      <c r="B1182" s="134"/>
      <c r="C1182" s="134"/>
      <c r="D1182" s="134"/>
      <c r="E1182" s="133"/>
      <c r="F1182" s="134"/>
      <c r="G1182" s="134"/>
      <c r="H1182" s="134"/>
      <c r="I1182" s="133"/>
      <c r="J1182" s="133"/>
      <c r="K1182" s="133"/>
      <c r="L1182" s="134"/>
    </row>
    <row r="1183" spans="1:12">
      <c r="A1183" s="133"/>
      <c r="B1183" s="134"/>
      <c r="C1183" s="134"/>
      <c r="D1183" s="134"/>
      <c r="E1183" s="133"/>
      <c r="F1183" s="134"/>
      <c r="G1183" s="134"/>
      <c r="H1183" s="134"/>
      <c r="I1183" s="133"/>
      <c r="J1183" s="133"/>
      <c r="K1183" s="133"/>
      <c r="L1183" s="134"/>
    </row>
    <row r="1184" spans="1:12">
      <c r="A1184" s="133"/>
      <c r="B1184" s="134"/>
      <c r="C1184" s="134"/>
      <c r="D1184" s="134"/>
      <c r="E1184" s="133"/>
      <c r="F1184" s="134"/>
      <c r="G1184" s="134"/>
      <c r="H1184" s="134"/>
      <c r="I1184" s="133"/>
      <c r="J1184" s="133"/>
      <c r="K1184" s="133"/>
      <c r="L1184" s="134"/>
    </row>
    <row r="1185" spans="1:12">
      <c r="A1185" s="133"/>
      <c r="B1185" s="134"/>
      <c r="C1185" s="134"/>
      <c r="D1185" s="134"/>
      <c r="E1185" s="133"/>
      <c r="F1185" s="134"/>
      <c r="G1185" s="134"/>
      <c r="H1185" s="134"/>
      <c r="I1185" s="133"/>
      <c r="J1185" s="133"/>
      <c r="K1185" s="133"/>
      <c r="L1185" s="134"/>
    </row>
    <row r="1186" spans="1:12">
      <c r="A1186" s="133"/>
      <c r="B1186" s="134"/>
      <c r="C1186" s="134"/>
      <c r="D1186" s="134"/>
      <c r="E1186" s="133"/>
      <c r="F1186" s="134"/>
      <c r="G1186" s="134"/>
      <c r="H1186" s="134"/>
      <c r="I1186" s="133"/>
      <c r="J1186" s="133"/>
      <c r="K1186" s="133"/>
      <c r="L1186" s="134"/>
    </row>
    <row r="1187" spans="1:12">
      <c r="A1187" s="133"/>
      <c r="B1187" s="134"/>
      <c r="C1187" s="134"/>
      <c r="D1187" s="134"/>
      <c r="E1187" s="133"/>
      <c r="F1187" s="134"/>
      <c r="G1187" s="134"/>
      <c r="H1187" s="134"/>
      <c r="I1187" s="133"/>
      <c r="J1187" s="133"/>
      <c r="K1187" s="133"/>
      <c r="L1187" s="134"/>
    </row>
    <row r="1188" spans="1:12">
      <c r="A1188" s="133"/>
      <c r="B1188" s="134"/>
      <c r="C1188" s="134"/>
      <c r="D1188" s="134"/>
      <c r="E1188" s="133"/>
      <c r="F1188" s="134"/>
      <c r="G1188" s="134"/>
      <c r="H1188" s="134"/>
      <c r="I1188" s="133"/>
      <c r="J1188" s="133"/>
      <c r="K1188" s="133"/>
      <c r="L1188" s="134"/>
    </row>
    <row r="1189" spans="1:12">
      <c r="A1189" s="133"/>
      <c r="B1189" s="134"/>
      <c r="C1189" s="134"/>
      <c r="D1189" s="134"/>
      <c r="E1189" s="133"/>
      <c r="F1189" s="134"/>
      <c r="G1189" s="134"/>
      <c r="H1189" s="134"/>
      <c r="I1189" s="133"/>
      <c r="J1189" s="133"/>
      <c r="K1189" s="133"/>
      <c r="L1189" s="134"/>
    </row>
    <row r="1190" spans="1:12">
      <c r="A1190" s="133"/>
      <c r="B1190" s="134"/>
      <c r="C1190" s="134"/>
      <c r="D1190" s="134"/>
      <c r="E1190" s="133"/>
      <c r="F1190" s="134"/>
      <c r="G1190" s="134"/>
      <c r="H1190" s="134"/>
      <c r="I1190" s="133"/>
      <c r="J1190" s="133"/>
      <c r="K1190" s="133"/>
      <c r="L1190" s="134"/>
    </row>
    <row r="1191" spans="1:12">
      <c r="A1191" s="133"/>
      <c r="B1191" s="134"/>
      <c r="C1191" s="134"/>
      <c r="D1191" s="134"/>
      <c r="E1191" s="133"/>
      <c r="F1191" s="134"/>
      <c r="G1191" s="134"/>
      <c r="H1191" s="134"/>
      <c r="I1191" s="133"/>
      <c r="J1191" s="133"/>
      <c r="K1191" s="133"/>
      <c r="L1191" s="134"/>
    </row>
    <row r="1192" spans="1:12">
      <c r="A1192" s="133"/>
      <c r="B1192" s="134"/>
      <c r="C1192" s="134"/>
      <c r="D1192" s="134"/>
      <c r="E1192" s="133"/>
      <c r="F1192" s="134"/>
      <c r="G1192" s="134"/>
      <c r="H1192" s="134"/>
      <c r="I1192" s="133"/>
      <c r="J1192" s="133"/>
      <c r="K1192" s="133"/>
      <c r="L1192" s="134"/>
    </row>
    <row r="1193" spans="1:12">
      <c r="A1193" s="133"/>
      <c r="B1193" s="134"/>
      <c r="C1193" s="134"/>
      <c r="D1193" s="134"/>
      <c r="E1193" s="133"/>
      <c r="F1193" s="134"/>
      <c r="G1193" s="134"/>
      <c r="H1193" s="134"/>
      <c r="I1193" s="133"/>
      <c r="J1193" s="133"/>
      <c r="K1193" s="133"/>
      <c r="L1193" s="134"/>
    </row>
    <row r="1194" spans="1:12">
      <c r="A1194" s="133"/>
      <c r="B1194" s="134"/>
      <c r="C1194" s="134"/>
      <c r="D1194" s="134"/>
      <c r="E1194" s="133"/>
      <c r="F1194" s="134"/>
      <c r="G1194" s="134"/>
      <c r="H1194" s="134"/>
      <c r="I1194" s="133"/>
      <c r="J1194" s="133"/>
      <c r="K1194" s="133"/>
      <c r="L1194" s="134"/>
    </row>
    <row r="1195" spans="1:12">
      <c r="A1195" s="133"/>
      <c r="B1195" s="134"/>
      <c r="C1195" s="134"/>
      <c r="D1195" s="134"/>
      <c r="E1195" s="133"/>
      <c r="F1195" s="134"/>
      <c r="G1195" s="134"/>
      <c r="H1195" s="134"/>
      <c r="I1195" s="133"/>
      <c r="J1195" s="133"/>
      <c r="K1195" s="133"/>
      <c r="L1195" s="134"/>
    </row>
    <row r="1196" spans="1:12">
      <c r="A1196" s="133"/>
      <c r="B1196" s="134"/>
      <c r="C1196" s="134"/>
      <c r="D1196" s="134"/>
      <c r="E1196" s="133"/>
      <c r="F1196" s="134"/>
      <c r="G1196" s="134"/>
      <c r="H1196" s="134"/>
      <c r="I1196" s="133"/>
      <c r="J1196" s="133"/>
      <c r="K1196" s="133"/>
      <c r="L1196" s="134"/>
    </row>
    <row r="1197" spans="1:12">
      <c r="A1197" s="133"/>
      <c r="B1197" s="134"/>
      <c r="C1197" s="134"/>
      <c r="D1197" s="134"/>
      <c r="E1197" s="133"/>
      <c r="F1197" s="134"/>
      <c r="G1197" s="134"/>
      <c r="H1197" s="134"/>
      <c r="I1197" s="133"/>
      <c r="J1197" s="133"/>
      <c r="K1197" s="133"/>
      <c r="L1197" s="134"/>
    </row>
    <row r="1198" spans="1:12">
      <c r="A1198" s="133"/>
      <c r="B1198" s="134"/>
      <c r="C1198" s="134"/>
      <c r="D1198" s="134"/>
      <c r="E1198" s="133"/>
      <c r="F1198" s="134"/>
      <c r="G1198" s="134"/>
      <c r="H1198" s="134"/>
      <c r="I1198" s="133"/>
      <c r="J1198" s="133"/>
      <c r="K1198" s="133"/>
      <c r="L1198" s="134"/>
    </row>
    <row r="1199" spans="1:12">
      <c r="A1199" s="133"/>
      <c r="B1199" s="134"/>
      <c r="C1199" s="134"/>
      <c r="D1199" s="134"/>
      <c r="E1199" s="133"/>
      <c r="F1199" s="134"/>
      <c r="G1199" s="134"/>
      <c r="H1199" s="134"/>
      <c r="I1199" s="133"/>
      <c r="J1199" s="133"/>
      <c r="K1199" s="133"/>
      <c r="L1199" s="134"/>
    </row>
    <row r="1200" spans="1:12">
      <c r="A1200" s="133"/>
      <c r="B1200" s="134"/>
      <c r="C1200" s="134"/>
      <c r="D1200" s="134"/>
      <c r="E1200" s="133"/>
      <c r="F1200" s="134"/>
      <c r="G1200" s="134"/>
      <c r="H1200" s="134"/>
      <c r="I1200" s="133"/>
      <c r="J1200" s="133"/>
      <c r="K1200" s="133"/>
      <c r="L1200" s="134"/>
    </row>
    <row r="1201" spans="1:12">
      <c r="A1201" s="133"/>
      <c r="B1201" s="134"/>
      <c r="C1201" s="134"/>
      <c r="D1201" s="134"/>
      <c r="E1201" s="133"/>
      <c r="F1201" s="134"/>
      <c r="G1201" s="134"/>
      <c r="H1201" s="134"/>
      <c r="I1201" s="133"/>
      <c r="J1201" s="133"/>
      <c r="K1201" s="133"/>
      <c r="L1201" s="134"/>
    </row>
    <row r="1202" spans="1:12">
      <c r="A1202" s="133"/>
      <c r="B1202" s="134"/>
      <c r="C1202" s="134"/>
      <c r="D1202" s="134"/>
      <c r="E1202" s="133"/>
      <c r="F1202" s="134"/>
      <c r="G1202" s="134"/>
      <c r="H1202" s="134"/>
      <c r="I1202" s="133"/>
      <c r="J1202" s="133"/>
      <c r="K1202" s="133"/>
      <c r="L1202" s="134"/>
    </row>
    <row r="1203" spans="1:12">
      <c r="A1203" s="133"/>
      <c r="B1203" s="134"/>
      <c r="C1203" s="134"/>
      <c r="D1203" s="134"/>
      <c r="E1203" s="133"/>
      <c r="F1203" s="134"/>
      <c r="G1203" s="134"/>
      <c r="H1203" s="134"/>
      <c r="I1203" s="133"/>
      <c r="J1203" s="133"/>
      <c r="K1203" s="133"/>
      <c r="L1203" s="134"/>
    </row>
    <row r="1204" spans="1:12">
      <c r="A1204" s="133"/>
      <c r="B1204" s="134"/>
      <c r="C1204" s="134"/>
      <c r="D1204" s="134"/>
      <c r="E1204" s="133"/>
      <c r="F1204" s="134"/>
      <c r="G1204" s="134"/>
      <c r="H1204" s="134"/>
      <c r="I1204" s="133"/>
      <c r="J1204" s="133"/>
      <c r="K1204" s="133"/>
      <c r="L1204" s="134"/>
    </row>
    <row r="1205" spans="1:12">
      <c r="A1205" s="133"/>
      <c r="B1205" s="134"/>
      <c r="C1205" s="134"/>
      <c r="D1205" s="134"/>
      <c r="E1205" s="133"/>
      <c r="F1205" s="134"/>
      <c r="G1205" s="134"/>
      <c r="H1205" s="134"/>
      <c r="I1205" s="133"/>
      <c r="J1205" s="133"/>
      <c r="K1205" s="133"/>
      <c r="L1205" s="134"/>
    </row>
    <row r="1206" spans="1:12">
      <c r="A1206" s="133"/>
      <c r="B1206" s="134"/>
      <c r="C1206" s="134"/>
      <c r="D1206" s="134"/>
      <c r="E1206" s="133"/>
      <c r="F1206" s="134"/>
      <c r="G1206" s="134"/>
      <c r="H1206" s="134"/>
      <c r="I1206" s="133"/>
      <c r="J1206" s="133"/>
      <c r="K1206" s="133"/>
      <c r="L1206" s="134"/>
    </row>
    <row r="1207" spans="1:12">
      <c r="A1207" s="133"/>
      <c r="B1207" s="134"/>
      <c r="C1207" s="134"/>
      <c r="D1207" s="134"/>
      <c r="E1207" s="133"/>
      <c r="F1207" s="134"/>
      <c r="G1207" s="134"/>
      <c r="H1207" s="134"/>
      <c r="I1207" s="133"/>
      <c r="J1207" s="133"/>
      <c r="K1207" s="133"/>
      <c r="L1207" s="134"/>
    </row>
    <row r="1208" spans="1:12">
      <c r="A1208" s="133"/>
      <c r="B1208" s="134"/>
      <c r="C1208" s="134"/>
      <c r="D1208" s="134"/>
      <c r="E1208" s="133"/>
      <c r="F1208" s="134"/>
      <c r="G1208" s="134"/>
      <c r="H1208" s="134"/>
      <c r="I1208" s="133"/>
      <c r="J1208" s="133"/>
      <c r="K1208" s="133"/>
      <c r="L1208" s="134"/>
    </row>
    <row r="1209" spans="1:12">
      <c r="A1209" s="133"/>
      <c r="B1209" s="134"/>
      <c r="C1209" s="134"/>
      <c r="D1209" s="134"/>
      <c r="E1209" s="133"/>
      <c r="F1209" s="134"/>
      <c r="G1209" s="134"/>
      <c r="H1209" s="134"/>
      <c r="I1209" s="133"/>
      <c r="J1209" s="133"/>
      <c r="K1209" s="133"/>
      <c r="L1209" s="134"/>
    </row>
    <row r="1210" spans="1:12">
      <c r="A1210" s="133"/>
      <c r="B1210" s="134"/>
      <c r="C1210" s="134"/>
      <c r="D1210" s="134"/>
      <c r="E1210" s="133"/>
      <c r="F1210" s="134"/>
      <c r="G1210" s="134"/>
      <c r="H1210" s="134"/>
      <c r="I1210" s="133"/>
      <c r="J1210" s="133"/>
      <c r="K1210" s="133"/>
      <c r="L1210" s="134"/>
    </row>
    <row r="1211" spans="1:12">
      <c r="A1211" s="133"/>
      <c r="B1211" s="134"/>
      <c r="C1211" s="134"/>
      <c r="D1211" s="134"/>
      <c r="E1211" s="133"/>
      <c r="F1211" s="134"/>
      <c r="G1211" s="134"/>
      <c r="H1211" s="134"/>
      <c r="I1211" s="133"/>
      <c r="J1211" s="133"/>
      <c r="K1211" s="133"/>
      <c r="L1211" s="134"/>
    </row>
    <row r="1212" spans="1:12">
      <c r="A1212" s="133"/>
      <c r="B1212" s="134"/>
      <c r="C1212" s="134"/>
      <c r="D1212" s="134"/>
      <c r="E1212" s="133"/>
      <c r="F1212" s="134"/>
      <c r="G1212" s="134"/>
      <c r="H1212" s="134"/>
      <c r="I1212" s="133"/>
      <c r="J1212" s="133"/>
      <c r="K1212" s="133"/>
      <c r="L1212" s="134"/>
    </row>
    <row r="1213" spans="1:12">
      <c r="A1213" s="133"/>
      <c r="B1213" s="134"/>
      <c r="C1213" s="134"/>
      <c r="D1213" s="134"/>
      <c r="E1213" s="133"/>
      <c r="F1213" s="134"/>
      <c r="G1213" s="134"/>
      <c r="H1213" s="134"/>
      <c r="I1213" s="133"/>
      <c r="J1213" s="133"/>
      <c r="K1213" s="133"/>
      <c r="L1213" s="134"/>
    </row>
    <row r="1214" spans="1:12">
      <c r="A1214" s="133"/>
      <c r="B1214" s="134"/>
      <c r="C1214" s="134"/>
      <c r="D1214" s="134"/>
      <c r="E1214" s="133"/>
      <c r="F1214" s="134"/>
      <c r="G1214" s="134"/>
      <c r="H1214" s="134"/>
      <c r="I1214" s="133"/>
      <c r="J1214" s="133"/>
      <c r="K1214" s="133"/>
      <c r="L1214" s="134"/>
    </row>
    <row r="1215" spans="1:12">
      <c r="A1215" s="133"/>
      <c r="B1215" s="134"/>
      <c r="C1215" s="134"/>
      <c r="D1215" s="134"/>
      <c r="E1215" s="133"/>
      <c r="F1215" s="134"/>
      <c r="G1215" s="134"/>
      <c r="H1215" s="134"/>
      <c r="I1215" s="133"/>
      <c r="J1215" s="133"/>
      <c r="K1215" s="133"/>
      <c r="L1215" s="134"/>
    </row>
    <row r="1216" spans="1:12">
      <c r="A1216" s="133"/>
      <c r="B1216" s="134"/>
      <c r="C1216" s="134"/>
      <c r="D1216" s="134"/>
      <c r="E1216" s="133"/>
      <c r="F1216" s="134"/>
      <c r="G1216" s="134"/>
      <c r="H1216" s="134"/>
      <c r="I1216" s="133"/>
      <c r="J1216" s="133"/>
      <c r="K1216" s="133"/>
      <c r="L1216" s="134"/>
    </row>
    <row r="1217" spans="1:12">
      <c r="A1217" s="133"/>
      <c r="B1217" s="134"/>
      <c r="C1217" s="134"/>
      <c r="D1217" s="134"/>
      <c r="E1217" s="133"/>
      <c r="F1217" s="134"/>
      <c r="G1217" s="134"/>
      <c r="H1217" s="134"/>
      <c r="I1217" s="133"/>
      <c r="J1217" s="133"/>
      <c r="K1217" s="133"/>
      <c r="L1217" s="134"/>
    </row>
    <row r="1218" spans="1:12">
      <c r="A1218" s="133"/>
      <c r="B1218" s="134"/>
      <c r="C1218" s="134"/>
      <c r="D1218" s="134"/>
      <c r="E1218" s="133"/>
      <c r="F1218" s="134"/>
      <c r="G1218" s="134"/>
      <c r="H1218" s="134"/>
      <c r="I1218" s="133"/>
      <c r="J1218" s="133"/>
      <c r="K1218" s="133"/>
      <c r="L1218" s="134"/>
    </row>
    <row r="1219" spans="1:12">
      <c r="A1219" s="133"/>
      <c r="B1219" s="134"/>
      <c r="C1219" s="134"/>
      <c r="D1219" s="134"/>
      <c r="E1219" s="133"/>
      <c r="F1219" s="134"/>
      <c r="G1219" s="134"/>
      <c r="H1219" s="134"/>
      <c r="I1219" s="133"/>
      <c r="J1219" s="133"/>
      <c r="K1219" s="133"/>
      <c r="L1219" s="134"/>
    </row>
    <row r="1220" spans="1:12">
      <c r="A1220" s="133"/>
      <c r="B1220" s="134"/>
      <c r="C1220" s="134"/>
      <c r="D1220" s="134"/>
      <c r="E1220" s="133"/>
      <c r="F1220" s="134"/>
      <c r="G1220" s="134"/>
      <c r="H1220" s="134"/>
      <c r="I1220" s="133"/>
      <c r="J1220" s="133"/>
      <c r="K1220" s="133"/>
      <c r="L1220" s="134"/>
    </row>
    <row r="1221" spans="1:12">
      <c r="A1221" s="133"/>
      <c r="B1221" s="134"/>
      <c r="C1221" s="134"/>
      <c r="D1221" s="134"/>
      <c r="E1221" s="133"/>
      <c r="F1221" s="134"/>
      <c r="G1221" s="134"/>
      <c r="H1221" s="134"/>
      <c r="I1221" s="133"/>
      <c r="J1221" s="133"/>
      <c r="K1221" s="133"/>
      <c r="L1221" s="134"/>
    </row>
    <row r="1222" spans="1:12">
      <c r="A1222" s="133"/>
      <c r="B1222" s="134"/>
      <c r="C1222" s="134"/>
      <c r="D1222" s="134"/>
      <c r="E1222" s="133"/>
      <c r="F1222" s="134"/>
      <c r="G1222" s="134"/>
      <c r="H1222" s="134"/>
      <c r="I1222" s="133"/>
      <c r="J1222" s="133"/>
      <c r="K1222" s="133"/>
      <c r="L1222" s="134"/>
    </row>
    <row r="1223" spans="1:12">
      <c r="A1223" s="133"/>
      <c r="B1223" s="134"/>
      <c r="C1223" s="134"/>
      <c r="D1223" s="134"/>
      <c r="E1223" s="133"/>
      <c r="F1223" s="134"/>
      <c r="G1223" s="134"/>
      <c r="H1223" s="134"/>
      <c r="I1223" s="133"/>
      <c r="J1223" s="133"/>
      <c r="K1223" s="133"/>
      <c r="L1223" s="134"/>
    </row>
    <row r="1224" spans="1:12">
      <c r="A1224" s="133"/>
      <c r="B1224" s="134"/>
      <c r="C1224" s="134"/>
      <c r="D1224" s="134"/>
      <c r="E1224" s="133"/>
      <c r="F1224" s="134"/>
      <c r="G1224" s="134"/>
      <c r="H1224" s="134"/>
      <c r="I1224" s="133"/>
      <c r="J1224" s="133"/>
      <c r="K1224" s="133"/>
      <c r="L1224" s="134"/>
    </row>
    <row r="1225" spans="1:12">
      <c r="A1225" s="133"/>
      <c r="B1225" s="134"/>
      <c r="C1225" s="134"/>
      <c r="D1225" s="134"/>
      <c r="E1225" s="133"/>
      <c r="F1225" s="134"/>
      <c r="G1225" s="134"/>
      <c r="H1225" s="134"/>
      <c r="I1225" s="133"/>
      <c r="J1225" s="133"/>
      <c r="K1225" s="133"/>
      <c r="L1225" s="134"/>
    </row>
    <row r="1226" spans="1:12">
      <c r="A1226" s="133"/>
      <c r="B1226" s="134"/>
      <c r="C1226" s="134"/>
      <c r="D1226" s="134"/>
      <c r="E1226" s="133"/>
      <c r="F1226" s="134"/>
      <c r="G1226" s="134"/>
      <c r="H1226" s="134"/>
      <c r="I1226" s="133"/>
      <c r="J1226" s="133"/>
      <c r="K1226" s="133"/>
      <c r="L1226" s="134"/>
    </row>
    <row r="1227" spans="1:12">
      <c r="A1227" s="133"/>
      <c r="B1227" s="134"/>
      <c r="C1227" s="134"/>
      <c r="D1227" s="134"/>
      <c r="E1227" s="133"/>
      <c r="F1227" s="134"/>
      <c r="G1227" s="134"/>
      <c r="H1227" s="134"/>
      <c r="I1227" s="133"/>
      <c r="J1227" s="133"/>
      <c r="K1227" s="133"/>
      <c r="L1227" s="134"/>
    </row>
    <row r="1228" spans="1:12">
      <c r="A1228" s="133"/>
      <c r="B1228" s="134"/>
      <c r="C1228" s="134"/>
      <c r="D1228" s="134"/>
      <c r="E1228" s="133"/>
      <c r="F1228" s="134"/>
      <c r="G1228" s="134"/>
      <c r="H1228" s="134"/>
      <c r="I1228" s="133"/>
      <c r="J1228" s="133"/>
      <c r="K1228" s="133"/>
      <c r="L1228" s="134"/>
    </row>
    <row r="1229" spans="1:12">
      <c r="A1229" s="133"/>
      <c r="B1229" s="134"/>
      <c r="C1229" s="134"/>
      <c r="D1229" s="134"/>
      <c r="E1229" s="133"/>
      <c r="F1229" s="134"/>
      <c r="G1229" s="134"/>
      <c r="H1229" s="134"/>
      <c r="I1229" s="133"/>
      <c r="J1229" s="133"/>
      <c r="K1229" s="133"/>
      <c r="L1229" s="134"/>
    </row>
    <row r="1230" spans="1:12">
      <c r="A1230" s="133"/>
      <c r="B1230" s="134"/>
      <c r="C1230" s="134"/>
      <c r="D1230" s="134"/>
      <c r="E1230" s="133"/>
      <c r="F1230" s="134"/>
      <c r="G1230" s="134"/>
      <c r="H1230" s="134"/>
      <c r="I1230" s="133"/>
      <c r="J1230" s="133"/>
      <c r="K1230" s="133"/>
      <c r="L1230" s="134"/>
    </row>
    <row r="1231" spans="1:12">
      <c r="A1231" s="133"/>
      <c r="B1231" s="134"/>
      <c r="C1231" s="134"/>
      <c r="D1231" s="134"/>
      <c r="E1231" s="133"/>
      <c r="F1231" s="134"/>
      <c r="G1231" s="134"/>
      <c r="H1231" s="134"/>
      <c r="I1231" s="133"/>
      <c r="J1231" s="133"/>
      <c r="K1231" s="133"/>
      <c r="L1231" s="134"/>
    </row>
    <row r="1232" spans="1:12">
      <c r="A1232" s="133"/>
      <c r="B1232" s="134"/>
      <c r="C1232" s="134"/>
      <c r="D1232" s="134"/>
      <c r="E1232" s="133"/>
      <c r="F1232" s="134"/>
      <c r="G1232" s="134"/>
      <c r="H1232" s="134"/>
      <c r="I1232" s="133"/>
      <c r="J1232" s="133"/>
      <c r="K1232" s="133"/>
      <c r="L1232" s="134"/>
    </row>
    <row r="1233" spans="1:12">
      <c r="A1233" s="133"/>
      <c r="B1233" s="134"/>
      <c r="C1233" s="134"/>
      <c r="D1233" s="134"/>
      <c r="E1233" s="133"/>
      <c r="F1233" s="134"/>
      <c r="G1233" s="134"/>
      <c r="H1233" s="134"/>
      <c r="I1233" s="133"/>
      <c r="J1233" s="133"/>
      <c r="K1233" s="133"/>
      <c r="L1233" s="134"/>
    </row>
    <row r="1234" spans="1:12">
      <c r="A1234" s="133"/>
      <c r="B1234" s="134"/>
      <c r="C1234" s="134"/>
      <c r="D1234" s="134"/>
      <c r="E1234" s="133"/>
      <c r="F1234" s="134"/>
      <c r="G1234" s="134"/>
      <c r="H1234" s="134"/>
      <c r="I1234" s="133"/>
      <c r="J1234" s="133"/>
      <c r="K1234" s="133"/>
      <c r="L1234" s="134"/>
    </row>
    <row r="1235" spans="1:12">
      <c r="A1235" s="133"/>
      <c r="B1235" s="134"/>
      <c r="C1235" s="134"/>
      <c r="D1235" s="134"/>
      <c r="E1235" s="133"/>
      <c r="F1235" s="134"/>
      <c r="G1235" s="134"/>
      <c r="H1235" s="134"/>
      <c r="I1235" s="133"/>
      <c r="J1235" s="133"/>
      <c r="K1235" s="133"/>
      <c r="L1235" s="134"/>
    </row>
    <row r="1236" spans="1:12">
      <c r="A1236" s="133"/>
      <c r="B1236" s="134"/>
      <c r="C1236" s="134"/>
      <c r="D1236" s="134"/>
      <c r="E1236" s="133"/>
      <c r="F1236" s="134"/>
      <c r="G1236" s="134"/>
      <c r="H1236" s="134"/>
      <c r="I1236" s="133"/>
      <c r="J1236" s="133"/>
      <c r="K1236" s="133"/>
      <c r="L1236" s="134"/>
    </row>
    <row r="1237" spans="1:12">
      <c r="A1237" s="133"/>
      <c r="B1237" s="134"/>
      <c r="C1237" s="134"/>
      <c r="D1237" s="134"/>
      <c r="E1237" s="133"/>
      <c r="F1237" s="134"/>
      <c r="G1237" s="134"/>
      <c r="H1237" s="134"/>
      <c r="I1237" s="133"/>
      <c r="J1237" s="133"/>
      <c r="K1237" s="133"/>
      <c r="L1237" s="134"/>
    </row>
    <row r="1238" spans="1:12">
      <c r="A1238" s="133"/>
      <c r="B1238" s="134"/>
      <c r="C1238" s="134"/>
      <c r="D1238" s="134"/>
      <c r="E1238" s="133"/>
      <c r="F1238" s="134"/>
      <c r="G1238" s="134"/>
      <c r="H1238" s="134"/>
      <c r="I1238" s="133"/>
      <c r="J1238" s="133"/>
      <c r="K1238" s="133"/>
      <c r="L1238" s="134"/>
    </row>
    <row r="1239" spans="1:12">
      <c r="A1239" s="133"/>
      <c r="B1239" s="134"/>
      <c r="C1239" s="134"/>
      <c r="D1239" s="134"/>
      <c r="E1239" s="133"/>
      <c r="F1239" s="134"/>
      <c r="G1239" s="134"/>
      <c r="H1239" s="134"/>
      <c r="I1239" s="133"/>
      <c r="J1239" s="133"/>
      <c r="K1239" s="133"/>
      <c r="L1239" s="134"/>
    </row>
    <row r="1240" spans="1:12">
      <c r="A1240" s="133"/>
      <c r="B1240" s="134"/>
      <c r="C1240" s="134"/>
      <c r="D1240" s="134"/>
      <c r="E1240" s="133"/>
      <c r="F1240" s="134"/>
      <c r="G1240" s="134"/>
      <c r="H1240" s="134"/>
      <c r="I1240" s="133"/>
      <c r="J1240" s="133"/>
      <c r="K1240" s="133"/>
      <c r="L1240" s="134"/>
    </row>
    <row r="1241" spans="1:12">
      <c r="A1241" s="133"/>
      <c r="B1241" s="134"/>
      <c r="C1241" s="134"/>
      <c r="D1241" s="134"/>
      <c r="E1241" s="133"/>
      <c r="F1241" s="134"/>
      <c r="G1241" s="134"/>
      <c r="H1241" s="134"/>
      <c r="I1241" s="133"/>
      <c r="J1241" s="133"/>
      <c r="K1241" s="133"/>
      <c r="L1241" s="134"/>
    </row>
    <row r="1242" spans="1:12">
      <c r="A1242" s="133"/>
      <c r="B1242" s="134"/>
      <c r="C1242" s="134"/>
      <c r="D1242" s="134"/>
      <c r="E1242" s="133"/>
      <c r="F1242" s="134"/>
      <c r="G1242" s="134"/>
      <c r="H1242" s="134"/>
      <c r="I1242" s="133"/>
      <c r="J1242" s="133"/>
      <c r="K1242" s="133"/>
      <c r="L1242" s="134"/>
    </row>
    <row r="1243" spans="1:12">
      <c r="A1243" s="133"/>
      <c r="B1243" s="134"/>
      <c r="C1243" s="134"/>
      <c r="D1243" s="134"/>
      <c r="E1243" s="133"/>
      <c r="F1243" s="134"/>
      <c r="G1243" s="134"/>
      <c r="H1243" s="134"/>
      <c r="I1243" s="133"/>
      <c r="J1243" s="133"/>
      <c r="K1243" s="133"/>
      <c r="L1243" s="134"/>
    </row>
    <row r="1244" spans="1:12">
      <c r="A1244" s="133"/>
      <c r="B1244" s="134"/>
      <c r="C1244" s="134"/>
      <c r="D1244" s="134"/>
      <c r="E1244" s="133"/>
      <c r="F1244" s="134"/>
      <c r="G1244" s="134"/>
      <c r="H1244" s="134"/>
      <c r="I1244" s="133"/>
      <c r="J1244" s="133"/>
      <c r="K1244" s="133"/>
      <c r="L1244" s="134"/>
    </row>
    <row r="1245" spans="1:12">
      <c r="A1245" s="133"/>
      <c r="B1245" s="134"/>
      <c r="C1245" s="134"/>
      <c r="D1245" s="134"/>
      <c r="E1245" s="133"/>
      <c r="F1245" s="134"/>
      <c r="G1245" s="134"/>
      <c r="H1245" s="134"/>
      <c r="I1245" s="133"/>
      <c r="J1245" s="133"/>
      <c r="K1245" s="133"/>
      <c r="L1245" s="134"/>
    </row>
    <row r="1246" spans="1:12">
      <c r="A1246" s="133"/>
      <c r="B1246" s="134"/>
      <c r="C1246" s="134"/>
      <c r="D1246" s="134"/>
      <c r="E1246" s="133"/>
      <c r="F1246" s="134"/>
      <c r="G1246" s="134"/>
      <c r="H1246" s="134"/>
      <c r="I1246" s="133"/>
      <c r="J1246" s="133"/>
      <c r="K1246" s="133"/>
      <c r="L1246" s="134"/>
    </row>
    <row r="1247" spans="1:12">
      <c r="A1247" s="133"/>
      <c r="B1247" s="134"/>
      <c r="C1247" s="134"/>
      <c r="D1247" s="134"/>
      <c r="E1247" s="133"/>
      <c r="F1247" s="134"/>
      <c r="G1247" s="134"/>
      <c r="H1247" s="134"/>
      <c r="I1247" s="133"/>
      <c r="J1247" s="133"/>
      <c r="K1247" s="133"/>
      <c r="L1247" s="134"/>
    </row>
    <row r="1248" spans="1:12">
      <c r="A1248" s="133"/>
      <c r="B1248" s="134"/>
      <c r="C1248" s="134"/>
      <c r="D1248" s="134"/>
      <c r="E1248" s="133"/>
      <c r="F1248" s="134"/>
      <c r="G1248" s="134"/>
      <c r="H1248" s="134"/>
      <c r="I1248" s="133"/>
      <c r="J1248" s="133"/>
      <c r="K1248" s="133"/>
      <c r="L1248" s="134"/>
    </row>
    <row r="1249" spans="1:12">
      <c r="A1249" s="133"/>
      <c r="B1249" s="134"/>
      <c r="C1249" s="134"/>
      <c r="D1249" s="134"/>
      <c r="E1249" s="133"/>
      <c r="F1249" s="134"/>
      <c r="G1249" s="134"/>
      <c r="H1249" s="134"/>
      <c r="I1249" s="133"/>
      <c r="J1249" s="133"/>
      <c r="K1249" s="133"/>
      <c r="L1249" s="134"/>
    </row>
    <row r="1250" spans="1:12">
      <c r="A1250" s="133"/>
      <c r="B1250" s="134"/>
      <c r="C1250" s="134"/>
      <c r="D1250" s="134"/>
      <c r="E1250" s="133"/>
      <c r="F1250" s="134"/>
      <c r="G1250" s="134"/>
      <c r="H1250" s="134"/>
      <c r="I1250" s="133"/>
      <c r="J1250" s="133"/>
      <c r="K1250" s="133"/>
      <c r="L1250" s="134"/>
    </row>
    <row r="1251" spans="1:12">
      <c r="A1251" s="133"/>
      <c r="B1251" s="134"/>
      <c r="C1251" s="134"/>
      <c r="D1251" s="134"/>
      <c r="E1251" s="133"/>
      <c r="F1251" s="134"/>
      <c r="G1251" s="134"/>
      <c r="H1251" s="134"/>
      <c r="I1251" s="133"/>
      <c r="J1251" s="133"/>
      <c r="K1251" s="133"/>
      <c r="L1251" s="134"/>
    </row>
    <row r="1252" spans="1:12">
      <c r="A1252" s="133"/>
      <c r="B1252" s="134"/>
      <c r="C1252" s="134"/>
      <c r="D1252" s="134"/>
      <c r="E1252" s="133"/>
      <c r="F1252" s="134"/>
      <c r="G1252" s="134"/>
      <c r="H1252" s="134"/>
      <c r="I1252" s="133"/>
      <c r="J1252" s="133"/>
      <c r="K1252" s="133"/>
      <c r="L1252" s="134"/>
    </row>
    <row r="1253" spans="1:12">
      <c r="A1253" s="133"/>
      <c r="B1253" s="134"/>
      <c r="C1253" s="134"/>
      <c r="D1253" s="134"/>
      <c r="E1253" s="133"/>
      <c r="F1253" s="134"/>
      <c r="G1253" s="134"/>
      <c r="H1253" s="134"/>
      <c r="I1253" s="133"/>
      <c r="J1253" s="133"/>
      <c r="K1253" s="133"/>
      <c r="L1253" s="134"/>
    </row>
    <row r="1254" spans="1:12">
      <c r="A1254" s="133"/>
      <c r="B1254" s="134"/>
      <c r="C1254" s="134"/>
      <c r="D1254" s="134"/>
      <c r="E1254" s="133"/>
      <c r="F1254" s="134"/>
      <c r="G1254" s="134"/>
      <c r="H1254" s="134"/>
      <c r="I1254" s="133"/>
      <c r="J1254" s="133"/>
      <c r="K1254" s="133"/>
      <c r="L1254" s="134"/>
    </row>
    <row r="1255" spans="1:12">
      <c r="A1255" s="133"/>
      <c r="B1255" s="134"/>
      <c r="C1255" s="134"/>
      <c r="D1255" s="134"/>
      <c r="E1255" s="133"/>
      <c r="F1255" s="134"/>
      <c r="G1255" s="134"/>
      <c r="H1255" s="134"/>
      <c r="I1255" s="133"/>
      <c r="J1255" s="133"/>
      <c r="K1255" s="133"/>
      <c r="L1255" s="134"/>
    </row>
    <row r="1256" spans="1:12">
      <c r="A1256" s="133"/>
      <c r="B1256" s="134"/>
      <c r="C1256" s="134"/>
      <c r="D1256" s="134"/>
      <c r="E1256" s="133"/>
      <c r="F1256" s="134"/>
      <c r="G1256" s="134"/>
      <c r="H1256" s="134"/>
      <c r="I1256" s="133"/>
      <c r="J1256" s="133"/>
      <c r="K1256" s="133"/>
      <c r="L1256" s="134"/>
    </row>
    <row r="1257" spans="1:12">
      <c r="A1257" s="133"/>
      <c r="B1257" s="134"/>
      <c r="C1257" s="134"/>
      <c r="D1257" s="134"/>
      <c r="E1257" s="133"/>
      <c r="F1257" s="134"/>
      <c r="G1257" s="134"/>
      <c r="H1257" s="134"/>
      <c r="I1257" s="133"/>
      <c r="J1257" s="133"/>
      <c r="K1257" s="133"/>
      <c r="L1257" s="134"/>
    </row>
    <row r="1258" spans="1:12">
      <c r="A1258" s="133"/>
      <c r="B1258" s="134"/>
      <c r="C1258" s="134"/>
      <c r="D1258" s="134"/>
      <c r="E1258" s="133"/>
      <c r="F1258" s="134"/>
      <c r="G1258" s="134"/>
      <c r="H1258" s="134"/>
      <c r="I1258" s="133"/>
      <c r="J1258" s="133"/>
      <c r="K1258" s="133"/>
      <c r="L1258" s="134"/>
    </row>
    <row r="1259" spans="1:12">
      <c r="A1259" s="133"/>
      <c r="B1259" s="134"/>
      <c r="C1259" s="134"/>
      <c r="D1259" s="134"/>
      <c r="E1259" s="133"/>
      <c r="F1259" s="134"/>
      <c r="G1259" s="134"/>
      <c r="H1259" s="134"/>
      <c r="I1259" s="133"/>
      <c r="J1259" s="133"/>
      <c r="K1259" s="133"/>
      <c r="L1259" s="134"/>
    </row>
    <row r="1260" spans="1:12">
      <c r="A1260" s="133"/>
      <c r="B1260" s="134"/>
      <c r="C1260" s="134"/>
      <c r="D1260" s="134"/>
      <c r="E1260" s="133"/>
      <c r="F1260" s="134"/>
      <c r="G1260" s="134"/>
      <c r="H1260" s="134"/>
      <c r="I1260" s="133"/>
      <c r="J1260" s="133"/>
      <c r="K1260" s="133"/>
      <c r="L1260" s="134"/>
    </row>
    <row r="1261" spans="1:12">
      <c r="A1261" s="133"/>
      <c r="B1261" s="134"/>
      <c r="C1261" s="134"/>
      <c r="D1261" s="134"/>
      <c r="E1261" s="133"/>
      <c r="F1261" s="134"/>
      <c r="G1261" s="134"/>
      <c r="H1261" s="134"/>
      <c r="I1261" s="133"/>
      <c r="J1261" s="133"/>
      <c r="K1261" s="133"/>
      <c r="L1261" s="134"/>
    </row>
    <row r="1262" spans="1:12">
      <c r="A1262" s="133"/>
      <c r="B1262" s="134"/>
      <c r="C1262" s="134"/>
      <c r="D1262" s="134"/>
      <c r="E1262" s="133"/>
      <c r="F1262" s="134"/>
      <c r="G1262" s="134"/>
      <c r="H1262" s="134"/>
      <c r="I1262" s="133"/>
      <c r="J1262" s="133"/>
      <c r="K1262" s="133"/>
      <c r="L1262" s="134"/>
    </row>
    <row r="1263" spans="1:12">
      <c r="A1263" s="133"/>
      <c r="B1263" s="134"/>
      <c r="C1263" s="134"/>
      <c r="D1263" s="134"/>
      <c r="E1263" s="133"/>
      <c r="F1263" s="134"/>
      <c r="G1263" s="134"/>
      <c r="H1263" s="134"/>
      <c r="I1263" s="133"/>
      <c r="J1263" s="133"/>
      <c r="K1263" s="133"/>
      <c r="L1263" s="134"/>
    </row>
    <row r="1264" spans="1:12">
      <c r="A1264" s="133"/>
      <c r="B1264" s="134"/>
      <c r="C1264" s="134"/>
      <c r="D1264" s="134"/>
      <c r="E1264" s="133"/>
      <c r="F1264" s="134"/>
      <c r="G1264" s="134"/>
      <c r="H1264" s="134"/>
      <c r="I1264" s="133"/>
      <c r="J1264" s="133"/>
      <c r="K1264" s="133"/>
      <c r="L1264" s="134"/>
    </row>
    <row r="1265" spans="1:12">
      <c r="A1265" s="133"/>
      <c r="B1265" s="134"/>
      <c r="C1265" s="134"/>
      <c r="D1265" s="134"/>
      <c r="E1265" s="133"/>
      <c r="F1265" s="134"/>
      <c r="G1265" s="134"/>
      <c r="H1265" s="134"/>
      <c r="I1265" s="133"/>
      <c r="J1265" s="133"/>
      <c r="K1265" s="133"/>
      <c r="L1265" s="134"/>
    </row>
    <row r="1266" spans="1:12">
      <c r="A1266" s="133"/>
      <c r="B1266" s="134"/>
      <c r="C1266" s="134"/>
      <c r="D1266" s="134"/>
      <c r="E1266" s="133"/>
      <c r="F1266" s="134"/>
      <c r="G1266" s="134"/>
      <c r="H1266" s="134"/>
      <c r="I1266" s="133"/>
      <c r="J1266" s="133"/>
      <c r="K1266" s="133"/>
      <c r="L1266" s="134"/>
    </row>
    <row r="1267" spans="1:12">
      <c r="A1267" s="133"/>
      <c r="B1267" s="134"/>
      <c r="C1267" s="134"/>
      <c r="D1267" s="134"/>
      <c r="E1267" s="133"/>
      <c r="F1267" s="134"/>
      <c r="G1267" s="134"/>
      <c r="H1267" s="134"/>
      <c r="I1267" s="133"/>
      <c r="J1267" s="133"/>
      <c r="K1267" s="133"/>
      <c r="L1267" s="134"/>
    </row>
    <row r="1268" spans="1:12">
      <c r="A1268" s="133"/>
      <c r="B1268" s="134"/>
      <c r="C1268" s="134"/>
      <c r="D1268" s="134"/>
      <c r="E1268" s="133"/>
      <c r="F1268" s="134"/>
      <c r="G1268" s="134"/>
      <c r="H1268" s="134"/>
      <c r="I1268" s="133"/>
      <c r="J1268" s="133"/>
      <c r="K1268" s="133"/>
      <c r="L1268" s="134"/>
    </row>
    <row r="1269" spans="1:12">
      <c r="A1269" s="133"/>
      <c r="B1269" s="134"/>
      <c r="C1269" s="134"/>
      <c r="D1269" s="134"/>
      <c r="E1269" s="133"/>
      <c r="F1269" s="134"/>
      <c r="G1269" s="134"/>
      <c r="H1269" s="134"/>
      <c r="I1269" s="133"/>
      <c r="J1269" s="133"/>
      <c r="K1269" s="133"/>
      <c r="L1269" s="134"/>
    </row>
    <row r="1270" spans="1:12">
      <c r="A1270" s="133"/>
      <c r="B1270" s="134"/>
      <c r="C1270" s="134"/>
      <c r="D1270" s="134"/>
      <c r="E1270" s="133"/>
      <c r="F1270" s="134"/>
      <c r="G1270" s="134"/>
      <c r="H1270" s="134"/>
      <c r="I1270" s="133"/>
      <c r="J1270" s="133"/>
      <c r="K1270" s="133"/>
      <c r="L1270" s="134"/>
    </row>
    <row r="1271" spans="1:12">
      <c r="A1271" s="133"/>
      <c r="B1271" s="134"/>
      <c r="C1271" s="134"/>
      <c r="D1271" s="134"/>
      <c r="E1271" s="133"/>
      <c r="F1271" s="134"/>
      <c r="G1271" s="134"/>
      <c r="H1271" s="134"/>
      <c r="I1271" s="133"/>
      <c r="J1271" s="133"/>
      <c r="K1271" s="133"/>
      <c r="L1271" s="134"/>
    </row>
    <row r="1272" spans="1:12">
      <c r="A1272" s="133"/>
      <c r="B1272" s="134"/>
      <c r="C1272" s="134"/>
      <c r="D1272" s="134"/>
      <c r="E1272" s="133"/>
      <c r="F1272" s="134"/>
      <c r="G1272" s="134"/>
      <c r="H1272" s="134"/>
      <c r="I1272" s="133"/>
      <c r="J1272" s="133"/>
      <c r="K1272" s="133"/>
      <c r="L1272" s="134"/>
    </row>
    <row r="1273" spans="1:12">
      <c r="A1273" s="133"/>
      <c r="B1273" s="134"/>
      <c r="C1273" s="134"/>
      <c r="D1273" s="134"/>
      <c r="E1273" s="133"/>
      <c r="F1273" s="134"/>
      <c r="G1273" s="134"/>
      <c r="H1273" s="134"/>
      <c r="I1273" s="133"/>
      <c r="J1273" s="133"/>
      <c r="K1273" s="133"/>
      <c r="L1273" s="134"/>
    </row>
    <row r="1274" spans="1:12">
      <c r="A1274" s="133"/>
      <c r="B1274" s="134"/>
      <c r="C1274" s="134"/>
      <c r="D1274" s="134"/>
      <c r="E1274" s="133"/>
      <c r="F1274" s="134"/>
      <c r="G1274" s="134"/>
      <c r="H1274" s="134"/>
      <c r="I1274" s="133"/>
      <c r="J1274" s="133"/>
      <c r="K1274" s="133"/>
      <c r="L1274" s="134"/>
    </row>
    <row r="1275" spans="1:12">
      <c r="A1275" s="133"/>
      <c r="B1275" s="134"/>
      <c r="C1275" s="134"/>
      <c r="D1275" s="134"/>
      <c r="E1275" s="133"/>
      <c r="F1275" s="134"/>
      <c r="G1275" s="134"/>
      <c r="H1275" s="134"/>
      <c r="I1275" s="133"/>
      <c r="J1275" s="133"/>
      <c r="K1275" s="133"/>
      <c r="L1275" s="134"/>
    </row>
    <row r="1276" spans="1:12">
      <c r="A1276" s="133"/>
      <c r="B1276" s="134"/>
      <c r="C1276" s="134"/>
      <c r="D1276" s="134"/>
      <c r="E1276" s="133"/>
      <c r="F1276" s="134"/>
      <c r="G1276" s="134"/>
      <c r="H1276" s="134"/>
      <c r="I1276" s="133"/>
      <c r="J1276" s="133"/>
      <c r="K1276" s="133"/>
      <c r="L1276" s="134"/>
    </row>
    <row r="1277" spans="1:12">
      <c r="A1277" s="133"/>
      <c r="B1277" s="134"/>
      <c r="C1277" s="134"/>
      <c r="D1277" s="134"/>
      <c r="E1277" s="133"/>
      <c r="F1277" s="134"/>
      <c r="G1277" s="134"/>
      <c r="H1277" s="134"/>
      <c r="I1277" s="133"/>
      <c r="J1277" s="133"/>
      <c r="K1277" s="133"/>
      <c r="L1277" s="134"/>
    </row>
    <row r="1278" spans="1:12">
      <c r="A1278" s="133"/>
      <c r="B1278" s="134"/>
      <c r="C1278" s="134"/>
      <c r="D1278" s="134"/>
      <c r="E1278" s="133"/>
      <c r="F1278" s="134"/>
      <c r="G1278" s="134"/>
      <c r="H1278" s="134"/>
      <c r="I1278" s="133"/>
      <c r="J1278" s="133"/>
      <c r="K1278" s="133"/>
      <c r="L1278" s="134"/>
    </row>
    <row r="1279" spans="1:12">
      <c r="A1279" s="133"/>
      <c r="B1279" s="134"/>
      <c r="C1279" s="134"/>
      <c r="D1279" s="134"/>
      <c r="E1279" s="133"/>
      <c r="F1279" s="134"/>
      <c r="G1279" s="134"/>
      <c r="H1279" s="134"/>
      <c r="I1279" s="133"/>
      <c r="J1279" s="133"/>
      <c r="K1279" s="133"/>
      <c r="L1279" s="134"/>
    </row>
    <row r="1280" spans="1:12">
      <c r="A1280" s="133"/>
      <c r="B1280" s="134"/>
      <c r="C1280" s="134"/>
      <c r="D1280" s="134"/>
      <c r="E1280" s="133"/>
      <c r="F1280" s="134"/>
      <c r="G1280" s="134"/>
      <c r="H1280" s="134"/>
      <c r="I1280" s="133"/>
      <c r="J1280" s="133"/>
      <c r="K1280" s="133"/>
      <c r="L1280" s="134"/>
    </row>
    <row r="1281" spans="1:12">
      <c r="A1281" s="133"/>
      <c r="B1281" s="134"/>
      <c r="C1281" s="134"/>
      <c r="D1281" s="134"/>
      <c r="E1281" s="133"/>
      <c r="F1281" s="134"/>
      <c r="G1281" s="134"/>
      <c r="H1281" s="134"/>
      <c r="I1281" s="133"/>
      <c r="J1281" s="133"/>
      <c r="K1281" s="133"/>
      <c r="L1281" s="134"/>
    </row>
    <row r="1282" spans="1:12">
      <c r="A1282" s="133"/>
      <c r="B1282" s="134"/>
      <c r="C1282" s="134"/>
      <c r="D1282" s="134"/>
      <c r="E1282" s="133"/>
      <c r="F1282" s="134"/>
      <c r="G1282" s="134"/>
      <c r="H1282" s="134"/>
      <c r="I1282" s="133"/>
      <c r="J1282" s="133"/>
      <c r="K1282" s="133"/>
      <c r="L1282" s="134"/>
    </row>
    <row r="1283" spans="1:12">
      <c r="A1283" s="133"/>
      <c r="B1283" s="134"/>
      <c r="C1283" s="134"/>
      <c r="D1283" s="134"/>
      <c r="E1283" s="133"/>
      <c r="F1283" s="134"/>
      <c r="G1283" s="134"/>
      <c r="H1283" s="134"/>
      <c r="I1283" s="133"/>
      <c r="J1283" s="133"/>
      <c r="K1283" s="133"/>
      <c r="L1283" s="134"/>
    </row>
    <row r="1284" spans="1:12">
      <c r="A1284" s="133"/>
      <c r="B1284" s="134"/>
      <c r="C1284" s="134"/>
      <c r="D1284" s="134"/>
      <c r="E1284" s="133"/>
      <c r="F1284" s="134"/>
      <c r="G1284" s="134"/>
      <c r="H1284" s="134"/>
      <c r="I1284" s="133"/>
      <c r="J1284" s="133"/>
      <c r="K1284" s="133"/>
      <c r="L1284" s="134"/>
    </row>
    <row r="1285" spans="1:12">
      <c r="A1285" s="133"/>
      <c r="B1285" s="134"/>
      <c r="C1285" s="134"/>
      <c r="D1285" s="134"/>
      <c r="E1285" s="133"/>
      <c r="F1285" s="134"/>
      <c r="G1285" s="134"/>
      <c r="H1285" s="134"/>
      <c r="I1285" s="133"/>
      <c r="J1285" s="133"/>
      <c r="K1285" s="133"/>
      <c r="L1285" s="134"/>
    </row>
    <row r="1286" spans="1:12">
      <c r="A1286" s="133"/>
      <c r="B1286" s="134"/>
      <c r="C1286" s="134"/>
      <c r="D1286" s="134"/>
      <c r="E1286" s="133"/>
      <c r="F1286" s="134"/>
      <c r="G1286" s="134"/>
      <c r="H1286" s="134"/>
      <c r="I1286" s="133"/>
      <c r="J1286" s="133"/>
      <c r="K1286" s="133"/>
      <c r="L1286" s="134"/>
    </row>
    <row r="1287" spans="1:12">
      <c r="A1287" s="133"/>
      <c r="B1287" s="134"/>
      <c r="C1287" s="134"/>
      <c r="D1287" s="134"/>
      <c r="E1287" s="133"/>
      <c r="F1287" s="134"/>
      <c r="G1287" s="134"/>
      <c r="H1287" s="134"/>
      <c r="I1287" s="133"/>
      <c r="J1287" s="133"/>
      <c r="K1287" s="133"/>
      <c r="L1287" s="134"/>
    </row>
    <row r="1288" spans="1:12">
      <c r="A1288" s="133"/>
      <c r="B1288" s="134"/>
      <c r="C1288" s="134"/>
      <c r="D1288" s="134"/>
      <c r="E1288" s="133"/>
      <c r="F1288" s="134"/>
      <c r="G1288" s="134"/>
      <c r="H1288" s="134"/>
      <c r="I1288" s="133"/>
      <c r="J1288" s="133"/>
      <c r="K1288" s="133"/>
      <c r="L1288" s="134"/>
    </row>
    <row r="1289" spans="1:12">
      <c r="A1289" s="133"/>
      <c r="B1289" s="134"/>
      <c r="C1289" s="134"/>
      <c r="D1289" s="134"/>
      <c r="E1289" s="133"/>
      <c r="F1289" s="134"/>
      <c r="G1289" s="134"/>
      <c r="H1289" s="134"/>
      <c r="I1289" s="133"/>
      <c r="J1289" s="133"/>
      <c r="K1289" s="133"/>
      <c r="L1289" s="134"/>
    </row>
    <row r="1290" spans="1:12">
      <c r="A1290" s="133"/>
      <c r="B1290" s="134"/>
      <c r="C1290" s="134"/>
      <c r="D1290" s="134"/>
      <c r="E1290" s="133"/>
      <c r="F1290" s="134"/>
      <c r="G1290" s="134"/>
      <c r="H1290" s="134"/>
      <c r="I1290" s="133"/>
      <c r="J1290" s="133"/>
      <c r="K1290" s="133"/>
      <c r="L1290" s="134"/>
    </row>
    <row r="1291" spans="1:12">
      <c r="A1291" s="133"/>
      <c r="B1291" s="134"/>
      <c r="C1291" s="134"/>
      <c r="D1291" s="134"/>
      <c r="E1291" s="133"/>
      <c r="F1291" s="134"/>
      <c r="G1291" s="134"/>
      <c r="H1291" s="134"/>
      <c r="I1291" s="133"/>
      <c r="J1291" s="133"/>
      <c r="K1291" s="133"/>
      <c r="L1291" s="134"/>
    </row>
    <row r="1292" spans="1:12">
      <c r="A1292" s="133"/>
      <c r="B1292" s="134"/>
      <c r="C1292" s="134"/>
      <c r="D1292" s="134"/>
      <c r="E1292" s="133"/>
      <c r="F1292" s="134"/>
      <c r="G1292" s="134"/>
      <c r="H1292" s="134"/>
      <c r="I1292" s="133"/>
      <c r="J1292" s="133"/>
      <c r="K1292" s="133"/>
      <c r="L1292" s="134"/>
    </row>
    <row r="1293" spans="1:12">
      <c r="A1293" s="133"/>
      <c r="B1293" s="134"/>
      <c r="C1293" s="134"/>
      <c r="D1293" s="134"/>
      <c r="E1293" s="133"/>
      <c r="F1293" s="134"/>
      <c r="G1293" s="134"/>
      <c r="H1293" s="134"/>
      <c r="I1293" s="133"/>
      <c r="J1293" s="133"/>
      <c r="K1293" s="133"/>
      <c r="L1293" s="134"/>
    </row>
    <row r="1294" spans="1:12">
      <c r="A1294" s="133"/>
      <c r="B1294" s="134"/>
      <c r="C1294" s="134"/>
      <c r="D1294" s="134"/>
      <c r="E1294" s="133"/>
      <c r="F1294" s="134"/>
      <c r="G1294" s="134"/>
      <c r="H1294" s="134"/>
      <c r="I1294" s="133"/>
      <c r="J1294" s="133"/>
      <c r="K1294" s="133"/>
      <c r="L1294" s="134"/>
    </row>
    <row r="1295" spans="1:12">
      <c r="A1295" s="133"/>
      <c r="B1295" s="134"/>
      <c r="C1295" s="134"/>
      <c r="D1295" s="134"/>
      <c r="E1295" s="133"/>
      <c r="F1295" s="134"/>
      <c r="G1295" s="134"/>
      <c r="H1295" s="134"/>
      <c r="I1295" s="133"/>
      <c r="J1295" s="133"/>
      <c r="K1295" s="133"/>
      <c r="L1295" s="134"/>
    </row>
    <row r="1296" spans="1:12">
      <c r="A1296" s="133"/>
      <c r="B1296" s="134"/>
      <c r="C1296" s="134"/>
      <c r="D1296" s="134"/>
      <c r="E1296" s="133"/>
      <c r="F1296" s="134"/>
      <c r="G1296" s="134"/>
      <c r="H1296" s="134"/>
      <c r="I1296" s="133"/>
      <c r="J1296" s="133"/>
      <c r="K1296" s="133"/>
      <c r="L1296" s="134"/>
    </row>
    <row r="1297" spans="1:12">
      <c r="A1297" s="133"/>
      <c r="B1297" s="134"/>
      <c r="C1297" s="134"/>
      <c r="D1297" s="134"/>
      <c r="E1297" s="133"/>
      <c r="F1297" s="134"/>
      <c r="G1297" s="134"/>
      <c r="H1297" s="134"/>
      <c r="I1297" s="133"/>
      <c r="J1297" s="133"/>
      <c r="K1297" s="133"/>
      <c r="L1297" s="134"/>
    </row>
    <row r="1298" spans="1:12">
      <c r="A1298" s="133"/>
      <c r="B1298" s="134"/>
      <c r="C1298" s="134"/>
      <c r="D1298" s="134"/>
      <c r="E1298" s="133"/>
      <c r="F1298" s="134"/>
      <c r="G1298" s="134"/>
      <c r="H1298" s="134"/>
      <c r="I1298" s="133"/>
      <c r="J1298" s="133"/>
      <c r="K1298" s="133"/>
      <c r="L1298" s="134"/>
    </row>
    <row r="1299" spans="1:12">
      <c r="A1299" s="133"/>
      <c r="B1299" s="134"/>
      <c r="C1299" s="134"/>
      <c r="D1299" s="134"/>
      <c r="E1299" s="133"/>
      <c r="F1299" s="134"/>
      <c r="G1299" s="134"/>
      <c r="H1299" s="134"/>
      <c r="I1299" s="133"/>
      <c r="J1299" s="133"/>
      <c r="K1299" s="133"/>
      <c r="L1299" s="134"/>
    </row>
    <row r="1300" spans="1:12">
      <c r="A1300" s="133"/>
      <c r="B1300" s="134"/>
      <c r="C1300" s="134"/>
      <c r="D1300" s="134"/>
      <c r="E1300" s="133"/>
      <c r="F1300" s="134"/>
      <c r="G1300" s="134"/>
      <c r="H1300" s="134"/>
      <c r="I1300" s="133"/>
      <c r="J1300" s="133"/>
      <c r="K1300" s="133"/>
      <c r="L1300" s="134"/>
    </row>
    <row r="1301" spans="1:12">
      <c r="A1301" s="133"/>
      <c r="B1301" s="134"/>
      <c r="C1301" s="134"/>
      <c r="D1301" s="134"/>
      <c r="E1301" s="133"/>
      <c r="F1301" s="134"/>
      <c r="G1301" s="134"/>
      <c r="H1301" s="134"/>
      <c r="I1301" s="133"/>
      <c r="J1301" s="133"/>
      <c r="K1301" s="133"/>
      <c r="L1301" s="134"/>
    </row>
    <row r="1302" spans="1:12">
      <c r="A1302" s="133"/>
      <c r="B1302" s="134"/>
      <c r="C1302" s="134"/>
      <c r="D1302" s="134"/>
      <c r="E1302" s="133"/>
      <c r="F1302" s="134"/>
      <c r="G1302" s="134"/>
      <c r="H1302" s="134"/>
      <c r="I1302" s="133"/>
      <c r="J1302" s="133"/>
      <c r="K1302" s="133"/>
      <c r="L1302" s="134"/>
    </row>
    <row r="1303" spans="1:12">
      <c r="A1303" s="133"/>
      <c r="B1303" s="134"/>
      <c r="C1303" s="134"/>
      <c r="D1303" s="134"/>
      <c r="E1303" s="133"/>
      <c r="F1303" s="134"/>
      <c r="G1303" s="134"/>
      <c r="H1303" s="134"/>
      <c r="I1303" s="133"/>
      <c r="J1303" s="133"/>
      <c r="K1303" s="133"/>
      <c r="L1303" s="134"/>
    </row>
    <row r="1304" spans="1:12">
      <c r="A1304" s="133"/>
      <c r="B1304" s="134"/>
      <c r="C1304" s="134"/>
      <c r="D1304" s="134"/>
      <c r="E1304" s="133"/>
      <c r="F1304" s="134"/>
      <c r="G1304" s="134"/>
      <c r="H1304" s="134"/>
      <c r="I1304" s="133"/>
      <c r="J1304" s="133"/>
      <c r="K1304" s="133"/>
      <c r="L1304" s="134"/>
    </row>
    <row r="1305" spans="1:12">
      <c r="A1305" s="133"/>
      <c r="B1305" s="134"/>
      <c r="C1305" s="134"/>
      <c r="D1305" s="134"/>
      <c r="E1305" s="133"/>
      <c r="F1305" s="134"/>
      <c r="G1305" s="134"/>
      <c r="H1305" s="134"/>
      <c r="I1305" s="133"/>
      <c r="J1305" s="133"/>
      <c r="K1305" s="133"/>
      <c r="L1305" s="134"/>
    </row>
    <row r="1306" spans="1:12">
      <c r="A1306" s="133"/>
      <c r="B1306" s="134"/>
      <c r="C1306" s="134"/>
      <c r="D1306" s="134"/>
      <c r="E1306" s="133"/>
      <c r="F1306" s="134"/>
      <c r="G1306" s="134"/>
      <c r="H1306" s="134"/>
      <c r="I1306" s="133"/>
      <c r="J1306" s="133"/>
      <c r="K1306" s="133"/>
      <c r="L1306" s="134"/>
    </row>
    <row r="1307" spans="1:12">
      <c r="A1307" s="133"/>
      <c r="B1307" s="134"/>
      <c r="C1307" s="134"/>
      <c r="D1307" s="134"/>
      <c r="E1307" s="133"/>
      <c r="F1307" s="134"/>
      <c r="G1307" s="134"/>
      <c r="H1307" s="134"/>
      <c r="I1307" s="133"/>
      <c r="J1307" s="133"/>
      <c r="K1307" s="133"/>
      <c r="L1307" s="134"/>
    </row>
    <row r="1308" spans="1:12">
      <c r="A1308" s="133"/>
      <c r="B1308" s="134"/>
      <c r="C1308" s="134"/>
      <c r="D1308" s="134"/>
      <c r="E1308" s="133"/>
      <c r="F1308" s="134"/>
      <c r="G1308" s="134"/>
      <c r="H1308" s="134"/>
      <c r="I1308" s="133"/>
      <c r="J1308" s="133"/>
      <c r="K1308" s="133"/>
      <c r="L1308" s="134"/>
    </row>
    <row r="1309" spans="1:12">
      <c r="A1309" s="133"/>
      <c r="B1309" s="134"/>
      <c r="C1309" s="134"/>
      <c r="D1309" s="134"/>
      <c r="E1309" s="133"/>
      <c r="F1309" s="134"/>
      <c r="G1309" s="134"/>
      <c r="H1309" s="134"/>
      <c r="I1309" s="133"/>
      <c r="J1309" s="133"/>
      <c r="K1309" s="133"/>
      <c r="L1309" s="134"/>
    </row>
    <row r="1310" spans="1:12">
      <c r="A1310" s="133"/>
      <c r="B1310" s="134"/>
      <c r="C1310" s="134"/>
      <c r="D1310" s="134"/>
      <c r="E1310" s="133"/>
      <c r="F1310" s="134"/>
      <c r="G1310" s="134"/>
      <c r="H1310" s="134"/>
      <c r="I1310" s="133"/>
      <c r="J1310" s="133"/>
      <c r="K1310" s="133"/>
      <c r="L1310" s="134"/>
    </row>
    <row r="1311" spans="1:12">
      <c r="A1311" s="133"/>
      <c r="B1311" s="134"/>
      <c r="C1311" s="134"/>
      <c r="D1311" s="134"/>
      <c r="E1311" s="133"/>
      <c r="F1311" s="134"/>
      <c r="G1311" s="134"/>
      <c r="H1311" s="134"/>
      <c r="I1311" s="133"/>
      <c r="J1311" s="133"/>
      <c r="K1311" s="133"/>
      <c r="L1311" s="134"/>
    </row>
    <row r="1312" spans="1:12">
      <c r="A1312" s="133"/>
      <c r="B1312" s="134"/>
      <c r="C1312" s="134"/>
      <c r="D1312" s="134"/>
      <c r="E1312" s="133"/>
      <c r="F1312" s="134"/>
      <c r="G1312" s="134"/>
      <c r="H1312" s="134"/>
      <c r="I1312" s="133"/>
      <c r="J1312" s="133"/>
      <c r="K1312" s="133"/>
      <c r="L1312" s="134"/>
    </row>
    <row r="1313" spans="1:12">
      <c r="A1313" s="133"/>
      <c r="B1313" s="134"/>
      <c r="C1313" s="134"/>
      <c r="D1313" s="134"/>
      <c r="E1313" s="133"/>
      <c r="F1313" s="134"/>
      <c r="G1313" s="134"/>
      <c r="H1313" s="134"/>
      <c r="I1313" s="133"/>
      <c r="J1313" s="133"/>
      <c r="K1313" s="133"/>
      <c r="L1313" s="134"/>
    </row>
    <row r="1314" spans="1:12">
      <c r="A1314" s="133"/>
      <c r="B1314" s="134"/>
      <c r="C1314" s="134"/>
      <c r="D1314" s="134"/>
      <c r="E1314" s="133"/>
      <c r="F1314" s="134"/>
      <c r="G1314" s="134"/>
      <c r="H1314" s="134"/>
      <c r="I1314" s="133"/>
      <c r="J1314" s="133"/>
      <c r="K1314" s="133"/>
      <c r="L1314" s="134"/>
    </row>
    <row r="1315" spans="1:12">
      <c r="A1315" s="133"/>
      <c r="B1315" s="134"/>
      <c r="C1315" s="134"/>
      <c r="D1315" s="134"/>
      <c r="E1315" s="133"/>
      <c r="F1315" s="134"/>
      <c r="G1315" s="134"/>
      <c r="H1315" s="134"/>
      <c r="I1315" s="133"/>
      <c r="J1315" s="133"/>
      <c r="K1315" s="133"/>
      <c r="L1315" s="134"/>
    </row>
    <row r="1316" spans="1:12">
      <c r="A1316" s="133"/>
      <c r="B1316" s="134"/>
      <c r="C1316" s="134"/>
      <c r="D1316" s="134"/>
      <c r="E1316" s="133"/>
      <c r="F1316" s="134"/>
      <c r="G1316" s="134"/>
      <c r="H1316" s="134"/>
      <c r="I1316" s="133"/>
      <c r="J1316" s="133"/>
      <c r="K1316" s="133"/>
      <c r="L1316" s="134"/>
    </row>
    <row r="1317" spans="1:12">
      <c r="A1317" s="133"/>
      <c r="B1317" s="134"/>
      <c r="C1317" s="134"/>
      <c r="D1317" s="134"/>
      <c r="E1317" s="133"/>
      <c r="F1317" s="134"/>
      <c r="G1317" s="134"/>
      <c r="H1317" s="134"/>
      <c r="I1317" s="133"/>
      <c r="J1317" s="133"/>
      <c r="K1317" s="133"/>
      <c r="L1317" s="134"/>
    </row>
    <row r="1318" spans="1:12">
      <c r="A1318" s="133"/>
      <c r="B1318" s="134"/>
      <c r="C1318" s="134"/>
      <c r="D1318" s="134"/>
      <c r="E1318" s="133"/>
      <c r="F1318" s="134"/>
      <c r="G1318" s="134"/>
      <c r="H1318" s="134"/>
      <c r="I1318" s="133"/>
      <c r="J1318" s="133"/>
      <c r="K1318" s="133"/>
      <c r="L1318" s="134"/>
    </row>
    <row r="1319" spans="1:12">
      <c r="A1319" s="133"/>
      <c r="B1319" s="134"/>
      <c r="C1319" s="134"/>
      <c r="D1319" s="134"/>
      <c r="E1319" s="133"/>
      <c r="F1319" s="134"/>
      <c r="G1319" s="134"/>
      <c r="H1319" s="134"/>
      <c r="I1319" s="133"/>
      <c r="J1319" s="133"/>
      <c r="K1319" s="133"/>
      <c r="L1319" s="134"/>
    </row>
    <row r="1320" spans="1:12">
      <c r="A1320" s="133"/>
      <c r="B1320" s="134"/>
      <c r="C1320" s="134"/>
      <c r="D1320" s="134"/>
      <c r="E1320" s="133"/>
      <c r="F1320" s="134"/>
      <c r="G1320" s="134"/>
      <c r="H1320" s="134"/>
      <c r="I1320" s="133"/>
      <c r="J1320" s="133"/>
      <c r="K1320" s="133"/>
      <c r="L1320" s="134"/>
    </row>
    <row r="1321" spans="1:12">
      <c r="A1321" s="133"/>
      <c r="B1321" s="134"/>
      <c r="C1321" s="134"/>
      <c r="D1321" s="134"/>
      <c r="E1321" s="133"/>
      <c r="F1321" s="134"/>
      <c r="G1321" s="134"/>
      <c r="H1321" s="134"/>
      <c r="I1321" s="133"/>
      <c r="J1321" s="133"/>
      <c r="K1321" s="133"/>
      <c r="L1321" s="134"/>
    </row>
    <row r="1322" spans="1:12">
      <c r="A1322" s="133"/>
      <c r="B1322" s="134"/>
      <c r="C1322" s="134"/>
      <c r="D1322" s="134"/>
      <c r="E1322" s="133"/>
      <c r="F1322" s="134"/>
      <c r="G1322" s="134"/>
      <c r="H1322" s="134"/>
      <c r="I1322" s="133"/>
      <c r="J1322" s="133"/>
      <c r="K1322" s="133"/>
      <c r="L1322" s="134"/>
    </row>
    <row r="1323" spans="1:12">
      <c r="A1323" s="133"/>
      <c r="B1323" s="134"/>
      <c r="C1323" s="134"/>
      <c r="D1323" s="134"/>
      <c r="E1323" s="133"/>
      <c r="F1323" s="134"/>
      <c r="G1323" s="134"/>
      <c r="H1323" s="134"/>
      <c r="I1323" s="133"/>
      <c r="J1323" s="133"/>
      <c r="K1323" s="133"/>
      <c r="L1323" s="134"/>
    </row>
    <row r="1324" spans="1:12">
      <c r="A1324" s="133"/>
      <c r="B1324" s="134"/>
      <c r="C1324" s="134"/>
      <c r="D1324" s="134"/>
      <c r="E1324" s="133"/>
      <c r="F1324" s="134"/>
      <c r="G1324" s="134"/>
      <c r="H1324" s="134"/>
      <c r="I1324" s="133"/>
      <c r="J1324" s="133"/>
      <c r="K1324" s="133"/>
      <c r="L1324" s="134"/>
    </row>
    <row r="1325" spans="1:12">
      <c r="A1325" s="133"/>
      <c r="B1325" s="134"/>
      <c r="C1325" s="134"/>
      <c r="D1325" s="134"/>
      <c r="E1325" s="133"/>
      <c r="F1325" s="134"/>
      <c r="G1325" s="134"/>
      <c r="H1325" s="134"/>
      <c r="I1325" s="133"/>
      <c r="J1325" s="133"/>
      <c r="K1325" s="133"/>
      <c r="L1325" s="134"/>
    </row>
    <row r="1326" spans="1:12">
      <c r="A1326" s="133"/>
      <c r="B1326" s="134"/>
      <c r="C1326" s="134"/>
      <c r="D1326" s="134"/>
      <c r="E1326" s="133"/>
      <c r="F1326" s="134"/>
      <c r="G1326" s="134"/>
      <c r="H1326" s="134"/>
      <c r="I1326" s="133"/>
      <c r="J1326" s="133"/>
      <c r="K1326" s="133"/>
      <c r="L1326" s="134"/>
    </row>
    <row r="1327" spans="1:12">
      <c r="A1327" s="133"/>
      <c r="B1327" s="134"/>
      <c r="C1327" s="134"/>
      <c r="D1327" s="134"/>
      <c r="E1327" s="133"/>
      <c r="F1327" s="134"/>
      <c r="G1327" s="134"/>
      <c r="H1327" s="134"/>
      <c r="I1327" s="133"/>
      <c r="J1327" s="133"/>
      <c r="K1327" s="133"/>
      <c r="L1327" s="134"/>
    </row>
    <row r="1328" spans="1:12">
      <c r="A1328" s="133"/>
      <c r="B1328" s="134"/>
      <c r="C1328" s="134"/>
      <c r="D1328" s="134"/>
      <c r="E1328" s="133"/>
      <c r="F1328" s="134"/>
      <c r="G1328" s="134"/>
      <c r="H1328" s="134"/>
      <c r="I1328" s="133"/>
      <c r="J1328" s="133"/>
      <c r="K1328" s="133"/>
      <c r="L1328" s="134"/>
    </row>
    <row r="1329" spans="1:12">
      <c r="A1329" s="133"/>
      <c r="B1329" s="134"/>
      <c r="C1329" s="134"/>
      <c r="D1329" s="134"/>
      <c r="E1329" s="133"/>
      <c r="F1329" s="134"/>
      <c r="G1329" s="134"/>
      <c r="H1329" s="134"/>
      <c r="I1329" s="133"/>
      <c r="J1329" s="133"/>
      <c r="K1329" s="133"/>
      <c r="L1329" s="134"/>
    </row>
    <row r="1330" spans="1:12">
      <c r="A1330" s="133"/>
      <c r="B1330" s="134"/>
      <c r="C1330" s="134"/>
      <c r="D1330" s="134"/>
      <c r="E1330" s="133"/>
      <c r="F1330" s="134"/>
      <c r="G1330" s="134"/>
      <c r="H1330" s="134"/>
      <c r="I1330" s="133"/>
      <c r="J1330" s="133"/>
      <c r="K1330" s="133"/>
      <c r="L1330" s="134"/>
    </row>
    <row r="1331" spans="1:12">
      <c r="A1331" s="133"/>
      <c r="B1331" s="134"/>
      <c r="C1331" s="134"/>
      <c r="D1331" s="134"/>
      <c r="E1331" s="133"/>
      <c r="F1331" s="134"/>
      <c r="G1331" s="134"/>
      <c r="H1331" s="134"/>
      <c r="I1331" s="133"/>
      <c r="J1331" s="133"/>
      <c r="K1331" s="133"/>
      <c r="L1331" s="134"/>
    </row>
    <row r="1332" spans="1:12">
      <c r="A1332" s="133"/>
      <c r="B1332" s="134"/>
      <c r="C1332" s="134"/>
      <c r="D1332" s="134"/>
      <c r="E1332" s="133"/>
      <c r="F1332" s="134"/>
      <c r="G1332" s="134"/>
      <c r="H1332" s="134"/>
      <c r="I1332" s="133"/>
      <c r="J1332" s="133"/>
      <c r="K1332" s="133"/>
      <c r="L1332" s="134"/>
    </row>
    <row r="1333" spans="1:12">
      <c r="A1333" s="133"/>
      <c r="B1333" s="134"/>
      <c r="C1333" s="134"/>
      <c r="D1333" s="134"/>
      <c r="E1333" s="133"/>
      <c r="F1333" s="134"/>
      <c r="G1333" s="134"/>
      <c r="H1333" s="134"/>
      <c r="I1333" s="133"/>
      <c r="J1333" s="133"/>
      <c r="K1333" s="133"/>
      <c r="L1333" s="134"/>
    </row>
    <row r="1334" spans="1:12">
      <c r="A1334" s="133"/>
      <c r="B1334" s="134"/>
      <c r="C1334" s="134"/>
      <c r="D1334" s="134"/>
      <c r="E1334" s="133"/>
      <c r="F1334" s="134"/>
      <c r="G1334" s="134"/>
      <c r="H1334" s="134"/>
      <c r="I1334" s="133"/>
      <c r="J1334" s="133"/>
      <c r="K1334" s="133"/>
      <c r="L1334" s="134"/>
    </row>
    <row r="1335" spans="1:12">
      <c r="A1335" s="133"/>
      <c r="B1335" s="134"/>
      <c r="C1335" s="134"/>
      <c r="D1335" s="134"/>
      <c r="E1335" s="133"/>
      <c r="F1335" s="134"/>
      <c r="G1335" s="134"/>
      <c r="H1335" s="134"/>
      <c r="I1335" s="133"/>
      <c r="J1335" s="133"/>
      <c r="K1335" s="133"/>
      <c r="L1335" s="134"/>
    </row>
    <row r="1336" spans="1:12">
      <c r="A1336" s="133"/>
      <c r="B1336" s="134"/>
      <c r="C1336" s="134"/>
      <c r="D1336" s="134"/>
      <c r="E1336" s="133"/>
      <c r="F1336" s="134"/>
      <c r="G1336" s="134"/>
      <c r="H1336" s="134"/>
      <c r="I1336" s="133"/>
      <c r="J1336" s="133"/>
      <c r="K1336" s="133"/>
      <c r="L1336" s="134"/>
    </row>
    <row r="1337" spans="1:12">
      <c r="A1337" s="133"/>
      <c r="B1337" s="134"/>
      <c r="C1337" s="134"/>
      <c r="D1337" s="134"/>
      <c r="E1337" s="133"/>
      <c r="F1337" s="134"/>
      <c r="G1337" s="134"/>
      <c r="H1337" s="134"/>
      <c r="I1337" s="133"/>
      <c r="J1337" s="133"/>
      <c r="K1337" s="133"/>
      <c r="L1337" s="134"/>
    </row>
    <row r="1338" spans="1:12">
      <c r="A1338" s="133"/>
      <c r="B1338" s="134"/>
      <c r="C1338" s="134"/>
      <c r="D1338" s="134"/>
      <c r="E1338" s="133"/>
      <c r="F1338" s="134"/>
      <c r="G1338" s="134"/>
      <c r="H1338" s="134"/>
      <c r="I1338" s="133"/>
      <c r="J1338" s="133"/>
      <c r="K1338" s="133"/>
      <c r="L1338" s="134"/>
    </row>
    <row r="1339" spans="1:12">
      <c r="A1339" s="133"/>
      <c r="B1339" s="134"/>
      <c r="C1339" s="134"/>
      <c r="D1339" s="134"/>
      <c r="E1339" s="133"/>
      <c r="F1339" s="134"/>
      <c r="G1339" s="134"/>
      <c r="H1339" s="134"/>
      <c r="I1339" s="133"/>
      <c r="J1339" s="133"/>
      <c r="K1339" s="133"/>
      <c r="L1339" s="134"/>
    </row>
    <row r="1340" spans="1:12">
      <c r="A1340" s="133"/>
      <c r="B1340" s="134"/>
      <c r="C1340" s="134"/>
      <c r="D1340" s="134"/>
      <c r="E1340" s="133"/>
      <c r="F1340" s="134"/>
      <c r="G1340" s="134"/>
      <c r="H1340" s="134"/>
      <c r="I1340" s="133"/>
      <c r="J1340" s="133"/>
      <c r="K1340" s="133"/>
      <c r="L1340" s="134"/>
    </row>
    <row r="1341" spans="1:12">
      <c r="A1341" s="133"/>
      <c r="B1341" s="134"/>
      <c r="C1341" s="134"/>
      <c r="D1341" s="134"/>
      <c r="E1341" s="133"/>
      <c r="F1341" s="134"/>
      <c r="G1341" s="134"/>
      <c r="H1341" s="134"/>
      <c r="I1341" s="133"/>
      <c r="J1341" s="133"/>
      <c r="K1341" s="133"/>
      <c r="L1341" s="134"/>
    </row>
    <row r="1342" spans="1:12">
      <c r="A1342" s="133"/>
      <c r="B1342" s="134"/>
      <c r="C1342" s="134"/>
      <c r="D1342" s="134"/>
      <c r="E1342" s="133"/>
      <c r="F1342" s="134"/>
      <c r="G1342" s="134"/>
      <c r="H1342" s="134"/>
      <c r="I1342" s="133"/>
      <c r="J1342" s="133"/>
      <c r="K1342" s="133"/>
      <c r="L1342" s="134"/>
    </row>
    <row r="1343" spans="1:12">
      <c r="A1343" s="133"/>
      <c r="B1343" s="134"/>
      <c r="C1343" s="134"/>
      <c r="D1343" s="134"/>
      <c r="E1343" s="133"/>
      <c r="F1343" s="134"/>
      <c r="G1343" s="134"/>
      <c r="H1343" s="134"/>
      <c r="I1343" s="133"/>
      <c r="J1343" s="133"/>
      <c r="K1343" s="133"/>
      <c r="L1343" s="134"/>
    </row>
    <row r="1344" spans="1:12">
      <c r="A1344" s="133"/>
      <c r="B1344" s="134"/>
      <c r="C1344" s="134"/>
      <c r="D1344" s="134"/>
      <c r="E1344" s="133"/>
      <c r="F1344" s="134"/>
      <c r="G1344" s="134"/>
      <c r="H1344" s="134"/>
      <c r="I1344" s="133"/>
      <c r="J1344" s="133"/>
      <c r="K1344" s="133"/>
      <c r="L1344" s="134"/>
    </row>
    <row r="1345" spans="1:12">
      <c r="A1345" s="133"/>
      <c r="B1345" s="134"/>
      <c r="C1345" s="134"/>
      <c r="D1345" s="134"/>
      <c r="E1345" s="133"/>
      <c r="F1345" s="134"/>
      <c r="G1345" s="134"/>
      <c r="H1345" s="134"/>
      <c r="I1345" s="133"/>
      <c r="J1345" s="133"/>
      <c r="K1345" s="133"/>
      <c r="L1345" s="134"/>
    </row>
    <row r="1346" spans="1:12">
      <c r="A1346" s="133"/>
      <c r="B1346" s="134"/>
      <c r="C1346" s="134"/>
      <c r="D1346" s="134"/>
      <c r="E1346" s="133"/>
      <c r="F1346" s="134"/>
      <c r="G1346" s="134"/>
      <c r="H1346" s="134"/>
      <c r="I1346" s="133"/>
      <c r="J1346" s="133"/>
      <c r="K1346" s="133"/>
      <c r="L1346" s="134"/>
    </row>
    <row r="1347" spans="1:12">
      <c r="A1347" s="133"/>
      <c r="B1347" s="134"/>
      <c r="C1347" s="134"/>
      <c r="D1347" s="134"/>
      <c r="E1347" s="133"/>
      <c r="F1347" s="134"/>
      <c r="G1347" s="134"/>
      <c r="H1347" s="134"/>
      <c r="I1347" s="133"/>
      <c r="J1347" s="133"/>
      <c r="K1347" s="133"/>
      <c r="L1347" s="134"/>
    </row>
    <row r="1348" spans="1:12">
      <c r="A1348" s="133"/>
      <c r="B1348" s="134"/>
      <c r="C1348" s="134"/>
      <c r="D1348" s="134"/>
      <c r="E1348" s="133"/>
      <c r="F1348" s="134"/>
      <c r="G1348" s="134"/>
      <c r="H1348" s="134"/>
      <c r="I1348" s="133"/>
      <c r="J1348" s="133"/>
      <c r="K1348" s="133"/>
      <c r="L1348" s="134"/>
    </row>
    <row r="1349" spans="1:12">
      <c r="A1349" s="133"/>
      <c r="B1349" s="134"/>
      <c r="C1349" s="134"/>
      <c r="D1349" s="134"/>
      <c r="E1349" s="133"/>
      <c r="F1349" s="134"/>
      <c r="G1349" s="134"/>
      <c r="H1349" s="134"/>
      <c r="I1349" s="133"/>
      <c r="J1349" s="133"/>
      <c r="K1349" s="133"/>
      <c r="L1349" s="134"/>
    </row>
    <row r="1350" spans="1:12">
      <c r="A1350" s="133"/>
      <c r="B1350" s="134"/>
      <c r="C1350" s="134"/>
      <c r="D1350" s="134"/>
      <c r="E1350" s="133"/>
      <c r="F1350" s="134"/>
      <c r="G1350" s="134"/>
      <c r="H1350" s="134"/>
      <c r="I1350" s="133"/>
      <c r="J1350" s="133"/>
      <c r="K1350" s="133"/>
      <c r="L1350" s="134"/>
    </row>
    <row r="1351" spans="1:12">
      <c r="A1351" s="133"/>
      <c r="B1351" s="134"/>
      <c r="C1351" s="134"/>
      <c r="D1351" s="134"/>
      <c r="E1351" s="133"/>
      <c r="F1351" s="134"/>
      <c r="G1351" s="134"/>
      <c r="H1351" s="134"/>
      <c r="I1351" s="133"/>
      <c r="J1351" s="133"/>
      <c r="K1351" s="133"/>
      <c r="L1351" s="134"/>
    </row>
    <row r="1352" spans="1:12">
      <c r="A1352" s="133"/>
      <c r="B1352" s="134"/>
      <c r="C1352" s="134"/>
      <c r="D1352" s="134"/>
      <c r="E1352" s="133"/>
      <c r="F1352" s="134"/>
      <c r="G1352" s="134"/>
      <c r="H1352" s="134"/>
      <c r="I1352" s="133"/>
      <c r="J1352" s="133"/>
      <c r="K1352" s="133"/>
      <c r="L1352" s="134"/>
    </row>
    <row r="1353" spans="1:12">
      <c r="A1353" s="133"/>
      <c r="B1353" s="134"/>
      <c r="C1353" s="134"/>
      <c r="D1353" s="134"/>
      <c r="E1353" s="133"/>
      <c r="F1353" s="134"/>
      <c r="G1353" s="134"/>
      <c r="H1353" s="134"/>
      <c r="I1353" s="133"/>
      <c r="J1353" s="133"/>
      <c r="K1353" s="133"/>
      <c r="L1353" s="134"/>
    </row>
    <row r="1354" spans="1:12">
      <c r="A1354" s="133"/>
      <c r="B1354" s="134"/>
      <c r="C1354" s="134"/>
      <c r="D1354" s="134"/>
      <c r="E1354" s="133"/>
      <c r="F1354" s="134"/>
      <c r="G1354" s="134"/>
      <c r="H1354" s="134"/>
      <c r="I1354" s="133"/>
      <c r="J1354" s="133"/>
      <c r="K1354" s="133"/>
      <c r="L1354" s="134"/>
    </row>
    <row r="1355" spans="1:12">
      <c r="A1355" s="133"/>
      <c r="B1355" s="134"/>
      <c r="C1355" s="134"/>
      <c r="D1355" s="134"/>
      <c r="E1355" s="133"/>
      <c r="F1355" s="134"/>
      <c r="G1355" s="134"/>
      <c r="H1355" s="134"/>
      <c r="I1355" s="133"/>
      <c r="J1355" s="133"/>
      <c r="K1355" s="133"/>
      <c r="L1355" s="134"/>
    </row>
    <row r="1356" spans="1:12">
      <c r="A1356" s="133"/>
      <c r="B1356" s="134"/>
      <c r="C1356" s="134"/>
      <c r="D1356" s="134"/>
      <c r="E1356" s="133"/>
      <c r="F1356" s="134"/>
      <c r="G1356" s="134"/>
      <c r="H1356" s="134"/>
      <c r="I1356" s="133"/>
      <c r="J1356" s="133"/>
      <c r="K1356" s="133"/>
      <c r="L1356" s="134"/>
    </row>
    <row r="1357" spans="1:12">
      <c r="A1357" s="133"/>
      <c r="B1357" s="134"/>
      <c r="C1357" s="134"/>
      <c r="D1357" s="134"/>
      <c r="E1357" s="133"/>
      <c r="F1357" s="134"/>
      <c r="G1357" s="134"/>
      <c r="H1357" s="134"/>
      <c r="I1357" s="133"/>
      <c r="J1357" s="133"/>
      <c r="K1357" s="133"/>
      <c r="L1357" s="134"/>
    </row>
    <row r="1358" spans="1:12">
      <c r="A1358" s="133"/>
      <c r="B1358" s="134"/>
      <c r="C1358" s="134"/>
      <c r="D1358" s="134"/>
      <c r="E1358" s="133"/>
      <c r="F1358" s="134"/>
      <c r="G1358" s="134"/>
      <c r="H1358" s="134"/>
      <c r="I1358" s="133"/>
      <c r="J1358" s="133"/>
      <c r="K1358" s="133"/>
      <c r="L1358" s="134"/>
    </row>
    <row r="1359" spans="1:12">
      <c r="A1359" s="133"/>
      <c r="B1359" s="134"/>
      <c r="C1359" s="134"/>
      <c r="D1359" s="134"/>
      <c r="E1359" s="133"/>
      <c r="F1359" s="134"/>
      <c r="G1359" s="134"/>
      <c r="H1359" s="134"/>
      <c r="I1359" s="133"/>
      <c r="J1359" s="133"/>
      <c r="K1359" s="133"/>
      <c r="L1359" s="134"/>
    </row>
    <row r="1360" spans="1:12">
      <c r="A1360" s="133"/>
      <c r="B1360" s="134"/>
      <c r="C1360" s="134"/>
      <c r="D1360" s="134"/>
      <c r="E1360" s="133"/>
      <c r="F1360" s="134"/>
      <c r="G1360" s="134"/>
      <c r="H1360" s="134"/>
      <c r="I1360" s="133"/>
      <c r="J1360" s="133"/>
      <c r="K1360" s="133"/>
      <c r="L1360" s="134"/>
    </row>
    <row r="1361" spans="1:12">
      <c r="A1361" s="133"/>
      <c r="B1361" s="134"/>
      <c r="C1361" s="134"/>
      <c r="D1361" s="134"/>
      <c r="E1361" s="133"/>
      <c r="F1361" s="134"/>
      <c r="G1361" s="134"/>
      <c r="H1361" s="134"/>
      <c r="I1361" s="133"/>
      <c r="J1361" s="133"/>
      <c r="K1361" s="133"/>
      <c r="L1361" s="134"/>
    </row>
    <row r="1362" spans="1:12">
      <c r="A1362" s="133"/>
      <c r="B1362" s="134"/>
      <c r="C1362" s="134"/>
      <c r="D1362" s="134"/>
      <c r="E1362" s="133"/>
      <c r="F1362" s="134"/>
      <c r="G1362" s="134"/>
      <c r="H1362" s="134"/>
      <c r="I1362" s="133"/>
      <c r="J1362" s="133"/>
      <c r="K1362" s="133"/>
      <c r="L1362" s="134"/>
    </row>
    <row r="1363" spans="1:12">
      <c r="A1363" s="133"/>
      <c r="B1363" s="134"/>
      <c r="C1363" s="134"/>
      <c r="D1363" s="134"/>
      <c r="E1363" s="133"/>
      <c r="F1363" s="134"/>
      <c r="G1363" s="134"/>
      <c r="H1363" s="134"/>
      <c r="I1363" s="133"/>
      <c r="J1363" s="133"/>
      <c r="K1363" s="133"/>
      <c r="L1363" s="134"/>
    </row>
    <row r="1364" spans="1:12">
      <c r="A1364" s="133"/>
      <c r="B1364" s="134"/>
      <c r="C1364" s="134"/>
      <c r="D1364" s="134"/>
      <c r="E1364" s="133"/>
      <c r="F1364" s="134"/>
      <c r="G1364" s="134"/>
      <c r="H1364" s="134"/>
      <c r="I1364" s="133"/>
      <c r="J1364" s="133"/>
      <c r="K1364" s="133"/>
      <c r="L1364" s="134"/>
    </row>
    <row r="1365" spans="1:12">
      <c r="A1365" s="133"/>
      <c r="B1365" s="134"/>
      <c r="C1365" s="134"/>
      <c r="D1365" s="134"/>
      <c r="E1365" s="133"/>
      <c r="F1365" s="134"/>
      <c r="G1365" s="134"/>
      <c r="H1365" s="134"/>
      <c r="I1365" s="133"/>
      <c r="J1365" s="133"/>
      <c r="K1365" s="133"/>
      <c r="L1365" s="134"/>
    </row>
    <row r="1366" spans="1:12">
      <c r="A1366" s="133"/>
      <c r="B1366" s="134"/>
      <c r="C1366" s="134"/>
      <c r="D1366" s="134"/>
      <c r="E1366" s="133"/>
      <c r="F1366" s="134"/>
      <c r="G1366" s="134"/>
      <c r="H1366" s="134"/>
      <c r="I1366" s="133"/>
      <c r="J1366" s="133"/>
      <c r="K1366" s="133"/>
      <c r="L1366" s="134"/>
    </row>
    <row r="1367" spans="1:12">
      <c r="A1367" s="133"/>
      <c r="B1367" s="134"/>
      <c r="C1367" s="134"/>
      <c r="D1367" s="134"/>
      <c r="E1367" s="133"/>
      <c r="F1367" s="134"/>
      <c r="G1367" s="134"/>
      <c r="H1367" s="134"/>
      <c r="I1367" s="133"/>
      <c r="J1367" s="133"/>
      <c r="K1367" s="133"/>
      <c r="L1367" s="134"/>
    </row>
    <row r="1368" spans="1:12">
      <c r="A1368" s="133"/>
      <c r="B1368" s="134"/>
      <c r="C1368" s="134"/>
      <c r="D1368" s="134"/>
      <c r="E1368" s="133"/>
      <c r="F1368" s="134"/>
      <c r="G1368" s="134"/>
      <c r="H1368" s="134"/>
      <c r="I1368" s="133"/>
      <c r="J1368" s="133"/>
      <c r="K1368" s="133"/>
      <c r="L1368" s="134"/>
    </row>
    <row r="1369" spans="1:12">
      <c r="A1369" s="133"/>
      <c r="B1369" s="134"/>
      <c r="C1369" s="134"/>
      <c r="D1369" s="134"/>
      <c r="E1369" s="133"/>
      <c r="F1369" s="134"/>
      <c r="G1369" s="134"/>
      <c r="H1369" s="134"/>
      <c r="I1369" s="133"/>
      <c r="J1369" s="133"/>
      <c r="K1369" s="133"/>
      <c r="L1369" s="134"/>
    </row>
    <row r="1370" spans="1:12">
      <c r="A1370" s="133"/>
      <c r="B1370" s="134"/>
      <c r="C1370" s="134"/>
      <c r="D1370" s="134"/>
      <c r="E1370" s="133"/>
      <c r="F1370" s="134"/>
      <c r="G1370" s="134"/>
      <c r="H1370" s="134"/>
      <c r="I1370" s="133"/>
      <c r="J1370" s="133"/>
      <c r="K1370" s="133"/>
      <c r="L1370" s="134"/>
    </row>
    <row r="1371" spans="1:12">
      <c r="A1371" s="133"/>
      <c r="B1371" s="134"/>
      <c r="C1371" s="134"/>
      <c r="D1371" s="134"/>
      <c r="E1371" s="133"/>
      <c r="F1371" s="134"/>
      <c r="G1371" s="134"/>
      <c r="H1371" s="134"/>
      <c r="I1371" s="133"/>
      <c r="J1371" s="133"/>
      <c r="K1371" s="133"/>
      <c r="L1371" s="134"/>
    </row>
    <row r="1372" spans="1:12">
      <c r="A1372" s="133"/>
      <c r="B1372" s="134"/>
      <c r="C1372" s="134"/>
      <c r="D1372" s="134"/>
      <c r="E1372" s="133"/>
      <c r="F1372" s="134"/>
      <c r="G1372" s="134"/>
      <c r="H1372" s="134"/>
      <c r="I1372" s="133"/>
      <c r="J1372" s="133"/>
      <c r="K1372" s="133"/>
      <c r="L1372" s="134"/>
    </row>
    <row r="1373" spans="1:12">
      <c r="A1373" s="133"/>
      <c r="B1373" s="134"/>
      <c r="C1373" s="134"/>
      <c r="D1373" s="134"/>
      <c r="E1373" s="133"/>
      <c r="F1373" s="134"/>
      <c r="G1373" s="134"/>
      <c r="H1373" s="134"/>
      <c r="I1373" s="133"/>
      <c r="J1373" s="133"/>
      <c r="K1373" s="133"/>
      <c r="L1373" s="134"/>
    </row>
    <row r="1374" spans="1:12">
      <c r="A1374" s="133"/>
      <c r="B1374" s="134"/>
      <c r="C1374" s="134"/>
      <c r="D1374" s="134"/>
      <c r="E1374" s="133"/>
      <c r="F1374" s="134"/>
      <c r="G1374" s="134"/>
      <c r="H1374" s="134"/>
      <c r="I1374" s="133"/>
      <c r="J1374" s="133"/>
      <c r="K1374" s="133"/>
      <c r="L1374" s="134"/>
    </row>
    <row r="1375" spans="1:12">
      <c r="A1375" s="133"/>
      <c r="B1375" s="134"/>
      <c r="C1375" s="134"/>
      <c r="D1375" s="134"/>
      <c r="E1375" s="133"/>
      <c r="F1375" s="134"/>
      <c r="G1375" s="134"/>
      <c r="H1375" s="134"/>
      <c r="I1375" s="133"/>
      <c r="J1375" s="133"/>
      <c r="K1375" s="133"/>
      <c r="L1375" s="134"/>
    </row>
    <row r="1376" spans="1:12">
      <c r="A1376" s="133"/>
      <c r="B1376" s="134"/>
      <c r="C1376" s="134"/>
      <c r="D1376" s="134"/>
      <c r="E1376" s="133"/>
      <c r="F1376" s="134"/>
      <c r="G1376" s="134"/>
      <c r="H1376" s="134"/>
      <c r="I1376" s="133"/>
      <c r="J1376" s="133"/>
      <c r="K1376" s="133"/>
      <c r="L1376" s="134"/>
    </row>
    <row r="1377" spans="1:12">
      <c r="A1377" s="133"/>
      <c r="B1377" s="134"/>
      <c r="C1377" s="134"/>
      <c r="D1377" s="134"/>
      <c r="E1377" s="133"/>
      <c r="F1377" s="134"/>
      <c r="G1377" s="134"/>
      <c r="H1377" s="134"/>
      <c r="I1377" s="133"/>
      <c r="J1377" s="133"/>
      <c r="K1377" s="133"/>
      <c r="L1377" s="134"/>
    </row>
    <row r="1378" spans="1:12">
      <c r="A1378" s="133"/>
      <c r="B1378" s="134"/>
      <c r="C1378" s="134"/>
      <c r="D1378" s="134"/>
      <c r="E1378" s="133"/>
      <c r="F1378" s="134"/>
      <c r="G1378" s="134"/>
      <c r="H1378" s="134"/>
      <c r="I1378" s="133"/>
      <c r="J1378" s="133"/>
      <c r="K1378" s="133"/>
      <c r="L1378" s="134"/>
    </row>
    <row r="1379" spans="1:12">
      <c r="A1379" s="133"/>
      <c r="B1379" s="134"/>
      <c r="C1379" s="134"/>
      <c r="D1379" s="134"/>
      <c r="E1379" s="133"/>
      <c r="F1379" s="134"/>
      <c r="G1379" s="134"/>
      <c r="H1379" s="134"/>
      <c r="I1379" s="133"/>
      <c r="J1379" s="133"/>
      <c r="K1379" s="133"/>
      <c r="L1379" s="134"/>
    </row>
    <row r="1380" spans="1:12">
      <c r="A1380" s="133"/>
      <c r="B1380" s="134"/>
      <c r="C1380" s="134"/>
      <c r="D1380" s="134"/>
      <c r="E1380" s="133"/>
      <c r="F1380" s="134"/>
      <c r="G1380" s="134"/>
      <c r="H1380" s="134"/>
      <c r="I1380" s="133"/>
      <c r="J1380" s="133"/>
      <c r="K1380" s="133"/>
      <c r="L1380" s="134"/>
    </row>
    <row r="1381" spans="1:12">
      <c r="A1381" s="133"/>
      <c r="B1381" s="134"/>
      <c r="C1381" s="134"/>
      <c r="D1381" s="134"/>
      <c r="E1381" s="133"/>
      <c r="F1381" s="134"/>
      <c r="G1381" s="134"/>
      <c r="H1381" s="134"/>
      <c r="I1381" s="133"/>
      <c r="J1381" s="133"/>
      <c r="K1381" s="133"/>
      <c r="L1381" s="134"/>
    </row>
    <row r="1382" spans="1:12">
      <c r="A1382" s="133"/>
      <c r="B1382" s="134"/>
      <c r="C1382" s="134"/>
      <c r="D1382" s="134"/>
      <c r="E1382" s="133"/>
      <c r="F1382" s="134"/>
      <c r="G1382" s="134"/>
      <c r="H1382" s="134"/>
      <c r="I1382" s="133"/>
      <c r="J1382" s="133"/>
      <c r="K1382" s="133"/>
      <c r="L1382" s="134"/>
    </row>
    <row r="1383" spans="1:12">
      <c r="A1383" s="133"/>
      <c r="B1383" s="134"/>
      <c r="C1383" s="134"/>
      <c r="D1383" s="134"/>
      <c r="E1383" s="133"/>
      <c r="F1383" s="134"/>
      <c r="G1383" s="134"/>
      <c r="H1383" s="134"/>
      <c r="I1383" s="133"/>
      <c r="J1383" s="133"/>
      <c r="K1383" s="133"/>
      <c r="L1383" s="134"/>
    </row>
    <row r="1384" spans="1:12">
      <c r="A1384" s="133"/>
      <c r="B1384" s="134"/>
      <c r="C1384" s="134"/>
      <c r="D1384" s="134"/>
      <c r="E1384" s="133"/>
      <c r="F1384" s="134"/>
      <c r="G1384" s="134"/>
      <c r="H1384" s="134"/>
      <c r="I1384" s="133"/>
      <c r="J1384" s="133"/>
      <c r="K1384" s="133"/>
      <c r="L1384" s="134"/>
    </row>
    <row r="1385" spans="1:12">
      <c r="A1385" s="133"/>
      <c r="B1385" s="134"/>
      <c r="C1385" s="134"/>
      <c r="D1385" s="134"/>
      <c r="E1385" s="133"/>
      <c r="F1385" s="134"/>
      <c r="G1385" s="134"/>
      <c r="H1385" s="134"/>
      <c r="I1385" s="133"/>
      <c r="J1385" s="133"/>
      <c r="K1385" s="133"/>
      <c r="L1385" s="134"/>
    </row>
    <row r="1386" spans="1:12">
      <c r="A1386" s="133"/>
      <c r="B1386" s="134"/>
      <c r="C1386" s="134"/>
      <c r="D1386" s="134"/>
      <c r="E1386" s="133"/>
      <c r="F1386" s="134"/>
      <c r="G1386" s="134"/>
      <c r="H1386" s="134"/>
      <c r="I1386" s="133"/>
      <c r="J1386" s="133"/>
      <c r="K1386" s="133"/>
      <c r="L1386" s="134"/>
    </row>
    <row r="1387" spans="1:12">
      <c r="A1387" s="133"/>
      <c r="B1387" s="134"/>
      <c r="C1387" s="134"/>
      <c r="D1387" s="134"/>
      <c r="E1387" s="133"/>
      <c r="F1387" s="134"/>
      <c r="G1387" s="134"/>
      <c r="H1387" s="134"/>
      <c r="I1387" s="133"/>
      <c r="J1387" s="133"/>
      <c r="K1387" s="133"/>
      <c r="L1387" s="134"/>
    </row>
    <row r="1388" spans="1:12">
      <c r="A1388" s="133"/>
      <c r="B1388" s="134"/>
      <c r="C1388" s="134"/>
      <c r="D1388" s="134"/>
      <c r="E1388" s="133"/>
      <c r="F1388" s="134"/>
      <c r="G1388" s="134"/>
      <c r="H1388" s="134"/>
      <c r="I1388" s="133"/>
      <c r="J1388" s="133"/>
      <c r="K1388" s="133"/>
      <c r="L1388" s="134"/>
    </row>
    <row r="1389" spans="1:12">
      <c r="A1389" s="133"/>
      <c r="B1389" s="134"/>
      <c r="C1389" s="134"/>
      <c r="D1389" s="134"/>
      <c r="E1389" s="133"/>
      <c r="F1389" s="134"/>
      <c r="G1389" s="134"/>
      <c r="H1389" s="134"/>
      <c r="I1389" s="133"/>
      <c r="J1389" s="133"/>
      <c r="K1389" s="133"/>
      <c r="L1389" s="134"/>
    </row>
    <row r="1390" spans="1:12">
      <c r="A1390" s="133"/>
      <c r="B1390" s="134"/>
      <c r="C1390" s="134"/>
      <c r="D1390" s="134"/>
      <c r="E1390" s="133"/>
      <c r="F1390" s="134"/>
      <c r="G1390" s="134"/>
      <c r="H1390" s="134"/>
      <c r="I1390" s="133"/>
      <c r="J1390" s="133"/>
      <c r="K1390" s="133"/>
      <c r="L1390" s="134"/>
    </row>
    <row r="1391" spans="1:12">
      <c r="A1391" s="133"/>
      <c r="B1391" s="134"/>
      <c r="C1391" s="134"/>
      <c r="D1391" s="134"/>
      <c r="E1391" s="133"/>
      <c r="F1391" s="134"/>
      <c r="G1391" s="134"/>
      <c r="H1391" s="134"/>
      <c r="I1391" s="133"/>
      <c r="J1391" s="133"/>
      <c r="K1391" s="133"/>
      <c r="L1391" s="134"/>
    </row>
    <row r="1392" spans="1:12">
      <c r="A1392" s="133"/>
      <c r="B1392" s="134"/>
      <c r="C1392" s="134"/>
      <c r="D1392" s="134"/>
      <c r="E1392" s="133"/>
      <c r="F1392" s="134"/>
      <c r="G1392" s="134"/>
      <c r="H1392" s="134"/>
      <c r="I1392" s="133"/>
      <c r="J1392" s="133"/>
      <c r="K1392" s="133"/>
      <c r="L1392" s="134"/>
    </row>
    <row r="1393" spans="1:12">
      <c r="A1393" s="133"/>
      <c r="B1393" s="134"/>
      <c r="C1393" s="134"/>
      <c r="D1393" s="134"/>
      <c r="E1393" s="133"/>
      <c r="F1393" s="134"/>
      <c r="G1393" s="134"/>
      <c r="H1393" s="134"/>
      <c r="I1393" s="133"/>
      <c r="J1393" s="133"/>
      <c r="K1393" s="133"/>
      <c r="L1393" s="134"/>
    </row>
    <row r="1394" spans="1:12">
      <c r="A1394" s="133"/>
      <c r="B1394" s="134"/>
      <c r="C1394" s="134"/>
      <c r="D1394" s="134"/>
      <c r="E1394" s="133"/>
      <c r="F1394" s="134"/>
      <c r="G1394" s="134"/>
      <c r="H1394" s="134"/>
      <c r="I1394" s="133"/>
      <c r="J1394" s="133"/>
      <c r="K1394" s="133"/>
      <c r="L1394" s="134"/>
    </row>
    <row r="1395" spans="1:12">
      <c r="A1395" s="133"/>
      <c r="B1395" s="134"/>
      <c r="C1395" s="134"/>
      <c r="D1395" s="134"/>
      <c r="E1395" s="133"/>
      <c r="F1395" s="134"/>
      <c r="G1395" s="134"/>
      <c r="H1395" s="134"/>
      <c r="I1395" s="133"/>
      <c r="J1395" s="133"/>
      <c r="K1395" s="133"/>
      <c r="L1395" s="134"/>
    </row>
    <row r="1396" spans="1:12">
      <c r="A1396" s="133"/>
      <c r="B1396" s="134"/>
      <c r="C1396" s="134"/>
      <c r="D1396" s="134"/>
      <c r="E1396" s="133"/>
      <c r="F1396" s="134"/>
      <c r="G1396" s="134"/>
      <c r="H1396" s="134"/>
      <c r="I1396" s="133"/>
      <c r="J1396" s="133"/>
      <c r="K1396" s="133"/>
      <c r="L1396" s="134"/>
    </row>
    <row r="1397" spans="1:12">
      <c r="A1397" s="133"/>
      <c r="B1397" s="134"/>
      <c r="C1397" s="134"/>
      <c r="D1397" s="134"/>
      <c r="E1397" s="133"/>
      <c r="F1397" s="134"/>
      <c r="G1397" s="134"/>
      <c r="H1397" s="134"/>
      <c r="I1397" s="133"/>
      <c r="J1397" s="133"/>
      <c r="K1397" s="133"/>
      <c r="L1397" s="134"/>
    </row>
    <row r="1398" spans="1:12">
      <c r="A1398" s="133"/>
      <c r="B1398" s="134"/>
      <c r="C1398" s="134"/>
      <c r="D1398" s="134"/>
      <c r="E1398" s="133"/>
      <c r="F1398" s="134"/>
      <c r="G1398" s="134"/>
      <c r="H1398" s="134"/>
      <c r="I1398" s="133"/>
      <c r="J1398" s="133"/>
      <c r="K1398" s="133"/>
      <c r="L1398" s="134"/>
    </row>
    <row r="1399" spans="1:12">
      <c r="A1399" s="133"/>
      <c r="B1399" s="134"/>
      <c r="C1399" s="134"/>
      <c r="D1399" s="134"/>
      <c r="E1399" s="133"/>
      <c r="F1399" s="134"/>
      <c r="G1399" s="134"/>
      <c r="H1399" s="134"/>
      <c r="I1399" s="133"/>
      <c r="J1399" s="133"/>
      <c r="K1399" s="133"/>
      <c r="L1399" s="134"/>
    </row>
    <row r="1400" spans="1:12">
      <c r="A1400" s="133"/>
      <c r="B1400" s="134"/>
      <c r="C1400" s="134"/>
      <c r="D1400" s="134"/>
      <c r="E1400" s="133"/>
      <c r="F1400" s="134"/>
      <c r="G1400" s="134"/>
      <c r="H1400" s="134"/>
      <c r="I1400" s="133"/>
      <c r="J1400" s="133"/>
      <c r="K1400" s="133"/>
      <c r="L1400" s="134"/>
    </row>
    <row r="1401" spans="1:12">
      <c r="A1401" s="133"/>
      <c r="B1401" s="134"/>
      <c r="C1401" s="134"/>
      <c r="D1401" s="134"/>
      <c r="E1401" s="133"/>
      <c r="F1401" s="134"/>
      <c r="G1401" s="134"/>
      <c r="H1401" s="134"/>
      <c r="I1401" s="133"/>
      <c r="J1401" s="133"/>
      <c r="K1401" s="133"/>
      <c r="L1401" s="134"/>
    </row>
    <row r="1402" spans="1:12">
      <c r="A1402" s="133"/>
      <c r="B1402" s="134"/>
      <c r="C1402" s="134"/>
      <c r="D1402" s="134"/>
      <c r="E1402" s="133"/>
      <c r="F1402" s="134"/>
      <c r="G1402" s="134"/>
      <c r="H1402" s="134"/>
      <c r="I1402" s="133"/>
      <c r="J1402" s="133"/>
      <c r="K1402" s="133"/>
      <c r="L1402" s="134"/>
    </row>
    <row r="1403" spans="1:12">
      <c r="A1403" s="133"/>
      <c r="B1403" s="134"/>
      <c r="C1403" s="134"/>
      <c r="D1403" s="134"/>
      <c r="E1403" s="133"/>
      <c r="F1403" s="134"/>
      <c r="G1403" s="134"/>
      <c r="H1403" s="134"/>
      <c r="I1403" s="133"/>
      <c r="J1403" s="133"/>
      <c r="K1403" s="133"/>
      <c r="L1403" s="134"/>
    </row>
    <row r="1404" spans="1:12">
      <c r="A1404" s="133"/>
      <c r="B1404" s="134"/>
      <c r="C1404" s="134"/>
      <c r="D1404" s="134"/>
      <c r="E1404" s="133"/>
      <c r="F1404" s="134"/>
      <c r="G1404" s="134"/>
      <c r="H1404" s="134"/>
      <c r="I1404" s="133"/>
      <c r="J1404" s="133"/>
      <c r="K1404" s="133"/>
      <c r="L1404" s="134"/>
    </row>
    <row r="1405" spans="1:12">
      <c r="A1405" s="133"/>
      <c r="B1405" s="134"/>
      <c r="C1405" s="134"/>
      <c r="D1405" s="134"/>
      <c r="E1405" s="133"/>
      <c r="F1405" s="134"/>
      <c r="G1405" s="134"/>
      <c r="H1405" s="134"/>
      <c r="I1405" s="133"/>
      <c r="J1405" s="133"/>
      <c r="K1405" s="133"/>
      <c r="L1405" s="134"/>
    </row>
    <row r="1406" spans="1:12">
      <c r="A1406" s="133"/>
      <c r="B1406" s="134"/>
      <c r="C1406" s="134"/>
      <c r="D1406" s="134"/>
      <c r="E1406" s="133"/>
      <c r="F1406" s="134"/>
      <c r="G1406" s="134"/>
      <c r="H1406" s="134"/>
      <c r="I1406" s="133"/>
      <c r="J1406" s="133"/>
      <c r="K1406" s="133"/>
      <c r="L1406" s="134"/>
    </row>
    <row r="1407" spans="1:12">
      <c r="A1407" s="133"/>
      <c r="B1407" s="134"/>
      <c r="C1407" s="134"/>
      <c r="D1407" s="134"/>
      <c r="E1407" s="133"/>
      <c r="F1407" s="134"/>
      <c r="G1407" s="134"/>
      <c r="H1407" s="134"/>
      <c r="I1407" s="133"/>
      <c r="J1407" s="133"/>
      <c r="K1407" s="133"/>
      <c r="L1407" s="134"/>
    </row>
    <row r="1408" spans="1:12">
      <c r="A1408" s="133"/>
      <c r="B1408" s="134"/>
      <c r="C1408" s="134"/>
      <c r="D1408" s="134"/>
      <c r="E1408" s="133"/>
      <c r="F1408" s="134"/>
      <c r="G1408" s="134"/>
      <c r="H1408" s="134"/>
      <c r="I1408" s="133"/>
      <c r="J1408" s="133"/>
      <c r="K1408" s="133"/>
      <c r="L1408" s="134"/>
    </row>
    <row r="1409" spans="1:12">
      <c r="A1409" s="133"/>
      <c r="B1409" s="134"/>
      <c r="C1409" s="134"/>
      <c r="D1409" s="134"/>
      <c r="E1409" s="133"/>
      <c r="F1409" s="134"/>
      <c r="G1409" s="134"/>
      <c r="H1409" s="134"/>
      <c r="I1409" s="133"/>
      <c r="J1409" s="133"/>
      <c r="K1409" s="133"/>
      <c r="L1409" s="134"/>
    </row>
    <row r="1410" spans="1:12">
      <c r="A1410" s="133"/>
      <c r="B1410" s="134"/>
      <c r="C1410" s="134"/>
      <c r="D1410" s="134"/>
      <c r="E1410" s="133"/>
      <c r="F1410" s="134"/>
      <c r="G1410" s="134"/>
      <c r="H1410" s="134"/>
      <c r="I1410" s="133"/>
      <c r="J1410" s="133"/>
      <c r="K1410" s="133"/>
      <c r="L1410" s="134"/>
    </row>
    <row r="1411" spans="1:12">
      <c r="A1411" s="133"/>
      <c r="B1411" s="134"/>
      <c r="C1411" s="134"/>
      <c r="D1411" s="134"/>
      <c r="E1411" s="133"/>
      <c r="F1411" s="134"/>
      <c r="G1411" s="134"/>
      <c r="H1411" s="134"/>
      <c r="I1411" s="133"/>
      <c r="J1411" s="133"/>
      <c r="K1411" s="133"/>
      <c r="L1411" s="134"/>
    </row>
    <row r="1412" spans="1:12">
      <c r="A1412" s="133"/>
      <c r="B1412" s="134"/>
      <c r="C1412" s="134"/>
      <c r="D1412" s="134"/>
      <c r="E1412" s="133"/>
      <c r="F1412" s="134"/>
      <c r="G1412" s="134"/>
      <c r="H1412" s="134"/>
      <c r="I1412" s="133"/>
      <c r="J1412" s="133"/>
      <c r="K1412" s="133"/>
      <c r="L1412" s="134"/>
    </row>
    <row r="1413" spans="1:12">
      <c r="A1413" s="133"/>
      <c r="B1413" s="134"/>
      <c r="C1413" s="134"/>
      <c r="D1413" s="134"/>
      <c r="E1413" s="133"/>
      <c r="F1413" s="134"/>
      <c r="G1413" s="134"/>
      <c r="H1413" s="134"/>
      <c r="I1413" s="133"/>
      <c r="J1413" s="133"/>
      <c r="K1413" s="133"/>
      <c r="L1413" s="134"/>
    </row>
    <row r="1414" spans="1:12">
      <c r="A1414" s="133"/>
      <c r="B1414" s="134"/>
      <c r="C1414" s="134"/>
      <c r="D1414" s="134"/>
      <c r="E1414" s="133"/>
      <c r="F1414" s="134"/>
      <c r="G1414" s="134"/>
      <c r="H1414" s="134"/>
      <c r="I1414" s="133"/>
      <c r="J1414" s="133"/>
      <c r="K1414" s="133"/>
      <c r="L1414" s="134"/>
    </row>
    <row r="1415" spans="1:12">
      <c r="A1415" s="133"/>
      <c r="B1415" s="134"/>
      <c r="C1415" s="134"/>
      <c r="D1415" s="134"/>
      <c r="E1415" s="133"/>
      <c r="F1415" s="134"/>
      <c r="G1415" s="134"/>
      <c r="H1415" s="134"/>
      <c r="I1415" s="133"/>
      <c r="J1415" s="133"/>
      <c r="K1415" s="133"/>
      <c r="L1415" s="134"/>
    </row>
    <row r="1416" spans="1:12">
      <c r="A1416" s="133"/>
      <c r="B1416" s="134"/>
      <c r="C1416" s="134"/>
      <c r="D1416" s="134"/>
      <c r="E1416" s="133"/>
      <c r="F1416" s="134"/>
      <c r="G1416" s="134"/>
      <c r="H1416" s="134"/>
      <c r="I1416" s="133"/>
      <c r="J1416" s="133"/>
      <c r="K1416" s="133"/>
      <c r="L1416" s="134"/>
    </row>
    <row r="1417" spans="1:12">
      <c r="A1417" s="133"/>
      <c r="B1417" s="134"/>
      <c r="C1417" s="134"/>
      <c r="D1417" s="134"/>
      <c r="E1417" s="133"/>
      <c r="F1417" s="134"/>
      <c r="G1417" s="134"/>
      <c r="H1417" s="134"/>
      <c r="I1417" s="133"/>
      <c r="J1417" s="133"/>
      <c r="K1417" s="133"/>
      <c r="L1417" s="134"/>
    </row>
    <row r="1418" spans="1:12">
      <c r="A1418" s="133"/>
      <c r="B1418" s="134"/>
      <c r="C1418" s="134"/>
      <c r="D1418" s="134"/>
      <c r="E1418" s="133"/>
      <c r="F1418" s="134"/>
      <c r="G1418" s="134"/>
      <c r="H1418" s="134"/>
      <c r="I1418" s="133"/>
      <c r="J1418" s="133"/>
      <c r="K1418" s="133"/>
      <c r="L1418" s="134"/>
    </row>
    <row r="1419" spans="1:12">
      <c r="A1419" s="133"/>
      <c r="B1419" s="134"/>
      <c r="C1419" s="134"/>
      <c r="D1419" s="134"/>
      <c r="E1419" s="133"/>
      <c r="F1419" s="134"/>
      <c r="G1419" s="134"/>
      <c r="H1419" s="134"/>
      <c r="I1419" s="133"/>
      <c r="J1419" s="133"/>
      <c r="K1419" s="133"/>
      <c r="L1419" s="134"/>
    </row>
    <row r="1420" spans="1:12">
      <c r="A1420" s="133"/>
      <c r="B1420" s="134"/>
      <c r="C1420" s="134"/>
      <c r="D1420" s="134"/>
      <c r="E1420" s="133"/>
      <c r="F1420" s="134"/>
      <c r="G1420" s="134"/>
      <c r="H1420" s="134"/>
      <c r="I1420" s="133"/>
      <c r="J1420" s="133"/>
      <c r="K1420" s="133"/>
      <c r="L1420" s="134"/>
    </row>
    <row r="1421" spans="1:12">
      <c r="A1421" s="133"/>
      <c r="B1421" s="134"/>
      <c r="C1421" s="134"/>
      <c r="D1421" s="134"/>
      <c r="E1421" s="133"/>
      <c r="F1421" s="134"/>
      <c r="G1421" s="134"/>
      <c r="H1421" s="134"/>
      <c r="I1421" s="133"/>
      <c r="J1421" s="133"/>
      <c r="K1421" s="133"/>
      <c r="L1421" s="134"/>
    </row>
    <row r="1422" spans="1:12">
      <c r="A1422" s="133"/>
      <c r="B1422" s="134"/>
      <c r="C1422" s="134"/>
      <c r="D1422" s="134"/>
      <c r="E1422" s="133"/>
      <c r="F1422" s="134"/>
      <c r="G1422" s="134"/>
      <c r="H1422" s="134"/>
      <c r="I1422" s="133"/>
      <c r="J1422" s="133"/>
      <c r="K1422" s="133"/>
      <c r="L1422" s="134"/>
    </row>
    <row r="1423" spans="1:12">
      <c r="A1423" s="133"/>
      <c r="B1423" s="134"/>
      <c r="C1423" s="134"/>
      <c r="D1423" s="134"/>
      <c r="E1423" s="133"/>
      <c r="F1423" s="134"/>
      <c r="G1423" s="134"/>
      <c r="H1423" s="134"/>
      <c r="I1423" s="133"/>
      <c r="J1423" s="133"/>
      <c r="K1423" s="133"/>
      <c r="L1423" s="134"/>
    </row>
    <row r="1424" spans="1:12">
      <c r="A1424" s="133"/>
      <c r="B1424" s="134"/>
      <c r="C1424" s="134"/>
      <c r="D1424" s="134"/>
      <c r="E1424" s="133"/>
      <c r="F1424" s="134"/>
      <c r="G1424" s="134"/>
      <c r="H1424" s="134"/>
      <c r="I1424" s="133"/>
      <c r="J1424" s="133"/>
      <c r="K1424" s="133"/>
      <c r="L1424" s="134"/>
    </row>
    <row r="1425" spans="1:12">
      <c r="A1425" s="133"/>
      <c r="B1425" s="134"/>
      <c r="C1425" s="134"/>
      <c r="D1425" s="134"/>
      <c r="E1425" s="133"/>
      <c r="F1425" s="134"/>
      <c r="G1425" s="134"/>
      <c r="H1425" s="134"/>
      <c r="I1425" s="133"/>
      <c r="J1425" s="133"/>
      <c r="K1425" s="133"/>
      <c r="L1425" s="134"/>
    </row>
    <row r="1426" spans="1:12">
      <c r="A1426" s="133"/>
      <c r="B1426" s="134"/>
      <c r="C1426" s="134"/>
      <c r="D1426" s="134"/>
      <c r="E1426" s="133"/>
      <c r="F1426" s="134"/>
      <c r="G1426" s="134"/>
      <c r="H1426" s="134"/>
      <c r="I1426" s="133"/>
      <c r="J1426" s="133"/>
      <c r="K1426" s="133"/>
      <c r="L1426" s="134"/>
    </row>
    <row r="1427" spans="1:12">
      <c r="A1427" s="133"/>
      <c r="B1427" s="134"/>
      <c r="C1427" s="134"/>
      <c r="D1427" s="134"/>
      <c r="E1427" s="133"/>
      <c r="F1427" s="134"/>
      <c r="G1427" s="134"/>
      <c r="H1427" s="134"/>
      <c r="I1427" s="133"/>
      <c r="J1427" s="133"/>
      <c r="K1427" s="133"/>
      <c r="L1427" s="134"/>
    </row>
    <row r="1428" spans="1:12">
      <c r="A1428" s="133"/>
      <c r="B1428" s="134"/>
      <c r="C1428" s="134"/>
      <c r="D1428" s="134"/>
      <c r="E1428" s="133"/>
      <c r="F1428" s="134"/>
      <c r="G1428" s="134"/>
      <c r="H1428" s="134"/>
      <c r="I1428" s="133"/>
      <c r="J1428" s="133"/>
      <c r="K1428" s="133"/>
      <c r="L1428" s="134"/>
    </row>
    <row r="1429" spans="1:12">
      <c r="A1429" s="133"/>
      <c r="B1429" s="134"/>
      <c r="C1429" s="134"/>
      <c r="D1429" s="134"/>
      <c r="E1429" s="133"/>
      <c r="F1429" s="134"/>
      <c r="G1429" s="134"/>
      <c r="H1429" s="134"/>
      <c r="I1429" s="133"/>
      <c r="J1429" s="133"/>
      <c r="K1429" s="133"/>
      <c r="L1429" s="134"/>
    </row>
    <row r="1430" spans="1:12">
      <c r="A1430" s="133"/>
      <c r="B1430" s="134"/>
      <c r="C1430" s="134"/>
      <c r="D1430" s="134"/>
      <c r="E1430" s="133"/>
      <c r="F1430" s="134"/>
      <c r="G1430" s="134"/>
      <c r="H1430" s="134"/>
      <c r="I1430" s="133"/>
      <c r="J1430" s="133"/>
      <c r="K1430" s="133"/>
      <c r="L1430" s="134"/>
    </row>
    <row r="1431" spans="1:12">
      <c r="A1431" s="133"/>
      <c r="B1431" s="134"/>
      <c r="C1431" s="134"/>
      <c r="D1431" s="134"/>
      <c r="E1431" s="133"/>
      <c r="F1431" s="134"/>
      <c r="G1431" s="134"/>
      <c r="H1431" s="134"/>
      <c r="I1431" s="133"/>
      <c r="J1431" s="133"/>
      <c r="K1431" s="133"/>
      <c r="L1431" s="134"/>
    </row>
    <row r="1432" spans="1:12">
      <c r="A1432" s="133"/>
      <c r="B1432" s="134"/>
      <c r="C1432" s="134"/>
      <c r="D1432" s="134"/>
      <c r="E1432" s="133"/>
      <c r="F1432" s="134"/>
      <c r="G1432" s="134"/>
      <c r="H1432" s="134"/>
      <c r="I1432" s="133"/>
      <c r="J1432" s="133"/>
      <c r="K1432" s="133"/>
      <c r="L1432" s="134"/>
    </row>
    <row r="1433" spans="1:12">
      <c r="A1433" s="133"/>
      <c r="B1433" s="134"/>
      <c r="C1433" s="134"/>
      <c r="D1433" s="134"/>
      <c r="E1433" s="133"/>
      <c r="F1433" s="134"/>
      <c r="G1433" s="134"/>
      <c r="H1433" s="134"/>
      <c r="I1433" s="133"/>
      <c r="J1433" s="133"/>
      <c r="K1433" s="133"/>
      <c r="L1433" s="134"/>
    </row>
    <row r="1434" spans="1:12">
      <c r="A1434" s="133"/>
      <c r="B1434" s="134"/>
      <c r="C1434" s="134"/>
      <c r="D1434" s="134"/>
      <c r="E1434" s="133"/>
      <c r="F1434" s="134"/>
      <c r="G1434" s="134"/>
      <c r="H1434" s="134"/>
      <c r="I1434" s="133"/>
      <c r="J1434" s="133"/>
      <c r="K1434" s="133"/>
      <c r="L1434" s="134"/>
    </row>
    <row r="1435" spans="1:12">
      <c r="A1435" s="133"/>
      <c r="B1435" s="134"/>
      <c r="C1435" s="134"/>
      <c r="D1435" s="134"/>
      <c r="E1435" s="133"/>
      <c r="F1435" s="134"/>
      <c r="G1435" s="134"/>
      <c r="H1435" s="134"/>
      <c r="I1435" s="133"/>
      <c r="J1435" s="133"/>
      <c r="K1435" s="133"/>
      <c r="L1435" s="134"/>
    </row>
    <row r="1436" spans="1:12">
      <c r="A1436" s="133"/>
      <c r="B1436" s="134"/>
      <c r="C1436" s="134"/>
      <c r="D1436" s="134"/>
      <c r="E1436" s="133"/>
      <c r="F1436" s="134"/>
      <c r="G1436" s="134"/>
      <c r="H1436" s="134"/>
      <c r="I1436" s="133"/>
      <c r="J1436" s="133"/>
      <c r="K1436" s="133"/>
      <c r="L1436" s="134"/>
    </row>
    <row r="1437" spans="1:12">
      <c r="A1437" s="133"/>
      <c r="B1437" s="134"/>
      <c r="C1437" s="134"/>
      <c r="D1437" s="134"/>
      <c r="E1437" s="133"/>
      <c r="F1437" s="134"/>
      <c r="G1437" s="134"/>
      <c r="H1437" s="134"/>
      <c r="I1437" s="133"/>
      <c r="J1437" s="133"/>
      <c r="K1437" s="133"/>
      <c r="L1437" s="134"/>
    </row>
    <row r="1438" spans="1:12">
      <c r="A1438" s="133"/>
      <c r="B1438" s="134"/>
      <c r="C1438" s="134"/>
      <c r="D1438" s="134"/>
      <c r="E1438" s="133"/>
      <c r="F1438" s="134"/>
      <c r="G1438" s="134"/>
      <c r="H1438" s="134"/>
      <c r="I1438" s="133"/>
      <c r="J1438" s="133"/>
      <c r="K1438" s="133"/>
      <c r="L1438" s="134"/>
    </row>
    <row r="1439" spans="1:12">
      <c r="A1439" s="133"/>
      <c r="B1439" s="134"/>
      <c r="C1439" s="134"/>
      <c r="D1439" s="134"/>
      <c r="E1439" s="133"/>
      <c r="F1439" s="134"/>
      <c r="G1439" s="134"/>
      <c r="H1439" s="134"/>
      <c r="I1439" s="133"/>
      <c r="J1439" s="133"/>
      <c r="K1439" s="133"/>
      <c r="L1439" s="134"/>
    </row>
    <row r="1440" spans="1:12">
      <c r="A1440" s="133"/>
      <c r="B1440" s="134"/>
      <c r="C1440" s="134"/>
      <c r="D1440" s="134"/>
      <c r="E1440" s="133"/>
      <c r="F1440" s="134"/>
      <c r="G1440" s="134"/>
      <c r="H1440" s="134"/>
      <c r="I1440" s="133"/>
      <c r="J1440" s="133"/>
      <c r="K1440" s="133"/>
      <c r="L1440" s="134"/>
    </row>
    <row r="1441" spans="1:12">
      <c r="A1441" s="133"/>
      <c r="B1441" s="134"/>
      <c r="C1441" s="134"/>
      <c r="D1441" s="134"/>
      <c r="E1441" s="133"/>
      <c r="F1441" s="134"/>
      <c r="G1441" s="134"/>
      <c r="H1441" s="134"/>
      <c r="I1441" s="133"/>
      <c r="J1441" s="133"/>
      <c r="K1441" s="133"/>
      <c r="L1441" s="134"/>
    </row>
    <row r="1442" spans="1:12">
      <c r="A1442" s="133"/>
      <c r="B1442" s="134"/>
      <c r="C1442" s="134"/>
      <c r="D1442" s="134"/>
      <c r="E1442" s="133"/>
      <c r="F1442" s="134"/>
      <c r="G1442" s="134"/>
      <c r="H1442" s="134"/>
      <c r="I1442" s="133"/>
      <c r="J1442" s="133"/>
      <c r="K1442" s="133"/>
      <c r="L1442" s="134"/>
    </row>
    <row r="1443" spans="1:12">
      <c r="A1443" s="133"/>
      <c r="B1443" s="134"/>
      <c r="C1443" s="134"/>
      <c r="D1443" s="134"/>
      <c r="E1443" s="133"/>
      <c r="F1443" s="134"/>
      <c r="G1443" s="134"/>
      <c r="H1443" s="134"/>
      <c r="I1443" s="133"/>
      <c r="J1443" s="133"/>
      <c r="K1443" s="133"/>
      <c r="L1443" s="134"/>
    </row>
    <row r="1444" spans="1:12">
      <c r="A1444" s="133"/>
      <c r="B1444" s="134"/>
      <c r="C1444" s="134"/>
      <c r="D1444" s="134"/>
      <c r="E1444" s="133"/>
      <c r="F1444" s="134"/>
      <c r="G1444" s="134"/>
      <c r="H1444" s="134"/>
      <c r="I1444" s="133"/>
      <c r="J1444" s="133"/>
      <c r="K1444" s="133"/>
      <c r="L1444" s="134"/>
    </row>
    <row r="1445" spans="1:12">
      <c r="A1445" s="133"/>
      <c r="B1445" s="134"/>
      <c r="C1445" s="134"/>
      <c r="D1445" s="134"/>
      <c r="E1445" s="133"/>
      <c r="F1445" s="134"/>
      <c r="G1445" s="134"/>
      <c r="H1445" s="134"/>
      <c r="I1445" s="133"/>
      <c r="J1445" s="133"/>
      <c r="K1445" s="133"/>
      <c r="L1445" s="134"/>
    </row>
    <row r="1446" spans="1:12">
      <c r="A1446" s="133"/>
      <c r="B1446" s="134"/>
      <c r="C1446" s="134"/>
      <c r="D1446" s="134"/>
      <c r="E1446" s="133"/>
      <c r="F1446" s="134"/>
      <c r="G1446" s="134"/>
      <c r="H1446" s="134"/>
      <c r="I1446" s="133"/>
      <c r="J1446" s="133"/>
      <c r="K1446" s="133"/>
      <c r="L1446" s="134"/>
    </row>
    <row r="1447" spans="1:12">
      <c r="A1447" s="133"/>
      <c r="B1447" s="134"/>
      <c r="C1447" s="134"/>
      <c r="D1447" s="134"/>
      <c r="E1447" s="133"/>
      <c r="F1447" s="134"/>
      <c r="G1447" s="134"/>
      <c r="H1447" s="134"/>
      <c r="I1447" s="133"/>
      <c r="J1447" s="133"/>
      <c r="K1447" s="133"/>
      <c r="L1447" s="134"/>
    </row>
    <row r="1448" spans="1:12">
      <c r="A1448" s="133"/>
      <c r="B1448" s="134"/>
      <c r="C1448" s="134"/>
      <c r="D1448" s="134"/>
      <c r="E1448" s="133"/>
      <c r="F1448" s="134"/>
      <c r="G1448" s="134"/>
      <c r="H1448" s="134"/>
      <c r="I1448" s="133"/>
      <c r="J1448" s="133"/>
      <c r="K1448" s="133"/>
      <c r="L1448" s="134"/>
    </row>
    <row r="1449" spans="1:12">
      <c r="A1449" s="133"/>
      <c r="B1449" s="134"/>
      <c r="C1449" s="134"/>
      <c r="D1449" s="134"/>
      <c r="E1449" s="133"/>
      <c r="F1449" s="134"/>
      <c r="G1449" s="134"/>
      <c r="H1449" s="134"/>
      <c r="I1449" s="133"/>
      <c r="J1449" s="133"/>
      <c r="K1449" s="133"/>
      <c r="L1449" s="134"/>
    </row>
    <row r="1450" spans="1:12">
      <c r="A1450" s="133"/>
      <c r="B1450" s="134"/>
      <c r="C1450" s="134"/>
      <c r="D1450" s="134"/>
      <c r="E1450" s="133"/>
      <c r="F1450" s="134"/>
      <c r="G1450" s="134"/>
      <c r="H1450" s="134"/>
      <c r="I1450" s="133"/>
      <c r="J1450" s="133"/>
      <c r="K1450" s="133"/>
      <c r="L1450" s="134"/>
    </row>
    <row r="1451" spans="1:12">
      <c r="A1451" s="133"/>
      <c r="B1451" s="134"/>
      <c r="C1451" s="134"/>
      <c r="D1451" s="134"/>
      <c r="E1451" s="133"/>
      <c r="F1451" s="134"/>
      <c r="G1451" s="134"/>
      <c r="H1451" s="134"/>
      <c r="I1451" s="133"/>
      <c r="J1451" s="133"/>
      <c r="K1451" s="133"/>
      <c r="L1451" s="134"/>
    </row>
    <row r="1452" spans="1:12">
      <c r="A1452" s="133"/>
      <c r="B1452" s="134"/>
      <c r="C1452" s="134"/>
      <c r="D1452" s="134"/>
      <c r="E1452" s="133"/>
      <c r="F1452" s="134"/>
      <c r="G1452" s="134"/>
      <c r="H1452" s="134"/>
      <c r="I1452" s="133"/>
      <c r="J1452" s="133"/>
      <c r="K1452" s="133"/>
      <c r="L1452" s="134"/>
    </row>
    <row r="1453" spans="1:12">
      <c r="A1453" s="133"/>
      <c r="B1453" s="134"/>
      <c r="C1453" s="134"/>
      <c r="D1453" s="134"/>
      <c r="E1453" s="133"/>
      <c r="F1453" s="134"/>
      <c r="G1453" s="134"/>
      <c r="H1453" s="134"/>
      <c r="I1453" s="133"/>
      <c r="J1453" s="133"/>
      <c r="K1453" s="133"/>
      <c r="L1453" s="134"/>
    </row>
    <row r="1454" spans="1:12">
      <c r="A1454" s="133"/>
      <c r="B1454" s="134"/>
      <c r="C1454" s="134"/>
      <c r="D1454" s="134"/>
      <c r="E1454" s="133"/>
      <c r="F1454" s="134"/>
      <c r="G1454" s="134"/>
      <c r="H1454" s="134"/>
      <c r="I1454" s="133"/>
      <c r="J1454" s="133"/>
      <c r="K1454" s="133"/>
      <c r="L1454" s="134"/>
    </row>
    <row r="1455" spans="1:12">
      <c r="A1455" s="133"/>
      <c r="B1455" s="134"/>
      <c r="C1455" s="134"/>
      <c r="D1455" s="134"/>
      <c r="E1455" s="133"/>
      <c r="F1455" s="134"/>
      <c r="G1455" s="134"/>
      <c r="H1455" s="134"/>
      <c r="I1455" s="133"/>
      <c r="J1455" s="133"/>
      <c r="K1455" s="133"/>
      <c r="L1455" s="134"/>
    </row>
    <row r="1456" spans="1:12">
      <c r="A1456" s="133"/>
      <c r="B1456" s="134"/>
      <c r="C1456" s="134"/>
      <c r="D1456" s="134"/>
      <c r="E1456" s="133"/>
      <c r="F1456" s="134"/>
      <c r="G1456" s="134"/>
      <c r="H1456" s="134"/>
      <c r="I1456" s="133"/>
      <c r="J1456" s="133"/>
      <c r="K1456" s="133"/>
      <c r="L1456" s="134"/>
    </row>
    <row r="1457" spans="1:12">
      <c r="A1457" s="133"/>
      <c r="B1457" s="134"/>
      <c r="C1457" s="134"/>
      <c r="D1457" s="134"/>
      <c r="E1457" s="133"/>
      <c r="F1457" s="134"/>
      <c r="G1457" s="134"/>
      <c r="H1457" s="134"/>
      <c r="I1457" s="133"/>
      <c r="J1457" s="133"/>
      <c r="K1457" s="133"/>
      <c r="L1457" s="134"/>
    </row>
    <row r="1458" spans="1:12">
      <c r="A1458" s="133"/>
      <c r="B1458" s="134"/>
      <c r="C1458" s="134"/>
      <c r="D1458" s="134"/>
      <c r="E1458" s="133"/>
      <c r="F1458" s="134"/>
      <c r="G1458" s="134"/>
      <c r="H1458" s="134"/>
      <c r="I1458" s="133"/>
      <c r="J1458" s="133"/>
      <c r="K1458" s="133"/>
      <c r="L1458" s="134"/>
    </row>
    <row r="1459" spans="1:12">
      <c r="A1459" s="133"/>
      <c r="B1459" s="134"/>
      <c r="C1459" s="134"/>
      <c r="D1459" s="134"/>
      <c r="E1459" s="133"/>
      <c r="F1459" s="134"/>
      <c r="G1459" s="134"/>
      <c r="H1459" s="134"/>
      <c r="I1459" s="133"/>
      <c r="J1459" s="133"/>
      <c r="K1459" s="133"/>
      <c r="L1459" s="134"/>
    </row>
    <row r="1460" spans="1:12">
      <c r="A1460" s="133"/>
      <c r="B1460" s="134"/>
      <c r="C1460" s="134"/>
      <c r="D1460" s="134"/>
      <c r="E1460" s="133"/>
      <c r="F1460" s="134"/>
      <c r="G1460" s="134"/>
      <c r="H1460" s="134"/>
      <c r="I1460" s="133"/>
      <c r="J1460" s="133"/>
      <c r="K1460" s="133"/>
      <c r="L1460" s="134"/>
    </row>
    <row r="1461" spans="1:12">
      <c r="A1461" s="133"/>
      <c r="B1461" s="134"/>
      <c r="C1461" s="134"/>
      <c r="D1461" s="134"/>
      <c r="E1461" s="133"/>
      <c r="F1461" s="134"/>
      <c r="G1461" s="134"/>
      <c r="H1461" s="134"/>
      <c r="I1461" s="133"/>
      <c r="J1461" s="133"/>
      <c r="K1461" s="133"/>
      <c r="L1461" s="134"/>
    </row>
    <row r="1462" spans="1:12">
      <c r="A1462" s="133"/>
      <c r="B1462" s="134"/>
      <c r="C1462" s="134"/>
      <c r="D1462" s="134"/>
      <c r="E1462" s="133"/>
      <c r="F1462" s="134"/>
      <c r="G1462" s="134"/>
      <c r="H1462" s="134"/>
      <c r="I1462" s="133"/>
      <c r="J1462" s="133"/>
      <c r="K1462" s="133"/>
      <c r="L1462" s="134"/>
    </row>
    <row r="1463" spans="1:12">
      <c r="A1463" s="133"/>
      <c r="B1463" s="134"/>
      <c r="C1463" s="134"/>
      <c r="D1463" s="134"/>
      <c r="E1463" s="133"/>
      <c r="F1463" s="134"/>
      <c r="G1463" s="134"/>
      <c r="H1463" s="134"/>
      <c r="I1463" s="133"/>
      <c r="J1463" s="133"/>
      <c r="K1463" s="133"/>
      <c r="L1463" s="134"/>
    </row>
    <row r="1464" spans="1:12">
      <c r="A1464" s="133"/>
      <c r="B1464" s="134"/>
      <c r="C1464" s="134"/>
      <c r="D1464" s="134"/>
      <c r="E1464" s="133"/>
      <c r="F1464" s="134"/>
      <c r="G1464" s="134"/>
      <c r="H1464" s="134"/>
      <c r="I1464" s="133"/>
      <c r="J1464" s="133"/>
      <c r="K1464" s="133"/>
      <c r="L1464" s="134"/>
    </row>
    <row r="1465" spans="1:12">
      <c r="A1465" s="133"/>
      <c r="B1465" s="134"/>
      <c r="C1465" s="134"/>
      <c r="D1465" s="134"/>
      <c r="E1465" s="133"/>
      <c r="F1465" s="134"/>
      <c r="G1465" s="134"/>
      <c r="H1465" s="134"/>
      <c r="I1465" s="133"/>
      <c r="J1465" s="133"/>
      <c r="K1465" s="133"/>
      <c r="L1465" s="134"/>
    </row>
    <row r="1466" spans="1:12">
      <c r="A1466" s="133"/>
      <c r="B1466" s="134"/>
      <c r="C1466" s="134"/>
      <c r="D1466" s="134"/>
      <c r="E1466" s="133"/>
      <c r="F1466" s="134"/>
      <c r="G1466" s="134"/>
      <c r="H1466" s="134"/>
      <c r="I1466" s="133"/>
      <c r="J1466" s="133"/>
      <c r="K1466" s="133"/>
      <c r="L1466" s="134"/>
    </row>
    <row r="1467" spans="1:12">
      <c r="A1467" s="133"/>
      <c r="B1467" s="134"/>
      <c r="C1467" s="134"/>
      <c r="D1467" s="134"/>
      <c r="E1467" s="133"/>
      <c r="F1467" s="134"/>
      <c r="G1467" s="134"/>
      <c r="H1467" s="134"/>
      <c r="I1467" s="133"/>
      <c r="J1467" s="133"/>
      <c r="K1467" s="133"/>
      <c r="L1467" s="134"/>
    </row>
    <row r="1468" spans="1:12">
      <c r="A1468" s="133"/>
      <c r="B1468" s="134"/>
      <c r="C1468" s="134"/>
      <c r="D1468" s="134"/>
      <c r="E1468" s="133"/>
      <c r="F1468" s="134"/>
      <c r="G1468" s="134"/>
      <c r="H1468" s="134"/>
      <c r="I1468" s="133"/>
      <c r="J1468" s="133"/>
      <c r="K1468" s="133"/>
      <c r="L1468" s="134"/>
    </row>
    <row r="1469" spans="1:12">
      <c r="A1469" s="133"/>
      <c r="B1469" s="134"/>
      <c r="C1469" s="134"/>
      <c r="D1469" s="134"/>
      <c r="E1469" s="133"/>
      <c r="F1469" s="134"/>
      <c r="G1469" s="134"/>
      <c r="H1469" s="134"/>
      <c r="I1469" s="133"/>
      <c r="J1469" s="133"/>
      <c r="K1469" s="133"/>
      <c r="L1469" s="134"/>
    </row>
    <row r="1470" spans="1:12">
      <c r="A1470" s="133"/>
      <c r="B1470" s="134"/>
      <c r="C1470" s="134"/>
      <c r="D1470" s="134"/>
      <c r="E1470" s="133"/>
      <c r="F1470" s="134"/>
      <c r="G1470" s="134"/>
      <c r="H1470" s="134"/>
      <c r="I1470" s="133"/>
      <c r="J1470" s="133"/>
      <c r="K1470" s="133"/>
      <c r="L1470" s="134"/>
    </row>
    <row r="1471" spans="1:12">
      <c r="A1471" s="133"/>
      <c r="B1471" s="134"/>
      <c r="C1471" s="134"/>
      <c r="D1471" s="134"/>
      <c r="E1471" s="133"/>
      <c r="F1471" s="134"/>
      <c r="G1471" s="134"/>
      <c r="H1471" s="134"/>
      <c r="I1471" s="133"/>
      <c r="J1471" s="133"/>
      <c r="K1471" s="133"/>
      <c r="L1471" s="134"/>
    </row>
    <row r="1472" spans="1:12">
      <c r="A1472" s="133"/>
      <c r="B1472" s="134"/>
      <c r="C1472" s="134"/>
      <c r="D1472" s="134"/>
      <c r="E1472" s="133"/>
      <c r="F1472" s="134"/>
      <c r="G1472" s="134"/>
      <c r="H1472" s="134"/>
      <c r="I1472" s="133"/>
      <c r="J1472" s="133"/>
      <c r="K1472" s="133"/>
      <c r="L1472" s="134"/>
    </row>
    <row r="1473" spans="1:12">
      <c r="A1473" s="133"/>
      <c r="B1473" s="134"/>
      <c r="C1473" s="134"/>
      <c r="D1473" s="134"/>
      <c r="E1473" s="133"/>
      <c r="F1473" s="134"/>
      <c r="G1473" s="134"/>
      <c r="H1473" s="134"/>
      <c r="I1473" s="133"/>
      <c r="J1473" s="133"/>
      <c r="K1473" s="133"/>
      <c r="L1473" s="134"/>
    </row>
    <row r="1474" spans="1:12">
      <c r="A1474" s="133"/>
      <c r="B1474" s="134"/>
      <c r="C1474" s="134"/>
      <c r="D1474" s="134"/>
      <c r="E1474" s="133"/>
      <c r="F1474" s="134"/>
      <c r="G1474" s="134"/>
      <c r="H1474" s="134"/>
      <c r="I1474" s="133"/>
      <c r="J1474" s="133"/>
      <c r="K1474" s="133"/>
      <c r="L1474" s="134"/>
    </row>
    <row r="1475" spans="1:12">
      <c r="A1475" s="133"/>
      <c r="B1475" s="134"/>
      <c r="C1475" s="134"/>
      <c r="D1475" s="134"/>
      <c r="E1475" s="133"/>
      <c r="F1475" s="134"/>
      <c r="G1475" s="134"/>
      <c r="H1475" s="134"/>
      <c r="I1475" s="133"/>
      <c r="J1475" s="133"/>
      <c r="K1475" s="133"/>
      <c r="L1475" s="134"/>
    </row>
    <row r="1476" spans="1:12">
      <c r="A1476" s="133"/>
      <c r="B1476" s="134"/>
      <c r="C1476" s="134"/>
      <c r="D1476" s="134"/>
      <c r="E1476" s="133"/>
      <c r="F1476" s="134"/>
      <c r="G1476" s="134"/>
      <c r="H1476" s="134"/>
      <c r="I1476" s="133"/>
      <c r="J1476" s="133"/>
      <c r="K1476" s="133"/>
      <c r="L1476" s="134"/>
    </row>
    <row r="1477" spans="1:12">
      <c r="A1477" s="133"/>
      <c r="B1477" s="134"/>
      <c r="C1477" s="134"/>
      <c r="D1477" s="134"/>
      <c r="E1477" s="133"/>
      <c r="F1477" s="134"/>
      <c r="G1477" s="134"/>
      <c r="H1477" s="134"/>
      <c r="I1477" s="133"/>
      <c r="J1477" s="133"/>
      <c r="K1477" s="133"/>
      <c r="L1477" s="134"/>
    </row>
    <row r="1478" spans="1:12">
      <c r="A1478" s="133"/>
      <c r="B1478" s="134"/>
      <c r="C1478" s="134"/>
      <c r="D1478" s="134"/>
      <c r="E1478" s="133"/>
      <c r="F1478" s="134"/>
      <c r="G1478" s="134"/>
      <c r="H1478" s="134"/>
      <c r="I1478" s="133"/>
      <c r="J1478" s="133"/>
      <c r="K1478" s="133"/>
      <c r="L1478" s="134"/>
    </row>
    <row r="1479" spans="1:12">
      <c r="A1479" s="133"/>
      <c r="B1479" s="134"/>
      <c r="C1479" s="134"/>
      <c r="D1479" s="134"/>
      <c r="E1479" s="133"/>
      <c r="F1479" s="134"/>
      <c r="G1479" s="134"/>
      <c r="H1479" s="134"/>
      <c r="I1479" s="133"/>
      <c r="J1479" s="133"/>
      <c r="K1479" s="133"/>
      <c r="L1479" s="134"/>
    </row>
    <row r="1480" spans="1:12">
      <c r="A1480" s="133"/>
      <c r="B1480" s="134"/>
      <c r="C1480" s="134"/>
      <c r="D1480" s="134"/>
      <c r="E1480" s="133"/>
      <c r="F1480" s="134"/>
      <c r="G1480" s="134"/>
      <c r="H1480" s="134"/>
      <c r="I1480" s="133"/>
      <c r="J1480" s="133"/>
      <c r="K1480" s="133"/>
      <c r="L1480" s="134"/>
    </row>
    <row r="1481" spans="1:12">
      <c r="A1481" s="133"/>
      <c r="B1481" s="134"/>
      <c r="C1481" s="134"/>
      <c r="D1481" s="134"/>
      <c r="E1481" s="133"/>
      <c r="F1481" s="134"/>
      <c r="G1481" s="134"/>
      <c r="H1481" s="134"/>
      <c r="I1481" s="133"/>
      <c r="J1481" s="133"/>
      <c r="K1481" s="133"/>
      <c r="L1481" s="134"/>
    </row>
    <row r="1482" spans="1:12">
      <c r="A1482" s="133"/>
      <c r="B1482" s="134"/>
      <c r="C1482" s="134"/>
      <c r="D1482" s="134"/>
      <c r="E1482" s="133"/>
      <c r="F1482" s="134"/>
      <c r="G1482" s="134"/>
      <c r="H1482" s="134"/>
      <c r="I1482" s="133"/>
      <c r="J1482" s="133"/>
      <c r="K1482" s="133"/>
      <c r="L1482" s="134"/>
    </row>
    <row r="1483" spans="1:12">
      <c r="A1483" s="133"/>
      <c r="B1483" s="134"/>
      <c r="C1483" s="134"/>
      <c r="D1483" s="134"/>
      <c r="E1483" s="133"/>
      <c r="F1483" s="134"/>
      <c r="G1483" s="134"/>
      <c r="H1483" s="134"/>
      <c r="I1483" s="133"/>
      <c r="J1483" s="133"/>
      <c r="K1483" s="133"/>
      <c r="L1483" s="134"/>
    </row>
    <row r="1484" spans="1:12">
      <c r="A1484" s="133"/>
      <c r="B1484" s="134"/>
      <c r="C1484" s="134"/>
      <c r="D1484" s="134"/>
      <c r="E1484" s="133"/>
      <c r="F1484" s="134"/>
      <c r="G1484" s="134"/>
      <c r="H1484" s="134"/>
      <c r="I1484" s="133"/>
      <c r="J1484" s="133"/>
      <c r="K1484" s="133"/>
      <c r="L1484" s="134"/>
    </row>
    <row r="1485" spans="1:12">
      <c r="A1485" s="133"/>
      <c r="B1485" s="134"/>
      <c r="C1485" s="134"/>
      <c r="D1485" s="134"/>
      <c r="E1485" s="133"/>
      <c r="F1485" s="134"/>
      <c r="G1485" s="134"/>
      <c r="H1485" s="134"/>
      <c r="I1485" s="133"/>
      <c r="J1485" s="133"/>
      <c r="K1485" s="133"/>
      <c r="L1485" s="134"/>
    </row>
    <row r="1486" spans="1:12">
      <c r="A1486" s="133"/>
      <c r="B1486" s="134"/>
      <c r="C1486" s="134"/>
      <c r="D1486" s="134"/>
      <c r="E1486" s="133"/>
      <c r="F1486" s="134"/>
      <c r="G1486" s="134"/>
      <c r="H1486" s="134"/>
      <c r="I1486" s="133"/>
      <c r="J1486" s="133"/>
      <c r="K1486" s="133"/>
      <c r="L1486" s="134"/>
    </row>
    <row r="1487" spans="1:12">
      <c r="A1487" s="133"/>
      <c r="B1487" s="134"/>
      <c r="C1487" s="134"/>
      <c r="D1487" s="134"/>
      <c r="E1487" s="133"/>
      <c r="F1487" s="134"/>
      <c r="G1487" s="134"/>
      <c r="H1487" s="134"/>
      <c r="I1487" s="133"/>
      <c r="J1487" s="133"/>
      <c r="K1487" s="133"/>
      <c r="L1487" s="134"/>
    </row>
    <row r="1488" spans="1:12">
      <c r="A1488" s="133"/>
      <c r="B1488" s="134"/>
      <c r="C1488" s="134"/>
      <c r="D1488" s="134"/>
      <c r="E1488" s="133"/>
      <c r="F1488" s="134"/>
      <c r="G1488" s="134"/>
      <c r="H1488" s="134"/>
      <c r="I1488" s="133"/>
      <c r="J1488" s="133"/>
      <c r="K1488" s="133"/>
      <c r="L1488" s="134"/>
    </row>
    <row r="1489" spans="1:12">
      <c r="A1489" s="133"/>
      <c r="B1489" s="134"/>
      <c r="C1489" s="134"/>
      <c r="D1489" s="134"/>
      <c r="E1489" s="133"/>
      <c r="F1489" s="134"/>
      <c r="G1489" s="134"/>
      <c r="H1489" s="134"/>
      <c r="I1489" s="133"/>
      <c r="J1489" s="133"/>
      <c r="K1489" s="133"/>
      <c r="L1489" s="134"/>
    </row>
    <row r="1490" spans="1:12">
      <c r="A1490" s="133"/>
      <c r="B1490" s="134"/>
      <c r="C1490" s="134"/>
      <c r="D1490" s="134"/>
      <c r="E1490" s="133"/>
      <c r="F1490" s="134"/>
      <c r="G1490" s="134"/>
      <c r="H1490" s="134"/>
      <c r="I1490" s="133"/>
      <c r="J1490" s="133"/>
      <c r="K1490" s="133"/>
      <c r="L1490" s="134"/>
    </row>
    <row r="1491" spans="1:12">
      <c r="A1491" s="133"/>
      <c r="B1491" s="134"/>
      <c r="C1491" s="134"/>
      <c r="D1491" s="134"/>
      <c r="E1491" s="133"/>
      <c r="F1491" s="134"/>
      <c r="G1491" s="134"/>
      <c r="H1491" s="134"/>
      <c r="I1491" s="133"/>
      <c r="J1491" s="133"/>
      <c r="K1491" s="133"/>
      <c r="L1491" s="134"/>
    </row>
    <row r="1492" spans="1:12">
      <c r="A1492" s="133"/>
      <c r="B1492" s="134"/>
      <c r="C1492" s="134"/>
      <c r="D1492" s="134"/>
      <c r="E1492" s="133"/>
      <c r="F1492" s="134"/>
      <c r="G1492" s="134"/>
      <c r="H1492" s="134"/>
      <c r="I1492" s="133"/>
      <c r="J1492" s="133"/>
      <c r="K1492" s="133"/>
      <c r="L1492" s="134"/>
    </row>
    <row r="1493" spans="1:12">
      <c r="A1493" s="133"/>
      <c r="B1493" s="134"/>
      <c r="C1493" s="134"/>
      <c r="D1493" s="134"/>
      <c r="E1493" s="133"/>
      <c r="F1493" s="134"/>
      <c r="G1493" s="134"/>
      <c r="H1493" s="134"/>
      <c r="I1493" s="133"/>
      <c r="J1493" s="133"/>
      <c r="K1493" s="133"/>
      <c r="L1493" s="134"/>
    </row>
    <row r="1494" spans="1:12">
      <c r="A1494" s="133"/>
      <c r="B1494" s="134"/>
      <c r="C1494" s="134"/>
      <c r="D1494" s="134"/>
      <c r="E1494" s="133"/>
      <c r="F1494" s="134"/>
      <c r="G1494" s="134"/>
      <c r="H1494" s="134"/>
      <c r="I1494" s="133"/>
      <c r="J1494" s="133"/>
      <c r="K1494" s="133"/>
      <c r="L1494" s="134"/>
    </row>
    <row r="1495" spans="1:12">
      <c r="A1495" s="133"/>
      <c r="B1495" s="134"/>
      <c r="C1495" s="134"/>
      <c r="D1495" s="134"/>
      <c r="E1495" s="133"/>
      <c r="F1495" s="134"/>
      <c r="G1495" s="134"/>
      <c r="H1495" s="134"/>
      <c r="I1495" s="133"/>
      <c r="J1495" s="133"/>
      <c r="K1495" s="133"/>
      <c r="L1495" s="134"/>
    </row>
    <row r="1496" spans="1:12">
      <c r="A1496" s="133"/>
      <c r="B1496" s="134"/>
      <c r="C1496" s="134"/>
      <c r="D1496" s="134"/>
      <c r="E1496" s="133"/>
      <c r="F1496" s="134"/>
      <c r="G1496" s="134"/>
      <c r="H1496" s="134"/>
      <c r="I1496" s="133"/>
      <c r="J1496" s="133"/>
      <c r="K1496" s="133"/>
      <c r="L1496" s="134"/>
    </row>
    <row r="1497" spans="1:12">
      <c r="A1497" s="133"/>
      <c r="B1497" s="134"/>
      <c r="C1497" s="134"/>
      <c r="D1497" s="134"/>
      <c r="E1497" s="133"/>
      <c r="F1497" s="134"/>
      <c r="G1497" s="134"/>
      <c r="H1497" s="134"/>
      <c r="I1497" s="133"/>
      <c r="J1497" s="133"/>
      <c r="K1497" s="133"/>
      <c r="L1497" s="134"/>
    </row>
    <row r="1498" spans="1:12">
      <c r="A1498" s="133"/>
      <c r="B1498" s="134"/>
      <c r="C1498" s="134"/>
      <c r="D1498" s="134"/>
      <c r="E1498" s="133"/>
      <c r="F1498" s="134"/>
      <c r="G1498" s="134"/>
      <c r="H1498" s="134"/>
      <c r="I1498" s="133"/>
      <c r="J1498" s="133"/>
      <c r="K1498" s="133"/>
      <c r="L1498" s="134"/>
    </row>
    <row r="1499" spans="1:12">
      <c r="A1499" s="133"/>
      <c r="B1499" s="134"/>
      <c r="C1499" s="134"/>
      <c r="D1499" s="134"/>
      <c r="E1499" s="133"/>
      <c r="F1499" s="134"/>
      <c r="G1499" s="134"/>
      <c r="H1499" s="134"/>
      <c r="I1499" s="133"/>
      <c r="J1499" s="133"/>
      <c r="K1499" s="133"/>
      <c r="L1499" s="134"/>
    </row>
    <row r="1500" spans="1:12">
      <c r="A1500" s="133"/>
      <c r="B1500" s="134"/>
      <c r="C1500" s="134"/>
      <c r="D1500" s="134"/>
      <c r="E1500" s="133"/>
      <c r="F1500" s="134"/>
      <c r="G1500" s="134"/>
      <c r="H1500" s="134"/>
      <c r="I1500" s="133"/>
      <c r="J1500" s="133"/>
      <c r="K1500" s="133"/>
      <c r="L1500" s="134"/>
    </row>
    <row r="1501" spans="1:12">
      <c r="A1501" s="133"/>
      <c r="B1501" s="134"/>
      <c r="C1501" s="134"/>
      <c r="D1501" s="134"/>
      <c r="E1501" s="133"/>
      <c r="F1501" s="134"/>
      <c r="G1501" s="134"/>
      <c r="H1501" s="134"/>
      <c r="I1501" s="133"/>
      <c r="J1501" s="133"/>
      <c r="K1501" s="133"/>
      <c r="L1501" s="134"/>
    </row>
    <row r="1502" spans="1:12">
      <c r="A1502" s="133"/>
      <c r="B1502" s="134"/>
      <c r="C1502" s="134"/>
      <c r="D1502" s="134"/>
      <c r="E1502" s="133"/>
      <c r="F1502" s="134"/>
      <c r="G1502" s="134"/>
      <c r="H1502" s="134"/>
      <c r="I1502" s="133"/>
      <c r="J1502" s="133"/>
      <c r="K1502" s="133"/>
      <c r="L1502" s="134"/>
    </row>
    <row r="1503" spans="1:12">
      <c r="A1503" s="133"/>
      <c r="B1503" s="134"/>
      <c r="C1503" s="134"/>
      <c r="D1503" s="134"/>
      <c r="E1503" s="133"/>
      <c r="F1503" s="134"/>
      <c r="G1503" s="134"/>
      <c r="H1503" s="134"/>
      <c r="I1503" s="133"/>
      <c r="J1503" s="133"/>
      <c r="K1503" s="133"/>
      <c r="L1503" s="134"/>
    </row>
    <row r="1504" spans="1:12">
      <c r="A1504" s="133"/>
      <c r="B1504" s="134"/>
      <c r="C1504" s="134"/>
      <c r="D1504" s="134"/>
      <c r="E1504" s="133"/>
      <c r="F1504" s="134"/>
      <c r="G1504" s="134"/>
      <c r="H1504" s="134"/>
      <c r="I1504" s="133"/>
      <c r="J1504" s="133"/>
      <c r="K1504" s="133"/>
      <c r="L1504" s="134"/>
    </row>
    <row r="1505" spans="1:12">
      <c r="A1505" s="133"/>
      <c r="B1505" s="134"/>
      <c r="C1505" s="134"/>
      <c r="D1505" s="134"/>
      <c r="E1505" s="133"/>
      <c r="F1505" s="134"/>
      <c r="G1505" s="134"/>
      <c r="H1505" s="134"/>
      <c r="I1505" s="133"/>
      <c r="J1505" s="133"/>
      <c r="K1505" s="133"/>
      <c r="L1505" s="134"/>
    </row>
    <row r="1506" spans="1:12">
      <c r="A1506" s="133"/>
      <c r="B1506" s="134"/>
      <c r="C1506" s="134"/>
      <c r="D1506" s="134"/>
      <c r="E1506" s="133"/>
      <c r="F1506" s="134"/>
      <c r="G1506" s="134"/>
      <c r="H1506" s="134"/>
      <c r="I1506" s="133"/>
      <c r="J1506" s="133"/>
      <c r="K1506" s="133"/>
      <c r="L1506" s="134"/>
    </row>
    <row r="1507" spans="1:12">
      <c r="A1507" s="133"/>
      <c r="B1507" s="134"/>
      <c r="C1507" s="134"/>
      <c r="D1507" s="134"/>
      <c r="E1507" s="133"/>
      <c r="F1507" s="134"/>
      <c r="G1507" s="134"/>
      <c r="H1507" s="134"/>
      <c r="I1507" s="133"/>
      <c r="J1507" s="133"/>
      <c r="K1507" s="133"/>
      <c r="L1507" s="134"/>
    </row>
    <row r="1508" spans="1:12">
      <c r="A1508" s="133"/>
      <c r="B1508" s="134"/>
      <c r="C1508" s="134"/>
      <c r="D1508" s="134"/>
      <c r="E1508" s="133"/>
      <c r="F1508" s="134"/>
      <c r="G1508" s="134"/>
      <c r="H1508" s="134"/>
      <c r="I1508" s="133"/>
      <c r="J1508" s="133"/>
      <c r="K1508" s="133"/>
      <c r="L1508" s="134"/>
    </row>
    <row r="1509" spans="1:12">
      <c r="A1509" s="133"/>
      <c r="B1509" s="134"/>
      <c r="C1509" s="134"/>
      <c r="D1509" s="134"/>
      <c r="E1509" s="133"/>
      <c r="F1509" s="134"/>
      <c r="G1509" s="134"/>
      <c r="H1509" s="134"/>
      <c r="I1509" s="133"/>
      <c r="J1509" s="133"/>
      <c r="K1509" s="133"/>
      <c r="L1509" s="134"/>
    </row>
    <row r="1510" spans="1:12">
      <c r="A1510" s="133"/>
      <c r="B1510" s="134"/>
      <c r="C1510" s="134"/>
      <c r="D1510" s="134"/>
      <c r="E1510" s="133"/>
      <c r="F1510" s="134"/>
      <c r="G1510" s="134"/>
      <c r="H1510" s="134"/>
      <c r="I1510" s="133"/>
      <c r="J1510" s="133"/>
      <c r="K1510" s="133"/>
      <c r="L1510" s="134"/>
    </row>
    <row r="1511" spans="1:12">
      <c r="A1511" s="133"/>
      <c r="B1511" s="134"/>
      <c r="C1511" s="134"/>
      <c r="D1511" s="134"/>
      <c r="E1511" s="133"/>
      <c r="F1511" s="134"/>
      <c r="G1511" s="134"/>
      <c r="H1511" s="134"/>
      <c r="I1511" s="133"/>
      <c r="J1511" s="133"/>
      <c r="K1511" s="133"/>
      <c r="L1511" s="134"/>
    </row>
    <row r="1512" spans="1:12">
      <c r="A1512" s="133"/>
      <c r="B1512" s="134"/>
      <c r="C1512" s="134"/>
      <c r="D1512" s="134"/>
      <c r="E1512" s="133"/>
      <c r="F1512" s="134"/>
      <c r="G1512" s="134"/>
      <c r="H1512" s="134"/>
      <c r="I1512" s="133"/>
      <c r="J1512" s="133"/>
      <c r="K1512" s="133"/>
      <c r="L1512" s="134"/>
    </row>
    <row r="1513" spans="1:12">
      <c r="A1513" s="133"/>
      <c r="B1513" s="134"/>
      <c r="C1513" s="134"/>
      <c r="D1513" s="134"/>
      <c r="E1513" s="133"/>
      <c r="F1513" s="134"/>
      <c r="G1513" s="134"/>
      <c r="H1513" s="134"/>
      <c r="I1513" s="133"/>
      <c r="J1513" s="133"/>
      <c r="K1513" s="133"/>
      <c r="L1513" s="134"/>
    </row>
    <row r="1514" spans="1:12">
      <c r="A1514" s="133"/>
      <c r="B1514" s="134"/>
      <c r="C1514" s="134"/>
      <c r="D1514" s="134"/>
      <c r="E1514" s="133"/>
      <c r="F1514" s="134"/>
      <c r="G1514" s="134"/>
      <c r="H1514" s="134"/>
      <c r="I1514" s="133"/>
      <c r="J1514" s="133"/>
      <c r="K1514" s="133"/>
      <c r="L1514" s="134"/>
    </row>
    <row r="1515" spans="1:12">
      <c r="A1515" s="133"/>
      <c r="B1515" s="134"/>
      <c r="C1515" s="134"/>
      <c r="D1515" s="134"/>
      <c r="E1515" s="133"/>
      <c r="F1515" s="134"/>
      <c r="G1515" s="134"/>
      <c r="H1515" s="134"/>
      <c r="I1515" s="133"/>
      <c r="J1515" s="133"/>
      <c r="K1515" s="133"/>
      <c r="L1515" s="134"/>
    </row>
    <row r="1516" spans="1:12">
      <c r="A1516" s="133"/>
      <c r="B1516" s="134"/>
      <c r="C1516" s="134"/>
      <c r="D1516" s="134"/>
      <c r="E1516" s="133"/>
      <c r="F1516" s="134"/>
      <c r="G1516" s="134"/>
      <c r="H1516" s="134"/>
      <c r="I1516" s="133"/>
      <c r="J1516" s="133"/>
      <c r="K1516" s="133"/>
      <c r="L1516" s="134"/>
    </row>
    <row r="1517" spans="1:12">
      <c r="A1517" s="133"/>
      <c r="B1517" s="134"/>
      <c r="C1517" s="134"/>
      <c r="D1517" s="134"/>
      <c r="E1517" s="133"/>
      <c r="F1517" s="134"/>
      <c r="G1517" s="134"/>
      <c r="H1517" s="134"/>
      <c r="I1517" s="133"/>
      <c r="J1517" s="133"/>
      <c r="K1517" s="133"/>
      <c r="L1517" s="134"/>
    </row>
    <row r="1518" spans="1:12">
      <c r="A1518" s="133"/>
      <c r="B1518" s="134"/>
      <c r="C1518" s="134"/>
      <c r="D1518" s="134"/>
      <c r="E1518" s="133"/>
      <c r="F1518" s="134"/>
      <c r="G1518" s="134"/>
      <c r="H1518" s="134"/>
      <c r="I1518" s="133"/>
      <c r="J1518" s="133"/>
      <c r="K1518" s="133"/>
      <c r="L1518" s="134"/>
    </row>
    <row r="1519" spans="1:12">
      <c r="A1519" s="133"/>
      <c r="B1519" s="134"/>
      <c r="C1519" s="134"/>
      <c r="D1519" s="134"/>
      <c r="E1519" s="133"/>
      <c r="F1519" s="134"/>
      <c r="G1519" s="134"/>
      <c r="H1519" s="134"/>
      <c r="I1519" s="133"/>
      <c r="J1519" s="133"/>
      <c r="K1519" s="133"/>
      <c r="L1519" s="134"/>
    </row>
    <row r="1520" spans="1:12">
      <c r="A1520" s="133"/>
      <c r="B1520" s="134"/>
      <c r="C1520" s="134"/>
      <c r="D1520" s="134"/>
      <c r="E1520" s="133"/>
      <c r="F1520" s="134"/>
      <c r="G1520" s="134"/>
      <c r="H1520" s="134"/>
      <c r="I1520" s="133"/>
      <c r="J1520" s="133"/>
      <c r="K1520" s="133"/>
      <c r="L1520" s="134"/>
    </row>
    <row r="1521" spans="1:12">
      <c r="A1521" s="133"/>
      <c r="B1521" s="134"/>
      <c r="C1521" s="134"/>
      <c r="D1521" s="134"/>
      <c r="E1521" s="133"/>
      <c r="F1521" s="134"/>
      <c r="G1521" s="134"/>
      <c r="H1521" s="134"/>
      <c r="I1521" s="133"/>
      <c r="J1521" s="133"/>
      <c r="K1521" s="133"/>
      <c r="L1521" s="134"/>
    </row>
    <row r="1522" spans="1:12">
      <c r="A1522" s="133"/>
      <c r="B1522" s="134"/>
      <c r="C1522" s="134"/>
      <c r="D1522" s="134"/>
      <c r="E1522" s="133"/>
      <c r="F1522" s="134"/>
      <c r="G1522" s="134"/>
      <c r="H1522" s="134"/>
      <c r="I1522" s="133"/>
      <c r="J1522" s="133"/>
      <c r="K1522" s="133"/>
      <c r="L1522" s="134"/>
    </row>
    <row r="1523" spans="1:12">
      <c r="A1523" s="133"/>
      <c r="B1523" s="134"/>
      <c r="C1523" s="134"/>
      <c r="D1523" s="134"/>
      <c r="E1523" s="133"/>
      <c r="F1523" s="134"/>
      <c r="G1523" s="134"/>
      <c r="H1523" s="134"/>
      <c r="I1523" s="133"/>
      <c r="J1523" s="133"/>
      <c r="K1523" s="133"/>
      <c r="L1523" s="134"/>
    </row>
    <row r="1524" spans="1:12">
      <c r="A1524" s="133"/>
      <c r="B1524" s="134"/>
      <c r="C1524" s="134"/>
      <c r="D1524" s="134"/>
      <c r="E1524" s="133"/>
      <c r="F1524" s="134"/>
      <c r="G1524" s="134"/>
      <c r="H1524" s="134"/>
      <c r="I1524" s="133"/>
      <c r="J1524" s="133"/>
      <c r="K1524" s="133"/>
      <c r="L1524" s="134"/>
    </row>
    <row r="1525" spans="1:12">
      <c r="A1525" s="133"/>
      <c r="B1525" s="134"/>
      <c r="C1525" s="134"/>
      <c r="D1525" s="134"/>
      <c r="E1525" s="133"/>
      <c r="F1525" s="134"/>
      <c r="G1525" s="134"/>
      <c r="H1525" s="134"/>
      <c r="I1525" s="133"/>
      <c r="J1525" s="133"/>
      <c r="K1525" s="133"/>
      <c r="L1525" s="134"/>
    </row>
    <row r="1526" spans="1:12">
      <c r="A1526" s="133"/>
      <c r="B1526" s="134"/>
      <c r="C1526" s="134"/>
      <c r="D1526" s="134"/>
      <c r="E1526" s="133"/>
      <c r="F1526" s="134"/>
      <c r="G1526" s="134"/>
      <c r="H1526" s="134"/>
      <c r="I1526" s="133"/>
      <c r="J1526" s="133"/>
      <c r="K1526" s="133"/>
      <c r="L1526" s="134"/>
    </row>
    <row r="1527" spans="1:12">
      <c r="A1527" s="133"/>
      <c r="B1527" s="134"/>
      <c r="C1527" s="134"/>
      <c r="D1527" s="134"/>
      <c r="E1527" s="133"/>
      <c r="F1527" s="134"/>
      <c r="G1527" s="134"/>
      <c r="H1527" s="134"/>
      <c r="I1527" s="133"/>
      <c r="J1527" s="133"/>
      <c r="K1527" s="133"/>
      <c r="L1527" s="134"/>
    </row>
    <row r="1528" spans="1:12">
      <c r="A1528" s="133"/>
      <c r="B1528" s="134"/>
      <c r="C1528" s="134"/>
      <c r="D1528" s="134"/>
      <c r="E1528" s="133"/>
      <c r="F1528" s="134"/>
      <c r="G1528" s="134"/>
      <c r="H1528" s="134"/>
      <c r="I1528" s="133"/>
      <c r="J1528" s="133"/>
      <c r="K1528" s="133"/>
      <c r="L1528" s="134"/>
    </row>
    <row r="1529" spans="1:12">
      <c r="A1529" s="133"/>
      <c r="B1529" s="134"/>
      <c r="C1529" s="134"/>
      <c r="D1529" s="134"/>
      <c r="E1529" s="133"/>
      <c r="F1529" s="134"/>
      <c r="G1529" s="134"/>
      <c r="H1529" s="134"/>
      <c r="I1529" s="133"/>
      <c r="J1529" s="133"/>
      <c r="K1529" s="133"/>
      <c r="L1529" s="134"/>
    </row>
    <row r="1530" spans="1:12">
      <c r="A1530" s="133"/>
      <c r="B1530" s="134"/>
      <c r="C1530" s="134"/>
      <c r="D1530" s="134"/>
      <c r="E1530" s="133"/>
      <c r="F1530" s="134"/>
      <c r="G1530" s="134"/>
      <c r="H1530" s="134"/>
      <c r="I1530" s="133"/>
      <c r="J1530" s="133"/>
      <c r="K1530" s="133"/>
      <c r="L1530" s="134"/>
    </row>
    <row r="1531" spans="1:12">
      <c r="A1531" s="133"/>
      <c r="B1531" s="134"/>
      <c r="C1531" s="134"/>
      <c r="D1531" s="134"/>
      <c r="E1531" s="133"/>
      <c r="F1531" s="134"/>
      <c r="G1531" s="134"/>
      <c r="H1531" s="134"/>
      <c r="I1531" s="133"/>
      <c r="J1531" s="133"/>
      <c r="K1531" s="133"/>
      <c r="L1531" s="134"/>
    </row>
    <row r="1532" spans="1:12">
      <c r="A1532" s="133"/>
      <c r="B1532" s="134"/>
      <c r="C1532" s="134"/>
      <c r="D1532" s="134"/>
      <c r="E1532" s="133"/>
      <c r="F1532" s="134"/>
      <c r="G1532" s="134"/>
      <c r="H1532" s="134"/>
      <c r="I1532" s="133"/>
      <c r="J1532" s="133"/>
      <c r="K1532" s="133"/>
      <c r="L1532" s="134"/>
    </row>
    <row r="1533" spans="1:12">
      <c r="A1533" s="133"/>
      <c r="B1533" s="134"/>
      <c r="C1533" s="134"/>
      <c r="D1533" s="134"/>
      <c r="E1533" s="133"/>
      <c r="F1533" s="134"/>
      <c r="G1533" s="134"/>
      <c r="H1533" s="134"/>
      <c r="I1533" s="133"/>
      <c r="J1533" s="133"/>
      <c r="K1533" s="133"/>
      <c r="L1533" s="134"/>
    </row>
    <row r="1534" spans="1:12">
      <c r="A1534" s="133"/>
      <c r="B1534" s="134"/>
      <c r="C1534" s="134"/>
      <c r="D1534" s="134"/>
      <c r="E1534" s="133"/>
      <c r="F1534" s="134"/>
      <c r="G1534" s="134"/>
      <c r="H1534" s="134"/>
      <c r="I1534" s="133"/>
      <c r="J1534" s="133"/>
      <c r="K1534" s="133"/>
      <c r="L1534" s="134"/>
    </row>
    <row r="1535" spans="1:12">
      <c r="A1535" s="133"/>
      <c r="B1535" s="134"/>
      <c r="C1535" s="134"/>
      <c r="D1535" s="134"/>
      <c r="E1535" s="133"/>
      <c r="F1535" s="134"/>
      <c r="G1535" s="134"/>
      <c r="H1535" s="134"/>
      <c r="I1535" s="133"/>
      <c r="J1535" s="133"/>
      <c r="K1535" s="133"/>
      <c r="L1535" s="134"/>
    </row>
    <row r="1536" spans="1:12">
      <c r="A1536" s="133"/>
      <c r="B1536" s="134"/>
      <c r="C1536" s="134"/>
      <c r="D1536" s="134"/>
      <c r="E1536" s="133"/>
      <c r="F1536" s="134"/>
      <c r="G1536" s="134"/>
      <c r="H1536" s="134"/>
      <c r="I1536" s="133"/>
      <c r="J1536" s="133"/>
      <c r="K1536" s="133"/>
      <c r="L1536" s="134"/>
    </row>
    <row r="1537" spans="1:12">
      <c r="A1537" s="133"/>
      <c r="B1537" s="134"/>
      <c r="C1537" s="134"/>
      <c r="D1537" s="134"/>
      <c r="E1537" s="133"/>
      <c r="F1537" s="134"/>
      <c r="G1537" s="134"/>
      <c r="H1537" s="134"/>
      <c r="I1537" s="133"/>
      <c r="J1537" s="133"/>
      <c r="K1537" s="133"/>
      <c r="L1537" s="134"/>
    </row>
    <row r="1538" spans="1:12">
      <c r="A1538" s="133"/>
      <c r="B1538" s="134"/>
      <c r="C1538" s="134"/>
      <c r="D1538" s="134"/>
      <c r="E1538" s="133"/>
      <c r="F1538" s="134"/>
      <c r="G1538" s="134"/>
      <c r="H1538" s="134"/>
      <c r="I1538" s="133"/>
      <c r="J1538" s="133"/>
      <c r="K1538" s="133"/>
      <c r="L1538" s="134"/>
    </row>
    <row r="1539" spans="1:12">
      <c r="A1539" s="133"/>
      <c r="B1539" s="134"/>
      <c r="C1539" s="134"/>
      <c r="D1539" s="134"/>
      <c r="E1539" s="133"/>
      <c r="F1539" s="134"/>
      <c r="G1539" s="134"/>
      <c r="H1539" s="134"/>
      <c r="I1539" s="133"/>
      <c r="J1539" s="133"/>
      <c r="K1539" s="133"/>
      <c r="L1539" s="134"/>
    </row>
    <row r="1540" spans="1:12">
      <c r="A1540" s="133"/>
      <c r="B1540" s="134"/>
      <c r="C1540" s="134"/>
      <c r="D1540" s="134"/>
      <c r="E1540" s="133"/>
      <c r="F1540" s="134"/>
      <c r="G1540" s="134"/>
      <c r="H1540" s="134"/>
      <c r="I1540" s="133"/>
      <c r="J1540" s="133"/>
      <c r="K1540" s="133"/>
      <c r="L1540" s="134"/>
    </row>
    <row r="1541" spans="1:12">
      <c r="A1541" s="133"/>
      <c r="B1541" s="134"/>
      <c r="C1541" s="134"/>
      <c r="D1541" s="134"/>
      <c r="E1541" s="133"/>
      <c r="F1541" s="134"/>
      <c r="G1541" s="134"/>
      <c r="H1541" s="134"/>
      <c r="I1541" s="133"/>
      <c r="J1541" s="133"/>
      <c r="K1541" s="133"/>
      <c r="L1541" s="134"/>
    </row>
    <row r="1542" spans="1:12">
      <c r="A1542" s="133"/>
      <c r="B1542" s="134"/>
      <c r="C1542" s="134"/>
      <c r="D1542" s="134"/>
      <c r="E1542" s="133"/>
      <c r="F1542" s="134"/>
      <c r="G1542" s="134"/>
      <c r="H1542" s="134"/>
      <c r="I1542" s="133"/>
      <c r="J1542" s="133"/>
      <c r="K1542" s="133"/>
      <c r="L1542" s="134"/>
    </row>
    <row r="1543" spans="1:12">
      <c r="A1543" s="133"/>
      <c r="B1543" s="134"/>
      <c r="C1543" s="134"/>
      <c r="D1543" s="134"/>
      <c r="E1543" s="133"/>
      <c r="F1543" s="134"/>
      <c r="G1543" s="134"/>
      <c r="H1543" s="134"/>
      <c r="I1543" s="133"/>
      <c r="J1543" s="133"/>
      <c r="K1543" s="133"/>
      <c r="L1543" s="134"/>
    </row>
    <row r="1544" spans="1:12">
      <c r="A1544" s="133"/>
      <c r="B1544" s="134"/>
      <c r="C1544" s="134"/>
      <c r="D1544" s="134"/>
      <c r="E1544" s="133"/>
      <c r="F1544" s="134"/>
      <c r="G1544" s="134"/>
      <c r="H1544" s="134"/>
      <c r="I1544" s="133"/>
      <c r="J1544" s="133"/>
      <c r="K1544" s="133"/>
      <c r="L1544" s="134"/>
    </row>
    <row r="1545" spans="1:12">
      <c r="A1545" s="133"/>
      <c r="B1545" s="134"/>
      <c r="C1545" s="134"/>
      <c r="D1545" s="134"/>
      <c r="E1545" s="133"/>
      <c r="F1545" s="134"/>
      <c r="G1545" s="134"/>
      <c r="H1545" s="134"/>
      <c r="I1545" s="133"/>
      <c r="J1545" s="133"/>
      <c r="K1545" s="133"/>
      <c r="L1545" s="134"/>
    </row>
    <row r="1546" spans="1:12">
      <c r="A1546" s="133"/>
      <c r="B1546" s="134"/>
      <c r="C1546" s="134"/>
      <c r="D1546" s="134"/>
      <c r="E1546" s="133"/>
      <c r="F1546" s="134"/>
      <c r="G1546" s="134"/>
      <c r="H1546" s="134"/>
      <c r="I1546" s="133"/>
      <c r="J1546" s="133"/>
      <c r="K1546" s="133"/>
      <c r="L1546" s="134"/>
    </row>
    <row r="1547" spans="1:12">
      <c r="A1547" s="133"/>
      <c r="B1547" s="134"/>
      <c r="C1547" s="134"/>
      <c r="D1547" s="134"/>
      <c r="E1547" s="133"/>
      <c r="F1547" s="134"/>
      <c r="G1547" s="134"/>
      <c r="H1547" s="134"/>
      <c r="I1547" s="133"/>
      <c r="J1547" s="133"/>
      <c r="K1547" s="133"/>
      <c r="L1547" s="134"/>
    </row>
    <row r="1548" spans="1:12">
      <c r="A1548" s="133"/>
      <c r="B1548" s="134"/>
      <c r="C1548" s="134"/>
      <c r="D1548" s="134"/>
      <c r="E1548" s="133"/>
      <c r="F1548" s="134"/>
      <c r="G1548" s="134"/>
      <c r="H1548" s="134"/>
      <c r="I1548" s="133"/>
      <c r="J1548" s="133"/>
      <c r="K1548" s="133"/>
      <c r="L1548" s="134"/>
    </row>
    <row r="1549" spans="1:12">
      <c r="A1549" s="133"/>
      <c r="B1549" s="134"/>
      <c r="C1549" s="134"/>
      <c r="D1549" s="134"/>
      <c r="E1549" s="133"/>
      <c r="F1549" s="134"/>
      <c r="G1549" s="134"/>
      <c r="H1549" s="134"/>
      <c r="I1549" s="133"/>
      <c r="J1549" s="133"/>
      <c r="K1549" s="133"/>
      <c r="L1549" s="134"/>
    </row>
    <row r="1550" spans="1:12">
      <c r="A1550" s="133"/>
      <c r="B1550" s="134"/>
      <c r="C1550" s="134"/>
      <c r="D1550" s="134"/>
      <c r="E1550" s="133"/>
      <c r="F1550" s="134"/>
      <c r="G1550" s="134"/>
      <c r="H1550" s="134"/>
      <c r="I1550" s="133"/>
      <c r="J1550" s="133"/>
      <c r="K1550" s="133"/>
      <c r="L1550" s="134"/>
    </row>
    <row r="1551" spans="1:12">
      <c r="A1551" s="133"/>
      <c r="B1551" s="134"/>
      <c r="C1551" s="134"/>
      <c r="D1551" s="134"/>
      <c r="E1551" s="133"/>
      <c r="F1551" s="134"/>
      <c r="G1551" s="134"/>
      <c r="H1551" s="134"/>
      <c r="I1551" s="133"/>
      <c r="J1551" s="133"/>
      <c r="K1551" s="133"/>
      <c r="L1551" s="134"/>
    </row>
    <row r="1552" spans="1:12">
      <c r="A1552" s="133"/>
      <c r="B1552" s="134"/>
      <c r="C1552" s="134"/>
      <c r="D1552" s="134"/>
      <c r="E1552" s="133"/>
      <c r="F1552" s="134"/>
      <c r="G1552" s="134"/>
      <c r="H1552" s="134"/>
      <c r="I1552" s="133"/>
      <c r="J1552" s="133"/>
      <c r="K1552" s="133"/>
      <c r="L1552" s="134"/>
    </row>
    <row r="1553" spans="1:12">
      <c r="A1553" s="133"/>
      <c r="B1553" s="134"/>
      <c r="C1553" s="134"/>
      <c r="D1553" s="134"/>
      <c r="E1553" s="133"/>
      <c r="F1553" s="134"/>
      <c r="G1553" s="134"/>
      <c r="H1553" s="134"/>
      <c r="I1553" s="133"/>
      <c r="J1553" s="133"/>
      <c r="K1553" s="133"/>
      <c r="L1553" s="134"/>
    </row>
    <row r="1554" spans="1:12">
      <c r="A1554" s="133"/>
      <c r="B1554" s="134"/>
      <c r="C1554" s="134"/>
      <c r="D1554" s="134"/>
      <c r="E1554" s="133"/>
      <c r="F1554" s="134"/>
      <c r="G1554" s="134"/>
      <c r="H1554" s="134"/>
      <c r="I1554" s="133"/>
      <c r="J1554" s="133"/>
      <c r="K1554" s="133"/>
      <c r="L1554" s="134"/>
    </row>
    <row r="1555" spans="1:12">
      <c r="A1555" s="133"/>
      <c r="B1555" s="134"/>
      <c r="C1555" s="134"/>
      <c r="D1555" s="134"/>
      <c r="E1555" s="133"/>
      <c r="F1555" s="134"/>
      <c r="G1555" s="134"/>
      <c r="H1555" s="134"/>
      <c r="I1555" s="133"/>
      <c r="J1555" s="133"/>
      <c r="K1555" s="133"/>
      <c r="L1555" s="134"/>
    </row>
    <row r="1556" spans="1:12">
      <c r="A1556" s="133"/>
      <c r="B1556" s="134"/>
      <c r="C1556" s="134"/>
      <c r="D1556" s="134"/>
      <c r="E1556" s="133"/>
      <c r="F1556" s="134"/>
      <c r="G1556" s="134"/>
      <c r="H1556" s="134"/>
      <c r="I1556" s="133"/>
      <c r="J1556" s="133"/>
      <c r="K1556" s="133"/>
      <c r="L1556" s="134"/>
    </row>
    <row r="1557" spans="1:12">
      <c r="A1557" s="133"/>
      <c r="B1557" s="134"/>
      <c r="C1557" s="134"/>
      <c r="D1557" s="134"/>
      <c r="E1557" s="133"/>
      <c r="F1557" s="134"/>
      <c r="G1557" s="134"/>
      <c r="H1557" s="134"/>
      <c r="I1557" s="133"/>
      <c r="J1557" s="133"/>
      <c r="K1557" s="133"/>
      <c r="L1557" s="134"/>
    </row>
    <row r="1558" spans="1:12">
      <c r="A1558" s="133"/>
      <c r="B1558" s="134"/>
      <c r="C1558" s="134"/>
      <c r="D1558" s="134"/>
      <c r="E1558" s="133"/>
      <c r="F1558" s="134"/>
      <c r="G1558" s="134"/>
      <c r="H1558" s="134"/>
      <c r="I1558" s="133"/>
      <c r="J1558" s="133"/>
      <c r="K1558" s="133"/>
      <c r="L1558" s="134"/>
    </row>
    <row r="1559" spans="1:12">
      <c r="A1559" s="133"/>
      <c r="B1559" s="134"/>
      <c r="C1559" s="134"/>
      <c r="D1559" s="134"/>
      <c r="E1559" s="133"/>
      <c r="F1559" s="134"/>
      <c r="G1559" s="134"/>
      <c r="H1559" s="134"/>
      <c r="I1559" s="133"/>
      <c r="J1559" s="133"/>
      <c r="K1559" s="133"/>
      <c r="L1559" s="134"/>
    </row>
    <row r="1560" spans="1:12">
      <c r="A1560" s="133"/>
      <c r="B1560" s="134"/>
      <c r="C1560" s="134"/>
      <c r="D1560" s="134"/>
      <c r="E1560" s="133"/>
      <c r="F1560" s="134"/>
      <c r="G1560" s="134"/>
      <c r="H1560" s="134"/>
      <c r="I1560" s="133"/>
      <c r="J1560" s="133"/>
      <c r="K1560" s="133"/>
      <c r="L1560" s="134"/>
    </row>
    <row r="1561" spans="1:12">
      <c r="A1561" s="133"/>
      <c r="B1561" s="134"/>
      <c r="C1561" s="134"/>
      <c r="D1561" s="134"/>
      <c r="E1561" s="133"/>
      <c r="F1561" s="134"/>
      <c r="G1561" s="134"/>
      <c r="H1561" s="134"/>
      <c r="I1561" s="133"/>
      <c r="J1561" s="133"/>
      <c r="K1561" s="133"/>
      <c r="L1561" s="134"/>
    </row>
    <row r="1562" spans="1:12">
      <c r="A1562" s="133"/>
      <c r="B1562" s="134"/>
      <c r="C1562" s="134"/>
      <c r="D1562" s="134"/>
      <c r="E1562" s="133"/>
      <c r="F1562" s="134"/>
      <c r="G1562" s="134"/>
      <c r="H1562" s="134"/>
      <c r="I1562" s="133"/>
      <c r="J1562" s="133"/>
      <c r="K1562" s="133"/>
      <c r="L1562" s="134"/>
    </row>
    <row r="1563" spans="1:12">
      <c r="A1563" s="133"/>
      <c r="B1563" s="134"/>
      <c r="C1563" s="134"/>
      <c r="D1563" s="134"/>
      <c r="E1563" s="133"/>
      <c r="F1563" s="134"/>
      <c r="G1563" s="134"/>
      <c r="H1563" s="134"/>
      <c r="I1563" s="133"/>
      <c r="J1563" s="133"/>
      <c r="K1563" s="133"/>
      <c r="L1563" s="134"/>
    </row>
    <row r="1564" spans="1:12">
      <c r="A1564" s="133"/>
      <c r="B1564" s="134"/>
      <c r="C1564" s="134"/>
      <c r="D1564" s="134"/>
      <c r="E1564" s="133"/>
      <c r="F1564" s="134"/>
      <c r="G1564" s="134"/>
      <c r="H1564" s="134"/>
      <c r="I1564" s="133"/>
      <c r="J1564" s="133"/>
      <c r="K1564" s="133"/>
      <c r="L1564" s="134"/>
    </row>
    <row r="1565" spans="1:12">
      <c r="A1565" s="133"/>
      <c r="B1565" s="134"/>
      <c r="C1565" s="134"/>
      <c r="D1565" s="134"/>
      <c r="E1565" s="133"/>
      <c r="F1565" s="134"/>
      <c r="G1565" s="134"/>
      <c r="H1565" s="134"/>
      <c r="I1565" s="133"/>
      <c r="J1565" s="133"/>
      <c r="K1565" s="133"/>
      <c r="L1565" s="134"/>
    </row>
    <row r="1566" spans="1:12">
      <c r="A1566" s="133"/>
      <c r="B1566" s="134"/>
      <c r="C1566" s="134"/>
      <c r="D1566" s="134"/>
      <c r="E1566" s="133"/>
      <c r="F1566" s="134"/>
      <c r="G1566" s="134"/>
      <c r="H1566" s="134"/>
      <c r="I1566" s="133"/>
      <c r="J1566" s="133"/>
      <c r="K1566" s="133"/>
      <c r="L1566" s="134"/>
    </row>
    <row r="1567" spans="1:12">
      <c r="A1567" s="133"/>
      <c r="B1567" s="134"/>
      <c r="C1567" s="134"/>
      <c r="D1567" s="134"/>
      <c r="E1567" s="133"/>
      <c r="F1567" s="134"/>
      <c r="G1567" s="134"/>
      <c r="H1567" s="134"/>
      <c r="I1567" s="133"/>
      <c r="J1567" s="133"/>
      <c r="K1567" s="133"/>
      <c r="L1567" s="134"/>
    </row>
    <row r="1568" spans="1:12">
      <c r="A1568" s="133"/>
      <c r="B1568" s="134"/>
      <c r="C1568" s="134"/>
      <c r="D1568" s="134"/>
      <c r="E1568" s="133"/>
      <c r="F1568" s="134"/>
      <c r="G1568" s="134"/>
      <c r="H1568" s="134"/>
      <c r="I1568" s="133"/>
      <c r="J1568" s="133"/>
      <c r="K1568" s="133"/>
      <c r="L1568" s="134"/>
    </row>
    <row r="1569" spans="1:12">
      <c r="A1569" s="133"/>
      <c r="B1569" s="134"/>
      <c r="C1569" s="134"/>
      <c r="D1569" s="134"/>
      <c r="E1569" s="133"/>
      <c r="F1569" s="134"/>
      <c r="G1569" s="134"/>
      <c r="H1569" s="134"/>
      <c r="I1569" s="133"/>
      <c r="J1569" s="133"/>
      <c r="K1569" s="133"/>
      <c r="L1569" s="134"/>
    </row>
    <row r="1570" spans="1:12">
      <c r="A1570" s="133"/>
      <c r="B1570" s="134"/>
      <c r="C1570" s="134"/>
      <c r="D1570" s="134"/>
      <c r="E1570" s="133"/>
      <c r="F1570" s="134"/>
      <c r="G1570" s="134"/>
      <c r="H1570" s="134"/>
      <c r="I1570" s="133"/>
      <c r="J1570" s="133"/>
      <c r="K1570" s="133"/>
      <c r="L1570" s="134"/>
    </row>
    <row r="1571" spans="1:12">
      <c r="A1571" s="133"/>
      <c r="B1571" s="134"/>
      <c r="C1571" s="134"/>
      <c r="D1571" s="134"/>
      <c r="E1571" s="133"/>
      <c r="F1571" s="134"/>
      <c r="G1571" s="134"/>
      <c r="H1571" s="134"/>
      <c r="I1571" s="133"/>
      <c r="J1571" s="133"/>
      <c r="K1571" s="133"/>
      <c r="L1571" s="134"/>
    </row>
    <row r="1572" spans="1:12">
      <c r="A1572" s="133"/>
      <c r="B1572" s="134"/>
      <c r="C1572" s="134"/>
      <c r="D1572" s="134"/>
      <c r="E1572" s="133"/>
      <c r="F1572" s="134"/>
      <c r="G1572" s="134"/>
      <c r="H1572" s="134"/>
      <c r="I1572" s="133"/>
      <c r="J1572" s="133"/>
      <c r="K1572" s="133"/>
      <c r="L1572" s="134"/>
    </row>
    <row r="1573" spans="1:12">
      <c r="A1573" s="133"/>
      <c r="B1573" s="134"/>
      <c r="C1573" s="134"/>
      <c r="D1573" s="134"/>
      <c r="E1573" s="133"/>
      <c r="F1573" s="134"/>
      <c r="G1573" s="134"/>
      <c r="H1573" s="134"/>
      <c r="I1573" s="133"/>
      <c r="J1573" s="133"/>
      <c r="K1573" s="133"/>
      <c r="L1573" s="134"/>
    </row>
    <row r="1574" spans="1:12">
      <c r="A1574" s="133"/>
      <c r="B1574" s="134"/>
      <c r="C1574" s="134"/>
      <c r="D1574" s="134"/>
      <c r="E1574" s="133"/>
      <c r="F1574" s="134"/>
      <c r="G1574" s="134"/>
      <c r="H1574" s="134"/>
      <c r="I1574" s="133"/>
      <c r="J1574" s="133"/>
      <c r="K1574" s="133"/>
      <c r="L1574" s="134"/>
    </row>
    <row r="1575" spans="1:12">
      <c r="A1575" s="133"/>
      <c r="B1575" s="134"/>
      <c r="C1575" s="134"/>
      <c r="D1575" s="134"/>
      <c r="E1575" s="133"/>
      <c r="F1575" s="134"/>
      <c r="G1575" s="134"/>
      <c r="H1575" s="134"/>
      <c r="I1575" s="133"/>
      <c r="J1575" s="133"/>
      <c r="K1575" s="133"/>
      <c r="L1575" s="134"/>
    </row>
    <row r="1576" spans="1:12">
      <c r="A1576" s="133"/>
      <c r="B1576" s="134"/>
      <c r="C1576" s="134"/>
      <c r="D1576" s="134"/>
      <c r="E1576" s="133"/>
      <c r="F1576" s="134"/>
      <c r="G1576" s="134"/>
      <c r="H1576" s="134"/>
      <c r="I1576" s="133"/>
      <c r="J1576" s="133"/>
      <c r="K1576" s="133"/>
      <c r="L1576" s="134"/>
    </row>
    <row r="1577" spans="1:12">
      <c r="A1577" s="133"/>
      <c r="B1577" s="134"/>
      <c r="C1577" s="134"/>
      <c r="D1577" s="134"/>
      <c r="E1577" s="133"/>
      <c r="F1577" s="134"/>
      <c r="G1577" s="134"/>
      <c r="H1577" s="134"/>
      <c r="I1577" s="133"/>
      <c r="J1577" s="133"/>
      <c r="K1577" s="133"/>
      <c r="L1577" s="134"/>
    </row>
    <row r="1578" spans="1:12">
      <c r="A1578" s="133"/>
      <c r="B1578" s="134"/>
      <c r="C1578" s="134"/>
      <c r="D1578" s="134"/>
      <c r="E1578" s="133"/>
      <c r="F1578" s="134"/>
      <c r="G1578" s="134"/>
      <c r="H1578" s="134"/>
      <c r="I1578" s="133"/>
      <c r="J1578" s="133"/>
      <c r="K1578" s="133"/>
      <c r="L1578" s="134"/>
    </row>
    <row r="1579" spans="1:12">
      <c r="A1579" s="133"/>
      <c r="B1579" s="134"/>
      <c r="C1579" s="134"/>
      <c r="D1579" s="134"/>
      <c r="E1579" s="133"/>
      <c r="F1579" s="134"/>
      <c r="G1579" s="134"/>
      <c r="H1579" s="134"/>
      <c r="I1579" s="133"/>
      <c r="J1579" s="133"/>
      <c r="K1579" s="133"/>
      <c r="L1579" s="134"/>
    </row>
    <row r="1580" spans="1:12">
      <c r="A1580" s="133"/>
      <c r="B1580" s="134"/>
      <c r="C1580" s="134"/>
      <c r="D1580" s="134"/>
      <c r="E1580" s="133"/>
      <c r="F1580" s="134"/>
      <c r="G1580" s="134"/>
      <c r="H1580" s="134"/>
      <c r="I1580" s="133"/>
      <c r="J1580" s="133"/>
      <c r="K1580" s="133"/>
      <c r="L1580" s="134"/>
    </row>
    <row r="1581" spans="1:12">
      <c r="A1581" s="133"/>
      <c r="B1581" s="134"/>
      <c r="C1581" s="134"/>
      <c r="D1581" s="134"/>
      <c r="E1581" s="133"/>
      <c r="F1581" s="134"/>
      <c r="G1581" s="134"/>
      <c r="H1581" s="134"/>
      <c r="I1581" s="133"/>
      <c r="J1581" s="133"/>
      <c r="K1581" s="133"/>
      <c r="L1581" s="134"/>
    </row>
    <row r="1582" spans="1:12">
      <c r="A1582" s="133"/>
      <c r="B1582" s="134"/>
      <c r="C1582" s="134"/>
      <c r="D1582" s="134"/>
      <c r="E1582" s="133"/>
      <c r="F1582" s="134"/>
      <c r="G1582" s="134"/>
      <c r="H1582" s="134"/>
      <c r="I1582" s="133"/>
      <c r="J1582" s="133"/>
      <c r="K1582" s="133"/>
      <c r="L1582" s="134"/>
    </row>
    <row r="1583" spans="1:12">
      <c r="A1583" s="133"/>
      <c r="B1583" s="134"/>
      <c r="C1583" s="134"/>
      <c r="D1583" s="134"/>
      <c r="E1583" s="133"/>
      <c r="F1583" s="134"/>
      <c r="G1583" s="134"/>
      <c r="H1583" s="134"/>
      <c r="I1583" s="133"/>
      <c r="J1583" s="133"/>
      <c r="K1583" s="133"/>
      <c r="L1583" s="134"/>
    </row>
    <row r="1584" spans="1:12">
      <c r="A1584" s="133"/>
      <c r="B1584" s="134"/>
      <c r="C1584" s="134"/>
      <c r="D1584" s="134"/>
      <c r="E1584" s="133"/>
      <c r="F1584" s="134"/>
      <c r="G1584" s="134"/>
      <c r="H1584" s="134"/>
      <c r="I1584" s="133"/>
      <c r="J1584" s="133"/>
      <c r="K1584" s="133"/>
      <c r="L1584" s="134"/>
    </row>
    <row r="1585" spans="1:12">
      <c r="A1585" s="133"/>
      <c r="B1585" s="134"/>
      <c r="C1585" s="134"/>
      <c r="D1585" s="134"/>
      <c r="E1585" s="133"/>
      <c r="F1585" s="134"/>
      <c r="G1585" s="134"/>
      <c r="H1585" s="134"/>
      <c r="I1585" s="133"/>
      <c r="J1585" s="133"/>
      <c r="K1585" s="133"/>
      <c r="L1585" s="134"/>
    </row>
    <row r="1586" spans="1:12">
      <c r="A1586" s="133"/>
      <c r="B1586" s="134"/>
      <c r="C1586" s="134"/>
      <c r="D1586" s="134"/>
      <c r="E1586" s="133"/>
      <c r="F1586" s="134"/>
      <c r="G1586" s="134"/>
      <c r="H1586" s="134"/>
      <c r="I1586" s="133"/>
      <c r="J1586" s="133"/>
      <c r="K1586" s="133"/>
      <c r="L1586" s="134"/>
    </row>
    <row r="1587" spans="1:12">
      <c r="A1587" s="133"/>
      <c r="B1587" s="134"/>
      <c r="C1587" s="134"/>
      <c r="D1587" s="134"/>
      <c r="E1587" s="133"/>
      <c r="F1587" s="134"/>
      <c r="G1587" s="134"/>
      <c r="H1587" s="134"/>
      <c r="I1587" s="133"/>
      <c r="J1587" s="133"/>
      <c r="K1587" s="133"/>
      <c r="L1587" s="134"/>
    </row>
    <row r="1588" spans="1:12">
      <c r="A1588" s="133"/>
      <c r="B1588" s="134"/>
      <c r="C1588" s="134"/>
      <c r="D1588" s="134"/>
      <c r="E1588" s="133"/>
      <c r="F1588" s="134"/>
      <c r="G1588" s="134"/>
      <c r="H1588" s="134"/>
      <c r="I1588" s="133"/>
      <c r="J1588" s="133"/>
      <c r="K1588" s="133"/>
      <c r="L1588" s="134"/>
    </row>
    <row r="1589" spans="1:12">
      <c r="A1589" s="133"/>
      <c r="B1589" s="134"/>
      <c r="C1589" s="134"/>
      <c r="D1589" s="134"/>
      <c r="E1589" s="133"/>
      <c r="F1589" s="134"/>
      <c r="G1589" s="134"/>
      <c r="H1589" s="134"/>
      <c r="I1589" s="133"/>
      <c r="J1589" s="133"/>
      <c r="K1589" s="133"/>
      <c r="L1589" s="134"/>
    </row>
    <row r="1590" spans="1:12">
      <c r="A1590" s="133"/>
      <c r="B1590" s="134"/>
      <c r="C1590" s="134"/>
      <c r="D1590" s="134"/>
      <c r="E1590" s="133"/>
      <c r="F1590" s="134"/>
      <c r="G1590" s="134"/>
      <c r="H1590" s="134"/>
      <c r="I1590" s="133"/>
      <c r="J1590" s="133"/>
      <c r="K1590" s="133"/>
      <c r="L1590" s="134"/>
    </row>
    <row r="1591" spans="1:12">
      <c r="A1591" s="133"/>
      <c r="B1591" s="134"/>
      <c r="C1591" s="134"/>
      <c r="D1591" s="134"/>
      <c r="E1591" s="133"/>
      <c r="F1591" s="134"/>
      <c r="G1591" s="134"/>
      <c r="H1591" s="134"/>
      <c r="I1591" s="133"/>
      <c r="J1591" s="133"/>
      <c r="K1591" s="133"/>
      <c r="L1591" s="134"/>
    </row>
    <row r="1592" spans="1:12">
      <c r="A1592" s="133"/>
      <c r="B1592" s="134"/>
      <c r="C1592" s="134"/>
      <c r="D1592" s="134"/>
      <c r="E1592" s="133"/>
      <c r="F1592" s="134"/>
      <c r="G1592" s="134"/>
      <c r="H1592" s="134"/>
      <c r="I1592" s="133"/>
      <c r="J1592" s="133"/>
      <c r="K1592" s="133"/>
      <c r="L1592" s="134"/>
    </row>
    <row r="1593" spans="1:12">
      <c r="A1593" s="133"/>
      <c r="B1593" s="134"/>
      <c r="C1593" s="134"/>
      <c r="D1593" s="134"/>
      <c r="E1593" s="133"/>
      <c r="F1593" s="134"/>
      <c r="G1593" s="134"/>
      <c r="H1593" s="134"/>
      <c r="I1593" s="133"/>
      <c r="J1593" s="133"/>
      <c r="K1593" s="133"/>
      <c r="L1593" s="134"/>
    </row>
    <row r="1594" spans="1:12">
      <c r="A1594" s="133"/>
      <c r="B1594" s="134"/>
      <c r="C1594" s="134"/>
      <c r="D1594" s="134"/>
      <c r="E1594" s="133"/>
      <c r="F1594" s="134"/>
      <c r="G1594" s="134"/>
      <c r="H1594" s="134"/>
      <c r="I1594" s="133"/>
      <c r="J1594" s="133"/>
      <c r="K1594" s="133"/>
      <c r="L1594" s="134"/>
    </row>
    <row r="1595" spans="1:12">
      <c r="A1595" s="133"/>
      <c r="B1595" s="134"/>
      <c r="C1595" s="134"/>
      <c r="D1595" s="134"/>
      <c r="E1595" s="133"/>
      <c r="F1595" s="134"/>
      <c r="G1595" s="134"/>
      <c r="H1595" s="134"/>
      <c r="I1595" s="133"/>
      <c r="J1595" s="133"/>
      <c r="K1595" s="133"/>
      <c r="L1595" s="134"/>
    </row>
    <row r="1596" spans="1:12">
      <c r="A1596" s="133"/>
      <c r="B1596" s="134"/>
      <c r="C1596" s="134"/>
      <c r="D1596" s="134"/>
      <c r="E1596" s="133"/>
      <c r="F1596" s="134"/>
      <c r="G1596" s="134"/>
      <c r="H1596" s="134"/>
      <c r="I1596" s="133"/>
      <c r="J1596" s="133"/>
      <c r="K1596" s="133"/>
      <c r="L1596" s="134"/>
    </row>
    <row r="1597" spans="1:12">
      <c r="A1597" s="133"/>
      <c r="B1597" s="134"/>
      <c r="C1597" s="134"/>
      <c r="D1597" s="134"/>
      <c r="E1597" s="133"/>
      <c r="F1597" s="134"/>
      <c r="G1597" s="134"/>
      <c r="H1597" s="134"/>
      <c r="I1597" s="133"/>
      <c r="J1597" s="133"/>
      <c r="K1597" s="133"/>
      <c r="L1597" s="134"/>
    </row>
    <row r="1598" spans="1:12">
      <c r="A1598" s="133"/>
      <c r="B1598" s="134"/>
      <c r="C1598" s="134"/>
      <c r="D1598" s="134"/>
      <c r="E1598" s="133"/>
      <c r="F1598" s="134"/>
      <c r="G1598" s="134"/>
      <c r="H1598" s="134"/>
      <c r="I1598" s="133"/>
      <c r="J1598" s="133"/>
      <c r="K1598" s="133"/>
      <c r="L1598" s="134"/>
    </row>
    <row r="1599" spans="1:12">
      <c r="A1599" s="133"/>
      <c r="B1599" s="134"/>
      <c r="C1599" s="134"/>
      <c r="D1599" s="134"/>
      <c r="E1599" s="133"/>
      <c r="F1599" s="134"/>
      <c r="G1599" s="134"/>
      <c r="H1599" s="134"/>
      <c r="I1599" s="133"/>
      <c r="J1599" s="133"/>
      <c r="K1599" s="133"/>
      <c r="L1599" s="134"/>
    </row>
    <row r="1600" spans="1:12">
      <c r="A1600" s="133"/>
      <c r="B1600" s="134"/>
      <c r="C1600" s="134"/>
      <c r="D1600" s="134"/>
      <c r="E1600" s="133"/>
      <c r="F1600" s="134"/>
      <c r="G1600" s="134"/>
      <c r="H1600" s="134"/>
      <c r="I1600" s="133"/>
      <c r="J1600" s="133"/>
      <c r="K1600" s="133"/>
      <c r="L1600" s="134"/>
    </row>
    <row r="1601" spans="1:12">
      <c r="A1601" s="133"/>
      <c r="B1601" s="134"/>
      <c r="C1601" s="134"/>
      <c r="D1601" s="134"/>
      <c r="E1601" s="133"/>
      <c r="F1601" s="134"/>
      <c r="G1601" s="134"/>
      <c r="H1601" s="134"/>
      <c r="I1601" s="133"/>
      <c r="J1601" s="133"/>
      <c r="K1601" s="133"/>
      <c r="L1601" s="134"/>
    </row>
    <row r="1602" spans="1:12">
      <c r="A1602" s="133"/>
      <c r="B1602" s="134"/>
      <c r="C1602" s="134"/>
      <c r="D1602" s="134"/>
      <c r="E1602" s="133"/>
      <c r="F1602" s="134"/>
      <c r="G1602" s="134"/>
      <c r="H1602" s="134"/>
      <c r="I1602" s="133"/>
      <c r="J1602" s="133"/>
      <c r="K1602" s="133"/>
      <c r="L1602" s="134"/>
    </row>
    <row r="1603" spans="1:12">
      <c r="A1603" s="133"/>
      <c r="B1603" s="134"/>
      <c r="C1603" s="134"/>
      <c r="D1603" s="134"/>
      <c r="E1603" s="133"/>
      <c r="F1603" s="134"/>
      <c r="G1603" s="134"/>
      <c r="H1603" s="134"/>
      <c r="I1603" s="133"/>
      <c r="J1603" s="133"/>
      <c r="K1603" s="133"/>
      <c r="L1603" s="134"/>
    </row>
    <row r="1604" spans="1:12">
      <c r="A1604" s="133"/>
      <c r="B1604" s="134"/>
      <c r="C1604" s="134"/>
      <c r="D1604" s="134"/>
      <c r="E1604" s="133"/>
      <c r="F1604" s="134"/>
      <c r="G1604" s="134"/>
      <c r="H1604" s="134"/>
      <c r="I1604" s="133"/>
      <c r="J1604" s="133"/>
      <c r="K1604" s="133"/>
      <c r="L1604" s="134"/>
    </row>
    <row r="1605" spans="1:12">
      <c r="A1605" s="133"/>
      <c r="B1605" s="134"/>
      <c r="C1605" s="134"/>
      <c r="D1605" s="134"/>
      <c r="E1605" s="133"/>
      <c r="F1605" s="134"/>
      <c r="G1605" s="134"/>
      <c r="H1605" s="134"/>
      <c r="I1605" s="133"/>
      <c r="J1605" s="133"/>
      <c r="K1605" s="133"/>
      <c r="L1605" s="134"/>
    </row>
    <row r="1606" spans="1:12">
      <c r="A1606" s="133"/>
      <c r="B1606" s="134"/>
      <c r="C1606" s="134"/>
      <c r="D1606" s="134"/>
      <c r="E1606" s="133"/>
      <c r="F1606" s="134"/>
      <c r="G1606" s="134"/>
      <c r="H1606" s="134"/>
      <c r="I1606" s="133"/>
      <c r="J1606" s="133"/>
      <c r="K1606" s="133"/>
      <c r="L1606" s="134"/>
    </row>
    <row r="1607" spans="1:12">
      <c r="A1607" s="133"/>
      <c r="B1607" s="134"/>
      <c r="C1607" s="134"/>
      <c r="D1607" s="134"/>
      <c r="E1607" s="133"/>
      <c r="F1607" s="134"/>
      <c r="G1607" s="134"/>
      <c r="H1607" s="134"/>
      <c r="I1607" s="133"/>
      <c r="J1607" s="133"/>
      <c r="K1607" s="133"/>
      <c r="L1607" s="134"/>
    </row>
    <row r="1608" spans="1:12">
      <c r="A1608" s="133"/>
      <c r="B1608" s="134"/>
      <c r="C1608" s="134"/>
      <c r="D1608" s="134"/>
      <c r="E1608" s="133"/>
      <c r="F1608" s="134"/>
      <c r="G1608" s="134"/>
      <c r="H1608" s="134"/>
      <c r="I1608" s="133"/>
      <c r="J1608" s="133"/>
      <c r="K1608" s="133"/>
      <c r="L1608" s="134"/>
    </row>
    <row r="1609" spans="1:12">
      <c r="A1609" s="133"/>
      <c r="B1609" s="134"/>
      <c r="C1609" s="134"/>
      <c r="D1609" s="134"/>
      <c r="E1609" s="133"/>
      <c r="F1609" s="134"/>
      <c r="G1609" s="134"/>
      <c r="H1609" s="134"/>
      <c r="I1609" s="133"/>
      <c r="J1609" s="133"/>
      <c r="K1609" s="133"/>
      <c r="L1609" s="134"/>
    </row>
    <row r="1610" spans="1:12">
      <c r="A1610" s="133"/>
      <c r="B1610" s="134"/>
      <c r="C1610" s="134"/>
      <c r="D1610" s="134"/>
      <c r="E1610" s="133"/>
      <c r="F1610" s="134"/>
      <c r="G1610" s="134"/>
      <c r="H1610" s="134"/>
      <c r="I1610" s="133"/>
      <c r="J1610" s="133"/>
      <c r="K1610" s="133"/>
      <c r="L1610" s="134"/>
    </row>
    <row r="1611" spans="1:12">
      <c r="A1611" s="133"/>
      <c r="B1611" s="134"/>
      <c r="C1611" s="134"/>
      <c r="D1611" s="134"/>
      <c r="E1611" s="133"/>
      <c r="F1611" s="134"/>
      <c r="G1611" s="134"/>
      <c r="H1611" s="134"/>
      <c r="I1611" s="133"/>
      <c r="J1611" s="133"/>
      <c r="K1611" s="133"/>
      <c r="L1611" s="134"/>
    </row>
    <row r="1612" spans="1:12">
      <c r="A1612" s="133"/>
      <c r="B1612" s="134"/>
      <c r="C1612" s="134"/>
      <c r="D1612" s="134"/>
      <c r="E1612" s="133"/>
      <c r="F1612" s="134"/>
      <c r="G1612" s="134"/>
      <c r="H1612" s="134"/>
      <c r="I1612" s="133"/>
      <c r="J1612" s="133"/>
      <c r="K1612" s="133"/>
      <c r="L1612" s="134"/>
    </row>
    <row r="1613" spans="1:12">
      <c r="A1613" s="133"/>
      <c r="B1613" s="134"/>
      <c r="C1613" s="134"/>
      <c r="D1613" s="134"/>
      <c r="E1613" s="133"/>
      <c r="F1613" s="134"/>
      <c r="G1613" s="134"/>
      <c r="H1613" s="134"/>
      <c r="I1613" s="133"/>
      <c r="J1613" s="133"/>
      <c r="K1613" s="133"/>
      <c r="L1613" s="134"/>
    </row>
    <row r="1614" spans="1:12">
      <c r="A1614" s="133"/>
      <c r="B1614" s="134"/>
      <c r="C1614" s="134"/>
      <c r="D1614" s="134"/>
      <c r="E1614" s="133"/>
      <c r="F1614" s="134"/>
      <c r="G1614" s="134"/>
      <c r="H1614" s="134"/>
      <c r="I1614" s="133"/>
      <c r="J1614" s="133"/>
      <c r="K1614" s="133"/>
      <c r="L1614" s="134"/>
    </row>
    <row r="1615" spans="1:12">
      <c r="A1615" s="133"/>
      <c r="B1615" s="134"/>
      <c r="C1615" s="134"/>
      <c r="D1615" s="134"/>
      <c r="E1615" s="133"/>
      <c r="F1615" s="134"/>
      <c r="G1615" s="134"/>
      <c r="H1615" s="134"/>
      <c r="I1615" s="133"/>
      <c r="J1615" s="133"/>
      <c r="K1615" s="133"/>
      <c r="L1615" s="134"/>
    </row>
    <row r="1616" spans="1:12">
      <c r="A1616" s="133"/>
      <c r="B1616" s="134"/>
      <c r="C1616" s="134"/>
      <c r="D1616" s="134"/>
      <c r="E1616" s="133"/>
      <c r="F1616" s="134"/>
      <c r="G1616" s="134"/>
      <c r="H1616" s="134"/>
      <c r="I1616" s="133"/>
      <c r="J1616" s="133"/>
      <c r="K1616" s="133"/>
      <c r="L1616" s="134"/>
    </row>
  </sheetData>
  <sortState ref="DJ4:DL438">
    <sortCondition ref="DL4:DL438"/>
  </sortState>
  <mergeCells count="9">
    <mergeCell ref="AY21:AY22"/>
    <mergeCell ref="AX21:AX22"/>
    <mergeCell ref="AW21:AW22"/>
    <mergeCell ref="AV21:AV22"/>
    <mergeCell ref="BN15:BN16"/>
    <mergeCell ref="BM15:BM16"/>
    <mergeCell ref="BL15:BL16"/>
    <mergeCell ref="BK15:BK16"/>
    <mergeCell ref="AW10:AW15"/>
  </mergeCells>
  <pageMargins left="0.75" right="0.75" top="1" bottom="1" header="0.5" footer="0.5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92"/>
  <sheetViews>
    <sheetView topLeftCell="F1" workbookViewId="0">
      <pane ySplit="560" activePane="bottomLeft"/>
      <selection activeCell="O1" sqref="O1:O1048576"/>
      <selection pane="bottomLeft" activeCell="G32" sqref="G32"/>
    </sheetView>
  </sheetViews>
  <sheetFormatPr baseColWidth="10" defaultRowHeight="16"/>
  <cols>
    <col min="3" max="3" width="10.85546875" style="188" customWidth="1"/>
    <col min="4" max="4" width="12" style="188" customWidth="1"/>
    <col min="5" max="5" width="10.7109375" style="190"/>
    <col min="15" max="15" width="13.28515625" customWidth="1"/>
  </cols>
  <sheetData>
    <row r="1" spans="1:19">
      <c r="A1" s="2" t="s">
        <v>0</v>
      </c>
      <c r="B1" s="2" t="s">
        <v>72</v>
      </c>
      <c r="C1" s="188" t="str">
        <f>'Tank Data'!V22</f>
        <v>T3_sluice</v>
      </c>
      <c r="D1" s="188" t="s">
        <v>76</v>
      </c>
      <c r="E1" s="190" t="s">
        <v>73</v>
      </c>
      <c r="O1" s="2" t="s">
        <v>0</v>
      </c>
      <c r="P1" s="2" t="s">
        <v>75</v>
      </c>
      <c r="Q1" s="188" t="s">
        <v>5</v>
      </c>
      <c r="R1" s="188" t="s">
        <v>61</v>
      </c>
      <c r="S1" s="190" t="s">
        <v>73</v>
      </c>
    </row>
    <row r="2" spans="1:19">
      <c r="A2" s="2">
        <f>'Tank Data'!Q23</f>
        <v>41564</v>
      </c>
      <c r="B2" s="189">
        <f>-100*'Tank Data'!T23</f>
        <v>-79.055999999999997</v>
      </c>
      <c r="C2" s="188">
        <f>-100*'Tank Data'!V23</f>
        <v>0.91735014619066091</v>
      </c>
      <c r="D2" s="189">
        <f>'Tank Data'!X23</f>
        <v>-79.973350146190668</v>
      </c>
      <c r="O2" s="2">
        <f>'Tank Data'!Y23</f>
        <v>41564</v>
      </c>
      <c r="P2" s="189">
        <f>-100*'Tank Data'!AB23</f>
        <v>-50.975999999999999</v>
      </c>
      <c r="Q2" s="189">
        <f>-100*'Tank Data'!AD23</f>
        <v>2.4631300553781195</v>
      </c>
      <c r="R2" s="189">
        <f>'Tank Data'!AF23</f>
        <v>-53.439130055378115</v>
      </c>
    </row>
    <row r="3" spans="1:19">
      <c r="A3" s="2">
        <f>'Tank Data'!Q24</f>
        <v>41565</v>
      </c>
      <c r="B3" s="189">
        <f>-100*'Tank Data'!T24</f>
        <v>3.5424000000000002</v>
      </c>
      <c r="C3" s="188">
        <f>-100*'Tank Data'!V24</f>
        <v>0.92465898722130979</v>
      </c>
      <c r="D3" s="189">
        <f>'Tank Data'!X24</f>
        <v>2.6177410127786906</v>
      </c>
      <c r="E3" s="190">
        <f>C3/B3</f>
        <v>0.26102613686238418</v>
      </c>
      <c r="O3" s="2">
        <f>'Tank Data'!Y24</f>
        <v>41565</v>
      </c>
      <c r="P3" s="189">
        <f>-100*'Tank Data'!AB24</f>
        <v>2.1168</v>
      </c>
      <c r="Q3" s="189">
        <f>-100*'Tank Data'!AD24</f>
        <v>2.4482763718270766</v>
      </c>
      <c r="R3" s="189">
        <f>'Tank Data'!AF24</f>
        <v>-0.33147637182707679</v>
      </c>
    </row>
    <row r="4" spans="1:19">
      <c r="A4" s="2">
        <f>'Tank Data'!Q25</f>
        <v>41566</v>
      </c>
      <c r="B4" s="189">
        <f>-100*'Tank Data'!T25</f>
        <v>0.36288000000000004</v>
      </c>
      <c r="C4" s="188">
        <f>-100*'Tank Data'!V25</f>
        <v>0.92675212943336671</v>
      </c>
      <c r="D4" s="189">
        <f>'Tank Data'!X25</f>
        <v>-0.56387212943336684</v>
      </c>
      <c r="O4" s="2">
        <f>'Tank Data'!Y25</f>
        <v>41566</v>
      </c>
      <c r="P4" s="189">
        <f>-100*'Tank Data'!AB25</f>
        <v>14.976000000000001</v>
      </c>
      <c r="Q4" s="189">
        <f>-100*'Tank Data'!AD25</f>
        <v>2.4257848569911267</v>
      </c>
      <c r="R4" s="189">
        <f>'Tank Data'!AF25</f>
        <v>12.550215143008876</v>
      </c>
    </row>
    <row r="5" spans="1:19">
      <c r="A5" s="2">
        <f>'Tank Data'!Q26</f>
        <v>41567</v>
      </c>
      <c r="B5" s="189">
        <f>-100*'Tank Data'!T26</f>
        <v>-57.312000000000005</v>
      </c>
      <c r="C5" s="188">
        <f>-100*'Tank Data'!V26</f>
        <v>0.9263766059331654</v>
      </c>
      <c r="D5" s="189">
        <f>'Tank Data'!X26</f>
        <v>-58.238376605933176</v>
      </c>
      <c r="O5" s="2">
        <f>'Tank Data'!Y26</f>
        <v>41567</v>
      </c>
      <c r="P5" s="189">
        <f>-100*'Tank Data'!AB26</f>
        <v>51.408000000000001</v>
      </c>
      <c r="Q5" s="189">
        <f>-100*'Tank Data'!AD26</f>
        <v>2.3755910145628429</v>
      </c>
      <c r="R5" s="189">
        <f>'Tank Data'!AF26</f>
        <v>49.032408985437151</v>
      </c>
    </row>
    <row r="6" spans="1:19">
      <c r="A6" s="2">
        <f>'Tank Data'!Q27</f>
        <v>41568</v>
      </c>
      <c r="B6" s="189">
        <f>-100*'Tank Data'!T27</f>
        <v>6.5088000000000008</v>
      </c>
      <c r="C6" s="188">
        <f>-100*'Tank Data'!V27</f>
        <v>0.92488366568884028</v>
      </c>
      <c r="D6" s="189">
        <f>'Tank Data'!X27</f>
        <v>5.5839163343111604</v>
      </c>
      <c r="E6" s="190">
        <f t="shared" ref="E6:E11" si="0">C6/B6</f>
        <v>0.14209741668031592</v>
      </c>
      <c r="O6" s="2">
        <f>'Tank Data'!Y27</f>
        <v>41568</v>
      </c>
      <c r="P6" s="189">
        <f>-100*'Tank Data'!AB27</f>
        <v>2.3039999999999998</v>
      </c>
      <c r="Q6" s="189">
        <f>-100*'Tank Data'!AD27</f>
        <v>2.4479282897542634</v>
      </c>
      <c r="R6" s="189">
        <f>'Tank Data'!AF27</f>
        <v>-0.14392828975426342</v>
      </c>
    </row>
    <row r="7" spans="1:19">
      <c r="A7" s="2">
        <f>'Tank Data'!Q28</f>
        <v>41569</v>
      </c>
      <c r="B7" s="189">
        <f>-100*'Tank Data'!T28</f>
        <v>6.0192000000000005</v>
      </c>
      <c r="C7" s="188">
        <f>-100*'Tank Data'!V28</f>
        <v>0.9254646550494966</v>
      </c>
      <c r="D7" s="189">
        <f>'Tank Data'!X28</f>
        <v>5.0937353449505034</v>
      </c>
      <c r="E7" s="190">
        <f t="shared" si="0"/>
        <v>0.15375210244708543</v>
      </c>
      <c r="O7" s="2">
        <f>'Tank Data'!Y28</f>
        <v>41569</v>
      </c>
      <c r="P7" s="189">
        <f>-100*'Tank Data'!AB28</f>
        <v>4.3344000000000005</v>
      </c>
      <c r="Q7" s="189">
        <f>-100*'Tank Data'!AD28</f>
        <v>2.4452708789741555</v>
      </c>
      <c r="R7" s="189">
        <f>'Tank Data'!AF28</f>
        <v>1.8891291210258447</v>
      </c>
    </row>
    <row r="8" spans="1:19">
      <c r="A8" s="2">
        <f>'Tank Data'!Q29</f>
        <v>41570</v>
      </c>
      <c r="B8" s="189">
        <f>-100*'Tank Data'!T29</f>
        <v>5.112000000000001</v>
      </c>
      <c r="C8" s="188">
        <f>-100*'Tank Data'!V29</f>
        <v>0.92620649861139059</v>
      </c>
      <c r="D8" s="189">
        <f>'Tank Data'!X29</f>
        <v>4.1857935013886101</v>
      </c>
      <c r="E8" s="190">
        <f t="shared" si="0"/>
        <v>0.18118280489268201</v>
      </c>
      <c r="O8" s="2">
        <f>'Tank Data'!Y29</f>
        <v>41570</v>
      </c>
      <c r="P8" s="189">
        <f>-100*'Tank Data'!AB29</f>
        <v>1.6415999999999999</v>
      </c>
      <c r="Q8" s="189">
        <f>-100*'Tank Data'!AD29</f>
        <v>2.4547675873006711</v>
      </c>
      <c r="R8" s="189">
        <f>'Tank Data'!AF29</f>
        <v>-0.81316758730067096</v>
      </c>
    </row>
    <row r="9" spans="1:19">
      <c r="A9" s="2">
        <f>'Tank Data'!Q30</f>
        <v>41571</v>
      </c>
      <c r="B9" s="189">
        <f>-100*'Tank Data'!T30</f>
        <v>6.4656000000000002</v>
      </c>
      <c r="C9" s="188">
        <f>-100*'Tank Data'!V30</f>
        <v>0.92677295732636555</v>
      </c>
      <c r="D9" s="189">
        <f>'Tank Data'!X30</f>
        <v>5.5388270426736348</v>
      </c>
      <c r="E9" s="190">
        <f t="shared" si="0"/>
        <v>0.14333904932664648</v>
      </c>
      <c r="O9" s="2">
        <f>'Tank Data'!Y30</f>
        <v>41571</v>
      </c>
      <c r="P9" s="189">
        <f>-100*'Tank Data'!AB30</f>
        <v>2.5199999999999996</v>
      </c>
      <c r="Q9" s="189">
        <f>-100*'Tank Data'!AD30</f>
        <v>2.4620933437251886</v>
      </c>
      <c r="R9" s="189">
        <f>'Tank Data'!AF30</f>
        <v>5.7906656274811161E-2</v>
      </c>
    </row>
    <row r="10" spans="1:19">
      <c r="A10" s="2">
        <f>'Tank Data'!Q31</f>
        <v>41572</v>
      </c>
      <c r="B10" s="189">
        <f>-100*'Tank Data'!T31</f>
        <v>5.2704000000000004</v>
      </c>
      <c r="C10" s="188">
        <f>-100*'Tank Data'!V31</f>
        <v>0.92715658550689728</v>
      </c>
      <c r="D10" s="189">
        <f>'Tank Data'!X31</f>
        <v>4.3432434144931031</v>
      </c>
      <c r="E10" s="190">
        <f t="shared" si="0"/>
        <v>0.17591768850692494</v>
      </c>
      <c r="O10" s="2">
        <f>'Tank Data'!Y31</f>
        <v>41572</v>
      </c>
      <c r="P10" s="189">
        <f>-100*'Tank Data'!AB31</f>
        <v>1.6704000000000001</v>
      </c>
      <c r="Q10" s="189">
        <f>-100*'Tank Data'!AD31</f>
        <v>2.4658539082898603</v>
      </c>
      <c r="R10" s="189">
        <f>'Tank Data'!AF31</f>
        <v>-0.79545390828986051</v>
      </c>
    </row>
    <row r="11" spans="1:19">
      <c r="A11" s="2">
        <f>'Tank Data'!Q32</f>
        <v>41573</v>
      </c>
      <c r="B11" s="189">
        <f>-100*'Tank Data'!T32</f>
        <v>5.9615999999999998</v>
      </c>
      <c r="C11" s="188">
        <f>-100*'Tank Data'!V32</f>
        <v>0.92730389326056062</v>
      </c>
      <c r="D11" s="189">
        <f>'Tank Data'!X32</f>
        <v>5.0342961067394389</v>
      </c>
      <c r="E11" s="190">
        <f t="shared" si="0"/>
        <v>0.1555461441996378</v>
      </c>
      <c r="O11" s="2">
        <f>'Tank Data'!Y32</f>
        <v>41573</v>
      </c>
      <c r="P11" s="189">
        <f>-100*'Tank Data'!AB32</f>
        <v>2.7071999999999998</v>
      </c>
      <c r="Q11" s="189">
        <f>-100*'Tank Data'!AD32</f>
        <v>2.4676682919278532</v>
      </c>
      <c r="R11" s="189">
        <f>'Tank Data'!AF32</f>
        <v>0.23953170807214652</v>
      </c>
    </row>
    <row r="12" spans="1:19">
      <c r="A12" s="2">
        <f>'Tank Data'!Q33</f>
        <v>41574</v>
      </c>
      <c r="B12" s="189">
        <f>-100*'Tank Data'!T33</f>
        <v>-4.8528000000000002</v>
      </c>
      <c r="C12" s="188">
        <f>-100*'Tank Data'!V33</f>
        <v>0.92724554487408972</v>
      </c>
      <c r="D12" s="189">
        <f>'Tank Data'!X33</f>
        <v>-5.7800455448740902</v>
      </c>
      <c r="O12" s="2">
        <f>'Tank Data'!Y33</f>
        <v>41574</v>
      </c>
      <c r="P12" s="189">
        <f>-100*'Tank Data'!AB33</f>
        <v>2.5775999999999999</v>
      </c>
      <c r="Q12" s="189">
        <f>-100*'Tank Data'!AD33</f>
        <v>2.4710670363282397</v>
      </c>
      <c r="R12" s="189">
        <f>'Tank Data'!AF33</f>
        <v>0.10653296367176025</v>
      </c>
    </row>
    <row r="13" spans="1:19">
      <c r="A13" s="2">
        <f>'Tank Data'!Q34</f>
        <v>41575</v>
      </c>
      <c r="B13" s="189">
        <f>-100*'Tank Data'!T34</f>
        <v>4.3344000000000005</v>
      </c>
      <c r="C13" s="188">
        <f>-100*'Tank Data'!V34</f>
        <v>0.92693554622877494</v>
      </c>
      <c r="D13" s="189">
        <f>'Tank Data'!X34</f>
        <v>3.4074644537712251</v>
      </c>
      <c r="E13" s="190">
        <f t="shared" ref="E13:E32" si="1">C13/B13</f>
        <v>0.2138555616068602</v>
      </c>
      <c r="O13" s="2">
        <f>'Tank Data'!Y34</f>
        <v>41575</v>
      </c>
      <c r="P13" s="189">
        <f>-100*'Tank Data'!AB34</f>
        <v>2.2896000000000001</v>
      </c>
      <c r="Q13" s="189">
        <f>-100*'Tank Data'!AD34</f>
        <v>2.4739769928991819</v>
      </c>
      <c r="R13" s="189">
        <f>'Tank Data'!AF34</f>
        <v>-0.18437699289918197</v>
      </c>
    </row>
    <row r="14" spans="1:19">
      <c r="A14" s="2">
        <f>'Tank Data'!Q35</f>
        <v>41576</v>
      </c>
      <c r="B14" s="189">
        <f>-100*'Tank Data'!T35</f>
        <v>4.0895999999999999</v>
      </c>
      <c r="C14" s="188">
        <f>-100*'Tank Data'!V35</f>
        <v>0.92642060103326296</v>
      </c>
      <c r="D14" s="189">
        <f>'Tank Data'!X35</f>
        <v>3.1631793989667374</v>
      </c>
      <c r="E14" s="190">
        <f t="shared" si="1"/>
        <v>0.22653085901634951</v>
      </c>
      <c r="O14" s="2">
        <f>'Tank Data'!Y35</f>
        <v>41576</v>
      </c>
      <c r="P14" s="189">
        <f>-100*'Tank Data'!AB35</f>
        <v>2.0016000000000003</v>
      </c>
      <c r="Q14" s="189">
        <f>-100*'Tank Data'!AD35</f>
        <v>2.4760498987802309</v>
      </c>
      <c r="R14" s="189">
        <f>'Tank Data'!AF35</f>
        <v>-0.47444989878023047</v>
      </c>
    </row>
    <row r="15" spans="1:19">
      <c r="A15" s="2">
        <f>'Tank Data'!Q36</f>
        <v>41577</v>
      </c>
      <c r="B15" s="189">
        <f>-100*'Tank Data'!T36</f>
        <v>4.7088000000000001</v>
      </c>
      <c r="C15" s="188">
        <f>-100*'Tank Data'!V36</f>
        <v>0.92600560196904025</v>
      </c>
      <c r="D15" s="189">
        <f>'Tank Data'!X36</f>
        <v>3.7827943980309602</v>
      </c>
      <c r="E15" s="190">
        <f t="shared" si="1"/>
        <v>0.19665426477426101</v>
      </c>
      <c r="O15" s="2">
        <f>'Tank Data'!Y36</f>
        <v>41577</v>
      </c>
      <c r="P15" s="189">
        <f>-100*'Tank Data'!AB36</f>
        <v>1.1088</v>
      </c>
      <c r="Q15" s="189">
        <f>-100*'Tank Data'!AD36</f>
        <v>2.4768144254648865</v>
      </c>
      <c r="R15" s="189">
        <f>'Tank Data'!AF36</f>
        <v>-1.3680144254648863</v>
      </c>
    </row>
    <row r="16" spans="1:19">
      <c r="A16" s="2">
        <f>'Tank Data'!Q37</f>
        <v>41578</v>
      </c>
      <c r="B16" s="189">
        <f>-100*'Tank Data'!T37</f>
        <v>4.7088000000000001</v>
      </c>
      <c r="C16" s="188">
        <f>-100*'Tank Data'!V37</f>
        <v>0.92513734284287596</v>
      </c>
      <c r="D16" s="189">
        <f>'Tank Data'!X37</f>
        <v>3.7836626571571248</v>
      </c>
      <c r="E16" s="190">
        <f t="shared" si="1"/>
        <v>0.19646987403221117</v>
      </c>
      <c r="O16" s="2">
        <f>'Tank Data'!Y37</f>
        <v>41578</v>
      </c>
      <c r="P16" s="189">
        <f>-100*'Tank Data'!AB37</f>
        <v>1.4400000000000002</v>
      </c>
      <c r="Q16" s="189">
        <f>-100*'Tank Data'!AD37</f>
        <v>2.4769758377861035</v>
      </c>
      <c r="R16" s="189">
        <f>'Tank Data'!AF37</f>
        <v>-1.0369758377861031</v>
      </c>
    </row>
    <row r="17" spans="1:18">
      <c r="A17" s="2">
        <f>'Tank Data'!Q38</f>
        <v>41579</v>
      </c>
      <c r="B17" s="189">
        <f>-100*'Tank Data'!T38</f>
        <v>5.6448</v>
      </c>
      <c r="C17" s="188">
        <f>-100*'Tank Data'!V38</f>
        <v>0.92385431624697723</v>
      </c>
      <c r="D17" s="189">
        <f>'Tank Data'!X38</f>
        <v>4.7209456837530226</v>
      </c>
      <c r="E17" s="190">
        <f t="shared" si="1"/>
        <v>0.1636646677024832</v>
      </c>
      <c r="O17" s="2">
        <f>'Tank Data'!Y38</f>
        <v>41579</v>
      </c>
      <c r="P17" s="189">
        <f>-100*'Tank Data'!AB38</f>
        <v>1.008</v>
      </c>
      <c r="Q17" s="189">
        <f>-100*'Tank Data'!AD38</f>
        <v>2.4764863639916124</v>
      </c>
      <c r="R17" s="189">
        <f>'Tank Data'!AF38</f>
        <v>-1.4684863639916124</v>
      </c>
    </row>
    <row r="18" spans="1:18">
      <c r="A18" s="2">
        <f>'Tank Data'!Q39</f>
        <v>41580</v>
      </c>
      <c r="B18" s="189">
        <f>-100*'Tank Data'!T39</f>
        <v>3.3264</v>
      </c>
      <c r="C18" s="188">
        <f>-100*'Tank Data'!V39</f>
        <v>0.92224204962452416</v>
      </c>
      <c r="D18" s="189">
        <f>'Tank Data'!X39</f>
        <v>2.4041579503754762</v>
      </c>
      <c r="E18" s="190">
        <f t="shared" si="1"/>
        <v>0.27724929341766597</v>
      </c>
      <c r="O18" s="2">
        <f>'Tank Data'!Y39</f>
        <v>41580</v>
      </c>
      <c r="P18" s="189">
        <f>-100*'Tank Data'!AB39</f>
        <v>1.4400000000000002</v>
      </c>
      <c r="Q18" s="189">
        <f>-100*'Tank Data'!AD39</f>
        <v>2.4751261824847273</v>
      </c>
      <c r="R18" s="189">
        <f>'Tank Data'!AF39</f>
        <v>-1.0351261824847269</v>
      </c>
    </row>
    <row r="19" spans="1:18">
      <c r="A19" s="2">
        <f>'Tank Data'!Q40</f>
        <v>41581</v>
      </c>
      <c r="B19" s="189">
        <f>-100*'Tank Data'!T40</f>
        <v>3.7440000000000002</v>
      </c>
      <c r="C19" s="188">
        <f>-100*'Tank Data'!V40</f>
        <v>0.92100633006795773</v>
      </c>
      <c r="D19" s="189">
        <f>'Tank Data'!X40</f>
        <v>2.8229936699320426</v>
      </c>
      <c r="E19" s="190">
        <f t="shared" si="1"/>
        <v>0.24599528046686903</v>
      </c>
      <c r="O19" s="2">
        <f>'Tank Data'!Y40</f>
        <v>41581</v>
      </c>
      <c r="P19" s="189">
        <f>-100*'Tank Data'!AB40</f>
        <v>1.4400000000000002</v>
      </c>
      <c r="Q19" s="189">
        <f>-100*'Tank Data'!AD40</f>
        <v>2.4732019764012536</v>
      </c>
      <c r="R19" s="189">
        <f>'Tank Data'!AF40</f>
        <v>-1.0332019764012534</v>
      </c>
    </row>
    <row r="20" spans="1:18">
      <c r="A20" s="2">
        <f>'Tank Data'!Q41</f>
        <v>41582</v>
      </c>
      <c r="B20" s="189">
        <f>-100*'Tank Data'!T41</f>
        <v>3.4416000000000002</v>
      </c>
      <c r="C20" s="188">
        <f>-100*'Tank Data'!V41</f>
        <v>0.91954648392301075</v>
      </c>
      <c r="D20" s="189">
        <f>'Tank Data'!X41</f>
        <v>2.5220535160769892</v>
      </c>
      <c r="E20" s="190">
        <f t="shared" si="1"/>
        <v>0.26718575195345501</v>
      </c>
      <c r="O20" s="2">
        <f>'Tank Data'!Y41</f>
        <v>41582</v>
      </c>
      <c r="P20" s="189">
        <f>-100*'Tank Data'!AB41</f>
        <v>2.8800000000000003</v>
      </c>
      <c r="Q20" s="189">
        <f>-100*'Tank Data'!AD41</f>
        <v>2.4703986193876206</v>
      </c>
      <c r="R20" s="189">
        <f>'Tank Data'!AF41</f>
        <v>0.40960138061237988</v>
      </c>
    </row>
    <row r="21" spans="1:18">
      <c r="A21" s="2">
        <f>'Tank Data'!Q42</f>
        <v>41583</v>
      </c>
      <c r="B21" s="189">
        <f>-100*'Tank Data'!T42</f>
        <v>3.3119999999999998</v>
      </c>
      <c r="C21" s="188">
        <f>-100*'Tank Data'!V42</f>
        <v>0.91941175854233448</v>
      </c>
      <c r="D21" s="189">
        <f>'Tank Data'!X42</f>
        <v>2.3925882414576654</v>
      </c>
      <c r="E21" s="190">
        <f t="shared" si="1"/>
        <v>0.2776001686420092</v>
      </c>
      <c r="O21" s="2">
        <f>'Tank Data'!Y42</f>
        <v>41583</v>
      </c>
      <c r="P21" s="189">
        <f>-100*'Tank Data'!AB42</f>
        <v>0.432</v>
      </c>
      <c r="Q21" s="189">
        <f>-100*'Tank Data'!AD42</f>
        <v>2.4723830948889263</v>
      </c>
      <c r="R21" s="189">
        <f>'Tank Data'!AF42</f>
        <v>-2.0403830948889263</v>
      </c>
    </row>
    <row r="22" spans="1:18">
      <c r="A22" s="2">
        <f>'Tank Data'!Q43</f>
        <v>41584</v>
      </c>
      <c r="B22" s="189">
        <f>-100*'Tank Data'!T43</f>
        <v>3.2688000000000001</v>
      </c>
      <c r="C22" s="188">
        <f>-100*'Tank Data'!V43</f>
        <v>0.91826748716674744</v>
      </c>
      <c r="D22" s="189">
        <f>'Tank Data'!X43</f>
        <v>2.3505325128332526</v>
      </c>
      <c r="E22" s="190">
        <f t="shared" si="1"/>
        <v>0.28091883479158941</v>
      </c>
      <c r="O22" s="2">
        <f>'Tank Data'!Y43</f>
        <v>41584</v>
      </c>
      <c r="P22" s="189">
        <f>-100*'Tank Data'!AB43</f>
        <v>0.90144000000000002</v>
      </c>
      <c r="Q22" s="189">
        <f>-100*'Tank Data'!AD43</f>
        <v>2.4709944001749742</v>
      </c>
      <c r="R22" s="189">
        <f>'Tank Data'!AF43</f>
        <v>-1.5695544001749746</v>
      </c>
    </row>
    <row r="23" spans="1:18">
      <c r="A23" s="2">
        <f>'Tank Data'!Q44</f>
        <v>41585</v>
      </c>
      <c r="B23" s="189">
        <f>-100*'Tank Data'!T44</f>
        <v>3.3264</v>
      </c>
      <c r="C23" s="188">
        <f>-100*'Tank Data'!V44</f>
        <v>0.91647975277614513</v>
      </c>
      <c r="D23" s="189">
        <f>'Tank Data'!X44</f>
        <v>2.4099202472238552</v>
      </c>
      <c r="E23" s="190">
        <f t="shared" si="1"/>
        <v>0.27551700119532985</v>
      </c>
      <c r="O23" s="2">
        <f>'Tank Data'!Y44</f>
        <v>41585</v>
      </c>
      <c r="P23" s="189">
        <f>-100*'Tank Data'!AB44</f>
        <v>1.008</v>
      </c>
      <c r="Q23" s="189">
        <f>-100*'Tank Data'!AD44</f>
        <v>2.466922797986189</v>
      </c>
      <c r="R23" s="189">
        <f>'Tank Data'!AF44</f>
        <v>-1.4589227979861892</v>
      </c>
    </row>
    <row r="24" spans="1:18">
      <c r="A24" s="2">
        <f>'Tank Data'!Q45</f>
        <v>41586</v>
      </c>
      <c r="B24" s="189">
        <f>-100*'Tank Data'!T45</f>
        <v>3.4992000000000001</v>
      </c>
      <c r="C24" s="188">
        <f>-100*'Tank Data'!V45</f>
        <v>0.91423128598491898</v>
      </c>
      <c r="D24" s="189">
        <f>'Tank Data'!X45</f>
        <v>2.5849687140150812</v>
      </c>
      <c r="E24" s="190">
        <f t="shared" si="1"/>
        <v>0.26126865740309757</v>
      </c>
      <c r="O24" s="2">
        <f>'Tank Data'!Y45</f>
        <v>41586</v>
      </c>
      <c r="P24" s="189">
        <f>-100*'Tank Data'!AB45</f>
        <v>0.19152</v>
      </c>
      <c r="Q24" s="189">
        <f>-100*'Tank Data'!AD45</f>
        <v>2.4615138135866559</v>
      </c>
      <c r="R24" s="189">
        <f>'Tank Data'!AF45</f>
        <v>-2.2699938135866562</v>
      </c>
    </row>
    <row r="25" spans="1:18">
      <c r="A25" s="2">
        <f>'Tank Data'!Q46</f>
        <v>41587</v>
      </c>
      <c r="B25" s="189">
        <f>-100*'Tank Data'!T46</f>
        <v>3.2688000000000001</v>
      </c>
      <c r="C25" s="188">
        <f>-100*'Tank Data'!V46</f>
        <v>0.91155211046433737</v>
      </c>
      <c r="D25" s="189">
        <f>'Tank Data'!X46</f>
        <v>2.357247889535663</v>
      </c>
      <c r="E25" s="190">
        <f t="shared" si="1"/>
        <v>0.27886444886941303</v>
      </c>
      <c r="O25" s="2">
        <f>'Tank Data'!Y46</f>
        <v>41587</v>
      </c>
      <c r="P25" s="189">
        <f>-100*'Tank Data'!AB46</f>
        <v>2.3904000000000001</v>
      </c>
      <c r="Q25" s="189">
        <f>-100*'Tank Data'!AD46</f>
        <v>2.4540318508776751</v>
      </c>
      <c r="R25" s="189">
        <f>'Tank Data'!AF46</f>
        <v>-6.363185087767502E-2</v>
      </c>
    </row>
    <row r="26" spans="1:18">
      <c r="A26" s="2">
        <f>'Tank Data'!Q47</f>
        <v>41588</v>
      </c>
      <c r="B26" s="189">
        <f>-100*'Tank Data'!T47</f>
        <v>3.3264</v>
      </c>
      <c r="C26" s="188">
        <f>-100*'Tank Data'!V47</f>
        <v>0.90869060936184554</v>
      </c>
      <c r="D26" s="189">
        <f>'Tank Data'!X47</f>
        <v>2.4177093906381546</v>
      </c>
      <c r="E26" s="190">
        <f t="shared" si="1"/>
        <v>0.27317538761479243</v>
      </c>
      <c r="O26" s="2">
        <f>'Tank Data'!Y47</f>
        <v>41588</v>
      </c>
      <c r="P26" s="189">
        <f>-100*'Tank Data'!AB47</f>
        <v>3.1680000000000001</v>
      </c>
      <c r="Q26" s="189">
        <f>-100*'Tank Data'!AD47</f>
        <v>2.4452494142038166</v>
      </c>
      <c r="R26" s="189">
        <f>'Tank Data'!AF47</f>
        <v>0.72275058579618356</v>
      </c>
    </row>
    <row r="27" spans="1:18">
      <c r="A27" s="2">
        <f>'Tank Data'!Q48</f>
        <v>41589</v>
      </c>
      <c r="B27" s="189">
        <f>-100*'Tank Data'!T48</f>
        <v>3.3839999999999995</v>
      </c>
      <c r="C27" s="188">
        <f>-100*'Tank Data'!V48</f>
        <v>0.9053513257982948</v>
      </c>
      <c r="D27" s="189">
        <f>'Tank Data'!X48</f>
        <v>2.4786486742017049</v>
      </c>
      <c r="E27" s="190">
        <f t="shared" si="1"/>
        <v>0.26753880786001621</v>
      </c>
      <c r="O27" s="2">
        <f>'Tank Data'!Y48</f>
        <v>41589</v>
      </c>
      <c r="P27" s="189">
        <f>-100*'Tank Data'!AB48</f>
        <v>2.8512</v>
      </c>
      <c r="Q27" s="189">
        <f>-100*'Tank Data'!AD48</f>
        <v>2.4328094531156483</v>
      </c>
      <c r="R27" s="189">
        <f>'Tank Data'!AF48</f>
        <v>0.4183905468843514</v>
      </c>
    </row>
    <row r="28" spans="1:18">
      <c r="A28" s="2">
        <f>'Tank Data'!Q49</f>
        <v>41590</v>
      </c>
      <c r="B28" s="189">
        <f>-100*'Tank Data'!T49</f>
        <v>3.4416000000000002</v>
      </c>
      <c r="C28" s="188">
        <f>-100*'Tank Data'!V49</f>
        <v>0.90156439071119343</v>
      </c>
      <c r="D28" s="189">
        <f>'Tank Data'!X49</f>
        <v>2.5400356092888066</v>
      </c>
      <c r="E28" s="190">
        <f t="shared" si="1"/>
        <v>0.26196082947210408</v>
      </c>
      <c r="O28" s="2">
        <f>'Tank Data'!Y49</f>
        <v>41590</v>
      </c>
      <c r="P28" s="189">
        <f>-100*'Tank Data'!AB49</f>
        <v>3.456</v>
      </c>
      <c r="Q28" s="189">
        <f>-100*'Tank Data'!AD49</f>
        <v>2.4108690289370576</v>
      </c>
      <c r="R28" s="189">
        <f>'Tank Data'!AF49</f>
        <v>1.0451309710629426</v>
      </c>
    </row>
    <row r="29" spans="1:18">
      <c r="A29" s="2">
        <f>'Tank Data'!Q50</f>
        <v>41591</v>
      </c>
      <c r="B29" s="189">
        <f>-100*'Tank Data'!T50</f>
        <v>1.1519999999999999</v>
      </c>
      <c r="C29" s="188">
        <f>-100*'Tank Data'!V50</f>
        <v>0.89813253516944414</v>
      </c>
      <c r="D29" s="189">
        <f>'Tank Data'!X50</f>
        <v>0.25386746483055578</v>
      </c>
      <c r="E29" s="190">
        <f t="shared" si="1"/>
        <v>0.77962893677903145</v>
      </c>
      <c r="O29" s="2">
        <f>'Tank Data'!Y50</f>
        <v>41591</v>
      </c>
      <c r="P29" s="189">
        <f>-100*'Tank Data'!AB50</f>
        <v>-0.28799999999999998</v>
      </c>
      <c r="Q29" s="189">
        <f>-100*'Tank Data'!AD50</f>
        <v>2.3958063946914669</v>
      </c>
      <c r="R29" s="189">
        <f>'Tank Data'!AF50</f>
        <v>-2.6838063946914672</v>
      </c>
    </row>
    <row r="30" spans="1:18">
      <c r="A30" s="2">
        <f>'Tank Data'!Q51</f>
        <v>41592</v>
      </c>
      <c r="B30" s="189">
        <f>-100*'Tank Data'!T51</f>
        <v>3.4271999999999996</v>
      </c>
      <c r="C30" s="188">
        <f>-100*'Tank Data'!V51</f>
        <v>0.89477883074473363</v>
      </c>
      <c r="D30" s="189">
        <f>'Tank Data'!X51</f>
        <v>2.5324211692552661</v>
      </c>
      <c r="E30" s="190">
        <f t="shared" si="1"/>
        <v>0.26108159160385552</v>
      </c>
      <c r="O30" s="2">
        <f>'Tank Data'!Y51</f>
        <v>41592</v>
      </c>
      <c r="P30" s="189">
        <f>-100*'Tank Data'!AB51</f>
        <v>2.8080000000000003</v>
      </c>
      <c r="Q30" s="189">
        <f>-100*'Tank Data'!AD51</f>
        <v>2.3814431782710233</v>
      </c>
      <c r="R30" s="189">
        <f>'Tank Data'!AF51</f>
        <v>0.42655682172897669</v>
      </c>
    </row>
    <row r="31" spans="1:18">
      <c r="A31" s="2">
        <f>'Tank Data'!Q52</f>
        <v>41593</v>
      </c>
      <c r="B31" s="189">
        <f>-100*'Tank Data'!T52</f>
        <v>3.3984000000000001</v>
      </c>
      <c r="C31" s="188">
        <f>-100*'Tank Data'!V52</f>
        <v>0.89045466722954081</v>
      </c>
      <c r="D31" s="189">
        <f>'Tank Data'!X52</f>
        <v>2.5079453327704595</v>
      </c>
      <c r="E31" s="190">
        <f t="shared" si="1"/>
        <v>0.26202173588439875</v>
      </c>
      <c r="O31" s="2">
        <f>'Tank Data'!Y52</f>
        <v>41593</v>
      </c>
      <c r="P31" s="189">
        <f>-100*'Tank Data'!AB52</f>
        <v>2.5055999999999998</v>
      </c>
      <c r="Q31" s="189">
        <f>-100*'Tank Data'!AD52</f>
        <v>2.3608501811843658</v>
      </c>
      <c r="R31" s="189">
        <f>'Tank Data'!AF52</f>
        <v>0.14474981881563398</v>
      </c>
    </row>
    <row r="32" spans="1:18">
      <c r="A32" s="2">
        <f>'Tank Data'!Q53</f>
        <v>41594</v>
      </c>
      <c r="B32" s="189">
        <f>-100*'Tank Data'!T53</f>
        <v>3.3119999999999998</v>
      </c>
      <c r="C32" s="188">
        <f>-100*'Tank Data'!V53</f>
        <v>0.88513129414218394</v>
      </c>
      <c r="D32" s="189">
        <f>'Tank Data'!X53</f>
        <v>2.4268687058578156</v>
      </c>
      <c r="E32" s="190">
        <f t="shared" si="1"/>
        <v>0.26724978687867873</v>
      </c>
      <c r="O32" s="2">
        <f>'Tank Data'!Y53</f>
        <v>41594</v>
      </c>
      <c r="P32" s="189">
        <f>-100*'Tank Data'!AB53</f>
        <v>2.4912000000000001</v>
      </c>
      <c r="Q32" s="189">
        <f>-100*'Tank Data'!AD53</f>
        <v>2.3255532055041961</v>
      </c>
      <c r="R32" s="189">
        <f>'Tank Data'!AF53</f>
        <v>0.16564679449580372</v>
      </c>
    </row>
    <row r="33" spans="1:18">
      <c r="A33" s="2">
        <f>'Tank Data'!Q54</f>
        <v>41595</v>
      </c>
      <c r="B33" s="189">
        <f>-100*'Tank Data'!T54</f>
        <v>-96.768000000000001</v>
      </c>
      <c r="C33" s="188">
        <f>-100*'Tank Data'!V54</f>
        <v>0.87943086412421889</v>
      </c>
      <c r="D33" s="189">
        <f>'Tank Data'!X54</f>
        <v>-97.647430864124217</v>
      </c>
      <c r="O33" s="2">
        <f>'Tank Data'!Y54</f>
        <v>41595</v>
      </c>
      <c r="P33" s="189">
        <f>-100*'Tank Data'!AB54</f>
        <v>-86.399999999999991</v>
      </c>
      <c r="Q33" s="189">
        <f>-100*'Tank Data'!AD54</f>
        <v>2.2812273147463298</v>
      </c>
      <c r="R33" s="189">
        <f>'Tank Data'!AF54</f>
        <v>-88.681227314746309</v>
      </c>
    </row>
    <row r="34" spans="1:18">
      <c r="A34" s="2">
        <f>'Tank Data'!Q55</f>
        <v>41596</v>
      </c>
      <c r="B34" s="189">
        <f>-100*'Tank Data'!T55</f>
        <v>-2.8800000000000003</v>
      </c>
      <c r="C34" s="188">
        <f>-100*'Tank Data'!V55</f>
        <v>0.92723492855062883</v>
      </c>
      <c r="D34" s="189">
        <f>'Tank Data'!X55</f>
        <v>-3.8072349285506291</v>
      </c>
      <c r="O34" s="2">
        <f>'Tank Data'!Y55</f>
        <v>41596</v>
      </c>
      <c r="P34" s="189">
        <f>-100*'Tank Data'!AB55</f>
        <v>0.86399999999999999</v>
      </c>
      <c r="Q34" s="189">
        <f>-100*'Tank Data'!AD55</f>
        <v>2.4597342214388913</v>
      </c>
      <c r="R34" s="189">
        <f>'Tank Data'!AF55</f>
        <v>-1.5957342214388917</v>
      </c>
    </row>
    <row r="35" spans="1:18">
      <c r="A35" s="2">
        <f>'Tank Data'!Q56</f>
        <v>41597</v>
      </c>
      <c r="B35" s="189">
        <f>-100*'Tank Data'!T56</f>
        <v>2.5488</v>
      </c>
      <c r="C35" s="188">
        <f>-100*'Tank Data'!V56</f>
        <v>0.92720738044848039</v>
      </c>
      <c r="D35" s="189">
        <f>'Tank Data'!X56</f>
        <v>1.6215926195515196</v>
      </c>
      <c r="E35" s="190">
        <f t="shared" ref="E35:E47" si="2">C35/B35</f>
        <v>0.36378192892674216</v>
      </c>
      <c r="O35" s="2">
        <f>'Tank Data'!Y56</f>
        <v>41597</v>
      </c>
      <c r="P35" s="189">
        <f>-100*'Tank Data'!AB56</f>
        <v>1.6559999999999999</v>
      </c>
      <c r="Q35" s="189">
        <f>-100*'Tank Data'!AD56</f>
        <v>2.4635596041080507</v>
      </c>
      <c r="R35" s="189">
        <f>'Tank Data'!AF56</f>
        <v>-0.80755960410805083</v>
      </c>
    </row>
    <row r="36" spans="1:18">
      <c r="A36" s="2">
        <f>'Tank Data'!Q57</f>
        <v>41598</v>
      </c>
      <c r="B36" s="189">
        <f>-100*'Tank Data'!T57</f>
        <v>4.4352</v>
      </c>
      <c r="C36" s="188">
        <f>-100*'Tank Data'!V57</f>
        <v>0.92697706000214408</v>
      </c>
      <c r="D36" s="189">
        <f>'Tank Data'!X57</f>
        <v>3.5082229399978564</v>
      </c>
      <c r="E36" s="190">
        <f t="shared" si="2"/>
        <v>0.20900456800192643</v>
      </c>
      <c r="O36" s="2">
        <f>'Tank Data'!Y57</f>
        <v>41598</v>
      </c>
      <c r="P36" s="189">
        <f>-100*'Tank Data'!AB57</f>
        <v>2.0880000000000001</v>
      </c>
      <c r="Q36" s="189">
        <f>-100*'Tank Data'!AD57</f>
        <v>2.4678904867642766</v>
      </c>
      <c r="R36" s="189">
        <f>'Tank Data'!AF57</f>
        <v>-0.37989048676427656</v>
      </c>
    </row>
    <row r="37" spans="1:18">
      <c r="A37" s="2">
        <f>'Tank Data'!Q58</f>
        <v>41599</v>
      </c>
      <c r="B37" s="189">
        <f>-100*'Tank Data'!T58</f>
        <v>3.6576000000000004</v>
      </c>
      <c r="C37" s="188">
        <f>-100*'Tank Data'!V58</f>
        <v>0.92657277663913429</v>
      </c>
      <c r="D37" s="189">
        <f>'Tank Data'!X58</f>
        <v>2.7310272233608663</v>
      </c>
      <c r="E37" s="190">
        <f t="shared" si="2"/>
        <v>0.25332807760256293</v>
      </c>
      <c r="O37" s="2">
        <f>'Tank Data'!Y58</f>
        <v>41599</v>
      </c>
      <c r="P37" s="189">
        <f>-100*'Tank Data'!AB58</f>
        <v>2.3760000000000003</v>
      </c>
      <c r="Q37" s="189">
        <f>-100*'Tank Data'!AD58</f>
        <v>2.4716865049337029</v>
      </c>
      <c r="R37" s="189">
        <f>'Tank Data'!AF58</f>
        <v>-9.5686504933702524E-2</v>
      </c>
    </row>
    <row r="38" spans="1:18">
      <c r="A38" s="2">
        <f>'Tank Data'!Q59</f>
        <v>41600</v>
      </c>
      <c r="B38" s="189">
        <f>-100*'Tank Data'!T59</f>
        <v>3.4127999999999998</v>
      </c>
      <c r="C38" s="188">
        <f>-100*'Tank Data'!V59</f>
        <v>0.92598385962620811</v>
      </c>
      <c r="D38" s="189">
        <f>'Tank Data'!X59</f>
        <v>2.4868161403737918</v>
      </c>
      <c r="E38" s="190">
        <f t="shared" si="2"/>
        <v>0.27132672867622132</v>
      </c>
      <c r="O38" s="2">
        <f>'Tank Data'!Y59</f>
        <v>41600</v>
      </c>
      <c r="P38" s="189">
        <f>-100*'Tank Data'!AB59</f>
        <v>2.16</v>
      </c>
      <c r="Q38" s="189">
        <f>-100*'Tank Data'!AD59</f>
        <v>2.474569259093002</v>
      </c>
      <c r="R38" s="189">
        <f>'Tank Data'!AF59</f>
        <v>-0.31456925909300187</v>
      </c>
    </row>
    <row r="39" spans="1:18">
      <c r="A39" s="2">
        <f>'Tank Data'!Q60</f>
        <v>41601</v>
      </c>
      <c r="B39" s="189">
        <f>-100*'Tank Data'!T60</f>
        <v>3.4416000000000002</v>
      </c>
      <c r="C39" s="188">
        <f>-100*'Tank Data'!V60</f>
        <v>0.92526504641205543</v>
      </c>
      <c r="D39" s="189">
        <f>'Tank Data'!X60</f>
        <v>2.5163349535879447</v>
      </c>
      <c r="E39" s="190">
        <f t="shared" si="2"/>
        <v>0.26884735193283804</v>
      </c>
      <c r="O39" s="2">
        <f>'Tank Data'!Y60</f>
        <v>41601</v>
      </c>
      <c r="P39" s="189">
        <f>-100*'Tank Data'!AB60</f>
        <v>2.1743999999999999</v>
      </c>
      <c r="Q39" s="189">
        <f>-100*'Tank Data'!AD60</f>
        <v>2.4764030762041105</v>
      </c>
      <c r="R39" s="189">
        <f>'Tank Data'!AF60</f>
        <v>-0.30200307620411071</v>
      </c>
    </row>
    <row r="40" spans="1:18">
      <c r="A40" s="2">
        <f>'Tank Data'!Q61</f>
        <v>41602</v>
      </c>
      <c r="B40" s="189">
        <f>-100*'Tank Data'!T61</f>
        <v>3.8016000000000001</v>
      </c>
      <c r="C40" s="188">
        <f>-100*'Tank Data'!V61</f>
        <v>0.9242779093462552</v>
      </c>
      <c r="D40" s="189">
        <f>'Tank Data'!X61</f>
        <v>2.8773220906537453</v>
      </c>
      <c r="E40" s="190">
        <f t="shared" si="2"/>
        <v>0.24312865881372453</v>
      </c>
      <c r="O40" s="2">
        <f>'Tank Data'!Y61</f>
        <v>41602</v>
      </c>
      <c r="P40" s="189">
        <f>-100*'Tank Data'!AB61</f>
        <v>1.9151999999999998</v>
      </c>
      <c r="Q40" s="189">
        <f>-100*'Tank Data'!AD61</f>
        <v>2.476997755314871</v>
      </c>
      <c r="R40" s="189">
        <f>'Tank Data'!AF61</f>
        <v>-0.56179775531487108</v>
      </c>
    </row>
    <row r="41" spans="1:18">
      <c r="A41" s="2">
        <f>'Tank Data'!Q62</f>
        <v>41603</v>
      </c>
      <c r="B41" s="189">
        <f>-100*'Tank Data'!T62</f>
        <v>3.4127999999999998</v>
      </c>
      <c r="C41" s="188">
        <f>-100*'Tank Data'!V62</f>
        <v>0.92309214450888111</v>
      </c>
      <c r="D41" s="189">
        <f>'Tank Data'!X62</f>
        <v>2.4897078554911189</v>
      </c>
      <c r="E41" s="190">
        <f t="shared" si="2"/>
        <v>0.27047941412004251</v>
      </c>
      <c r="O41" s="2">
        <f>'Tank Data'!Y62</f>
        <v>41603</v>
      </c>
      <c r="P41" s="189">
        <f>-100*'Tank Data'!AB62</f>
        <v>1.8863999999999999</v>
      </c>
      <c r="Q41" s="189">
        <f>-100*'Tank Data'!AD62</f>
        <v>2.4763645064745652</v>
      </c>
      <c r="R41" s="189">
        <f>'Tank Data'!AF62</f>
        <v>-0.58996450647456522</v>
      </c>
    </row>
    <row r="42" spans="1:18">
      <c r="A42" s="2">
        <f>'Tank Data'!Q63</f>
        <v>41604</v>
      </c>
      <c r="B42" s="189">
        <f>-100*'Tank Data'!T63</f>
        <v>2.6784000000000003</v>
      </c>
      <c r="C42" s="188">
        <f>-100*'Tank Data'!V63</f>
        <v>0.92173361380894392</v>
      </c>
      <c r="D42" s="189">
        <f>'Tank Data'!X63</f>
        <v>1.7566663861910563</v>
      </c>
      <c r="E42" s="190">
        <f t="shared" si="2"/>
        <v>0.34413590718673231</v>
      </c>
      <c r="O42" s="2">
        <f>'Tank Data'!Y63</f>
        <v>41604</v>
      </c>
      <c r="P42" s="189">
        <f>-100*'Tank Data'!AB63</f>
        <v>2.1168</v>
      </c>
      <c r="Q42" s="189">
        <f>-100*'Tank Data'!AD63</f>
        <v>2.4744739813702994</v>
      </c>
      <c r="R42" s="189">
        <f>'Tank Data'!AF63</f>
        <v>-0.35767398137029927</v>
      </c>
    </row>
    <row r="43" spans="1:18">
      <c r="A43" s="2">
        <f>'Tank Data'!Q64</f>
        <v>41605</v>
      </c>
      <c r="B43" s="189">
        <f>-100*'Tank Data'!T64</f>
        <v>3.2400000000000007</v>
      </c>
      <c r="C43" s="188">
        <f>-100*'Tank Data'!V64</f>
        <v>0.92028937654903364</v>
      </c>
      <c r="D43" s="189">
        <f>'Tank Data'!X64</f>
        <v>2.319710623450967</v>
      </c>
      <c r="E43" s="190">
        <f t="shared" si="2"/>
        <v>0.28403993103365233</v>
      </c>
      <c r="O43" s="2">
        <f>'Tank Data'!Y64</f>
        <v>41605</v>
      </c>
      <c r="P43" s="189">
        <f>-100*'Tank Data'!AB64</f>
        <v>2.016</v>
      </c>
      <c r="Q43" s="189">
        <f>-100*'Tank Data'!AD64</f>
        <v>2.4711292589086269</v>
      </c>
      <c r="R43" s="189">
        <f>'Tank Data'!AF64</f>
        <v>-0.45512925890862677</v>
      </c>
    </row>
    <row r="44" spans="1:18">
      <c r="A44" s="2">
        <f>'Tank Data'!Q65</f>
        <v>41606</v>
      </c>
      <c r="B44" s="189">
        <f>-100*'Tank Data'!T65</f>
        <v>3.2975999999999996</v>
      </c>
      <c r="C44" s="188">
        <f>-100*'Tank Data'!V65</f>
        <v>0.91814462374319239</v>
      </c>
      <c r="D44" s="189">
        <f>'Tank Data'!X65</f>
        <v>2.3794553762568076</v>
      </c>
      <c r="E44" s="190">
        <f t="shared" si="2"/>
        <v>0.27842813674890604</v>
      </c>
      <c r="O44" s="2">
        <f>'Tank Data'!Y65</f>
        <v>41606</v>
      </c>
      <c r="P44" s="189">
        <f>-100*'Tank Data'!AB65</f>
        <v>2.0880000000000001</v>
      </c>
      <c r="Q44" s="189">
        <f>-100*'Tank Data'!AD65</f>
        <v>2.4657436701192141</v>
      </c>
      <c r="R44" s="189">
        <f>'Tank Data'!AF65</f>
        <v>-0.37774367011921411</v>
      </c>
    </row>
    <row r="45" spans="1:18">
      <c r="A45" s="2">
        <f>'Tank Data'!Q66</f>
        <v>41607</v>
      </c>
      <c r="B45" s="189">
        <f>-100*'Tank Data'!T66</f>
        <v>2.7071999999999998</v>
      </c>
      <c r="C45" s="188">
        <f>-100*'Tank Data'!V66</f>
        <v>0.91577557754417893</v>
      </c>
      <c r="D45" s="189">
        <f>'Tank Data'!X66</f>
        <v>1.7914244224558209</v>
      </c>
      <c r="E45" s="190">
        <f t="shared" si="2"/>
        <v>0.33827407562949874</v>
      </c>
      <c r="O45" s="2">
        <f>'Tank Data'!Y66</f>
        <v>41607</v>
      </c>
      <c r="P45" s="189">
        <f>-100*'Tank Data'!AB66</f>
        <v>2.3472</v>
      </c>
      <c r="Q45" s="189">
        <f>-100*'Tank Data'!AD66</f>
        <v>2.4587077677420091</v>
      </c>
      <c r="R45" s="189">
        <f>'Tank Data'!AF66</f>
        <v>-0.11150776774200913</v>
      </c>
    </row>
    <row r="46" spans="1:18">
      <c r="A46" s="2">
        <f>'Tank Data'!Q67</f>
        <v>41608</v>
      </c>
      <c r="B46" s="189">
        <f>-100*'Tank Data'!T67</f>
        <v>2.5631999999999997</v>
      </c>
      <c r="C46" s="188">
        <f>-100*'Tank Data'!V67</f>
        <v>0.91370278052135245</v>
      </c>
      <c r="D46" s="189">
        <f>'Tank Data'!X67</f>
        <v>1.6494972194786475</v>
      </c>
      <c r="E46" s="190">
        <f t="shared" si="2"/>
        <v>0.35646956168904204</v>
      </c>
      <c r="O46" s="2">
        <f>'Tank Data'!Y67</f>
        <v>41608</v>
      </c>
      <c r="P46" s="189">
        <f>-100*'Tank Data'!AB67</f>
        <v>2.2176</v>
      </c>
      <c r="Q46" s="189">
        <f>-100*'Tank Data'!AD67</f>
        <v>2.4496694247457103</v>
      </c>
      <c r="R46" s="189">
        <f>'Tank Data'!AF67</f>
        <v>-0.23206942474571016</v>
      </c>
    </row>
    <row r="47" spans="1:18">
      <c r="A47" s="2">
        <f>'Tank Data'!Q68</f>
        <v>41609</v>
      </c>
      <c r="B47" s="189">
        <f>-100*'Tank Data'!T68</f>
        <v>1.8144</v>
      </c>
      <c r="C47" s="188">
        <f>-100*'Tank Data'!V68</f>
        <v>0.91188329088064768</v>
      </c>
      <c r="D47" s="189">
        <f>'Tank Data'!X68</f>
        <v>0.90251670911935233</v>
      </c>
      <c r="E47" s="190">
        <f t="shared" si="2"/>
        <v>0.5025811788363358</v>
      </c>
      <c r="O47" s="2">
        <f>'Tank Data'!Y68</f>
        <v>41609</v>
      </c>
      <c r="P47" s="189">
        <f>-100*'Tank Data'!AB68</f>
        <v>0.86399999999999999</v>
      </c>
      <c r="Q47" s="189">
        <f>-100*'Tank Data'!AD68</f>
        <v>2.4389025158820306</v>
      </c>
      <c r="R47" s="189">
        <f>'Tank Data'!AF68</f>
        <v>-1.5749025158820305</v>
      </c>
    </row>
    <row r="48" spans="1:18">
      <c r="A48" s="2">
        <f>'Tank Data'!Q69</f>
        <v>41610</v>
      </c>
      <c r="B48" s="189">
        <f>-100*'Tank Data'!T69</f>
        <v>-1.4400000000000002</v>
      </c>
      <c r="C48" s="188">
        <f>-100*'Tank Data'!V69</f>
        <v>0.90922310240528026</v>
      </c>
      <c r="D48" s="189">
        <f>'Tank Data'!X69</f>
        <v>-2.3492231024052805</v>
      </c>
      <c r="O48" s="2">
        <f>'Tank Data'!Y69</f>
        <v>41610</v>
      </c>
      <c r="P48" s="189">
        <f>-100*'Tank Data'!AB69</f>
        <v>1.1519999999999999</v>
      </c>
      <c r="Q48" s="189">
        <f>-100*'Tank Data'!AD69</f>
        <v>2.425812093000387</v>
      </c>
      <c r="R48" s="189">
        <f>'Tank Data'!AF69</f>
        <v>-1.2738120930003871</v>
      </c>
    </row>
    <row r="49" spans="1:18">
      <c r="A49" s="2">
        <f>'Tank Data'!Q70</f>
        <v>41611</v>
      </c>
      <c r="B49" s="189">
        <f>-100*'Tank Data'!T70</f>
        <v>-0.432</v>
      </c>
      <c r="C49" s="188">
        <f>-100*'Tank Data'!V70</f>
        <v>0.90814084029848507</v>
      </c>
      <c r="D49" s="189">
        <f>'Tank Data'!X70</f>
        <v>-1.3401408402984851</v>
      </c>
      <c r="O49" s="2">
        <f>'Tank Data'!Y70</f>
        <v>41611</v>
      </c>
      <c r="P49" s="189">
        <f>-100*'Tank Data'!AB70</f>
        <v>0.86399999999999999</v>
      </c>
      <c r="Q49" s="189">
        <f>-100*'Tank Data'!AD70</f>
        <v>2.4200603187421579</v>
      </c>
      <c r="R49" s="189">
        <f>'Tank Data'!AF70</f>
        <v>-1.556060318742158</v>
      </c>
    </row>
    <row r="50" spans="1:18">
      <c r="A50" s="2">
        <f>'Tank Data'!Q71</f>
        <v>41612</v>
      </c>
      <c r="B50" s="189">
        <f>-100*'Tank Data'!T71</f>
        <v>1.4400000000000002</v>
      </c>
      <c r="C50" s="188">
        <f>-100*'Tank Data'!V71</f>
        <v>0.90586161081764338</v>
      </c>
      <c r="D50" s="189">
        <f>'Tank Data'!X71</f>
        <v>0.53413838918235679</v>
      </c>
      <c r="E50" s="190">
        <f t="shared" ref="E50:E56" si="3">C50/B50</f>
        <v>0.62907056306780784</v>
      </c>
      <c r="O50" s="2">
        <f>'Tank Data'!Y71</f>
        <v>41612</v>
      </c>
      <c r="P50" s="189">
        <f>-100*'Tank Data'!AB71</f>
        <v>2.448</v>
      </c>
      <c r="Q50" s="189">
        <f>-100*'Tank Data'!AD71</f>
        <v>2.4065776094920865</v>
      </c>
      <c r="R50" s="189">
        <f>'Tank Data'!AF71</f>
        <v>4.1422390507913145E-2</v>
      </c>
    </row>
    <row r="51" spans="1:18">
      <c r="A51" s="2">
        <f>'Tank Data'!Q72</f>
        <v>41613</v>
      </c>
      <c r="B51" s="189">
        <f>-100*'Tank Data'!T72</f>
        <v>2.0303999999999998</v>
      </c>
      <c r="C51" s="188">
        <f>-100*'Tank Data'!V72</f>
        <v>0.90312453038928708</v>
      </c>
      <c r="D51" s="189">
        <f>'Tank Data'!X72</f>
        <v>1.1272754696107128</v>
      </c>
      <c r="E51" s="190">
        <f t="shared" si="3"/>
        <v>0.4448012856527222</v>
      </c>
      <c r="O51" s="2">
        <f>'Tank Data'!Y72</f>
        <v>41613</v>
      </c>
      <c r="P51" s="189">
        <f>-100*'Tank Data'!AB72</f>
        <v>1.8720000000000001</v>
      </c>
      <c r="Q51" s="189">
        <f>-100*'Tank Data'!AD72</f>
        <v>2.3884912967954701</v>
      </c>
      <c r="R51" s="189">
        <f>'Tank Data'!AF72</f>
        <v>-0.51649129679547001</v>
      </c>
    </row>
    <row r="52" spans="1:18">
      <c r="A52" s="2">
        <f>'Tank Data'!Q73</f>
        <v>41614</v>
      </c>
      <c r="B52" s="189">
        <f>-100*'Tank Data'!T73</f>
        <v>2.4336000000000002</v>
      </c>
      <c r="C52" s="188">
        <f>-100*'Tank Data'!V73</f>
        <v>0.89957874556789463</v>
      </c>
      <c r="D52" s="189">
        <f>'Tank Data'!X73</f>
        <v>1.5340212544321055</v>
      </c>
      <c r="E52" s="190">
        <f t="shared" si="3"/>
        <v>0.36964938591711644</v>
      </c>
      <c r="O52" s="2">
        <f>'Tank Data'!Y73</f>
        <v>41614</v>
      </c>
      <c r="P52" s="189">
        <f>-100*'Tank Data'!AB73</f>
        <v>2.9952000000000001</v>
      </c>
      <c r="Q52" s="189">
        <f>-100*'Tank Data'!AD73</f>
        <v>2.3636636184015352</v>
      </c>
      <c r="R52" s="189">
        <f>'Tank Data'!AF73</f>
        <v>0.63153638159846492</v>
      </c>
    </row>
    <row r="53" spans="1:18">
      <c r="A53" s="2">
        <f>'Tank Data'!Q74</f>
        <v>41615</v>
      </c>
      <c r="B53" s="189">
        <f>-100*'Tank Data'!T74</f>
        <v>3.0384000000000002</v>
      </c>
      <c r="C53" s="188">
        <f>-100*'Tank Data'!V74</f>
        <v>0.89538399910019906</v>
      </c>
      <c r="D53" s="189">
        <f>'Tank Data'!X74</f>
        <v>2.1430160008998009</v>
      </c>
      <c r="E53" s="190">
        <f t="shared" si="3"/>
        <v>0.29468930986710079</v>
      </c>
      <c r="O53" s="2">
        <f>'Tank Data'!Y74</f>
        <v>41615</v>
      </c>
      <c r="P53" s="189">
        <f>-100*'Tank Data'!AB74</f>
        <v>3.2688000000000001</v>
      </c>
      <c r="Q53" s="189">
        <f>-100*'Tank Data'!AD74</f>
        <v>2.3272470917886081</v>
      </c>
      <c r="R53" s="189">
        <f>'Tank Data'!AF74</f>
        <v>0.94155290821139181</v>
      </c>
    </row>
    <row r="54" spans="1:18">
      <c r="A54" s="2">
        <f>'Tank Data'!Q75</f>
        <v>41616</v>
      </c>
      <c r="B54" s="189">
        <f>-100*'Tank Data'!T75</f>
        <v>3.0671999999999997</v>
      </c>
      <c r="C54" s="188">
        <f>-100*'Tank Data'!V75</f>
        <v>0.89200549733784074</v>
      </c>
      <c r="D54" s="189">
        <f>'Tank Data'!X75</f>
        <v>2.1751945026621589</v>
      </c>
      <c r="E54" s="190">
        <f t="shared" si="3"/>
        <v>0.29082078030054798</v>
      </c>
      <c r="O54" s="2">
        <f>'Tank Data'!Y75</f>
        <v>41616</v>
      </c>
      <c r="P54" s="189">
        <f>-100*'Tank Data'!AB75</f>
        <v>3.1392000000000002</v>
      </c>
      <c r="Q54" s="189">
        <f>-100*'Tank Data'!AD75</f>
        <v>2.2867811302829315</v>
      </c>
      <c r="R54" s="189">
        <f>'Tank Data'!AF75</f>
        <v>0.85241886971706882</v>
      </c>
    </row>
    <row r="55" spans="1:18">
      <c r="A55" s="2">
        <f>'Tank Data'!Q76</f>
        <v>41617</v>
      </c>
      <c r="B55" s="189">
        <f>-100*'Tank Data'!T76</f>
        <v>2.8655999999999997</v>
      </c>
      <c r="C55" s="188">
        <f>-100*'Tank Data'!V76</f>
        <v>0.88874734560310842</v>
      </c>
      <c r="D55" s="189">
        <f>'Tank Data'!X76</f>
        <v>1.9768526543968914</v>
      </c>
      <c r="E55" s="190">
        <f t="shared" si="3"/>
        <v>0.31014354606473638</v>
      </c>
      <c r="O55" s="2">
        <f>'Tank Data'!Y76</f>
        <v>41617</v>
      </c>
      <c r="P55" s="189">
        <f>-100*'Tank Data'!AB76</f>
        <v>2.8944000000000001</v>
      </c>
      <c r="Q55" s="189">
        <f>-100*'Tank Data'!AD76</f>
        <v>2.2391303400716556</v>
      </c>
      <c r="R55" s="189">
        <f>'Tank Data'!AF76</f>
        <v>0.65526965992834463</v>
      </c>
    </row>
    <row r="56" spans="1:18">
      <c r="A56" s="2">
        <f>'Tank Data'!Q77</f>
        <v>41618</v>
      </c>
      <c r="B56" s="189">
        <f>-100*'Tank Data'!T77</f>
        <v>2.7936000000000001</v>
      </c>
      <c r="C56" s="188">
        <f>-100*'Tank Data'!V77</f>
        <v>0.88368790957634191</v>
      </c>
      <c r="D56" s="189">
        <f>'Tank Data'!X77</f>
        <v>1.9099120904236586</v>
      </c>
      <c r="E56" s="190">
        <f t="shared" si="3"/>
        <v>0.31632585537526559</v>
      </c>
      <c r="O56" s="2">
        <f>'Tank Data'!Y77</f>
        <v>41618</v>
      </c>
      <c r="P56" s="189">
        <f>-100*'Tank Data'!AB77</f>
        <v>2.8800000000000003</v>
      </c>
      <c r="Q56" s="189">
        <f>-100*'Tank Data'!AD77</f>
        <v>2.1850316505784337</v>
      </c>
      <c r="R56" s="189">
        <f>'Tank Data'!AF77</f>
        <v>0.6949683494215666</v>
      </c>
    </row>
    <row r="57" spans="1:18">
      <c r="A57" s="2">
        <f>'Tank Data'!Q78</f>
        <v>41619</v>
      </c>
      <c r="B57" s="189">
        <f>-100*'Tank Data'!T78</f>
        <v>-99.1</v>
      </c>
      <c r="C57" s="188">
        <f>-100*'Tank Data'!V78</f>
        <v>0.8787305476396261</v>
      </c>
      <c r="D57" s="189">
        <f>'Tank Data'!X78</f>
        <v>-99.978730547639628</v>
      </c>
      <c r="O57" s="2">
        <f>'Tank Data'!Y78</f>
        <v>41619</v>
      </c>
      <c r="P57" s="189">
        <f>-100*'Tank Data'!AB78</f>
        <v>3.9024000000000001</v>
      </c>
      <c r="Q57" s="189">
        <f>-100*'Tank Data'!AD78</f>
        <v>2.1201339216117736</v>
      </c>
      <c r="R57" s="189">
        <f>'Tank Data'!AF78</f>
        <v>1.7822660783882269</v>
      </c>
    </row>
    <row r="58" spans="1:18">
      <c r="A58" s="2">
        <f>'Tank Data'!Q79</f>
        <v>41620</v>
      </c>
      <c r="B58" s="189">
        <f>-100*'Tank Data'!T79</f>
        <v>3.0671999999999997</v>
      </c>
      <c r="C58" s="188">
        <f>-100*'Tank Data'!V79</f>
        <v>0.87216643255130755</v>
      </c>
      <c r="D58" s="189">
        <f>'Tank Data'!X79</f>
        <v>2.195033567448692</v>
      </c>
      <c r="E58" s="190">
        <f>C58/B58</f>
        <v>0.28435264493717644</v>
      </c>
      <c r="O58" s="2">
        <f>'Tank Data'!Y79</f>
        <v>41620</v>
      </c>
      <c r="P58" s="189">
        <f>-100*'Tank Data'!AB79</f>
        <v>3.0384000000000002</v>
      </c>
      <c r="Q58" s="189">
        <f>-100*'Tank Data'!AD79</f>
        <v>2.0431771408564896</v>
      </c>
      <c r="R58" s="189">
        <f>'Tank Data'!AF79</f>
        <v>0.99522285914351061</v>
      </c>
    </row>
    <row r="59" spans="1:18">
      <c r="A59" s="2">
        <f>'Tank Data'!Q80</f>
        <v>41621</v>
      </c>
      <c r="B59" s="189">
        <f>-100*'Tank Data'!T80</f>
        <v>0.86399999999999999</v>
      </c>
      <c r="C59" s="188">
        <f>-100*'Tank Data'!V80</f>
        <v>0.87093771878579362</v>
      </c>
      <c r="D59" s="189">
        <f>'Tank Data'!X80</f>
        <v>-6.9377187857936479E-3</v>
      </c>
      <c r="O59" s="2">
        <f>'Tank Data'!Y80</f>
        <v>41621</v>
      </c>
      <c r="P59" s="189">
        <f>-100*'Tank Data'!AB80</f>
        <v>-1.5984000000000003</v>
      </c>
      <c r="Q59" s="189">
        <f>-100*'Tank Data'!AD80</f>
        <v>2.0360173030996389</v>
      </c>
      <c r="R59" s="189">
        <f>'Tank Data'!AF80</f>
        <v>-3.6344173030996392</v>
      </c>
    </row>
    <row r="60" spans="1:18">
      <c r="A60" s="2">
        <f>'Tank Data'!Q81</f>
        <v>41622</v>
      </c>
      <c r="B60" s="189">
        <f>-100*'Tank Data'!T81</f>
        <v>0.14399999999999999</v>
      </c>
      <c r="C60" s="188">
        <f>-100*'Tank Data'!V81</f>
        <v>0.87303700252423788</v>
      </c>
      <c r="D60" s="189">
        <f>'Tank Data'!X81</f>
        <v>-0.72903700252423786</v>
      </c>
      <c r="O60" s="2">
        <f>'Tank Data'!Y81</f>
        <v>41622</v>
      </c>
      <c r="P60" s="189">
        <f>-100*'Tank Data'!AB81</f>
        <v>1.2283199999999999</v>
      </c>
      <c r="Q60" s="189">
        <f>-100*'Tank Data'!AD81</f>
        <v>2.0863280111500586</v>
      </c>
      <c r="R60" s="189">
        <f>'Tank Data'!AF81</f>
        <v>-0.85800801115005854</v>
      </c>
    </row>
    <row r="61" spans="1:18">
      <c r="A61" s="2">
        <f>'Tank Data'!Q82</f>
        <v>41623</v>
      </c>
      <c r="B61" s="189">
        <f>-100*'Tank Data'!T82</f>
        <v>1.6415999999999999</v>
      </c>
      <c r="C61" s="188">
        <f>-100*'Tank Data'!V82</f>
        <v>0.8700085400644193</v>
      </c>
      <c r="D61" s="189">
        <f>'Tank Data'!X82</f>
        <v>0.77159145993558076</v>
      </c>
      <c r="E61" s="190">
        <f t="shared" ref="E61:E84" si="4">C61/B61</f>
        <v>0.52997596251487533</v>
      </c>
      <c r="O61" s="2">
        <f>'Tank Data'!Y82</f>
        <v>41623</v>
      </c>
      <c r="P61" s="189">
        <f>-100*'Tank Data'!AB82</f>
        <v>1.7712000000000001</v>
      </c>
      <c r="Q61" s="189">
        <f>-100*'Tank Data'!AD82</f>
        <v>2.0394485269496538</v>
      </c>
      <c r="R61" s="189">
        <f>'Tank Data'!AF82</f>
        <v>-0.26824852694965379</v>
      </c>
    </row>
    <row r="62" spans="1:18">
      <c r="A62" s="2">
        <f>'Tank Data'!Q83</f>
        <v>41624</v>
      </c>
      <c r="B62" s="189">
        <f>-100*'Tank Data'!T83</f>
        <v>2.3760000000000003</v>
      </c>
      <c r="C62" s="188">
        <f>-100*'Tank Data'!V83</f>
        <v>0.86470898717784339</v>
      </c>
      <c r="D62" s="189">
        <f>'Tank Data'!X83</f>
        <v>1.5112910128221568</v>
      </c>
      <c r="E62" s="190">
        <f t="shared" si="4"/>
        <v>0.36393475891323368</v>
      </c>
      <c r="O62" s="2">
        <f>'Tank Data'!Y83</f>
        <v>41624</v>
      </c>
      <c r="P62" s="189">
        <f>-100*'Tank Data'!AB83</f>
        <v>2.2176</v>
      </c>
      <c r="Q62" s="189">
        <f>-100*'Tank Data'!AD83</f>
        <v>1.9818663109586316</v>
      </c>
      <c r="R62" s="189">
        <f>'Tank Data'!AF83</f>
        <v>0.23573368904136854</v>
      </c>
    </row>
    <row r="63" spans="1:18">
      <c r="A63" s="2">
        <f>'Tank Data'!Q84</f>
        <v>41625</v>
      </c>
      <c r="B63" s="189">
        <f>-100*'Tank Data'!T84</f>
        <v>2.4336000000000002</v>
      </c>
      <c r="C63" s="188">
        <f>-100*'Tank Data'!V84</f>
        <v>0.8596772002106049</v>
      </c>
      <c r="D63" s="189">
        <f>'Tank Data'!X84</f>
        <v>1.573922799789395</v>
      </c>
      <c r="E63" s="190">
        <f t="shared" si="4"/>
        <v>0.35325328739752004</v>
      </c>
      <c r="O63" s="2">
        <f>'Tank Data'!Y84</f>
        <v>41625</v>
      </c>
      <c r="P63" s="189">
        <f>-100*'Tank Data'!AB84</f>
        <v>2.0016000000000003</v>
      </c>
      <c r="Q63" s="189">
        <f>-100*'Tank Data'!AD84</f>
        <v>1.9048539826576096</v>
      </c>
      <c r="R63" s="189">
        <f>'Tank Data'!AF84</f>
        <v>9.6746017342390703E-2</v>
      </c>
    </row>
    <row r="64" spans="1:18">
      <c r="A64" s="2">
        <f>'Tank Data'!Q85</f>
        <v>41626</v>
      </c>
      <c r="B64" s="189">
        <f>-100*'Tank Data'!T85</f>
        <v>2.4624000000000001</v>
      </c>
      <c r="C64" s="188">
        <f>-100*'Tank Data'!V85</f>
        <v>0.85249710287702596</v>
      </c>
      <c r="D64" s="189">
        <f>'Tank Data'!X85</f>
        <v>1.6099028971229741</v>
      </c>
      <c r="E64" s="190">
        <f t="shared" si="4"/>
        <v>0.346205776022184</v>
      </c>
      <c r="O64" s="2">
        <f>'Tank Data'!Y85</f>
        <v>41626</v>
      </c>
      <c r="P64" s="189">
        <f>-100*'Tank Data'!AB85</f>
        <v>2.9664000000000001</v>
      </c>
      <c r="Q64" s="189">
        <f>-100*'Tank Data'!AD85</f>
        <v>1.7967181110306016</v>
      </c>
      <c r="R64" s="189">
        <f>'Tank Data'!AF85</f>
        <v>1.1696818889693983</v>
      </c>
    </row>
    <row r="65" spans="1:18">
      <c r="A65" s="2">
        <f>'Tank Data'!Q86</f>
        <v>41627</v>
      </c>
      <c r="B65" s="189">
        <f>-100*'Tank Data'!T86</f>
        <v>2.6352000000000002</v>
      </c>
      <c r="C65" s="188">
        <f>-100*'Tank Data'!V86</f>
        <v>0.84451542279765068</v>
      </c>
      <c r="D65" s="189">
        <f>'Tank Data'!X86</f>
        <v>1.7906845772023492</v>
      </c>
      <c r="E65" s="190">
        <f t="shared" si="4"/>
        <v>0.32047488721829487</v>
      </c>
      <c r="O65" s="2">
        <f>'Tank Data'!Y86</f>
        <v>41627</v>
      </c>
      <c r="P65" s="189">
        <f>-100*'Tank Data'!AB86</f>
        <v>3.2400000000000007</v>
      </c>
      <c r="Q65" s="189">
        <f>-100*'Tank Data'!AD86</f>
        <v>1.6777256467638861</v>
      </c>
      <c r="R65" s="189">
        <f>'Tank Data'!AF86</f>
        <v>1.5622743532361143</v>
      </c>
    </row>
    <row r="66" spans="1:18">
      <c r="A66" s="2">
        <f>'Tank Data'!Q87</f>
        <v>41628</v>
      </c>
      <c r="B66" s="189">
        <f>-100*'Tank Data'!T87</f>
        <v>2.8368000000000002</v>
      </c>
      <c r="C66" s="188">
        <f>-100*'Tank Data'!V87</f>
        <v>0.83528129703264142</v>
      </c>
      <c r="D66" s="189">
        <f>'Tank Data'!X87</f>
        <v>2.0015187029673589</v>
      </c>
      <c r="E66" s="190">
        <f t="shared" si="4"/>
        <v>0.29444490166125259</v>
      </c>
      <c r="O66" s="2">
        <f>'Tank Data'!Y87</f>
        <v>41628</v>
      </c>
      <c r="P66" s="189">
        <f>-100*'Tank Data'!AB87</f>
        <v>8.8559999999999999</v>
      </c>
      <c r="Q66" s="189">
        <f>-100*'Tank Data'!AD87</f>
        <v>1.4697483604611743</v>
      </c>
      <c r="R66" s="189">
        <f>'Tank Data'!AF87</f>
        <v>7.3862516395388251</v>
      </c>
    </row>
    <row r="67" spans="1:18">
      <c r="A67" s="2">
        <f>'Tank Data'!Q88</f>
        <v>41629</v>
      </c>
      <c r="B67" s="189">
        <f>-100*'Tank Data'!T88</f>
        <v>3.7440000000000002</v>
      </c>
      <c r="C67" s="188">
        <f>-100*'Tank Data'!V88</f>
        <v>0.8246065639794008</v>
      </c>
      <c r="D67" s="189">
        <f>'Tank Data'!X88</f>
        <v>2.9193934360205995</v>
      </c>
      <c r="E67" s="190">
        <f t="shared" si="4"/>
        <v>0.22024747969535277</v>
      </c>
      <c r="O67" s="2">
        <f>'Tank Data'!Y88</f>
        <v>41629</v>
      </c>
      <c r="P67" s="189">
        <f>-100*'Tank Data'!AB88</f>
        <v>8.8848000000000003</v>
      </c>
      <c r="Q67" s="189">
        <f>-100*'Tank Data'!AD88</f>
        <v>1.0648479452855635</v>
      </c>
      <c r="R67" s="189">
        <f>'Tank Data'!AF88</f>
        <v>7.8199520547144363</v>
      </c>
    </row>
    <row r="68" spans="1:18">
      <c r="A68" s="2">
        <f>'Tank Data'!Q89</f>
        <v>41630</v>
      </c>
      <c r="B68" s="189">
        <f>-100*'Tank Data'!T89</f>
        <v>2.3904000000000001</v>
      </c>
      <c r="C68" s="188">
        <f>-100*'Tank Data'!V89</f>
        <v>0.8126962944697278</v>
      </c>
      <c r="D68" s="189">
        <f>'Tank Data'!X89</f>
        <v>1.5777037055302721</v>
      </c>
      <c r="E68" s="190">
        <f t="shared" si="4"/>
        <v>0.33998338958740287</v>
      </c>
      <c r="O68" s="2">
        <f>'Tank Data'!Y89</f>
        <v>41630</v>
      </c>
      <c r="P68" s="189">
        <f>-100*'Tank Data'!AB89</f>
        <v>7.7039999999999997</v>
      </c>
      <c r="Q68" s="189">
        <f>-100*'Tank Data'!AD89</f>
        <v>0.53828997546796209</v>
      </c>
      <c r="R68" s="189">
        <f>'Tank Data'!AF89</f>
        <v>7.1657100245320375</v>
      </c>
    </row>
    <row r="69" spans="1:18">
      <c r="A69" s="2">
        <f>'Tank Data'!Q90</f>
        <v>41631</v>
      </c>
      <c r="B69" s="189">
        <f>-100*'Tank Data'!T90</f>
        <v>2.2896000000000001</v>
      </c>
      <c r="C69" s="188">
        <f>-100*'Tank Data'!V90</f>
        <v>0.80315632726529329</v>
      </c>
      <c r="D69" s="189">
        <f>'Tank Data'!X90</f>
        <v>1.4864436727347066</v>
      </c>
      <c r="E69" s="190">
        <f t="shared" si="4"/>
        <v>0.350784559427539</v>
      </c>
      <c r="O69" s="2">
        <f>'Tank Data'!Y90</f>
        <v>41631</v>
      </c>
      <c r="P69" s="189">
        <f>-100*'Tank Data'!AB90</f>
        <v>4.9679999999999991</v>
      </c>
      <c r="Q69" s="189">
        <f>-100*'Tank Data'!AD90</f>
        <v>0</v>
      </c>
      <c r="R69" s="189">
        <f>'Tank Data'!AF90</f>
        <v>4.9679999999999991</v>
      </c>
    </row>
    <row r="70" spans="1:18">
      <c r="A70" s="2">
        <f>'Tank Data'!Q91</f>
        <v>41632</v>
      </c>
      <c r="B70" s="189">
        <f>-100*'Tank Data'!T91</f>
        <v>2.2031999999999998</v>
      </c>
      <c r="C70" s="188">
        <f>-100*'Tank Data'!V91</f>
        <v>0.79336282326570184</v>
      </c>
      <c r="D70" s="189">
        <f>'Tank Data'!X91</f>
        <v>1.4098371767342981</v>
      </c>
      <c r="E70" s="190">
        <f t="shared" si="4"/>
        <v>0.36009568957230481</v>
      </c>
      <c r="O70" s="2">
        <f>'Tank Data'!Y91</f>
        <v>41632</v>
      </c>
      <c r="P70" s="189">
        <f>-100*'Tank Data'!AB91</f>
        <v>3.5424000000000002</v>
      </c>
      <c r="Q70" s="189">
        <f>-100*'Tank Data'!AD91</f>
        <v>0</v>
      </c>
      <c r="R70" s="189">
        <f>'Tank Data'!AF91</f>
        <v>3.5424000000000002</v>
      </c>
    </row>
    <row r="71" spans="1:18">
      <c r="A71" s="2">
        <f>'Tank Data'!Q92</f>
        <v>41633</v>
      </c>
      <c r="B71" s="189">
        <f>-100*'Tank Data'!T92</f>
        <v>2.2752000000000003</v>
      </c>
      <c r="C71" s="188">
        <f>-100*'Tank Data'!V92</f>
        <v>0.78207923085348197</v>
      </c>
      <c r="D71" s="189">
        <f>'Tank Data'!X92</f>
        <v>1.4931207691465183</v>
      </c>
      <c r="E71" s="190">
        <f t="shared" si="4"/>
        <v>0.34374087150733201</v>
      </c>
      <c r="O71" s="2">
        <f>'Tank Data'!Y92</f>
        <v>41633</v>
      </c>
      <c r="P71" s="189">
        <f>-100*'Tank Data'!AB92</f>
        <v>3.4416000000000002</v>
      </c>
      <c r="Q71" s="189">
        <f>-100*'Tank Data'!AD92</f>
        <v>0</v>
      </c>
      <c r="R71" s="189">
        <f>'Tank Data'!AF92</f>
        <v>3.4416000000000002</v>
      </c>
    </row>
    <row r="72" spans="1:18">
      <c r="A72" s="2">
        <f>'Tank Data'!Q93</f>
        <v>41634</v>
      </c>
      <c r="B72" s="189">
        <f>-100*'Tank Data'!T93</f>
        <v>1.944</v>
      </c>
      <c r="C72" s="188">
        <f>-100*'Tank Data'!V93</f>
        <v>0.77069300846023703</v>
      </c>
      <c r="D72" s="189">
        <f>'Tank Data'!X93</f>
        <v>1.1733069915397627</v>
      </c>
      <c r="E72" s="190">
        <f t="shared" si="4"/>
        <v>0.39644702081287914</v>
      </c>
      <c r="O72" s="2">
        <f>'Tank Data'!Y93</f>
        <v>41634</v>
      </c>
      <c r="P72" s="189">
        <f>-100*'Tank Data'!AB93</f>
        <v>1.6847999999999999</v>
      </c>
      <c r="Q72" s="189">
        <f>-100*'Tank Data'!AD93</f>
        <v>0</v>
      </c>
      <c r="R72" s="189">
        <f>'Tank Data'!AF93</f>
        <v>1.6847999999999999</v>
      </c>
    </row>
    <row r="73" spans="1:18">
      <c r="A73" s="2">
        <f>'Tank Data'!Q94</f>
        <v>41635</v>
      </c>
      <c r="B73" s="189">
        <f>-100*'Tank Data'!T94</f>
        <v>2.1456</v>
      </c>
      <c r="C73" s="188">
        <f>-100*'Tank Data'!V94</f>
        <v>0.75691443259936242</v>
      </c>
      <c r="D73" s="189">
        <f>'Tank Data'!X94</f>
        <v>1.3886855674006375</v>
      </c>
      <c r="E73" s="190">
        <f t="shared" si="4"/>
        <v>0.35277518297882293</v>
      </c>
      <c r="O73" s="2">
        <f>'Tank Data'!Y94</f>
        <v>41635</v>
      </c>
      <c r="P73" s="189">
        <f>-100*'Tank Data'!AB94</f>
        <v>0.91871999999999998</v>
      </c>
      <c r="Q73" s="189">
        <f>-100*'Tank Data'!AD94</f>
        <v>0</v>
      </c>
      <c r="R73" s="189">
        <f>'Tank Data'!AF94</f>
        <v>0.91871999999999998</v>
      </c>
    </row>
    <row r="74" spans="1:18">
      <c r="A74" s="2">
        <f>'Tank Data'!Q95</f>
        <v>41636</v>
      </c>
      <c r="B74" s="189">
        <f>-100*'Tank Data'!T95</f>
        <v>2.7504</v>
      </c>
      <c r="C74" s="188">
        <f>-100*'Tank Data'!V95</f>
        <v>0.74131655521623929</v>
      </c>
      <c r="D74" s="189">
        <f>'Tank Data'!X95</f>
        <v>2.0090834447837609</v>
      </c>
      <c r="E74" s="190">
        <f t="shared" si="4"/>
        <v>0.26953045201288517</v>
      </c>
      <c r="O74" s="2">
        <f>'Tank Data'!Y95</f>
        <v>41636</v>
      </c>
      <c r="P74" s="189">
        <f>-100*'Tank Data'!AB95</f>
        <v>0.97055999999999998</v>
      </c>
      <c r="Q74" s="189">
        <f>-100*'Tank Data'!AD95</f>
        <v>0</v>
      </c>
      <c r="R74" s="189">
        <f>'Tank Data'!AF95</f>
        <v>0.97055999999999998</v>
      </c>
    </row>
    <row r="75" spans="1:18">
      <c r="A75" s="2">
        <f>'Tank Data'!Q96</f>
        <v>41637</v>
      </c>
      <c r="B75" s="189">
        <f>-100*'Tank Data'!T96</f>
        <v>1.6992</v>
      </c>
      <c r="C75" s="188">
        <f>-100*'Tank Data'!V96</f>
        <v>0.72448147270066787</v>
      </c>
      <c r="D75" s="189">
        <f>'Tank Data'!X96</f>
        <v>0.97471852729933206</v>
      </c>
      <c r="E75" s="190">
        <f t="shared" si="4"/>
        <v>0.42636621510161715</v>
      </c>
      <c r="O75" s="2">
        <f>'Tank Data'!Y96</f>
        <v>41637</v>
      </c>
      <c r="P75" s="189">
        <f>-100*'Tank Data'!AB96</f>
        <v>0.99791999999999992</v>
      </c>
      <c r="Q75" s="189">
        <f>-100*'Tank Data'!AD96</f>
        <v>0</v>
      </c>
      <c r="R75" s="189">
        <f>'Tank Data'!AF96</f>
        <v>0.99791999999999992</v>
      </c>
    </row>
    <row r="76" spans="1:18">
      <c r="A76" s="2">
        <f>'Tank Data'!Q97</f>
        <v>41638</v>
      </c>
      <c r="B76" s="189">
        <f>-100*'Tank Data'!T97</f>
        <v>2.7647999999999997</v>
      </c>
      <c r="C76" s="188">
        <f>-100*'Tank Data'!V97</f>
        <v>0.70758080701970039</v>
      </c>
      <c r="D76" s="189">
        <f>'Tank Data'!X97</f>
        <v>2.0572191929802996</v>
      </c>
      <c r="E76" s="190">
        <f t="shared" si="4"/>
        <v>0.25592477105747269</v>
      </c>
      <c r="O76" s="2">
        <f>'Tank Data'!Y97</f>
        <v>41638</v>
      </c>
      <c r="P76" s="189">
        <f>-100*'Tank Data'!AB97</f>
        <v>3.528</v>
      </c>
      <c r="Q76" s="189">
        <f>-100*'Tank Data'!AD97</f>
        <v>0</v>
      </c>
      <c r="R76" s="189">
        <f>'Tank Data'!AF97</f>
        <v>3.528</v>
      </c>
    </row>
    <row r="77" spans="1:18">
      <c r="A77" s="2">
        <f>'Tank Data'!Q98</f>
        <v>41639</v>
      </c>
      <c r="B77" s="189">
        <f>-100*'Tank Data'!T98</f>
        <v>2.9807999999999999</v>
      </c>
      <c r="C77" s="188">
        <f>-100*'Tank Data'!V98</f>
        <v>0.6862917616273968</v>
      </c>
      <c r="D77" s="189">
        <f>'Tank Data'!X98</f>
        <v>2.294508238372603</v>
      </c>
      <c r="E77" s="190">
        <f t="shared" si="4"/>
        <v>0.23023744015948633</v>
      </c>
      <c r="O77" s="2">
        <f>'Tank Data'!Y98</f>
        <v>41639</v>
      </c>
      <c r="P77" s="189">
        <f>-100*'Tank Data'!AB98</f>
        <v>2.8512</v>
      </c>
      <c r="Q77" s="189">
        <f>-100*'Tank Data'!AD98</f>
        <v>0</v>
      </c>
      <c r="R77" s="189">
        <f>'Tank Data'!AF98</f>
        <v>2.8512</v>
      </c>
    </row>
    <row r="78" spans="1:18">
      <c r="A78" s="2">
        <f>'Tank Data'!Q99</f>
        <v>41640</v>
      </c>
      <c r="B78" s="189">
        <f>-100*'Tank Data'!T99</f>
        <v>3.9024000000000001</v>
      </c>
      <c r="C78" s="188">
        <f>-100*'Tank Data'!V99</f>
        <v>0.66041409450189925</v>
      </c>
      <c r="D78" s="189">
        <f>'Tank Data'!X99</f>
        <v>3.2419859054981006</v>
      </c>
      <c r="E78" s="190">
        <f t="shared" si="4"/>
        <v>0.16923280404415211</v>
      </c>
      <c r="O78" s="2">
        <f>'Tank Data'!Y99</f>
        <v>41640</v>
      </c>
      <c r="P78" s="189">
        <f>-100*'Tank Data'!AB99</f>
        <v>2.5775999999999999</v>
      </c>
      <c r="Q78" s="189">
        <f>-100*'Tank Data'!AD99</f>
        <v>0</v>
      </c>
      <c r="R78" s="189">
        <f>'Tank Data'!AF99</f>
        <v>2.5775999999999999</v>
      </c>
    </row>
    <row r="79" spans="1:18">
      <c r="A79" s="2">
        <f>'Tank Data'!Q100</f>
        <v>41641</v>
      </c>
      <c r="B79" s="189">
        <f>-100*'Tank Data'!T100</f>
        <v>1.4543999999999999</v>
      </c>
      <c r="C79" s="188">
        <f>-100*'Tank Data'!V100</f>
        <v>0.64134397930569231</v>
      </c>
      <c r="D79" s="189">
        <f>'Tank Data'!X100</f>
        <v>0.8130560206943076</v>
      </c>
      <c r="E79" s="190">
        <f t="shared" si="4"/>
        <v>0.44096808258092157</v>
      </c>
      <c r="O79" s="2">
        <f>'Tank Data'!Y100</f>
        <v>41641</v>
      </c>
      <c r="P79" s="189">
        <f>-100*'Tank Data'!AB100</f>
        <v>1.7568000000000001</v>
      </c>
      <c r="Q79" s="189">
        <f>-100*'Tank Data'!AD100</f>
        <v>0</v>
      </c>
      <c r="R79" s="189">
        <f>'Tank Data'!AF100</f>
        <v>1.7568000000000001</v>
      </c>
    </row>
    <row r="80" spans="1:18">
      <c r="A80" s="2">
        <f>'Tank Data'!Q101</f>
        <v>41642</v>
      </c>
      <c r="B80" s="189">
        <f>-100*'Tank Data'!T101</f>
        <v>1.4832000000000001</v>
      </c>
      <c r="C80" s="188">
        <f>-100*'Tank Data'!V101</f>
        <v>0.62293060032076075</v>
      </c>
      <c r="D80" s="189">
        <f>'Tank Data'!X101</f>
        <v>0.86026939967923932</v>
      </c>
      <c r="E80" s="190">
        <f t="shared" si="4"/>
        <v>0.41999096569630578</v>
      </c>
      <c r="O80" s="2">
        <f>'Tank Data'!Y101</f>
        <v>41642</v>
      </c>
      <c r="P80" s="189">
        <f>-100*'Tank Data'!AB101</f>
        <v>1.8863999999999999</v>
      </c>
      <c r="Q80" s="189">
        <f>-100*'Tank Data'!AD101</f>
        <v>0</v>
      </c>
      <c r="R80" s="189">
        <f>'Tank Data'!AF101</f>
        <v>1.8863999999999999</v>
      </c>
    </row>
    <row r="81" spans="1:18">
      <c r="A81" s="2">
        <f>'Tank Data'!Q102</f>
        <v>41643</v>
      </c>
      <c r="B81" s="189">
        <f>-100*'Tank Data'!T102</f>
        <v>1.6992</v>
      </c>
      <c r="C81" s="188">
        <f>-100*'Tank Data'!V102</f>
        <v>0.60457627020447091</v>
      </c>
      <c r="D81" s="189">
        <f>'Tank Data'!X102</f>
        <v>1.094623729795529</v>
      </c>
      <c r="E81" s="190">
        <f t="shared" si="4"/>
        <v>0.35580053566647296</v>
      </c>
      <c r="O81" s="2">
        <f>'Tank Data'!Y102</f>
        <v>41643</v>
      </c>
      <c r="P81" s="189">
        <f>-100*'Tank Data'!AB102</f>
        <v>1.4327999999999999</v>
      </c>
      <c r="Q81" s="189">
        <f>-100*'Tank Data'!AD102</f>
        <v>0</v>
      </c>
      <c r="R81" s="189">
        <f>'Tank Data'!AF102</f>
        <v>1.4327999999999999</v>
      </c>
    </row>
    <row r="82" spans="1:18">
      <c r="A82" s="2">
        <f>'Tank Data'!Q103</f>
        <v>41644</v>
      </c>
      <c r="B82" s="189">
        <f>-100*'Tank Data'!T103</f>
        <v>1.944</v>
      </c>
      <c r="C82" s="188">
        <f>-100*'Tank Data'!V103</f>
        <v>0.58504162202115628</v>
      </c>
      <c r="D82" s="189">
        <f>'Tank Data'!X103</f>
        <v>1.3589583779788437</v>
      </c>
      <c r="E82" s="190">
        <f t="shared" si="4"/>
        <v>0.30094733643063598</v>
      </c>
      <c r="O82" s="2">
        <f>'Tank Data'!Y103</f>
        <v>41644</v>
      </c>
      <c r="P82" s="189">
        <f>-100*'Tank Data'!AB103</f>
        <v>7.9200000000000007E-2</v>
      </c>
      <c r="Q82" s="189">
        <f>-100*'Tank Data'!AD103</f>
        <v>0</v>
      </c>
      <c r="R82" s="189">
        <f>'Tank Data'!AF103</f>
        <v>7.9200000000000007E-2</v>
      </c>
    </row>
    <row r="83" spans="1:18">
      <c r="A83" s="2">
        <f>'Tank Data'!Q104</f>
        <v>41645</v>
      </c>
      <c r="B83" s="189">
        <f>-100*'Tank Data'!T104</f>
        <v>1.7856000000000001</v>
      </c>
      <c r="C83" s="188">
        <f>-100*'Tank Data'!V104</f>
        <v>0.56276331799615076</v>
      </c>
      <c r="D83" s="189">
        <f>'Tank Data'!X104</f>
        <v>1.2228366820038492</v>
      </c>
      <c r="E83" s="190">
        <f t="shared" si="4"/>
        <v>0.31516762880608801</v>
      </c>
      <c r="O83" s="2">
        <f>'Tank Data'!Y104</f>
        <v>41645</v>
      </c>
      <c r="P83" s="189">
        <f>-100*'Tank Data'!AB104</f>
        <v>0.7545599999999999</v>
      </c>
      <c r="Q83" s="189">
        <f>-100*'Tank Data'!AD104</f>
        <v>0</v>
      </c>
      <c r="R83" s="189">
        <f>'Tank Data'!AF104</f>
        <v>0.7545599999999999</v>
      </c>
    </row>
    <row r="84" spans="1:18">
      <c r="A84" s="2">
        <f>'Tank Data'!Q105</f>
        <v>41646</v>
      </c>
      <c r="B84" s="189">
        <f>-100*'Tank Data'!T105</f>
        <v>1.6415999999999999</v>
      </c>
      <c r="C84" s="188">
        <f>-100*'Tank Data'!V105</f>
        <v>0.53893695671435449</v>
      </c>
      <c r="D84" s="189">
        <f>'Tank Data'!X105</f>
        <v>1.1026630432856455</v>
      </c>
      <c r="E84" s="190">
        <f t="shared" si="4"/>
        <v>0.3282998030667364</v>
      </c>
      <c r="O84" s="2">
        <f>'Tank Data'!Y105</f>
        <v>41646</v>
      </c>
      <c r="P84" s="189">
        <f>-100*'Tank Data'!AB105</f>
        <v>0.99504000000000004</v>
      </c>
      <c r="Q84" s="189">
        <f>-100*'Tank Data'!AD105</f>
        <v>0</v>
      </c>
      <c r="R84" s="189">
        <f>'Tank Data'!AF105</f>
        <v>0.99504000000000004</v>
      </c>
    </row>
    <row r="85" spans="1:18">
      <c r="A85" s="2">
        <f>'Tank Data'!Q106</f>
        <v>41647</v>
      </c>
      <c r="B85" s="189">
        <f>-100*'Tank Data'!T106</f>
        <v>-0.10454400000000001</v>
      </c>
      <c r="C85" s="188">
        <f>-100*'Tank Data'!V106</f>
        <v>0.51955407888486582</v>
      </c>
      <c r="D85" s="189">
        <f>'Tank Data'!X106</f>
        <v>-0.62409807888486579</v>
      </c>
      <c r="O85" s="2">
        <f>'Tank Data'!Y106</f>
        <v>41647</v>
      </c>
      <c r="P85" s="189">
        <f>-100*'Tank Data'!AB106</f>
        <v>-1.2182400000000002</v>
      </c>
      <c r="Q85" s="189">
        <f>-100*'Tank Data'!AD106</f>
        <v>0</v>
      </c>
      <c r="R85" s="189">
        <f>'Tank Data'!AF106</f>
        <v>-1.2182400000000002</v>
      </c>
    </row>
    <row r="86" spans="1:18">
      <c r="A86" s="2">
        <f>'Tank Data'!Q107</f>
        <v>41648</v>
      </c>
      <c r="B86" s="189">
        <f>-100*'Tank Data'!T107</f>
        <v>1.8431999999999999</v>
      </c>
      <c r="C86" s="188">
        <f>-100*'Tank Data'!V107</f>
        <v>0.50582142202398894</v>
      </c>
      <c r="D86" s="189">
        <f>'Tank Data'!X107</f>
        <v>1.337378577976011</v>
      </c>
      <c r="E86" s="190">
        <f t="shared" ref="E86:E101" si="5">C86/B86</f>
        <v>0.27442568469183426</v>
      </c>
      <c r="O86" s="2">
        <f>'Tank Data'!Y107</f>
        <v>41648</v>
      </c>
      <c r="P86" s="189">
        <f>-100*'Tank Data'!AB107</f>
        <v>1.3881599999999998</v>
      </c>
      <c r="Q86" s="189">
        <f>-100*'Tank Data'!AD107</f>
        <v>0</v>
      </c>
      <c r="R86" s="189">
        <f>'Tank Data'!AF107</f>
        <v>1.3881599999999998</v>
      </c>
    </row>
    <row r="87" spans="1:18">
      <c r="A87" s="2">
        <f>'Tank Data'!Q108</f>
        <v>41649</v>
      </c>
      <c r="B87" s="189">
        <f>-100*'Tank Data'!T108</f>
        <v>1.728</v>
      </c>
      <c r="C87" s="188">
        <f>-100*'Tank Data'!V108</f>
        <v>0.48305804694672871</v>
      </c>
      <c r="D87" s="189">
        <f>'Tank Data'!X108</f>
        <v>1.2449419530532713</v>
      </c>
      <c r="E87" s="190">
        <f t="shared" si="5"/>
        <v>0.27954748087194947</v>
      </c>
      <c r="O87" s="2">
        <f>'Tank Data'!Y108</f>
        <v>41649</v>
      </c>
      <c r="P87" s="189">
        <f>-100*'Tank Data'!AB108</f>
        <v>0.98639999999999994</v>
      </c>
      <c r="Q87" s="189">
        <f>-100*'Tank Data'!AD108</f>
        <v>0</v>
      </c>
      <c r="R87" s="189">
        <f>'Tank Data'!AF108</f>
        <v>0.98639999999999994</v>
      </c>
    </row>
    <row r="88" spans="1:18">
      <c r="A88" s="2">
        <f>'Tank Data'!Q109</f>
        <v>41650</v>
      </c>
      <c r="B88" s="189">
        <f>-100*'Tank Data'!T109</f>
        <v>1.4976</v>
      </c>
      <c r="C88" s="188">
        <f>-100*'Tank Data'!V109</f>
        <v>0.45847980658407261</v>
      </c>
      <c r="D88" s="189">
        <f>'Tank Data'!X109</f>
        <v>1.0391201934159273</v>
      </c>
      <c r="E88" s="190">
        <f t="shared" si="5"/>
        <v>0.30614303324256986</v>
      </c>
      <c r="O88" s="2">
        <f>'Tank Data'!Y109</f>
        <v>41650</v>
      </c>
      <c r="P88" s="189">
        <f>-100*'Tank Data'!AB109</f>
        <v>0.63648000000000005</v>
      </c>
      <c r="Q88" s="189">
        <f>-100*'Tank Data'!AD109</f>
        <v>0</v>
      </c>
      <c r="R88" s="189">
        <f>'Tank Data'!AF109</f>
        <v>0.63648000000000005</v>
      </c>
    </row>
    <row r="89" spans="1:18">
      <c r="A89" s="2">
        <f>'Tank Data'!Q110</f>
        <v>41651</v>
      </c>
      <c r="B89" s="189">
        <f>-100*'Tank Data'!T110</f>
        <v>1.4688000000000001</v>
      </c>
      <c r="C89" s="188">
        <f>-100*'Tank Data'!V110</f>
        <v>0.43039197883014013</v>
      </c>
      <c r="D89" s="189">
        <f>'Tank Data'!X110</f>
        <v>1.0384080211698601</v>
      </c>
      <c r="E89" s="190">
        <f t="shared" si="5"/>
        <v>0.2930228614039625</v>
      </c>
      <c r="O89" s="2">
        <f>'Tank Data'!Y110</f>
        <v>41651</v>
      </c>
      <c r="P89" s="189">
        <f>-100*'Tank Data'!AB110</f>
        <v>0.58608000000000005</v>
      </c>
      <c r="Q89" s="189">
        <f>-100*'Tank Data'!AD110</f>
        <v>0</v>
      </c>
      <c r="R89" s="189">
        <f>'Tank Data'!AF110</f>
        <v>0.58608000000000005</v>
      </c>
    </row>
    <row r="90" spans="1:18">
      <c r="A90" s="2">
        <f>'Tank Data'!Q111</f>
        <v>41652</v>
      </c>
      <c r="B90" s="189">
        <f>-100*'Tank Data'!T111</f>
        <v>1.1232</v>
      </c>
      <c r="C90" s="188">
        <f>-100*'Tank Data'!V111</f>
        <v>0.40123016535240175</v>
      </c>
      <c r="D90" s="189">
        <f>'Tank Data'!X111</f>
        <v>0.72196983464759812</v>
      </c>
      <c r="E90" s="190">
        <f t="shared" si="5"/>
        <v>0.35722058881089902</v>
      </c>
      <c r="O90" s="2">
        <f>'Tank Data'!Y111</f>
        <v>41652</v>
      </c>
      <c r="P90" s="189">
        <f>-100*'Tank Data'!AB111</f>
        <v>0.78335999999999995</v>
      </c>
      <c r="Q90" s="189">
        <f>-100*'Tank Data'!AD111</f>
        <v>0</v>
      </c>
      <c r="R90" s="189">
        <f>'Tank Data'!AF111</f>
        <v>0.78335999999999995</v>
      </c>
    </row>
    <row r="91" spans="1:18">
      <c r="A91" s="2">
        <f>'Tank Data'!Q112</f>
        <v>41653</v>
      </c>
      <c r="B91" s="189">
        <f>-100*'Tank Data'!T112</f>
        <v>1.7135999999999998</v>
      </c>
      <c r="C91" s="188">
        <f>-100*'Tank Data'!V112</f>
        <v>0.37165768115557041</v>
      </c>
      <c r="D91" s="189">
        <f>'Tank Data'!X112</f>
        <v>1.3419423188444295</v>
      </c>
      <c r="E91" s="190">
        <f t="shared" si="5"/>
        <v>0.21688706883495007</v>
      </c>
      <c r="O91" s="2">
        <f>'Tank Data'!Y112</f>
        <v>41653</v>
      </c>
      <c r="P91" s="189">
        <f>-100*'Tank Data'!AB112</f>
        <v>0.62783999999999995</v>
      </c>
      <c r="Q91" s="189">
        <f>-100*'Tank Data'!AD112</f>
        <v>0</v>
      </c>
      <c r="R91" s="189">
        <f>'Tank Data'!AF112</f>
        <v>0.62783999999999995</v>
      </c>
    </row>
    <row r="92" spans="1:18">
      <c r="A92" s="2">
        <f>'Tank Data'!Q113</f>
        <v>41654</v>
      </c>
      <c r="B92" s="189">
        <f>-100*'Tank Data'!T113</f>
        <v>1.6704000000000001</v>
      </c>
      <c r="C92" s="188">
        <f>-100*'Tank Data'!V113</f>
        <v>0.34310795297455293</v>
      </c>
      <c r="D92" s="189">
        <f>'Tank Data'!X113</f>
        <v>1.3272920470254472</v>
      </c>
      <c r="E92" s="190">
        <f t="shared" si="5"/>
        <v>0.20540466533438273</v>
      </c>
      <c r="O92" s="2">
        <f>'Tank Data'!Y113</f>
        <v>41654</v>
      </c>
      <c r="P92" s="189">
        <f>-100*'Tank Data'!AB113</f>
        <v>0.54143999999999992</v>
      </c>
      <c r="Q92" s="189">
        <f>-100*'Tank Data'!AD113</f>
        <v>0</v>
      </c>
      <c r="R92" s="189">
        <f>'Tank Data'!AF113</f>
        <v>0.54143999999999992</v>
      </c>
    </row>
    <row r="93" spans="1:18">
      <c r="A93" s="2">
        <f>'Tank Data'!Q114</f>
        <v>41655</v>
      </c>
      <c r="B93" s="189">
        <f>-100*'Tank Data'!T114</f>
        <v>1.3190400000000002</v>
      </c>
      <c r="C93" s="188">
        <f>-100*'Tank Data'!V114</f>
        <v>0.308747328541775</v>
      </c>
      <c r="D93" s="189">
        <f>'Tank Data'!X114</f>
        <v>1.010292671458225</v>
      </c>
      <c r="E93" s="190">
        <f t="shared" si="5"/>
        <v>0.23406972384595989</v>
      </c>
      <c r="O93" s="2">
        <f>'Tank Data'!Y114</f>
        <v>41655</v>
      </c>
      <c r="P93" s="189">
        <f>-100*'Tank Data'!AB114</f>
        <v>0.64512000000000003</v>
      </c>
      <c r="Q93" s="189">
        <f>-100*'Tank Data'!AD114</f>
        <v>0</v>
      </c>
      <c r="R93" s="189">
        <f>'Tank Data'!AF114</f>
        <v>0.64512000000000003</v>
      </c>
    </row>
    <row r="94" spans="1:18">
      <c r="A94" s="2">
        <f>'Tank Data'!Q115</f>
        <v>41656</v>
      </c>
      <c r="B94" s="189">
        <f>-100*'Tank Data'!T115</f>
        <v>1.296</v>
      </c>
      <c r="C94" s="188">
        <f>-100*'Tank Data'!V115</f>
        <v>0.27586901037324091</v>
      </c>
      <c r="D94" s="189">
        <f>'Tank Data'!X115</f>
        <v>1.0201309896267592</v>
      </c>
      <c r="E94" s="190">
        <f t="shared" si="5"/>
        <v>0.21286189072009329</v>
      </c>
      <c r="O94" s="2">
        <f>'Tank Data'!Y115</f>
        <v>41656</v>
      </c>
      <c r="P94" s="189">
        <f>-100*'Tank Data'!AB115</f>
        <v>1.1059199999999998</v>
      </c>
      <c r="Q94" s="189">
        <f>-100*'Tank Data'!AD115</f>
        <v>0</v>
      </c>
      <c r="R94" s="189">
        <f>'Tank Data'!AF115</f>
        <v>1.1059199999999998</v>
      </c>
    </row>
    <row r="95" spans="1:18">
      <c r="A95" s="2">
        <f>'Tank Data'!Q116</f>
        <v>41657</v>
      </c>
      <c r="B95" s="189">
        <f>-100*'Tank Data'!T116</f>
        <v>0.99071999999999993</v>
      </c>
      <c r="C95" s="188">
        <f>-100*'Tank Data'!V116</f>
        <v>0.24588995975732852</v>
      </c>
      <c r="D95" s="189">
        <f>'Tank Data'!X116</f>
        <v>0.74483004024267152</v>
      </c>
      <c r="E95" s="190">
        <f t="shared" si="5"/>
        <v>0.24819319258451281</v>
      </c>
      <c r="O95" s="2">
        <f>'Tank Data'!Y116</f>
        <v>41657</v>
      </c>
      <c r="P95" s="189">
        <f>-100*'Tank Data'!AB116</f>
        <v>0.93024000000000007</v>
      </c>
      <c r="Q95" s="189">
        <f>-100*'Tank Data'!AD116</f>
        <v>0</v>
      </c>
      <c r="R95" s="189">
        <f>'Tank Data'!AF116</f>
        <v>0.93024000000000007</v>
      </c>
    </row>
    <row r="96" spans="1:18">
      <c r="A96" s="2">
        <f>'Tank Data'!Q117</f>
        <v>41658</v>
      </c>
      <c r="B96" s="189">
        <f>-100*'Tank Data'!T117</f>
        <v>0.77903999999999995</v>
      </c>
      <c r="C96" s="188">
        <f>-100*'Tank Data'!V117</f>
        <v>0.21327338806508828</v>
      </c>
      <c r="D96" s="189">
        <f>'Tank Data'!X117</f>
        <v>0.56576661193491162</v>
      </c>
      <c r="E96" s="190">
        <f t="shared" si="5"/>
        <v>0.27376436134869619</v>
      </c>
      <c r="O96" s="2">
        <f>'Tank Data'!Y117</f>
        <v>41658</v>
      </c>
      <c r="P96" s="189">
        <f>-100*'Tank Data'!AB117</f>
        <v>0.70992</v>
      </c>
      <c r="Q96" s="189">
        <f>-100*'Tank Data'!AD117</f>
        <v>0</v>
      </c>
      <c r="R96" s="189">
        <f>'Tank Data'!AF117</f>
        <v>0.70992</v>
      </c>
    </row>
    <row r="97" spans="1:18">
      <c r="A97" s="2">
        <f>'Tank Data'!Q118</f>
        <v>41659</v>
      </c>
      <c r="B97" s="189">
        <f>-100*'Tank Data'!T118</f>
        <v>0.74736000000000002</v>
      </c>
      <c r="C97" s="188">
        <f>-100*'Tank Data'!V118</f>
        <v>0.1791965523167536</v>
      </c>
      <c r="D97" s="189">
        <f>'Tank Data'!X118</f>
        <v>0.56816344768324634</v>
      </c>
      <c r="E97" s="190">
        <f t="shared" si="5"/>
        <v>0.23977273645465852</v>
      </c>
      <c r="O97" s="2">
        <f>'Tank Data'!Y118</f>
        <v>41659</v>
      </c>
      <c r="P97" s="189">
        <f>-100*'Tank Data'!AB118</f>
        <v>0.60624000000000011</v>
      </c>
      <c r="Q97" s="189">
        <f>-100*'Tank Data'!AD118</f>
        <v>0</v>
      </c>
      <c r="R97" s="189">
        <f>'Tank Data'!AF118</f>
        <v>0.60624000000000011</v>
      </c>
    </row>
    <row r="98" spans="1:18">
      <c r="A98" s="2">
        <f>'Tank Data'!Q119</f>
        <v>41660</v>
      </c>
      <c r="B98" s="189">
        <f>-100*'Tank Data'!T119</f>
        <v>0.74303999999999992</v>
      </c>
      <c r="C98" s="188">
        <f>-100*'Tank Data'!V119</f>
        <v>0.14495575387616047</v>
      </c>
      <c r="D98" s="189">
        <f>'Tank Data'!X119</f>
        <v>0.59808424612383948</v>
      </c>
      <c r="E98" s="190">
        <f t="shared" si="5"/>
        <v>0.19508472474720134</v>
      </c>
      <c r="O98" s="2">
        <f>'Tank Data'!Y119</f>
        <v>41660</v>
      </c>
      <c r="P98" s="189">
        <f>-100*'Tank Data'!AB119</f>
        <v>0.48527999999999999</v>
      </c>
      <c r="Q98" s="189">
        <f>-100*'Tank Data'!AD119</f>
        <v>0</v>
      </c>
      <c r="R98" s="189">
        <f>'Tank Data'!AF119</f>
        <v>0.48527999999999999</v>
      </c>
    </row>
    <row r="99" spans="1:18">
      <c r="A99" s="2">
        <f>'Tank Data'!Q120</f>
        <v>41661</v>
      </c>
      <c r="B99" s="189">
        <f>-100*'Tank Data'!T120</f>
        <v>0.63504000000000005</v>
      </c>
      <c r="C99" s="188">
        <f>-100*'Tank Data'!V120</f>
        <v>0.10635572119194284</v>
      </c>
      <c r="D99" s="189">
        <f>'Tank Data'!X120</f>
        <v>0.52868427880805713</v>
      </c>
      <c r="E99" s="190">
        <f t="shared" si="5"/>
        <v>0.16747877486763485</v>
      </c>
      <c r="O99" s="2">
        <f>'Tank Data'!Y120</f>
        <v>41661</v>
      </c>
      <c r="P99" s="189">
        <f>-100*'Tank Data'!AB120</f>
        <v>0.36144000000000004</v>
      </c>
      <c r="Q99" s="189">
        <f>-100*'Tank Data'!AD120</f>
        <v>0</v>
      </c>
      <c r="R99" s="189">
        <f>'Tank Data'!AF120</f>
        <v>0.36144000000000004</v>
      </c>
    </row>
    <row r="100" spans="1:18">
      <c r="A100" s="2">
        <f>'Tank Data'!Q121</f>
        <v>41662</v>
      </c>
      <c r="B100" s="189">
        <f>-100*'Tank Data'!T121</f>
        <v>7.2720000000000007E-2</v>
      </c>
      <c r="C100" s="188">
        <f>-100*'Tank Data'!V121</f>
        <v>6.8287870513772109E-2</v>
      </c>
      <c r="D100" s="189">
        <f>'Tank Data'!X121</f>
        <v>4.4321294862278964E-3</v>
      </c>
      <c r="E100" s="190">
        <f t="shared" si="5"/>
        <v>0.93905212477684408</v>
      </c>
      <c r="O100" s="2">
        <f>'Tank Data'!Y121</f>
        <v>41662</v>
      </c>
      <c r="P100" s="189">
        <f>-100*'Tank Data'!AB121</f>
        <v>6.3072000000000003E-2</v>
      </c>
      <c r="Q100" s="189">
        <f>-100*'Tank Data'!AD121</f>
        <v>0</v>
      </c>
      <c r="R100" s="189">
        <f>'Tank Data'!AF121</f>
        <v>6.3072000000000003E-2</v>
      </c>
    </row>
    <row r="101" spans="1:18">
      <c r="A101" s="2">
        <f>'Tank Data'!Q122</f>
        <v>41663</v>
      </c>
      <c r="B101" s="189">
        <f>-100*'Tank Data'!T122</f>
        <v>0.37727999999999995</v>
      </c>
      <c r="C101" s="188">
        <f>-100*'Tank Data'!V122</f>
        <v>3.0095731470859716E-2</v>
      </c>
      <c r="D101" s="189">
        <f>'Tank Data'!X122</f>
        <v>0.34718426852914031</v>
      </c>
      <c r="E101" s="190">
        <f t="shared" si="5"/>
        <v>7.9770280616146425E-2</v>
      </c>
      <c r="O101" s="2">
        <f>'Tank Data'!Y122</f>
        <v>41663</v>
      </c>
      <c r="P101" s="189">
        <f>-100*'Tank Data'!AB122</f>
        <v>0.42624000000000006</v>
      </c>
      <c r="Q101" s="189">
        <f>-100*'Tank Data'!AD122</f>
        <v>0</v>
      </c>
      <c r="R101" s="189">
        <f>'Tank Data'!AF122</f>
        <v>0.42624000000000006</v>
      </c>
    </row>
    <row r="102" spans="1:18">
      <c r="A102" s="2">
        <f>'Tank Data'!Q123</f>
        <v>41664</v>
      </c>
      <c r="B102" s="189">
        <f>-100*'Tank Data'!T123</f>
        <v>-0.47808</v>
      </c>
      <c r="C102" s="188">
        <f>-100*'Tank Data'!V123</f>
        <v>0</v>
      </c>
      <c r="D102" s="189">
        <f>'Tank Data'!X123</f>
        <v>-0.47808</v>
      </c>
      <c r="O102" s="2">
        <f>'Tank Data'!Y123</f>
        <v>41664</v>
      </c>
      <c r="P102" s="189">
        <f>-100*'Tank Data'!AB123</f>
        <v>1.0396800000000002</v>
      </c>
      <c r="Q102" s="189">
        <f>-100*'Tank Data'!AD123</f>
        <v>0</v>
      </c>
      <c r="R102" s="189">
        <f>'Tank Data'!AF123</f>
        <v>1.0396800000000002</v>
      </c>
    </row>
    <row r="103" spans="1:18">
      <c r="A103" s="2">
        <f>'Tank Data'!Q124</f>
        <v>41665</v>
      </c>
      <c r="B103" s="189">
        <f>-100*'Tank Data'!T124</f>
        <v>-0.15984000000000001</v>
      </c>
      <c r="C103" s="188">
        <f>-100*'Tank Data'!V124</f>
        <v>0</v>
      </c>
      <c r="D103" s="189">
        <f>'Tank Data'!X124</f>
        <v>-0.15984000000000001</v>
      </c>
      <c r="O103" s="2">
        <f>'Tank Data'!Y124</f>
        <v>41665</v>
      </c>
      <c r="P103" s="189">
        <f>-100*'Tank Data'!AB124</f>
        <v>2.6783999999999999E-2</v>
      </c>
      <c r="Q103" s="189">
        <f>-100*'Tank Data'!AD124</f>
        <v>0</v>
      </c>
      <c r="R103" s="189">
        <f>'Tank Data'!AF124</f>
        <v>2.6783999999999999E-2</v>
      </c>
    </row>
    <row r="104" spans="1:18">
      <c r="A104" s="2">
        <f>'Tank Data'!Q125</f>
        <v>41666</v>
      </c>
      <c r="B104" s="189">
        <f>-100*'Tank Data'!T125</f>
        <v>-0.41039999999999999</v>
      </c>
      <c r="C104" s="188">
        <f>-100*'Tank Data'!V125</f>
        <v>0</v>
      </c>
      <c r="D104" s="189">
        <f>'Tank Data'!X125</f>
        <v>-0.41039999999999999</v>
      </c>
      <c r="O104" s="2">
        <f>'Tank Data'!Y125</f>
        <v>41666</v>
      </c>
      <c r="P104" s="189">
        <f>-100*'Tank Data'!AB125</f>
        <v>-1.2830399999999999E-2</v>
      </c>
      <c r="Q104" s="189">
        <f>-100*'Tank Data'!AD125</f>
        <v>0</v>
      </c>
      <c r="R104" s="189">
        <f>'Tank Data'!AF125</f>
        <v>-1.2830399999999999E-2</v>
      </c>
    </row>
    <row r="105" spans="1:18">
      <c r="A105" s="2">
        <f>'Tank Data'!Q126</f>
        <v>41667</v>
      </c>
      <c r="B105" s="189">
        <f>-100*'Tank Data'!T126</f>
        <v>-0.24191999999999997</v>
      </c>
      <c r="C105" s="188">
        <f>-100*'Tank Data'!V126</f>
        <v>0</v>
      </c>
      <c r="D105" s="189">
        <f>'Tank Data'!X126</f>
        <v>-0.24191999999999997</v>
      </c>
      <c r="O105" s="2">
        <f>'Tank Data'!Y126</f>
        <v>41667</v>
      </c>
      <c r="P105" s="189">
        <f>-100*'Tank Data'!AB126</f>
        <v>9.6192E-2</v>
      </c>
      <c r="Q105" s="189">
        <f>-100*'Tank Data'!AD126</f>
        <v>0</v>
      </c>
      <c r="R105" s="189">
        <f>'Tank Data'!AF126</f>
        <v>9.6192E-2</v>
      </c>
    </row>
    <row r="106" spans="1:18">
      <c r="A106" s="2">
        <f>'Tank Data'!Q127</f>
        <v>41668</v>
      </c>
      <c r="B106" s="189">
        <f>-100*'Tank Data'!T127</f>
        <v>-0.23327999999999999</v>
      </c>
      <c r="C106" s="188">
        <f>-100*'Tank Data'!V127</f>
        <v>0</v>
      </c>
      <c r="D106" s="189">
        <f>'Tank Data'!X127</f>
        <v>-0.23327999999999999</v>
      </c>
      <c r="O106" s="2">
        <f>'Tank Data'!Y127</f>
        <v>41668</v>
      </c>
      <c r="P106" s="189">
        <f>-100*'Tank Data'!AB127</f>
        <v>0.18432000000000001</v>
      </c>
      <c r="Q106" s="189">
        <f>-100*'Tank Data'!AD127</f>
        <v>0</v>
      </c>
      <c r="R106" s="189">
        <f>'Tank Data'!AF127</f>
        <v>0.18432000000000001</v>
      </c>
    </row>
    <row r="107" spans="1:18">
      <c r="A107" s="2">
        <f>'Tank Data'!Q128</f>
        <v>41669</v>
      </c>
      <c r="B107" s="189">
        <f>-100*'Tank Data'!T128</f>
        <v>-7.1856000000000003E-2</v>
      </c>
      <c r="C107" s="188">
        <f>-100*'Tank Data'!V128</f>
        <v>0</v>
      </c>
      <c r="D107" s="189">
        <f>'Tank Data'!X128</f>
        <v>-7.1856000000000003E-2</v>
      </c>
      <c r="O107" s="2">
        <f>'Tank Data'!Y128</f>
        <v>41669</v>
      </c>
      <c r="P107" s="189">
        <f>-100*'Tank Data'!AB128</f>
        <v>-3.8736E-2</v>
      </c>
      <c r="Q107" s="189">
        <f>-100*'Tank Data'!AD128</f>
        <v>0</v>
      </c>
      <c r="R107" s="189">
        <f>'Tank Data'!AF128</f>
        <v>-3.8736E-2</v>
      </c>
    </row>
    <row r="108" spans="1:18">
      <c r="A108" s="2">
        <f>'Tank Data'!Q129</f>
        <v>41670</v>
      </c>
      <c r="B108" s="189">
        <f>-100*'Tank Data'!T129</f>
        <v>-0.14371200000000001</v>
      </c>
      <c r="C108" s="188">
        <f>-100*'Tank Data'!V129</f>
        <v>0</v>
      </c>
      <c r="D108" s="189">
        <f>'Tank Data'!X129</f>
        <v>-0.14371200000000001</v>
      </c>
      <c r="O108" s="2">
        <f>'Tank Data'!Y129</f>
        <v>41670</v>
      </c>
      <c r="P108" s="189">
        <f>-100*'Tank Data'!AB129</f>
        <v>0.11232</v>
      </c>
      <c r="Q108" s="189">
        <f>-100*'Tank Data'!AD129</f>
        <v>0</v>
      </c>
      <c r="R108" s="189">
        <f>'Tank Data'!AF129</f>
        <v>0.11232</v>
      </c>
    </row>
    <row r="109" spans="1:18">
      <c r="A109" s="2">
        <f>'Tank Data'!Q130</f>
        <v>41671</v>
      </c>
      <c r="B109" s="189">
        <f>-100*'Tank Data'!T130</f>
        <v>-6.3072000000000003E-2</v>
      </c>
      <c r="C109" s="188">
        <f>-100*'Tank Data'!V130</f>
        <v>0</v>
      </c>
      <c r="D109" s="189">
        <f>'Tank Data'!X130</f>
        <v>-6.3072000000000003E-2</v>
      </c>
      <c r="O109" s="2">
        <f>'Tank Data'!Y130</f>
        <v>41671</v>
      </c>
      <c r="P109" s="189">
        <f>-100*'Tank Data'!AB130</f>
        <v>0.30528</v>
      </c>
      <c r="Q109" s="189">
        <f>-100*'Tank Data'!AD130</f>
        <v>0</v>
      </c>
      <c r="R109" s="189">
        <f>'Tank Data'!AF130</f>
        <v>0.30528</v>
      </c>
    </row>
    <row r="110" spans="1:18">
      <c r="A110" s="2">
        <f>'Tank Data'!Q131</f>
        <v>41672</v>
      </c>
      <c r="B110" s="189">
        <f>-100*'Tank Data'!T131</f>
        <v>5.7312000000000002E-2</v>
      </c>
      <c r="C110" s="188">
        <f>-100*'Tank Data'!V131</f>
        <v>0</v>
      </c>
      <c r="D110" s="189">
        <f>'Tank Data'!X131</f>
        <v>5.7312000000000002E-2</v>
      </c>
      <c r="O110" s="2">
        <f>'Tank Data'!Y131</f>
        <v>41672</v>
      </c>
      <c r="P110" s="189">
        <f>-100*'Tank Data'!AB131</f>
        <v>-0.17712</v>
      </c>
      <c r="Q110" s="189">
        <f>-100*'Tank Data'!AD131</f>
        <v>0</v>
      </c>
      <c r="R110" s="189">
        <f>'Tank Data'!AF131</f>
        <v>-0.17712</v>
      </c>
    </row>
    <row r="111" spans="1:18">
      <c r="A111" s="2">
        <f>'Tank Data'!Q132</f>
        <v>41673</v>
      </c>
      <c r="B111" s="189">
        <f>-100*'Tank Data'!T132</f>
        <v>0.11203199999999999</v>
      </c>
      <c r="C111" s="188">
        <f>-100*'Tank Data'!V132</f>
        <v>0</v>
      </c>
      <c r="D111" s="189">
        <f>'Tank Data'!X132</f>
        <v>0.11203199999999999</v>
      </c>
      <c r="O111" s="2">
        <f>'Tank Data'!Y132</f>
        <v>41673</v>
      </c>
      <c r="P111" s="189">
        <f>-100*'Tank Data'!AB132</f>
        <v>-4.8528000000000002E-2</v>
      </c>
      <c r="Q111" s="189">
        <f>-100*'Tank Data'!AD132</f>
        <v>0</v>
      </c>
      <c r="R111" s="189">
        <f>'Tank Data'!AF132</f>
        <v>-4.8528000000000002E-2</v>
      </c>
    </row>
    <row r="112" spans="1:18">
      <c r="A112" s="2">
        <f>'Tank Data'!Q133</f>
        <v>41674</v>
      </c>
      <c r="B112" s="189">
        <f>-100*'Tank Data'!T133</f>
        <v>-0.71279999999999999</v>
      </c>
      <c r="C112" s="188">
        <f>-100*'Tank Data'!V133</f>
        <v>0</v>
      </c>
      <c r="D112" s="189">
        <f>'Tank Data'!X133</f>
        <v>-0.71279999999999999</v>
      </c>
      <c r="O112" s="2">
        <f>'Tank Data'!Y133</f>
        <v>41674</v>
      </c>
      <c r="P112" s="189">
        <f>-100*'Tank Data'!AB133</f>
        <v>0.12844800000000001</v>
      </c>
      <c r="Q112" s="189">
        <f>-100*'Tank Data'!AD133</f>
        <v>0</v>
      </c>
      <c r="R112" s="189">
        <f>'Tank Data'!AF133</f>
        <v>0.12844800000000001</v>
      </c>
    </row>
    <row r="113" spans="1:18">
      <c r="A113" s="2">
        <f>'Tank Data'!Q134</f>
        <v>41675</v>
      </c>
      <c r="B113" s="189">
        <f>-100*'Tank Data'!T134</f>
        <v>-0.66527999999999998</v>
      </c>
      <c r="C113" s="188">
        <f>-100*'Tank Data'!V134</f>
        <v>0</v>
      </c>
      <c r="D113" s="189">
        <f>'Tank Data'!X134</f>
        <v>-0.66527999999999998</v>
      </c>
      <c r="O113" s="2">
        <f>'Tank Data'!Y134</f>
        <v>41675</v>
      </c>
      <c r="P113" s="189">
        <f>-100*'Tank Data'!AB134</f>
        <v>0.22320000000000001</v>
      </c>
      <c r="Q113" s="189">
        <f>-100*'Tank Data'!AD134</f>
        <v>0</v>
      </c>
      <c r="R113" s="189">
        <f>'Tank Data'!AF134</f>
        <v>0.22320000000000001</v>
      </c>
    </row>
    <row r="114" spans="1:18">
      <c r="A114" s="2">
        <f>'Tank Data'!Q135</f>
        <v>41676</v>
      </c>
      <c r="B114" s="189">
        <f>-100*'Tank Data'!T135</f>
        <v>-1.2369600000000001</v>
      </c>
      <c r="C114" s="188">
        <f>-100*'Tank Data'!V135</f>
        <v>0</v>
      </c>
      <c r="D114" s="189">
        <f>'Tank Data'!X135</f>
        <v>-1.2369600000000001</v>
      </c>
      <c r="O114" s="2">
        <f>'Tank Data'!Y135</f>
        <v>41676</v>
      </c>
      <c r="P114" s="189">
        <f>-100*'Tank Data'!AB135</f>
        <v>-0.97776000000000007</v>
      </c>
      <c r="Q114" s="189">
        <f>-100*'Tank Data'!AD135</f>
        <v>0</v>
      </c>
      <c r="R114" s="189">
        <f>'Tank Data'!AF135</f>
        <v>-0.97776000000000007</v>
      </c>
    </row>
    <row r="115" spans="1:18">
      <c r="A115" s="2">
        <f>'Tank Data'!Q136</f>
        <v>41677</v>
      </c>
      <c r="B115" s="189">
        <f>-100*'Tank Data'!T136</f>
        <v>-1.04112</v>
      </c>
      <c r="C115" s="188">
        <f>-100*'Tank Data'!V136</f>
        <v>0</v>
      </c>
      <c r="D115" s="189">
        <f>'Tank Data'!X136</f>
        <v>-1.04112</v>
      </c>
      <c r="O115" s="2">
        <f>'Tank Data'!Y136</f>
        <v>41677</v>
      </c>
      <c r="P115" s="189">
        <f>-100*'Tank Data'!AB136</f>
        <v>-0.54576000000000002</v>
      </c>
      <c r="Q115" s="189">
        <f>-100*'Tank Data'!AD136</f>
        <v>0</v>
      </c>
      <c r="R115" s="189">
        <f>'Tank Data'!AF136</f>
        <v>-0.54576000000000002</v>
      </c>
    </row>
    <row r="116" spans="1:18">
      <c r="A116" s="2">
        <f>'Tank Data'!Q137</f>
        <v>41678</v>
      </c>
      <c r="B116" s="189">
        <f>-100*'Tank Data'!T137</f>
        <v>-0.87696000000000007</v>
      </c>
      <c r="C116" s="188">
        <f>-100*'Tank Data'!V137</f>
        <v>0</v>
      </c>
      <c r="D116" s="189">
        <f>'Tank Data'!X137</f>
        <v>-0.87696000000000007</v>
      </c>
      <c r="O116" s="2">
        <f>'Tank Data'!Y137</f>
        <v>41678</v>
      </c>
      <c r="P116" s="189">
        <f>-100*'Tank Data'!AB137</f>
        <v>-0.30528</v>
      </c>
      <c r="Q116" s="189">
        <f>-100*'Tank Data'!AD137</f>
        <v>0</v>
      </c>
      <c r="R116" s="189">
        <f>'Tank Data'!AF137</f>
        <v>-0.30528</v>
      </c>
    </row>
    <row r="117" spans="1:18">
      <c r="A117" s="2">
        <f>'Tank Data'!Q138</f>
        <v>41679</v>
      </c>
      <c r="B117" s="189">
        <f>-100*'Tank Data'!T138</f>
        <v>-0.98352000000000006</v>
      </c>
      <c r="C117" s="188">
        <f>-100*'Tank Data'!V138</f>
        <v>0</v>
      </c>
      <c r="D117" s="189">
        <f>'Tank Data'!X138</f>
        <v>-0.98352000000000006</v>
      </c>
      <c r="O117" s="2">
        <f>'Tank Data'!Y138</f>
        <v>41679</v>
      </c>
      <c r="P117" s="189">
        <f>-100*'Tank Data'!AB138</f>
        <v>-0.4536</v>
      </c>
      <c r="Q117" s="189">
        <f>-100*'Tank Data'!AD138</f>
        <v>0</v>
      </c>
      <c r="R117" s="189">
        <f>'Tank Data'!AF138</f>
        <v>-0.4536</v>
      </c>
    </row>
    <row r="118" spans="1:18">
      <c r="A118" s="2">
        <f>'Tank Data'!Q139</f>
        <v>41680</v>
      </c>
      <c r="B118" s="189">
        <f>-100*'Tank Data'!T139</f>
        <v>-1.05264</v>
      </c>
      <c r="C118" s="188">
        <f>-100*'Tank Data'!V139</f>
        <v>0</v>
      </c>
      <c r="D118" s="189">
        <f>'Tank Data'!X139</f>
        <v>-1.05264</v>
      </c>
      <c r="O118" s="2">
        <f>'Tank Data'!Y139</f>
        <v>41680</v>
      </c>
      <c r="P118" s="189">
        <f>-100*'Tank Data'!AB139</f>
        <v>-0.61199999999999999</v>
      </c>
      <c r="Q118" s="189">
        <f>-100*'Tank Data'!AD139</f>
        <v>0</v>
      </c>
      <c r="R118" s="189">
        <f>'Tank Data'!AF139</f>
        <v>-0.61199999999999999</v>
      </c>
    </row>
    <row r="119" spans="1:18">
      <c r="A119" s="2">
        <f>'Tank Data'!Q140</f>
        <v>41681</v>
      </c>
      <c r="B119" s="189">
        <f>-100*'Tank Data'!T140</f>
        <v>-0.98063999999999996</v>
      </c>
      <c r="C119" s="188">
        <f>-100*'Tank Data'!V140</f>
        <v>0</v>
      </c>
      <c r="D119" s="189">
        <f>'Tank Data'!X140</f>
        <v>-0.98063999999999996</v>
      </c>
      <c r="O119" s="2">
        <f>'Tank Data'!Y140</f>
        <v>41681</v>
      </c>
      <c r="P119" s="189">
        <f>-100*'Tank Data'!AB140</f>
        <v>-0.93455999999999995</v>
      </c>
      <c r="Q119" s="189">
        <f>-100*'Tank Data'!AD140</f>
        <v>0</v>
      </c>
      <c r="R119" s="189">
        <f>'Tank Data'!AF140</f>
        <v>-0.93455999999999995</v>
      </c>
    </row>
    <row r="120" spans="1:18">
      <c r="A120" s="2">
        <f>'Tank Data'!Q141</f>
        <v>41682</v>
      </c>
      <c r="B120" s="189">
        <f>-100*'Tank Data'!T141</f>
        <v>-8.524799999999999E-2</v>
      </c>
      <c r="C120" s="188">
        <f>-100*'Tank Data'!V141</f>
        <v>0</v>
      </c>
      <c r="D120" s="189">
        <f>'Tank Data'!X141</f>
        <v>-8.524799999999999E-2</v>
      </c>
      <c r="O120" s="2">
        <f>'Tank Data'!Y141</f>
        <v>41682</v>
      </c>
      <c r="P120" s="189">
        <f>-100*'Tank Data'!AB141</f>
        <v>-0.12124800000000002</v>
      </c>
      <c r="Q120" s="189">
        <f>-100*'Tank Data'!AD141</f>
        <v>0</v>
      </c>
      <c r="R120" s="189">
        <f>'Tank Data'!AF141</f>
        <v>-0.12124800000000002</v>
      </c>
    </row>
    <row r="121" spans="1:18">
      <c r="A121" s="2">
        <f>'Tank Data'!Q142</f>
        <v>41683</v>
      </c>
      <c r="B121" s="189">
        <f>-100*'Tank Data'!T142</f>
        <v>0.12196799999999999</v>
      </c>
      <c r="C121" s="188">
        <f>-100*'Tank Data'!V142</f>
        <v>0</v>
      </c>
      <c r="D121" s="189">
        <f>'Tank Data'!X142</f>
        <v>0.12196799999999999</v>
      </c>
      <c r="O121" s="2">
        <f>'Tank Data'!Y142</f>
        <v>41683</v>
      </c>
      <c r="P121" s="189">
        <f>-100*'Tank Data'!AB142</f>
        <v>0.30384</v>
      </c>
      <c r="Q121" s="189">
        <f>-100*'Tank Data'!AD142</f>
        <v>0</v>
      </c>
      <c r="R121" s="189">
        <f>'Tank Data'!AF142</f>
        <v>0.30384</v>
      </c>
    </row>
    <row r="122" spans="1:18">
      <c r="A122" s="2">
        <f>'Tank Data'!Q143</f>
        <v>41684</v>
      </c>
      <c r="B122" s="189">
        <f>-100*'Tank Data'!T143</f>
        <v>0.74015999999999993</v>
      </c>
      <c r="C122" s="188">
        <f>-100*'Tank Data'!V143</f>
        <v>0</v>
      </c>
      <c r="D122" s="189">
        <f>'Tank Data'!X143</f>
        <v>0.74015999999999993</v>
      </c>
      <c r="O122" s="2">
        <f>'Tank Data'!Y143</f>
        <v>41684</v>
      </c>
      <c r="P122" s="189">
        <f>-100*'Tank Data'!AB143</f>
        <v>1.6992</v>
      </c>
      <c r="Q122" s="189">
        <f>-100*'Tank Data'!AD143</f>
        <v>0</v>
      </c>
      <c r="R122" s="189">
        <f>'Tank Data'!AF143</f>
        <v>1.6992</v>
      </c>
    </row>
    <row r="123" spans="1:18">
      <c r="A123" s="2">
        <f>'Tank Data'!Q144</f>
        <v>41685</v>
      </c>
      <c r="B123" s="189">
        <f>-100*'Tank Data'!T144</f>
        <v>0.22320000000000001</v>
      </c>
      <c r="C123" s="188">
        <f>-100*'Tank Data'!V144</f>
        <v>0</v>
      </c>
      <c r="D123" s="189">
        <f>'Tank Data'!X144</f>
        <v>0.22320000000000001</v>
      </c>
      <c r="O123" s="2">
        <f>'Tank Data'!Y144</f>
        <v>41685</v>
      </c>
      <c r="P123" s="189">
        <f>-100*'Tank Data'!AB144</f>
        <v>-0.3024</v>
      </c>
      <c r="Q123" s="189">
        <f>-100*'Tank Data'!AD144</f>
        <v>0</v>
      </c>
      <c r="R123" s="189">
        <f>'Tank Data'!AF144</f>
        <v>-0.3024</v>
      </c>
    </row>
    <row r="124" spans="1:18">
      <c r="A124" s="2">
        <f>'Tank Data'!Q145</f>
        <v>41686</v>
      </c>
      <c r="B124" s="189">
        <f>-100*'Tank Data'!T145</f>
        <v>0.19583999999999999</v>
      </c>
      <c r="C124" s="188">
        <f>-100*'Tank Data'!V145</f>
        <v>0</v>
      </c>
      <c r="D124" s="189">
        <f>'Tank Data'!X145</f>
        <v>0.19583999999999999</v>
      </c>
      <c r="O124" s="2">
        <f>'Tank Data'!Y145</f>
        <v>41686</v>
      </c>
      <c r="P124" s="189">
        <f>-100*'Tank Data'!AB145</f>
        <v>-0.26495999999999997</v>
      </c>
      <c r="Q124" s="189">
        <f>-100*'Tank Data'!AD145</f>
        <v>0</v>
      </c>
      <c r="R124" s="189">
        <f>'Tank Data'!AF145</f>
        <v>-0.26495999999999997</v>
      </c>
    </row>
    <row r="125" spans="1:18">
      <c r="A125" s="2">
        <f>'Tank Data'!Q146</f>
        <v>41687</v>
      </c>
      <c r="B125" s="189">
        <f>-100*'Tank Data'!T146</f>
        <v>0.52127999999999997</v>
      </c>
      <c r="C125" s="188">
        <f>-100*'Tank Data'!V146</f>
        <v>0</v>
      </c>
      <c r="D125" s="189">
        <f>'Tank Data'!X146</f>
        <v>0.52127999999999997</v>
      </c>
      <c r="O125" s="2">
        <f>'Tank Data'!Y146</f>
        <v>41687</v>
      </c>
      <c r="P125" s="189">
        <f>-100*'Tank Data'!AB146</f>
        <v>0.71711999999999998</v>
      </c>
      <c r="Q125" s="189">
        <f>-100*'Tank Data'!AD146</f>
        <v>0</v>
      </c>
      <c r="R125" s="189">
        <f>'Tank Data'!AF146</f>
        <v>0.71711999999999998</v>
      </c>
    </row>
    <row r="126" spans="1:18">
      <c r="A126" s="2">
        <f>'Tank Data'!Q147</f>
        <v>41688</v>
      </c>
      <c r="B126" s="189">
        <f>-100*'Tank Data'!T147</f>
        <v>7.6607999999999997E-3</v>
      </c>
      <c r="C126" s="188">
        <f>-100*'Tank Data'!V147</f>
        <v>0</v>
      </c>
      <c r="D126" s="189">
        <f>'Tank Data'!X147</f>
        <v>7.6607999999999997E-3</v>
      </c>
      <c r="O126" s="2">
        <f>'Tank Data'!Y147</f>
        <v>41688</v>
      </c>
      <c r="P126" s="189">
        <f>-100*'Tank Data'!AB147</f>
        <v>0.28223999999999999</v>
      </c>
      <c r="Q126" s="189">
        <f>-100*'Tank Data'!AD147</f>
        <v>0</v>
      </c>
      <c r="R126" s="189">
        <f>'Tank Data'!AF147</f>
        <v>0.28223999999999999</v>
      </c>
    </row>
    <row r="127" spans="1:18">
      <c r="A127" s="2">
        <f>'Tank Data'!Q148</f>
        <v>41689</v>
      </c>
      <c r="B127" s="189">
        <f>-100*'Tank Data'!T148</f>
        <v>-0.13852800000000001</v>
      </c>
      <c r="C127" s="188">
        <f>-100*'Tank Data'!V148</f>
        <v>0</v>
      </c>
      <c r="D127" s="189">
        <f>'Tank Data'!X148</f>
        <v>-0.13852800000000001</v>
      </c>
      <c r="O127" s="2">
        <f>'Tank Data'!Y148</f>
        <v>41689</v>
      </c>
      <c r="P127" s="189">
        <f>-100*'Tank Data'!AB148</f>
        <v>-1.1664000000000001</v>
      </c>
      <c r="Q127" s="189">
        <f>-100*'Tank Data'!AD148</f>
        <v>0</v>
      </c>
      <c r="R127" s="189">
        <f>'Tank Data'!AF148</f>
        <v>-1.1664000000000001</v>
      </c>
    </row>
    <row r="128" spans="1:18">
      <c r="A128" s="2">
        <f>'Tank Data'!Q149</f>
        <v>41690</v>
      </c>
      <c r="B128" s="189">
        <f>-100*'Tank Data'!T149</f>
        <v>3.0096000000000001E-2</v>
      </c>
      <c r="C128" s="188">
        <f>-100*'Tank Data'!V149</f>
        <v>0</v>
      </c>
      <c r="D128" s="189">
        <f>'Tank Data'!X149</f>
        <v>3.0096000000000001E-2</v>
      </c>
      <c r="O128" s="2">
        <f>'Tank Data'!Y149</f>
        <v>41690</v>
      </c>
      <c r="P128" s="189">
        <f>-100*'Tank Data'!AB149</f>
        <v>-6.6096000000000002E-2</v>
      </c>
      <c r="Q128" s="189">
        <f>-100*'Tank Data'!AD149</f>
        <v>0</v>
      </c>
      <c r="R128" s="189">
        <f>'Tank Data'!AF149</f>
        <v>-6.6096000000000002E-2</v>
      </c>
    </row>
    <row r="129" spans="1:18">
      <c r="A129" s="2">
        <f>'Tank Data'!Q150</f>
        <v>41691</v>
      </c>
      <c r="B129" s="189">
        <f>-100*'Tank Data'!T150</f>
        <v>0.16847999999999999</v>
      </c>
      <c r="C129" s="188">
        <f>-100*'Tank Data'!V150</f>
        <v>0</v>
      </c>
      <c r="D129" s="189">
        <f>'Tank Data'!X150</f>
        <v>0.16847999999999999</v>
      </c>
      <c r="O129" s="2">
        <f>'Tank Data'!Y150</f>
        <v>41691</v>
      </c>
      <c r="P129" s="189">
        <f>-100*'Tank Data'!AB150</f>
        <v>-1.0728</v>
      </c>
      <c r="Q129" s="189">
        <f>-100*'Tank Data'!AD150</f>
        <v>0</v>
      </c>
      <c r="R129" s="189">
        <f>'Tank Data'!AF150</f>
        <v>-1.0728</v>
      </c>
    </row>
    <row r="130" spans="1:18">
      <c r="A130" s="2"/>
      <c r="B130" s="2"/>
      <c r="O130" s="2"/>
    </row>
    <row r="131" spans="1:18">
      <c r="A131" s="2"/>
      <c r="B131" s="2"/>
      <c r="D131" s="188" t="s">
        <v>74</v>
      </c>
      <c r="E131" s="190">
        <f>AVERAGE(E2:E101)</f>
        <v>0.29861932918573753</v>
      </c>
      <c r="O131" s="2"/>
    </row>
    <row r="132" spans="1:18">
      <c r="A132" s="2"/>
      <c r="B132" s="2"/>
      <c r="O132" s="2"/>
    </row>
    <row r="133" spans="1:18">
      <c r="A133" s="2"/>
      <c r="B133" s="2"/>
      <c r="O133" s="2"/>
    </row>
    <row r="134" spans="1:18">
      <c r="A134" s="2"/>
      <c r="B134" s="2"/>
      <c r="O134" s="2"/>
    </row>
    <row r="135" spans="1:18">
      <c r="A135" s="2"/>
      <c r="B135" s="2"/>
      <c r="O135" s="2"/>
    </row>
    <row r="136" spans="1:18">
      <c r="A136" s="2"/>
      <c r="B136" s="2"/>
      <c r="O136" s="2"/>
    </row>
    <row r="137" spans="1:18">
      <c r="A137" s="2"/>
      <c r="B137" s="2"/>
      <c r="O137" s="2"/>
    </row>
    <row r="138" spans="1:18">
      <c r="A138" s="2"/>
      <c r="B138" s="2"/>
      <c r="O138" s="2"/>
    </row>
    <row r="139" spans="1:18">
      <c r="A139" s="2"/>
      <c r="B139" s="2"/>
      <c r="O139" s="2"/>
    </row>
    <row r="140" spans="1:18">
      <c r="A140" s="2"/>
      <c r="B140" s="2"/>
      <c r="O140" s="2"/>
    </row>
    <row r="141" spans="1:18">
      <c r="A141" s="2"/>
      <c r="B141" s="2"/>
      <c r="O141" s="2"/>
    </row>
    <row r="142" spans="1:18">
      <c r="A142" s="2"/>
      <c r="B142" s="2"/>
      <c r="O142" s="2"/>
    </row>
    <row r="143" spans="1:18">
      <c r="A143" s="2"/>
      <c r="B143" s="2"/>
      <c r="O143" s="2"/>
    </row>
    <row r="144" spans="1:18">
      <c r="A144" s="2"/>
      <c r="B144" s="2"/>
      <c r="O144" s="2"/>
    </row>
    <row r="145" spans="1:15">
      <c r="A145" s="2"/>
      <c r="B145" s="2"/>
      <c r="O145" s="2"/>
    </row>
    <row r="146" spans="1:15">
      <c r="A146" s="2"/>
      <c r="B146" s="2"/>
      <c r="O146" s="2"/>
    </row>
    <row r="147" spans="1:15">
      <c r="A147" s="2"/>
      <c r="B147" s="2"/>
      <c r="O147" s="2"/>
    </row>
    <row r="148" spans="1:15">
      <c r="A148" s="2"/>
      <c r="B148" s="2"/>
      <c r="O148" s="2"/>
    </row>
    <row r="149" spans="1:15">
      <c r="A149" s="2"/>
      <c r="B149" s="2"/>
      <c r="O149" s="2"/>
    </row>
    <row r="150" spans="1:15">
      <c r="A150" s="2"/>
      <c r="B150" s="2"/>
      <c r="O150" s="2"/>
    </row>
    <row r="151" spans="1:15">
      <c r="A151" s="2"/>
      <c r="B151" s="2"/>
      <c r="O151" s="2"/>
    </row>
    <row r="152" spans="1:15">
      <c r="A152" s="2"/>
      <c r="B152" s="2"/>
      <c r="O152" s="2"/>
    </row>
    <row r="153" spans="1:15">
      <c r="A153" s="2"/>
      <c r="B153" s="2"/>
      <c r="O153" s="2"/>
    </row>
    <row r="154" spans="1:15">
      <c r="A154" s="2"/>
      <c r="B154" s="2"/>
      <c r="O154" s="2"/>
    </row>
    <row r="155" spans="1:15">
      <c r="A155" s="2"/>
      <c r="B155" s="2"/>
      <c r="O155" s="2"/>
    </row>
    <row r="156" spans="1:15">
      <c r="A156" s="2"/>
      <c r="B156" s="2"/>
      <c r="O156" s="2"/>
    </row>
    <row r="157" spans="1:15">
      <c r="A157" s="2"/>
      <c r="B157" s="2"/>
      <c r="O157" s="2"/>
    </row>
    <row r="158" spans="1:15">
      <c r="A158" s="2"/>
      <c r="B158" s="2"/>
      <c r="O158" s="2"/>
    </row>
    <row r="159" spans="1:15">
      <c r="A159" s="2"/>
      <c r="B159" s="2"/>
      <c r="O159" s="2"/>
    </row>
    <row r="160" spans="1:15">
      <c r="A160" s="2"/>
      <c r="B160" s="2"/>
      <c r="O160" s="2"/>
    </row>
    <row r="161" spans="1:15">
      <c r="A161" s="2"/>
      <c r="B161" s="2"/>
      <c r="O161" s="2"/>
    </row>
    <row r="162" spans="1:15">
      <c r="A162" s="2"/>
      <c r="B162" s="2"/>
      <c r="O162" s="2"/>
    </row>
    <row r="163" spans="1:15">
      <c r="A163" s="2"/>
      <c r="B163" s="2"/>
      <c r="O163" s="2"/>
    </row>
    <row r="164" spans="1:15">
      <c r="A164" s="2"/>
      <c r="B164" s="2"/>
      <c r="O164" s="2"/>
    </row>
    <row r="165" spans="1:15">
      <c r="A165" s="2"/>
      <c r="B165" s="2"/>
      <c r="O165" s="2"/>
    </row>
    <row r="166" spans="1:15">
      <c r="A166" s="2"/>
      <c r="B166" s="2"/>
      <c r="O166" s="2"/>
    </row>
    <row r="167" spans="1:15">
      <c r="A167" s="2"/>
      <c r="B167" s="2"/>
      <c r="O167" s="2"/>
    </row>
    <row r="168" spans="1:15">
      <c r="A168" s="2"/>
      <c r="B168" s="2"/>
      <c r="O168" s="2"/>
    </row>
    <row r="169" spans="1:15">
      <c r="A169" s="2"/>
      <c r="B169" s="2"/>
      <c r="O169" s="2"/>
    </row>
    <row r="170" spans="1:15">
      <c r="A170" s="2"/>
      <c r="B170" s="2"/>
      <c r="O170" s="2"/>
    </row>
    <row r="171" spans="1:15">
      <c r="A171" s="2"/>
      <c r="B171" s="2"/>
      <c r="O171" s="2"/>
    </row>
    <row r="172" spans="1:15">
      <c r="A172" s="2"/>
      <c r="B172" s="2"/>
      <c r="O172" s="2"/>
    </row>
    <row r="173" spans="1:15">
      <c r="A173" s="2"/>
      <c r="B173" s="2"/>
      <c r="O173" s="2"/>
    </row>
    <row r="174" spans="1:15">
      <c r="A174" s="2"/>
      <c r="B174" s="2"/>
      <c r="O174" s="2"/>
    </row>
    <row r="175" spans="1:15">
      <c r="A175" s="2"/>
      <c r="B175" s="2"/>
      <c r="O175" s="2"/>
    </row>
    <row r="176" spans="1:15">
      <c r="A176" s="2"/>
      <c r="B176" s="2"/>
      <c r="O176" s="2"/>
    </row>
    <row r="177" spans="1:15">
      <c r="A177" s="2"/>
      <c r="B177" s="2"/>
      <c r="O177" s="2"/>
    </row>
    <row r="178" spans="1:15">
      <c r="A178" s="2"/>
      <c r="B178" s="2"/>
      <c r="O178" s="2"/>
    </row>
    <row r="179" spans="1:15">
      <c r="A179" s="2"/>
      <c r="B179" s="2"/>
      <c r="O179" s="2"/>
    </row>
    <row r="180" spans="1:15">
      <c r="A180" s="2"/>
      <c r="B180" s="2"/>
      <c r="O180" s="2"/>
    </row>
    <row r="181" spans="1:15">
      <c r="A181" s="2"/>
      <c r="B181" s="2"/>
      <c r="O181" s="2"/>
    </row>
    <row r="182" spans="1:15">
      <c r="A182" s="2"/>
      <c r="B182" s="2"/>
      <c r="O182" s="2"/>
    </row>
    <row r="183" spans="1:15">
      <c r="A183" s="2"/>
      <c r="B183" s="2"/>
      <c r="O183" s="2"/>
    </row>
    <row r="184" spans="1:15">
      <c r="A184" s="2"/>
      <c r="B184" s="2"/>
      <c r="O184" s="2"/>
    </row>
    <row r="185" spans="1:15">
      <c r="A185" s="2"/>
      <c r="B185" s="2"/>
      <c r="O185" s="2"/>
    </row>
    <row r="186" spans="1:15">
      <c r="A186" s="2"/>
      <c r="B186" s="2"/>
      <c r="O186" s="2"/>
    </row>
    <row r="187" spans="1:15">
      <c r="A187" s="2"/>
      <c r="B187" s="2"/>
      <c r="O187" s="2"/>
    </row>
    <row r="188" spans="1:15">
      <c r="A188" s="2"/>
      <c r="B188" s="2"/>
      <c r="O188" s="2"/>
    </row>
    <row r="189" spans="1:15">
      <c r="A189" s="2"/>
      <c r="B189" s="2"/>
      <c r="O189" s="2"/>
    </row>
    <row r="190" spans="1:15">
      <c r="A190" s="2"/>
      <c r="B190" s="2"/>
      <c r="O190" s="2"/>
    </row>
    <row r="191" spans="1:15">
      <c r="A191" s="2"/>
      <c r="B191" s="2"/>
      <c r="O191" s="2"/>
    </row>
    <row r="192" spans="1:15">
      <c r="A192" s="2"/>
      <c r="B192" s="2"/>
      <c r="O192" s="2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50"/>
  <sheetViews>
    <sheetView zoomScale="150" zoomScaleNormal="150" zoomScalePageLayoutView="150" workbookViewId="0">
      <selection activeCell="G23" sqref="G23"/>
    </sheetView>
  </sheetViews>
  <sheetFormatPr baseColWidth="10" defaultRowHeight="16"/>
  <cols>
    <col min="2" max="7" width="10.7109375" style="188"/>
    <col min="9" max="9" width="14.5703125" customWidth="1"/>
  </cols>
  <sheetData>
    <row r="1" spans="1:11">
      <c r="A1" s="2" t="str">
        <f>Plots!M1</f>
        <v>Date</v>
      </c>
      <c r="B1" s="188" t="str">
        <f>Plots!N1</f>
        <v>T4_R</v>
      </c>
      <c r="C1" s="188" t="str">
        <f>Plots!O1</f>
        <v>T4_WL</v>
      </c>
      <c r="D1" s="188" t="str">
        <f>Plots!P1</f>
        <v>DAY_RF</v>
      </c>
      <c r="E1" s="188" t="s">
        <v>89</v>
      </c>
      <c r="F1" s="188" t="s">
        <v>89</v>
      </c>
      <c r="G1" s="188" t="s">
        <v>89</v>
      </c>
      <c r="I1" t="s">
        <v>87</v>
      </c>
      <c r="J1" t="s">
        <v>88</v>
      </c>
    </row>
    <row r="2" spans="1:11" ht="15" customHeight="1">
      <c r="A2" s="2">
        <f>Plots!M2</f>
        <v>41543</v>
      </c>
      <c r="B2" s="188">
        <f>Plots!N2</f>
        <v>0</v>
      </c>
      <c r="C2" s="188">
        <f>Plots!O2</f>
        <v>0</v>
      </c>
      <c r="D2" s="188">
        <f>Plots!P2</f>
        <v>0</v>
      </c>
      <c r="E2" s="868" t="s">
        <v>93</v>
      </c>
      <c r="F2" s="868" t="s">
        <v>92</v>
      </c>
      <c r="G2" s="869" t="s">
        <v>91</v>
      </c>
    </row>
    <row r="3" spans="1:11">
      <c r="A3" s="2">
        <f>Plots!M3</f>
        <v>41544</v>
      </c>
      <c r="B3" s="188">
        <f>Plots!N3</f>
        <v>0</v>
      </c>
      <c r="C3" s="188">
        <f>Plots!O3</f>
        <v>0</v>
      </c>
      <c r="D3" s="188">
        <f>Plots!P3</f>
        <v>0</v>
      </c>
      <c r="E3" s="868"/>
      <c r="F3" s="868"/>
      <c r="G3" s="869"/>
      <c r="I3" t="s">
        <v>77</v>
      </c>
      <c r="J3">
        <v>-0.36426181430737559</v>
      </c>
      <c r="K3" t="s">
        <v>78</v>
      </c>
    </row>
    <row r="4" spans="1:11">
      <c r="A4" s="2">
        <f>Plots!M4</f>
        <v>41545</v>
      </c>
      <c r="B4" s="188">
        <f>Plots!N4</f>
        <v>0</v>
      </c>
      <c r="C4" s="188">
        <f>Plots!O4</f>
        <v>0</v>
      </c>
      <c r="D4" s="188">
        <f>Plots!P4</f>
        <v>0</v>
      </c>
      <c r="E4" s="868"/>
      <c r="F4" s="868"/>
      <c r="G4" s="869"/>
      <c r="J4">
        <v>-0.10935557342272173</v>
      </c>
      <c r="K4" t="s">
        <v>79</v>
      </c>
    </row>
    <row r="5" spans="1:11">
      <c r="A5" s="2">
        <f>Plots!M5</f>
        <v>41546</v>
      </c>
      <c r="B5" s="188">
        <f>Plots!N5</f>
        <v>0</v>
      </c>
      <c r="C5" s="188">
        <f>Plots!O5</f>
        <v>0</v>
      </c>
      <c r="D5" s="188">
        <f>Plots!P5</f>
        <v>0</v>
      </c>
      <c r="E5" s="188">
        <v>0</v>
      </c>
      <c r="F5" s="188">
        <v>0</v>
      </c>
      <c r="G5" s="188">
        <v>0</v>
      </c>
      <c r="J5">
        <v>-0.59145523252852106</v>
      </c>
      <c r="K5" t="s">
        <v>80</v>
      </c>
    </row>
    <row r="6" spans="1:11">
      <c r="A6" s="2">
        <f>Plots!M6</f>
        <v>41547</v>
      </c>
      <c r="B6" s="188">
        <f>Plots!N6</f>
        <v>0</v>
      </c>
      <c r="C6" s="188">
        <f>Plots!O6</f>
        <v>0</v>
      </c>
      <c r="D6" s="188">
        <f>Plots!P6</f>
        <v>0</v>
      </c>
      <c r="E6" s="188">
        <v>0</v>
      </c>
      <c r="F6" s="188">
        <v>0</v>
      </c>
      <c r="G6" s="188">
        <v>0</v>
      </c>
      <c r="J6">
        <v>-0.40766125849295393</v>
      </c>
      <c r="K6" t="s">
        <v>81</v>
      </c>
    </row>
    <row r="7" spans="1:11">
      <c r="A7" s="2">
        <f>Plots!M7</f>
        <v>41548</v>
      </c>
      <c r="B7" s="188">
        <f>Plots!N7</f>
        <v>0</v>
      </c>
      <c r="C7" s="188">
        <f>Plots!O7</f>
        <v>0</v>
      </c>
      <c r="D7" s="188">
        <f>Plots!P7</f>
        <v>0</v>
      </c>
      <c r="E7" s="188">
        <v>0</v>
      </c>
      <c r="F7" s="188">
        <v>0</v>
      </c>
      <c r="G7" s="188">
        <v>0</v>
      </c>
      <c r="J7">
        <v>-4.491355701762529E-2</v>
      </c>
      <c r="K7" t="s">
        <v>82</v>
      </c>
    </row>
    <row r="8" spans="1:11">
      <c r="A8" s="2">
        <f>Plots!M8</f>
        <v>41549</v>
      </c>
      <c r="B8" s="188">
        <f>Plots!N8</f>
        <v>0</v>
      </c>
      <c r="C8" s="188">
        <f>Plots!O8</f>
        <v>0</v>
      </c>
      <c r="D8" s="188">
        <f>Plots!P8</f>
        <v>0</v>
      </c>
      <c r="E8" s="188">
        <v>0</v>
      </c>
      <c r="F8" s="188">
        <v>0</v>
      </c>
      <c r="G8" s="188">
        <v>0</v>
      </c>
      <c r="J8">
        <v>0.11618169544907325</v>
      </c>
      <c r="K8" t="s">
        <v>83</v>
      </c>
    </row>
    <row r="9" spans="1:11">
      <c r="A9" s="2">
        <f>Plots!M9</f>
        <v>41550</v>
      </c>
      <c r="B9" s="188">
        <f>Plots!N9</f>
        <v>0</v>
      </c>
      <c r="C9" s="188">
        <f>Plots!O9</f>
        <v>0</v>
      </c>
      <c r="D9" s="188">
        <f>Plots!P9</f>
        <v>0</v>
      </c>
      <c r="E9" s="188">
        <v>0</v>
      </c>
      <c r="F9" s="188">
        <v>0</v>
      </c>
      <c r="G9" s="188">
        <v>0</v>
      </c>
      <c r="J9">
        <v>0.29749019090413958</v>
      </c>
      <c r="K9" t="s">
        <v>84</v>
      </c>
    </row>
    <row r="10" spans="1:11">
      <c r="A10" s="2">
        <f>Plots!M10</f>
        <v>41551</v>
      </c>
      <c r="B10" s="188">
        <f>Plots!N10</f>
        <v>0</v>
      </c>
      <c r="C10" s="188">
        <f>Plots!O10</f>
        <v>0</v>
      </c>
      <c r="D10" s="188">
        <f>Plots!P10</f>
        <v>0</v>
      </c>
      <c r="E10" s="188">
        <v>0</v>
      </c>
      <c r="F10" s="188">
        <v>0</v>
      </c>
      <c r="G10" s="188">
        <v>0</v>
      </c>
      <c r="J10">
        <v>9.8858829367966805E-3</v>
      </c>
      <c r="K10" t="s">
        <v>85</v>
      </c>
    </row>
    <row r="11" spans="1:11">
      <c r="A11" s="2">
        <f>Plots!M11</f>
        <v>41552</v>
      </c>
      <c r="B11" s="188">
        <f>Plots!N11</f>
        <v>0</v>
      </c>
      <c r="C11" s="188">
        <f>Plots!O11</f>
        <v>0</v>
      </c>
      <c r="D11" s="188">
        <f>Plots!P11</f>
        <v>0</v>
      </c>
      <c r="E11" s="188">
        <v>0</v>
      </c>
      <c r="F11" s="188">
        <v>0</v>
      </c>
      <c r="G11" s="188">
        <v>0</v>
      </c>
      <c r="J11">
        <v>-0.45077015815162014</v>
      </c>
      <c r="K11" t="s">
        <v>86</v>
      </c>
    </row>
    <row r="12" spans="1:11">
      <c r="A12" s="2">
        <f>Plots!M12</f>
        <v>41553</v>
      </c>
      <c r="B12" s="188">
        <f>Plots!N12</f>
        <v>0</v>
      </c>
      <c r="C12" s="188">
        <f>Plots!O12</f>
        <v>0</v>
      </c>
      <c r="D12" s="188">
        <f>Plots!P12</f>
        <v>0</v>
      </c>
      <c r="E12" s="188">
        <v>0</v>
      </c>
      <c r="F12" s="188">
        <v>0</v>
      </c>
      <c r="G12" s="188">
        <v>0</v>
      </c>
    </row>
    <row r="13" spans="1:11">
      <c r="A13" s="2">
        <f>Plots!M13</f>
        <v>41554</v>
      </c>
      <c r="B13" s="188">
        <f>Plots!N13</f>
        <v>0</v>
      </c>
      <c r="C13" s="188">
        <f>Plots!O13</f>
        <v>0</v>
      </c>
      <c r="D13" s="188">
        <f>Plots!P13</f>
        <v>0</v>
      </c>
      <c r="E13" s="188">
        <v>0</v>
      </c>
      <c r="F13" s="188">
        <v>0</v>
      </c>
      <c r="G13" s="188">
        <v>0</v>
      </c>
      <c r="I13" t="s">
        <v>63</v>
      </c>
    </row>
    <row r="14" spans="1:11">
      <c r="A14" s="2">
        <f>Plots!M14</f>
        <v>41555</v>
      </c>
      <c r="B14" s="188">
        <f>Plots!N14</f>
        <v>0</v>
      </c>
      <c r="C14" s="188">
        <f>Plots!O14</f>
        <v>0</v>
      </c>
      <c r="D14" s="188">
        <f>Plots!P14</f>
        <v>0</v>
      </c>
      <c r="E14" s="188">
        <v>0</v>
      </c>
      <c r="F14" s="188">
        <v>0</v>
      </c>
      <c r="G14" s="188">
        <v>0</v>
      </c>
      <c r="I14" t="s">
        <v>23</v>
      </c>
      <c r="K14" t="s">
        <v>25</v>
      </c>
    </row>
    <row r="15" spans="1:11">
      <c r="A15" s="2">
        <f>Plots!M15</f>
        <v>41556</v>
      </c>
      <c r="B15" s="188">
        <f>Plots!N15</f>
        <v>0</v>
      </c>
      <c r="C15" s="188">
        <f>Plots!O15</f>
        <v>0</v>
      </c>
      <c r="D15" s="188">
        <f>Plots!P15</f>
        <v>0</v>
      </c>
      <c r="E15" s="188">
        <v>0</v>
      </c>
      <c r="F15" s="188">
        <v>0</v>
      </c>
      <c r="G15" s="188">
        <v>0</v>
      </c>
      <c r="I15" t="s">
        <v>64</v>
      </c>
      <c r="J15" t="s">
        <v>2</v>
      </c>
    </row>
    <row r="16" spans="1:11">
      <c r="A16" s="2">
        <f>Plots!M16</f>
        <v>41557</v>
      </c>
      <c r="B16" s="188">
        <f>Plots!N16</f>
        <v>0</v>
      </c>
      <c r="C16" s="188">
        <f>Plots!O16</f>
        <v>0</v>
      </c>
      <c r="D16" s="188">
        <f>Plots!P16</f>
        <v>0</v>
      </c>
      <c r="E16" s="188">
        <v>0</v>
      </c>
      <c r="F16" s="188">
        <v>0</v>
      </c>
      <c r="G16" s="188">
        <v>0</v>
      </c>
      <c r="I16" s="2">
        <v>41960</v>
      </c>
      <c r="J16" t="s">
        <v>65</v>
      </c>
      <c r="K16">
        <v>0.71799999999999997</v>
      </c>
    </row>
    <row r="17" spans="1:12">
      <c r="A17" s="2">
        <f>Plots!M17</f>
        <v>41558</v>
      </c>
      <c r="B17" s="188">
        <f>Plots!N17</f>
        <v>0</v>
      </c>
      <c r="C17" s="188">
        <f>Plots!O17</f>
        <v>0</v>
      </c>
      <c r="D17" s="188">
        <f>Plots!P17</f>
        <v>0</v>
      </c>
      <c r="E17" s="188">
        <v>0</v>
      </c>
      <c r="F17" s="188">
        <v>0</v>
      </c>
      <c r="G17" s="188">
        <v>0</v>
      </c>
      <c r="I17" s="2"/>
    </row>
    <row r="18" spans="1:12">
      <c r="A18" s="2">
        <f>Plots!M18</f>
        <v>41559</v>
      </c>
      <c r="B18" s="188">
        <f>Plots!N18</f>
        <v>0</v>
      </c>
      <c r="C18" s="188">
        <f>Plots!O18</f>
        <v>0</v>
      </c>
      <c r="D18" s="188">
        <f>Plots!P18</f>
        <v>0</v>
      </c>
      <c r="E18" s="188">
        <v>0</v>
      </c>
      <c r="F18" s="188">
        <v>0</v>
      </c>
      <c r="G18" s="188">
        <v>0</v>
      </c>
      <c r="I18" s="2">
        <v>41993</v>
      </c>
      <c r="J18" t="s">
        <v>66</v>
      </c>
    </row>
    <row r="19" spans="1:12">
      <c r="A19" s="2">
        <f>Plots!M19</f>
        <v>41560</v>
      </c>
      <c r="B19" s="188">
        <f>Plots!N19</f>
        <v>0</v>
      </c>
      <c r="C19" s="188">
        <f>Plots!O19</f>
        <v>0</v>
      </c>
      <c r="D19" s="188">
        <f>Plots!P19</f>
        <v>0</v>
      </c>
      <c r="E19" s="188">
        <v>0</v>
      </c>
      <c r="F19" s="188">
        <v>0</v>
      </c>
      <c r="G19" s="188">
        <v>0</v>
      </c>
      <c r="I19" s="2">
        <v>41994</v>
      </c>
      <c r="J19" t="s">
        <v>67</v>
      </c>
    </row>
    <row r="20" spans="1:12">
      <c r="A20" s="2">
        <f>Plots!M20</f>
        <v>41561</v>
      </c>
      <c r="B20" s="188">
        <f>Plots!N20</f>
        <v>0</v>
      </c>
      <c r="C20" s="188">
        <f>Plots!O20</f>
        <v>0</v>
      </c>
      <c r="D20" s="188">
        <f>Plots!P20</f>
        <v>0</v>
      </c>
      <c r="E20" s="188">
        <v>0</v>
      </c>
      <c r="F20" s="188">
        <v>0</v>
      </c>
      <c r="G20" s="188">
        <v>0</v>
      </c>
      <c r="I20" s="2">
        <v>41995</v>
      </c>
      <c r="J20" t="s">
        <v>68</v>
      </c>
    </row>
    <row r="21" spans="1:12">
      <c r="A21" s="2">
        <f>Plots!M21</f>
        <v>41562</v>
      </c>
      <c r="B21" s="188">
        <f>Plots!N21</f>
        <v>0</v>
      </c>
      <c r="C21" s="188">
        <f>Plots!O21</f>
        <v>0</v>
      </c>
      <c r="D21" s="188">
        <f>Plots!P21</f>
        <v>0</v>
      </c>
      <c r="E21" s="188">
        <v>0</v>
      </c>
      <c r="F21" s="188">
        <v>0</v>
      </c>
      <c r="G21" s="188">
        <v>0</v>
      </c>
      <c r="I21" s="2">
        <v>41996</v>
      </c>
      <c r="J21" t="s">
        <v>69</v>
      </c>
    </row>
    <row r="22" spans="1:12">
      <c r="A22" s="2">
        <f>Plots!M22</f>
        <v>41563</v>
      </c>
      <c r="B22" s="188">
        <f>Plots!N22</f>
        <v>0</v>
      </c>
      <c r="C22" s="188">
        <f>Plots!O22</f>
        <v>0</v>
      </c>
      <c r="D22" s="188">
        <f>Plots!P22</f>
        <v>0</v>
      </c>
      <c r="E22" s="188">
        <v>0</v>
      </c>
      <c r="F22" s="188">
        <v>0</v>
      </c>
      <c r="G22" s="188">
        <v>0</v>
      </c>
    </row>
    <row r="23" spans="1:12">
      <c r="A23" s="2">
        <f>Plots!M23</f>
        <v>41564</v>
      </c>
      <c r="B23" s="203">
        <f>Plots!N23</f>
        <v>-53.439130055378115</v>
      </c>
      <c r="C23" s="188">
        <f>Plots!O23</f>
        <v>3.1435810224401641</v>
      </c>
      <c r="D23" s="188">
        <f>Plots!P23</f>
        <v>0</v>
      </c>
      <c r="E23" s="203">
        <f>$J$4</f>
        <v>-0.10935557342272173</v>
      </c>
      <c r="F23" s="203">
        <f>$J$5</f>
        <v>-0.59145523252852106</v>
      </c>
      <c r="G23" s="203">
        <f>0.12*D23-0.56</f>
        <v>-0.56000000000000005</v>
      </c>
    </row>
    <row r="24" spans="1:12">
      <c r="A24" s="2">
        <f>Plots!M24</f>
        <v>41565</v>
      </c>
      <c r="B24" s="203">
        <f>Plots!N24</f>
        <v>-0.33147637182707679</v>
      </c>
      <c r="C24" s="188">
        <f>Plots!O24</f>
        <v>3.2043143565567305</v>
      </c>
      <c r="D24" s="188">
        <f>Plots!P24</f>
        <v>0</v>
      </c>
      <c r="E24" s="203">
        <f t="shared" ref="E24:E32" si="0">$J$4</f>
        <v>-0.10935557342272173</v>
      </c>
      <c r="F24" s="203">
        <f t="shared" ref="F24:F32" si="1">$J$5</f>
        <v>-0.59145523252852106</v>
      </c>
      <c r="G24" s="203">
        <f t="shared" ref="G24:G32" si="2">0.12*D24-0.56</f>
        <v>-0.56000000000000005</v>
      </c>
      <c r="J24" s="204" t="s">
        <v>90</v>
      </c>
      <c r="K24" s="204"/>
      <c r="L24" s="204"/>
    </row>
    <row r="25" spans="1:12">
      <c r="A25" s="2">
        <f>Plots!M25</f>
        <v>41566</v>
      </c>
      <c r="B25" s="203">
        <f>Plots!N25</f>
        <v>12.550215143008876</v>
      </c>
      <c r="C25" s="188">
        <f>Plots!O25</f>
        <v>3.2750159959313367</v>
      </c>
      <c r="D25" s="188">
        <f>Plots!P25</f>
        <v>1</v>
      </c>
      <c r="E25" s="203">
        <f t="shared" si="0"/>
        <v>-0.10935557342272173</v>
      </c>
      <c r="F25" s="203">
        <f t="shared" si="1"/>
        <v>-0.59145523252852106</v>
      </c>
      <c r="G25" s="203">
        <f t="shared" si="2"/>
        <v>-0.44000000000000006</v>
      </c>
      <c r="J25" s="205" t="s">
        <v>94</v>
      </c>
      <c r="K25" s="205"/>
      <c r="L25" s="205"/>
    </row>
    <row r="26" spans="1:12">
      <c r="A26" s="2">
        <f>Plots!M26</f>
        <v>41567</v>
      </c>
      <c r="B26" s="203">
        <f>Plots!N26</f>
        <v>49.032408985437151</v>
      </c>
      <c r="C26" s="188">
        <f>Plots!O26</f>
        <v>3.3996063881024372</v>
      </c>
      <c r="D26" s="188">
        <f>Plots!P26</f>
        <v>0</v>
      </c>
      <c r="E26" s="203">
        <f t="shared" si="0"/>
        <v>-0.10935557342272173</v>
      </c>
      <c r="F26" s="203">
        <f t="shared" si="1"/>
        <v>-0.59145523252852106</v>
      </c>
      <c r="G26" s="203">
        <f t="shared" si="2"/>
        <v>-0.56000000000000005</v>
      </c>
      <c r="J26" s="10" t="s">
        <v>95</v>
      </c>
      <c r="K26" s="10"/>
      <c r="L26" s="10"/>
    </row>
    <row r="27" spans="1:12">
      <c r="A27" s="2">
        <f>Plots!M27</f>
        <v>41568</v>
      </c>
      <c r="B27" s="203">
        <f>Plots!N27</f>
        <v>-0.14392828975426342</v>
      </c>
      <c r="C27" s="188">
        <f>Plots!O27</f>
        <v>3.2055503382091852</v>
      </c>
      <c r="D27" s="188">
        <f>Plots!P27</f>
        <v>0</v>
      </c>
      <c r="E27" s="203">
        <f t="shared" si="0"/>
        <v>-0.10935557342272173</v>
      </c>
      <c r="F27" s="203">
        <f t="shared" si="1"/>
        <v>-0.59145523252852106</v>
      </c>
      <c r="G27" s="203">
        <f t="shared" si="2"/>
        <v>-0.56000000000000005</v>
      </c>
    </row>
    <row r="28" spans="1:12">
      <c r="A28" s="2">
        <f>Plots!M28</f>
        <v>41569</v>
      </c>
      <c r="B28" s="203">
        <f>Plots!N28</f>
        <v>1.8891291210258447</v>
      </c>
      <c r="C28" s="188">
        <f>Plots!O28</f>
        <v>3.2147947052086621</v>
      </c>
      <c r="D28" s="188">
        <f>Plots!P28</f>
        <v>1</v>
      </c>
      <c r="E28" s="203">
        <f t="shared" si="0"/>
        <v>-0.10935557342272173</v>
      </c>
      <c r="F28" s="203">
        <f t="shared" si="1"/>
        <v>-0.59145523252852106</v>
      </c>
      <c r="G28" s="203">
        <f t="shared" si="2"/>
        <v>-0.44000000000000006</v>
      </c>
    </row>
    <row r="29" spans="1:12">
      <c r="A29" s="2">
        <f>Plots!M29</f>
        <v>41570</v>
      </c>
      <c r="B29" s="188">
        <f>Plots!N29</f>
        <v>-0.81316758730067096</v>
      </c>
      <c r="C29" s="188">
        <f>Plots!O29</f>
        <v>3.179992455767962</v>
      </c>
      <c r="D29" s="188">
        <f>Plots!P29</f>
        <v>2</v>
      </c>
      <c r="E29" s="188">
        <v>-0.81316758730067096</v>
      </c>
      <c r="F29" s="188">
        <v>-0.81316758730067096</v>
      </c>
      <c r="G29" s="188">
        <v>-0.81316758730067096</v>
      </c>
    </row>
    <row r="30" spans="1:12">
      <c r="A30" s="2">
        <f>Plots!M30</f>
        <v>41571</v>
      </c>
      <c r="B30" s="188">
        <f>Plots!N30</f>
        <v>5.7906656274811161E-2</v>
      </c>
      <c r="C30" s="188">
        <f>Plots!O30</f>
        <v>3.1485337677375855</v>
      </c>
      <c r="D30" s="188">
        <f>Plots!P30</f>
        <v>0</v>
      </c>
      <c r="E30" s="206">
        <f t="shared" si="0"/>
        <v>-0.10935557342272173</v>
      </c>
      <c r="F30" s="206">
        <f t="shared" si="1"/>
        <v>-0.59145523252852106</v>
      </c>
      <c r="G30" s="206">
        <f t="shared" si="2"/>
        <v>-0.56000000000000005</v>
      </c>
    </row>
    <row r="31" spans="1:12">
      <c r="A31" s="2">
        <f>Plots!M31</f>
        <v>41572</v>
      </c>
      <c r="B31" s="188">
        <f>Plots!N31</f>
        <v>-0.79545390828986051</v>
      </c>
      <c r="C31" s="188">
        <f>Plots!O31</f>
        <v>3.1297229280280372</v>
      </c>
      <c r="D31" s="188">
        <f>Plots!P31</f>
        <v>0</v>
      </c>
      <c r="E31" s="206">
        <f t="shared" si="0"/>
        <v>-0.10935557342272173</v>
      </c>
      <c r="F31" s="206">
        <f t="shared" si="1"/>
        <v>-0.59145523252852106</v>
      </c>
      <c r="G31" s="206">
        <f t="shared" si="2"/>
        <v>-0.56000000000000005</v>
      </c>
    </row>
    <row r="32" spans="1:12">
      <c r="A32" s="2">
        <f>Plots!M32</f>
        <v>41573</v>
      </c>
      <c r="B32" s="188">
        <f>Plots!N32</f>
        <v>0.23953170807214652</v>
      </c>
      <c r="C32" s="188">
        <f>Plots!O32</f>
        <v>3.1196341775812395</v>
      </c>
      <c r="D32" s="188">
        <f>Plots!P32</f>
        <v>0</v>
      </c>
      <c r="E32" s="206">
        <f t="shared" si="0"/>
        <v>-0.10935557342272173</v>
      </c>
      <c r="F32" s="206">
        <f t="shared" si="1"/>
        <v>-0.59145523252852106</v>
      </c>
      <c r="G32" s="206">
        <f t="shared" si="2"/>
        <v>-0.56000000000000005</v>
      </c>
    </row>
    <row r="33" spans="1:7">
      <c r="A33" s="2">
        <f>Plots!M33</f>
        <v>41574</v>
      </c>
      <c r="B33" s="188">
        <f>Plots!N33</f>
        <v>0.10653296367176025</v>
      </c>
      <c r="C33" s="188">
        <f>Plots!O33</f>
        <v>3.0979409376518041</v>
      </c>
      <c r="D33" s="188">
        <f>Plots!P33</f>
        <v>1</v>
      </c>
      <c r="E33" s="188">
        <v>0.10653296367176025</v>
      </c>
      <c r="F33" s="188">
        <v>0.10653296367176025</v>
      </c>
      <c r="G33" s="188">
        <v>0.10653296367176025</v>
      </c>
    </row>
    <row r="34" spans="1:7">
      <c r="A34" s="2">
        <f>Plots!M34</f>
        <v>41575</v>
      </c>
      <c r="B34" s="188">
        <f>Plots!N34</f>
        <v>-0.18437699289918197</v>
      </c>
      <c r="C34" s="188">
        <f>Plots!O34</f>
        <v>3.0740098576753261</v>
      </c>
      <c r="D34" s="188">
        <f>Plots!P34</f>
        <v>2</v>
      </c>
      <c r="E34" s="188">
        <v>-0.18437699289918197</v>
      </c>
      <c r="F34" s="188">
        <v>-0.18437699289918197</v>
      </c>
      <c r="G34" s="188">
        <v>-0.18437699289918197</v>
      </c>
    </row>
    <row r="35" spans="1:7">
      <c r="A35" s="2">
        <f>Plots!M35</f>
        <v>41576</v>
      </c>
      <c r="B35" s="188">
        <f>Plots!N35</f>
        <v>-0.47444989878023047</v>
      </c>
      <c r="C35" s="188">
        <f>Plots!O35</f>
        <v>3.0483624191981504</v>
      </c>
      <c r="D35" s="188">
        <f>Plots!P35</f>
        <v>3</v>
      </c>
      <c r="E35" s="188">
        <v>-0.47444989878023047</v>
      </c>
      <c r="F35" s="188">
        <v>-0.47444989878023047</v>
      </c>
      <c r="G35" s="188">
        <v>-0.47444989878023047</v>
      </c>
    </row>
    <row r="36" spans="1:7">
      <c r="A36" s="2">
        <f>Plots!M36</f>
        <v>41577</v>
      </c>
      <c r="B36" s="188">
        <f>Plots!N36</f>
        <v>-1.3680144254648863</v>
      </c>
      <c r="C36" s="188">
        <f>Plots!O36</f>
        <v>3.0304329762465883</v>
      </c>
      <c r="D36" s="188">
        <f>Plots!P36</f>
        <v>4</v>
      </c>
      <c r="E36" s="188">
        <v>-1.3680144254648863</v>
      </c>
      <c r="F36" s="188">
        <v>-1.3680144254648863</v>
      </c>
      <c r="G36" s="188">
        <v>-1.3680144254648863</v>
      </c>
    </row>
    <row r="37" spans="1:7">
      <c r="A37" s="2">
        <f>Plots!M37</f>
        <v>41578</v>
      </c>
      <c r="B37" s="188">
        <f>Plots!N37</f>
        <v>-1.0369758377861031</v>
      </c>
      <c r="C37" s="188">
        <f>Plots!O37</f>
        <v>3.0117466778126238</v>
      </c>
      <c r="D37" s="188">
        <f>Plots!P37</f>
        <v>5</v>
      </c>
      <c r="E37" s="188">
        <v>-1.0369758377861031</v>
      </c>
      <c r="F37" s="188">
        <v>-1.0369758377861031</v>
      </c>
      <c r="G37" s="188">
        <v>-1.0369758377861031</v>
      </c>
    </row>
    <row r="38" spans="1:7">
      <c r="A38" s="2">
        <f>Plots!M38</f>
        <v>41579</v>
      </c>
      <c r="B38" s="188">
        <f>Plots!N38</f>
        <v>-1.4684863639916124</v>
      </c>
      <c r="C38" s="188">
        <f>Plots!O38</f>
        <v>2.9937524038752907</v>
      </c>
      <c r="D38" s="188">
        <f>Plots!P38</f>
        <v>6</v>
      </c>
      <c r="E38" s="188">
        <v>-1.4684863639916124</v>
      </c>
      <c r="F38" s="188">
        <v>-1.4684863639916124</v>
      </c>
      <c r="G38" s="188">
        <v>-1.4684863639916124</v>
      </c>
    </row>
    <row r="39" spans="1:7">
      <c r="A39" s="2">
        <f>Plots!M39</f>
        <v>41580</v>
      </c>
      <c r="B39" s="188">
        <f>Plots!N39</f>
        <v>-1.0351261824847269</v>
      </c>
      <c r="C39" s="188">
        <f>Plots!O39</f>
        <v>2.9733710094669976</v>
      </c>
      <c r="D39" s="188">
        <f>Plots!P39</f>
        <v>0</v>
      </c>
      <c r="E39" s="206">
        <f t="shared" ref="E39" si="3">$J$4</f>
        <v>-0.10935557342272173</v>
      </c>
      <c r="F39" s="206">
        <f t="shared" ref="F39" si="4">$J$5</f>
        <v>-0.59145523252852106</v>
      </c>
      <c r="G39" s="206">
        <f t="shared" ref="G39" si="5">0.12*D39-0.56</f>
        <v>-0.56000000000000005</v>
      </c>
    </row>
    <row r="40" spans="1:7">
      <c r="A40" s="2">
        <f>Plots!M40</f>
        <v>41581</v>
      </c>
      <c r="B40" s="188">
        <f>Plots!N40</f>
        <v>-1.0332019764012534</v>
      </c>
      <c r="C40" s="188">
        <f>Plots!O40</f>
        <v>2.9555802121516304</v>
      </c>
      <c r="D40" s="188">
        <f>Plots!P40</f>
        <v>1</v>
      </c>
      <c r="E40" s="188">
        <v>-1.0332019764012534</v>
      </c>
      <c r="F40" s="188">
        <v>-1.0332019764012534</v>
      </c>
      <c r="G40" s="188">
        <v>-1.0332019764012534</v>
      </c>
    </row>
    <row r="41" spans="1:7">
      <c r="A41" s="2">
        <f>Plots!M41</f>
        <v>41582</v>
      </c>
      <c r="B41" s="188">
        <f>Plots!N41</f>
        <v>0.40960138061237988</v>
      </c>
      <c r="C41" s="188">
        <f>Plots!O41</f>
        <v>2.9368771477230093</v>
      </c>
      <c r="D41" s="188">
        <f>Plots!P41</f>
        <v>0</v>
      </c>
      <c r="E41" s="206">
        <f t="shared" ref="E41:E43" si="6">$J$4</f>
        <v>-0.10935557342272173</v>
      </c>
      <c r="F41" s="206">
        <f t="shared" ref="F41:F43" si="7">$J$5</f>
        <v>-0.59145523252852106</v>
      </c>
      <c r="G41" s="206">
        <f t="shared" ref="G41:G43" si="8">0.12*D41-0.56</f>
        <v>-0.56000000000000005</v>
      </c>
    </row>
    <row r="42" spans="1:7">
      <c r="A42" s="2">
        <f>Plots!M42</f>
        <v>41583</v>
      </c>
      <c r="B42" s="188">
        <f>Plots!N42</f>
        <v>-2.0403830948889263</v>
      </c>
      <c r="C42" s="188">
        <f>Plots!O42</f>
        <v>2.9495194843017631</v>
      </c>
      <c r="D42" s="188">
        <f>Plots!P42</f>
        <v>0</v>
      </c>
      <c r="E42" s="206">
        <f t="shared" si="6"/>
        <v>-0.10935557342272173</v>
      </c>
      <c r="F42" s="206">
        <f t="shared" si="7"/>
        <v>-0.59145523252852106</v>
      </c>
      <c r="G42" s="206">
        <f t="shared" si="8"/>
        <v>-0.56000000000000005</v>
      </c>
    </row>
    <row r="43" spans="1:7">
      <c r="A43" s="2">
        <f>Plots!M43</f>
        <v>41584</v>
      </c>
      <c r="B43" s="188">
        <f>Plots!N43</f>
        <v>-1.5695544001749746</v>
      </c>
      <c r="C43" s="188">
        <f>Plots!O43</f>
        <v>2.9404288895585302</v>
      </c>
      <c r="D43" s="188">
        <f>Plots!P43</f>
        <v>0</v>
      </c>
      <c r="E43" s="206">
        <f t="shared" si="6"/>
        <v>-0.10935557342272173</v>
      </c>
      <c r="F43" s="206">
        <f t="shared" si="7"/>
        <v>-0.59145523252852106</v>
      </c>
      <c r="G43" s="206">
        <f t="shared" si="8"/>
        <v>-0.56000000000000005</v>
      </c>
    </row>
    <row r="44" spans="1:7">
      <c r="A44" s="2">
        <f>Plots!M44</f>
        <v>41585</v>
      </c>
      <c r="B44" s="188">
        <f>Plots!N44</f>
        <v>-1.4589227979861892</v>
      </c>
      <c r="C44" s="188">
        <f>Plots!O44</f>
        <v>2.9189530186407686</v>
      </c>
      <c r="D44" s="188">
        <f>Plots!P44</f>
        <v>1</v>
      </c>
      <c r="E44" s="188">
        <v>-1.4589227979861892</v>
      </c>
      <c r="F44" s="188">
        <v>-1.4589227979861892</v>
      </c>
      <c r="G44" s="188">
        <v>-1.4589227979861892</v>
      </c>
    </row>
    <row r="45" spans="1:7">
      <c r="A45" s="2">
        <f>Plots!M45</f>
        <v>41586</v>
      </c>
      <c r="B45" s="188">
        <f>Plots!N45</f>
        <v>-2.2699938135866562</v>
      </c>
      <c r="C45" s="188">
        <f>Plots!O45</f>
        <v>2.8968487199818074</v>
      </c>
      <c r="D45" s="188">
        <f>Plots!P45</f>
        <v>2</v>
      </c>
      <c r="E45" s="188">
        <v>-2.2699938135866562</v>
      </c>
      <c r="F45" s="188">
        <v>-2.2699938135866562</v>
      </c>
      <c r="G45" s="188">
        <v>-2.2699938135866562</v>
      </c>
    </row>
    <row r="46" spans="1:7">
      <c r="A46" s="2">
        <f>Plots!M46</f>
        <v>41587</v>
      </c>
      <c r="B46" s="188">
        <f>Plots!N46</f>
        <v>-6.363185087767502E-2</v>
      </c>
      <c r="C46" s="188">
        <f>Plots!O46</f>
        <v>2.8724953411213714</v>
      </c>
      <c r="D46" s="188">
        <f>Plots!P46</f>
        <v>3</v>
      </c>
      <c r="E46" s="188">
        <v>-6.363185087767502E-2</v>
      </c>
      <c r="F46" s="188">
        <v>-6.363185087767502E-2</v>
      </c>
      <c r="G46" s="188">
        <v>-6.363185087767502E-2</v>
      </c>
    </row>
    <row r="47" spans="1:7">
      <c r="A47" s="2">
        <f>Plots!M47</f>
        <v>41588</v>
      </c>
      <c r="B47" s="188">
        <f>Plots!N47</f>
        <v>0.72275058579618356</v>
      </c>
      <c r="C47" s="188">
        <f>Plots!O47</f>
        <v>2.8491184455944807</v>
      </c>
      <c r="D47" s="188">
        <f>Plots!P47</f>
        <v>4</v>
      </c>
      <c r="E47" s="188">
        <v>0.72275058579618356</v>
      </c>
      <c r="F47" s="188">
        <v>0.72275058579618356</v>
      </c>
      <c r="G47" s="188">
        <v>0.72275058579618356</v>
      </c>
    </row>
    <row r="48" spans="1:7">
      <c r="A48" s="2">
        <f>Plots!M48</f>
        <v>41589</v>
      </c>
      <c r="B48" s="188">
        <f>Plots!N48</f>
        <v>0.4183905468843514</v>
      </c>
      <c r="C48" s="188">
        <f>Plots!O48</f>
        <v>2.8217004524185607</v>
      </c>
      <c r="D48" s="188">
        <f>Plots!P48</f>
        <v>5</v>
      </c>
      <c r="E48" s="188">
        <v>0.4183905468843514</v>
      </c>
      <c r="F48" s="188">
        <v>0.4183905468843514</v>
      </c>
      <c r="G48" s="188">
        <v>0.4183905468843514</v>
      </c>
    </row>
    <row r="49" spans="1:7">
      <c r="A49" s="2">
        <f>Plots!M49</f>
        <v>41590</v>
      </c>
      <c r="B49" s="188">
        <f>Plots!N49</f>
        <v>1.0451309710629426</v>
      </c>
      <c r="C49" s="188">
        <f>Plots!O49</f>
        <v>2.7828161938040874</v>
      </c>
      <c r="D49" s="188">
        <f>Plots!P49</f>
        <v>6</v>
      </c>
      <c r="E49" s="188">
        <v>1.0451309710629426</v>
      </c>
      <c r="F49" s="188">
        <v>1.0451309710629426</v>
      </c>
      <c r="G49" s="188">
        <v>1.0451309710629426</v>
      </c>
    </row>
    <row r="50" spans="1:7">
      <c r="A50" s="2">
        <f>Plots!M50</f>
        <v>41591</v>
      </c>
      <c r="B50" s="188">
        <f>Plots!N50</f>
        <v>-2.6838063946914672</v>
      </c>
      <c r="C50" s="188">
        <f>Plots!O50</f>
        <v>2.7604955413438126</v>
      </c>
      <c r="D50" s="188">
        <f>Plots!P50</f>
        <v>7</v>
      </c>
      <c r="E50" s="188">
        <v>-2.6838063946914672</v>
      </c>
      <c r="F50" s="188">
        <v>-2.6838063946914672</v>
      </c>
      <c r="G50" s="188">
        <v>-2.6838063946914672</v>
      </c>
    </row>
    <row r="51" spans="1:7">
      <c r="A51" s="2">
        <f>Plots!M51</f>
        <v>41592</v>
      </c>
      <c r="B51" s="188">
        <f>Plots!N51</f>
        <v>0.42655682172897669</v>
      </c>
      <c r="C51" s="188">
        <f>Plots!O51</f>
        <v>2.7414748912332292</v>
      </c>
      <c r="D51" s="188">
        <f>Plots!P51</f>
        <v>8</v>
      </c>
      <c r="E51" s="188">
        <v>0.42655682172897669</v>
      </c>
      <c r="F51" s="188">
        <v>0.42655682172897669</v>
      </c>
      <c r="G51" s="188">
        <v>0.42655682172897669</v>
      </c>
    </row>
    <row r="52" spans="1:7">
      <c r="A52" s="2">
        <f>Plots!M52</f>
        <v>41593</v>
      </c>
      <c r="B52" s="188">
        <f>Plots!N52</f>
        <v>0.14474981881563398</v>
      </c>
      <c r="C52" s="188">
        <f>Plots!O52</f>
        <v>2.7170939113679728</v>
      </c>
      <c r="D52" s="188">
        <f>Plots!P52</f>
        <v>9</v>
      </c>
      <c r="E52" s="188">
        <v>0.14474981881563398</v>
      </c>
      <c r="F52" s="188">
        <v>0.14474981881563398</v>
      </c>
      <c r="G52" s="188">
        <v>0.14474981881563398</v>
      </c>
    </row>
    <row r="53" spans="1:7">
      <c r="A53" s="2">
        <f>Plots!M53</f>
        <v>41594</v>
      </c>
      <c r="B53" s="188">
        <f>Plots!N53</f>
        <v>0.16564679449580372</v>
      </c>
      <c r="C53" s="188">
        <f>Plots!O53</f>
        <v>2.681026623669982</v>
      </c>
      <c r="D53" s="188">
        <f>Plots!P53</f>
        <v>0</v>
      </c>
      <c r="E53" s="206">
        <f t="shared" ref="E53" si="9">$J$4</f>
        <v>-0.10935557342272173</v>
      </c>
      <c r="F53" s="206">
        <f t="shared" ref="F53" si="10">$J$5</f>
        <v>-0.59145523252852106</v>
      </c>
      <c r="G53" s="206">
        <f t="shared" ref="G53" si="11">0.12*D53-0.56</f>
        <v>-0.56000000000000005</v>
      </c>
    </row>
    <row r="54" spans="1:7">
      <c r="A54" s="2">
        <f>Plots!M54</f>
        <v>41595</v>
      </c>
      <c r="B54" s="188">
        <f>Plots!N54</f>
        <v>-88.681227314746309</v>
      </c>
      <c r="C54" s="188">
        <f>Plots!O54</f>
        <v>2.6427783584564284</v>
      </c>
      <c r="D54" s="188">
        <f>Plots!P54</f>
        <v>1</v>
      </c>
      <c r="E54" s="188">
        <v>-88.681227314746309</v>
      </c>
      <c r="F54" s="188">
        <v>-88.681227314746309</v>
      </c>
      <c r="G54" s="188">
        <v>-88.681227314746309</v>
      </c>
    </row>
    <row r="55" spans="1:7">
      <c r="A55" s="2">
        <f>Plots!M55</f>
        <v>41596</v>
      </c>
      <c r="B55" s="188">
        <f>Plots!N55</f>
        <v>-1.5957342214388917</v>
      </c>
      <c r="C55" s="188">
        <f>Plots!O55</f>
        <v>3.1592730516361818</v>
      </c>
      <c r="D55" s="188">
        <f>Plots!P55</f>
        <v>0</v>
      </c>
      <c r="E55" s="206">
        <f t="shared" ref="E55:E56" si="12">$J$4</f>
        <v>-0.10935557342272173</v>
      </c>
      <c r="F55" s="206">
        <f t="shared" ref="F55:F56" si="13">$J$5</f>
        <v>-0.59145523252852106</v>
      </c>
      <c r="G55" s="206">
        <f t="shared" ref="G55:G56" si="14">0.12*D55-0.56</f>
        <v>-0.56000000000000005</v>
      </c>
    </row>
    <row r="56" spans="1:7">
      <c r="A56" s="2">
        <f>Plots!M56</f>
        <v>41597</v>
      </c>
      <c r="B56" s="188">
        <f>Plots!N56</f>
        <v>-0.80755960410805083</v>
      </c>
      <c r="C56" s="188">
        <f>Plots!O56</f>
        <v>3.1414814440322778</v>
      </c>
      <c r="D56" s="188">
        <f>Plots!P56</f>
        <v>0</v>
      </c>
      <c r="E56" s="206">
        <f t="shared" si="12"/>
        <v>-0.10935557342272173</v>
      </c>
      <c r="F56" s="206">
        <f t="shared" si="13"/>
        <v>-0.59145523252852106</v>
      </c>
      <c r="G56" s="206">
        <f t="shared" si="14"/>
        <v>-0.56000000000000005</v>
      </c>
    </row>
    <row r="57" spans="1:7">
      <c r="A57" s="2">
        <f>Plots!M57</f>
        <v>41598</v>
      </c>
      <c r="B57" s="188">
        <f>Plots!N57</f>
        <v>-0.37989048676427656</v>
      </c>
      <c r="C57" s="188">
        <f>Plots!O57</f>
        <v>3.1183401297129616</v>
      </c>
      <c r="D57" s="188">
        <f>Plots!P57</f>
        <v>1</v>
      </c>
      <c r="E57" s="188">
        <v>-0.37989048676427656</v>
      </c>
      <c r="F57" s="188">
        <v>-0.37989048676427656</v>
      </c>
      <c r="G57" s="188">
        <v>-0.37989048676427656</v>
      </c>
    </row>
    <row r="58" spans="1:7">
      <c r="A58" s="2">
        <f>Plots!M58</f>
        <v>41599</v>
      </c>
      <c r="B58" s="188">
        <f>Plots!N58</f>
        <v>-9.5686504933702524E-2</v>
      </c>
      <c r="C58" s="188">
        <f>Plots!O58</f>
        <v>3.0934155743392249</v>
      </c>
      <c r="D58" s="188">
        <f>Plots!P58</f>
        <v>2</v>
      </c>
      <c r="E58" s="188">
        <v>-9.5686504933702524E-2</v>
      </c>
      <c r="F58" s="188">
        <v>-9.5686504933702524E-2</v>
      </c>
      <c r="G58" s="188">
        <v>-9.5686504933702524E-2</v>
      </c>
    </row>
    <row r="59" spans="1:7">
      <c r="A59" s="2">
        <f>Plots!M59</f>
        <v>41600</v>
      </c>
      <c r="B59" s="188">
        <f>Plots!N59</f>
        <v>-0.31456925909300187</v>
      </c>
      <c r="C59" s="188">
        <f>Plots!O59</f>
        <v>3.0679272337360763</v>
      </c>
      <c r="D59" s="188">
        <f>Plots!P59</f>
        <v>3</v>
      </c>
      <c r="E59" s="188">
        <v>-0.31456925909300187</v>
      </c>
      <c r="F59" s="188">
        <v>-0.31456925909300187</v>
      </c>
      <c r="G59" s="188">
        <v>-0.31456925909300187</v>
      </c>
    </row>
    <row r="60" spans="1:7">
      <c r="A60" s="2">
        <f>Plots!M60</f>
        <v>41601</v>
      </c>
      <c r="B60" s="188">
        <f>Plots!N60</f>
        <v>-0.30200307620411071</v>
      </c>
      <c r="C60" s="188">
        <f>Plots!O60</f>
        <v>3.0416720246773585</v>
      </c>
      <c r="D60" s="188">
        <f>Plots!P60</f>
        <v>4</v>
      </c>
      <c r="E60" s="188">
        <v>-0.30200307620411071</v>
      </c>
      <c r="F60" s="188">
        <v>-0.30200307620411071</v>
      </c>
      <c r="G60" s="188">
        <v>-0.30200307620411071</v>
      </c>
    </row>
    <row r="61" spans="1:7">
      <c r="A61" s="2">
        <f>Plots!M61</f>
        <v>41602</v>
      </c>
      <c r="B61" s="188">
        <f>Plots!N61</f>
        <v>-0.56179775531487108</v>
      </c>
      <c r="C61" s="188">
        <f>Plots!O61</f>
        <v>3.0159231540970928</v>
      </c>
      <c r="D61" s="188">
        <f>Plots!P61</f>
        <v>0</v>
      </c>
      <c r="E61" s="206">
        <f t="shared" ref="E61" si="15">$J$4</f>
        <v>-0.10935557342272173</v>
      </c>
      <c r="F61" s="206">
        <f t="shared" ref="F61" si="16">$J$5</f>
        <v>-0.59145523252852106</v>
      </c>
      <c r="G61" s="206">
        <f t="shared" ref="G61" si="17">0.12*D61-0.56</f>
        <v>-0.56000000000000005</v>
      </c>
    </row>
    <row r="62" spans="1:7">
      <c r="A62" s="2">
        <f>Plots!M62</f>
        <v>41603</v>
      </c>
      <c r="B62" s="188">
        <f>Plots!N62</f>
        <v>-0.58996450647456522</v>
      </c>
      <c r="C62" s="188">
        <f>Plots!O62</f>
        <v>2.9912139537621534</v>
      </c>
      <c r="D62" s="188">
        <f>Plots!P62</f>
        <v>1</v>
      </c>
      <c r="E62" s="188">
        <v>-0.58996450647456522</v>
      </c>
      <c r="F62" s="188">
        <v>-0.58996450647456522</v>
      </c>
      <c r="G62" s="188">
        <v>-0.58996450647456522</v>
      </c>
    </row>
    <row r="63" spans="1:7">
      <c r="A63" s="2">
        <f>Plots!M63</f>
        <v>41604</v>
      </c>
      <c r="B63" s="188">
        <f>Plots!N63</f>
        <v>-0.35767398137029927</v>
      </c>
      <c r="C63" s="188">
        <f>Plots!O63</f>
        <v>2.9665722295991848</v>
      </c>
      <c r="D63" s="188">
        <f>Plots!P63</f>
        <v>2</v>
      </c>
      <c r="E63" s="188">
        <v>-0.35767398137029927</v>
      </c>
      <c r="F63" s="188">
        <v>-0.35767398137029927</v>
      </c>
      <c r="G63" s="188">
        <v>-0.35767398137029927</v>
      </c>
    </row>
    <row r="64" spans="1:7">
      <c r="A64" s="2">
        <f>Plots!M64</f>
        <v>41605</v>
      </c>
      <c r="B64" s="188">
        <f>Plots!N64</f>
        <v>-0.45512925890862677</v>
      </c>
      <c r="C64" s="188">
        <f>Plots!O64</f>
        <v>2.9412587306052838</v>
      </c>
      <c r="D64" s="188">
        <f>Plots!P64</f>
        <v>3</v>
      </c>
      <c r="E64" s="188">
        <v>-0.45512925890862677</v>
      </c>
      <c r="F64" s="188">
        <v>-0.45512925890862677</v>
      </c>
      <c r="G64" s="188">
        <v>-0.45512925890862677</v>
      </c>
    </row>
    <row r="65" spans="1:7">
      <c r="A65" s="2">
        <f>Plots!M65</f>
        <v>41606</v>
      </c>
      <c r="B65" s="188">
        <f>Plots!N65</f>
        <v>-0.37774367011921411</v>
      </c>
      <c r="C65" s="188">
        <f>Plots!O65</f>
        <v>2.9136634391078959</v>
      </c>
      <c r="D65" s="188">
        <f>Plots!P65</f>
        <v>4</v>
      </c>
      <c r="E65" s="188">
        <v>-0.37774367011921411</v>
      </c>
      <c r="F65" s="188">
        <v>-0.37774367011921411</v>
      </c>
      <c r="G65" s="188">
        <v>-0.37774367011921411</v>
      </c>
    </row>
    <row r="66" spans="1:7">
      <c r="A66" s="2">
        <f>Plots!M66</f>
        <v>41607</v>
      </c>
      <c r="B66" s="188">
        <f>Plots!N66</f>
        <v>-0.11150776774200913</v>
      </c>
      <c r="C66" s="188">
        <f>Plots!O66</f>
        <v>2.8870726488416056</v>
      </c>
      <c r="D66" s="188">
        <f>Plots!P66</f>
        <v>5</v>
      </c>
      <c r="E66" s="188">
        <v>-0.11150776774200913</v>
      </c>
      <c r="F66" s="188">
        <v>-0.11150776774200913</v>
      </c>
      <c r="G66" s="188">
        <v>-0.11150776774200913</v>
      </c>
    </row>
    <row r="67" spans="1:7">
      <c r="A67" s="2">
        <f>Plots!M67</f>
        <v>41608</v>
      </c>
      <c r="B67" s="188">
        <f>Plots!N67</f>
        <v>-0.23206942474571016</v>
      </c>
      <c r="C67" s="188">
        <f>Plots!O67</f>
        <v>2.8603452480592284</v>
      </c>
      <c r="D67" s="188">
        <f>Plots!P67</f>
        <v>6</v>
      </c>
      <c r="E67" s="188">
        <v>-0.23206942474571016</v>
      </c>
      <c r="F67" s="188">
        <v>-0.23206942474571016</v>
      </c>
      <c r="G67" s="188">
        <v>-0.23206942474571016</v>
      </c>
    </row>
    <row r="68" spans="1:7">
      <c r="A68" s="2">
        <f>Plots!M68</f>
        <v>41609</v>
      </c>
      <c r="B68" s="188">
        <f>Plots!N68</f>
        <v>-1.5749025158820305</v>
      </c>
      <c r="C68" s="188">
        <f>Plots!O68</f>
        <v>2.8344742858665231</v>
      </c>
      <c r="D68" s="188">
        <f>Plots!P68</f>
        <v>0</v>
      </c>
      <c r="E68" s="206">
        <f t="shared" ref="E68:E71" si="18">$J$4</f>
        <v>-0.10935557342272173</v>
      </c>
      <c r="F68" s="206">
        <f t="shared" ref="F68:F71" si="19">$J$5</f>
        <v>-0.59145523252852106</v>
      </c>
      <c r="G68" s="206">
        <f t="shared" ref="G68:G71" si="20">0.12*D68-0.56</f>
        <v>-0.56000000000000005</v>
      </c>
    </row>
    <row r="69" spans="1:7">
      <c r="A69" s="2">
        <f>Plots!M69</f>
        <v>41610</v>
      </c>
      <c r="B69" s="188">
        <f>Plots!N69</f>
        <v>-1.2738120930003871</v>
      </c>
      <c r="C69" s="188">
        <f>Plots!O69</f>
        <v>2.808250769200066</v>
      </c>
      <c r="D69" s="188">
        <f>Plots!P69</f>
        <v>0</v>
      </c>
      <c r="E69" s="206">
        <f t="shared" si="18"/>
        <v>-0.10935557342272173</v>
      </c>
      <c r="F69" s="206">
        <f t="shared" si="19"/>
        <v>-0.59145523252852106</v>
      </c>
      <c r="G69" s="206">
        <f t="shared" si="20"/>
        <v>-0.56000000000000005</v>
      </c>
    </row>
    <row r="70" spans="1:7">
      <c r="A70" s="2">
        <f>Plots!M70</f>
        <v>41611</v>
      </c>
      <c r="B70" s="188">
        <f>Plots!N70</f>
        <v>-1.556060318742158</v>
      </c>
      <c r="C70" s="188">
        <f>Plots!O70</f>
        <v>2.797992491013344</v>
      </c>
      <c r="D70" s="188">
        <f>Plots!P70</f>
        <v>0</v>
      </c>
      <c r="E70" s="206">
        <f t="shared" si="18"/>
        <v>-0.10935557342272173</v>
      </c>
      <c r="F70" s="206">
        <f t="shared" si="19"/>
        <v>-0.59145523252852106</v>
      </c>
      <c r="G70" s="206">
        <f t="shared" si="20"/>
        <v>-0.56000000000000005</v>
      </c>
    </row>
    <row r="71" spans="1:7">
      <c r="A71" s="2">
        <f>Plots!M71</f>
        <v>41612</v>
      </c>
      <c r="B71" s="188">
        <f>Plots!N71</f>
        <v>4.1422390507913145E-2</v>
      </c>
      <c r="C71" s="188">
        <f>Plots!O71</f>
        <v>2.7761663033140755</v>
      </c>
      <c r="D71" s="188">
        <f>Plots!P71</f>
        <v>0</v>
      </c>
      <c r="E71" s="206">
        <f t="shared" si="18"/>
        <v>-0.10935557342272173</v>
      </c>
      <c r="F71" s="206">
        <f t="shared" si="19"/>
        <v>-0.59145523252852106</v>
      </c>
      <c r="G71" s="206">
        <f t="shared" si="20"/>
        <v>-0.56000000000000005</v>
      </c>
    </row>
    <row r="72" spans="1:7">
      <c r="A72" s="2">
        <f>Plots!M72</f>
        <v>41613</v>
      </c>
      <c r="B72" s="188">
        <f>Plots!N72</f>
        <v>-0.51649129679547001</v>
      </c>
      <c r="C72" s="188">
        <f>Plots!O72</f>
        <v>2.7505693677426968</v>
      </c>
      <c r="D72" s="188">
        <f>Plots!P72</f>
        <v>1</v>
      </c>
      <c r="E72" s="188">
        <v>-0.51649129679547001</v>
      </c>
      <c r="F72" s="188">
        <v>-0.51649129679547001</v>
      </c>
      <c r="G72" s="188">
        <v>-0.51649129679547001</v>
      </c>
    </row>
    <row r="73" spans="1:7">
      <c r="A73" s="2">
        <f>Plots!M73</f>
        <v>41614</v>
      </c>
      <c r="B73" s="188">
        <f>Plots!N73</f>
        <v>0.63153638159846492</v>
      </c>
      <c r="C73" s="188">
        <f>Plots!O73</f>
        <v>2.7202550443621063</v>
      </c>
      <c r="D73" s="188">
        <f>Plots!P73</f>
        <v>2</v>
      </c>
      <c r="E73" s="188">
        <v>0.63153638159846492</v>
      </c>
      <c r="F73" s="188">
        <v>0.63153638159846492</v>
      </c>
      <c r="G73" s="188">
        <v>0.63153638159846492</v>
      </c>
    </row>
    <row r="74" spans="1:7">
      <c r="A74" s="2">
        <f>Plots!M74</f>
        <v>41615</v>
      </c>
      <c r="B74" s="188">
        <f>Plots!N74</f>
        <v>0.94155290821139181</v>
      </c>
      <c r="C74" s="188">
        <f>Plots!O74</f>
        <v>2.6826257992832949</v>
      </c>
      <c r="D74" s="188">
        <f>Plots!P74</f>
        <v>3</v>
      </c>
      <c r="E74" s="188">
        <v>0.94155290821139181</v>
      </c>
      <c r="F74" s="188">
        <v>0.94155290821139181</v>
      </c>
      <c r="G74" s="188">
        <v>0.94155290821139181</v>
      </c>
    </row>
    <row r="75" spans="1:7">
      <c r="A75" s="2">
        <f>Plots!M75</f>
        <v>41616</v>
      </c>
      <c r="B75" s="188">
        <f>Plots!N75</f>
        <v>0.85241886971706882</v>
      </c>
      <c r="C75" s="188">
        <f>Plots!O75</f>
        <v>2.6472350043176198</v>
      </c>
      <c r="D75" s="188">
        <f>Plots!P75</f>
        <v>4</v>
      </c>
      <c r="E75" s="188">
        <v>0.85241886971706882</v>
      </c>
      <c r="F75" s="188">
        <v>0.85241886971706882</v>
      </c>
      <c r="G75" s="188">
        <v>0.85241886971706882</v>
      </c>
    </row>
    <row r="76" spans="1:7">
      <c r="A76" s="2">
        <f>Plots!M76</f>
        <v>41617</v>
      </c>
      <c r="B76" s="188">
        <f>Plots!N76</f>
        <v>0.65526965992834463</v>
      </c>
      <c r="C76" s="188">
        <f>Plots!O76</f>
        <v>2.6114703853027499</v>
      </c>
      <c r="D76" s="188">
        <f>Plots!P76</f>
        <v>5</v>
      </c>
      <c r="E76" s="188">
        <v>0.65526965992834463</v>
      </c>
      <c r="F76" s="188">
        <v>0.65526965992834463</v>
      </c>
      <c r="G76" s="188">
        <v>0.65526965992834463</v>
      </c>
    </row>
    <row r="77" spans="1:7">
      <c r="A77" s="2">
        <f>Plots!M77</f>
        <v>41618</v>
      </c>
      <c r="B77" s="188">
        <f>Plots!N77</f>
        <v>0.6949683494215666</v>
      </c>
      <c r="C77" s="188">
        <f>Plots!O77</f>
        <v>2.5763358193055388</v>
      </c>
      <c r="D77" s="188">
        <f>Plots!P77</f>
        <v>6</v>
      </c>
      <c r="E77" s="188">
        <v>0.6949683494215666</v>
      </c>
      <c r="F77" s="188">
        <v>0.6949683494215666</v>
      </c>
      <c r="G77" s="188">
        <v>0.6949683494215666</v>
      </c>
    </row>
    <row r="78" spans="1:7">
      <c r="A78" s="2">
        <f>Plots!M78</f>
        <v>41619</v>
      </c>
      <c r="B78" s="188">
        <f>Plots!N78</f>
        <v>1.7822660783882269</v>
      </c>
      <c r="C78" s="188">
        <f>Plots!O78</f>
        <v>2.539699628031872</v>
      </c>
      <c r="D78" s="188">
        <f>Plots!P78</f>
        <v>7</v>
      </c>
      <c r="E78" s="188">
        <v>1.7822660783882269</v>
      </c>
      <c r="F78" s="188">
        <v>1.7822660783882269</v>
      </c>
      <c r="G78" s="188">
        <v>1.7822660783882269</v>
      </c>
    </row>
    <row r="79" spans="1:7">
      <c r="A79" s="2">
        <f>Plots!M79</f>
        <v>41620</v>
      </c>
      <c r="B79" s="188">
        <f>Plots!N79</f>
        <v>0.99522285914351061</v>
      </c>
      <c r="C79" s="188">
        <f>Plots!O79</f>
        <v>2.5019202734430688</v>
      </c>
      <c r="D79" s="188">
        <f>Plots!P79</f>
        <v>8</v>
      </c>
      <c r="E79" s="188">
        <v>0.99522285914351061</v>
      </c>
      <c r="F79" s="188">
        <v>0.99522285914351061</v>
      </c>
      <c r="G79" s="188">
        <v>0.99522285914351061</v>
      </c>
    </row>
    <row r="80" spans="1:7">
      <c r="A80" s="2">
        <f>Plots!M80</f>
        <v>41621</v>
      </c>
      <c r="B80" s="188">
        <f>Plots!N80</f>
        <v>-3.6344173030996392</v>
      </c>
      <c r="C80" s="188">
        <f>Plots!O80</f>
        <v>2.4986572820543489</v>
      </c>
      <c r="D80" s="188">
        <f>Plots!P80</f>
        <v>0</v>
      </c>
      <c r="E80" s="206">
        <f t="shared" ref="E80:E81" si="21">$J$4</f>
        <v>-0.10935557342272173</v>
      </c>
      <c r="F80" s="206">
        <f t="shared" ref="F80:F81" si="22">$J$5</f>
        <v>-0.59145523252852106</v>
      </c>
      <c r="G80" s="206">
        <f t="shared" ref="G80:G81" si="23">0.12*D80-0.56</f>
        <v>-0.56000000000000005</v>
      </c>
    </row>
    <row r="81" spans="1:7">
      <c r="A81" s="2">
        <f>Plots!M81</f>
        <v>41622</v>
      </c>
      <c r="B81" s="188">
        <f>Plots!N81</f>
        <v>-0.85800801115005854</v>
      </c>
      <c r="C81" s="188">
        <f>Plots!O81</f>
        <v>2.5224521919043883</v>
      </c>
      <c r="D81" s="188">
        <f>Plots!P81</f>
        <v>0</v>
      </c>
      <c r="E81" s="206">
        <f t="shared" si="21"/>
        <v>-0.10935557342272173</v>
      </c>
      <c r="F81" s="206">
        <f t="shared" si="22"/>
        <v>-0.59145523252852106</v>
      </c>
      <c r="G81" s="206">
        <f t="shared" si="23"/>
        <v>-0.56000000000000005</v>
      </c>
    </row>
    <row r="82" spans="1:7">
      <c r="A82" s="2">
        <f>Plots!M82</f>
        <v>41623</v>
      </c>
      <c r="B82" s="188">
        <f>Plots!N82</f>
        <v>-0.26824852694965379</v>
      </c>
      <c r="C82" s="188">
        <f>Plots!O82</f>
        <v>2.500216203202855</v>
      </c>
      <c r="D82" s="188">
        <f>Plots!P82</f>
        <v>1</v>
      </c>
      <c r="E82" s="188">
        <v>-0.26824852694965379</v>
      </c>
      <c r="F82" s="188">
        <v>-0.26824852694965379</v>
      </c>
      <c r="G82" s="188">
        <v>-0.26824852694965379</v>
      </c>
    </row>
    <row r="83" spans="1:7">
      <c r="A83" s="2">
        <f>Plots!M83</f>
        <v>41624</v>
      </c>
      <c r="B83" s="188">
        <f>Plots!N83</f>
        <v>0.23573368904136854</v>
      </c>
      <c r="C83" s="188">
        <f>Plots!O83</f>
        <v>2.4751452457095353</v>
      </c>
      <c r="D83" s="188">
        <f>Plots!P83</f>
        <v>2</v>
      </c>
      <c r="E83" s="188">
        <v>0.23573368904136854</v>
      </c>
      <c r="F83" s="188">
        <v>0.23573368904136854</v>
      </c>
      <c r="G83" s="188">
        <v>0.23573368904136854</v>
      </c>
    </row>
    <row r="84" spans="1:7">
      <c r="A84" s="2">
        <f>Plots!M84</f>
        <v>41625</v>
      </c>
      <c r="B84" s="188">
        <f>Plots!N84</f>
        <v>9.6746017342390703E-2</v>
      </c>
      <c r="C84" s="188">
        <f>Plots!O84</f>
        <v>2.4447566978348667</v>
      </c>
      <c r="D84" s="188">
        <f>Plots!P84</f>
        <v>3</v>
      </c>
      <c r="E84" s="188">
        <v>9.6746017342390703E-2</v>
      </c>
      <c r="F84" s="188">
        <v>9.6746017342390703E-2</v>
      </c>
      <c r="G84" s="188">
        <v>9.6746017342390703E-2</v>
      </c>
    </row>
    <row r="85" spans="1:7">
      <c r="A85" s="2">
        <f>Plots!M85</f>
        <v>41626</v>
      </c>
      <c r="B85" s="188">
        <f>Plots!N85</f>
        <v>1.1696818889693983</v>
      </c>
      <c r="C85" s="188">
        <f>Plots!O85</f>
        <v>2.4068575104730967</v>
      </c>
      <c r="D85" s="188">
        <f>Plots!P85</f>
        <v>4</v>
      </c>
      <c r="E85" s="188">
        <v>1.1696818889693983</v>
      </c>
      <c r="F85" s="188">
        <v>1.1696818889693983</v>
      </c>
      <c r="G85" s="188">
        <v>1.1696818889693983</v>
      </c>
    </row>
    <row r="86" spans="1:7">
      <c r="A86" s="2">
        <f>Plots!M86</f>
        <v>41627</v>
      </c>
      <c r="B86" s="188">
        <f>Plots!N86</f>
        <v>1.5622743532361143</v>
      </c>
      <c r="C86" s="188">
        <f>Plots!O86</f>
        <v>2.3701082253497936</v>
      </c>
      <c r="D86" s="188">
        <f>Plots!P86</f>
        <v>5</v>
      </c>
      <c r="E86" s="188">
        <v>1.5622743532361143</v>
      </c>
      <c r="F86" s="188">
        <v>1.5622743532361143</v>
      </c>
      <c r="G86" s="188">
        <v>1.5622743532361143</v>
      </c>
    </row>
    <row r="87" spans="1:7">
      <c r="A87" s="2">
        <f>Plots!M87</f>
        <v>41628</v>
      </c>
      <c r="B87" s="188">
        <f>Plots!N87</f>
        <v>7.3862516395388251</v>
      </c>
      <c r="C87" s="188">
        <f>Plots!O87</f>
        <v>2.3149875728895206</v>
      </c>
      <c r="D87" s="188">
        <f>Plots!P87</f>
        <v>6</v>
      </c>
      <c r="E87" s="207">
        <f>E$86-(E$86-E$94)/8</f>
        <v>1.4818300590816</v>
      </c>
      <c r="F87" s="207">
        <f>F$86-(F$86-F$94)/8</f>
        <v>1.4818300590816</v>
      </c>
      <c r="G87" s="207">
        <f>G$86-(G$86-G$94)/8</f>
        <v>1.4818300590816</v>
      </c>
    </row>
    <row r="88" spans="1:7">
      <c r="A88" s="2">
        <f>Plots!M88</f>
        <v>41629</v>
      </c>
      <c r="B88" s="188">
        <f>Plots!N88</f>
        <v>7.8199520547144363</v>
      </c>
      <c r="C88" s="188">
        <f>Plots!O88</f>
        <v>2.2296288895585294</v>
      </c>
      <c r="D88" s="188">
        <f>Plots!P88</f>
        <v>7</v>
      </c>
      <c r="E88" s="207">
        <f>E$86-2*(E$86-E$94)/8</f>
        <v>1.4013857649270858</v>
      </c>
      <c r="F88" s="207">
        <f>F$86-2*(F$86-F$94)/8</f>
        <v>1.4013857649270858</v>
      </c>
      <c r="G88" s="207">
        <f>G$86-2*(G$86-G$94)/8</f>
        <v>1.4013857649270858</v>
      </c>
    </row>
    <row r="89" spans="1:7">
      <c r="A89" s="2">
        <f>Plots!M89</f>
        <v>41630</v>
      </c>
      <c r="B89" s="188">
        <f>Plots!N89</f>
        <v>7.1657100245320375</v>
      </c>
      <c r="C89" s="188">
        <f>Plots!O89</f>
        <v>2.1447933107006487</v>
      </c>
      <c r="D89" s="188">
        <f>Plots!P89</f>
        <v>8</v>
      </c>
      <c r="E89" s="207">
        <f>E$86-3*(E$86-E$94)/8</f>
        <v>1.3209414707725715</v>
      </c>
      <c r="F89" s="207">
        <f>F$86-3*(F$86-F$94)/8</f>
        <v>1.3209414707725715</v>
      </c>
      <c r="G89" s="207">
        <f>G$86-3*(G$86-G$94)/8</f>
        <v>1.3209414707725715</v>
      </c>
    </row>
    <row r="90" spans="1:7">
      <c r="A90" s="2">
        <f>Plots!M90</f>
        <v>41631</v>
      </c>
      <c r="B90" s="188">
        <f>Plots!N90</f>
        <v>4.9679999999999991</v>
      </c>
      <c r="C90" s="188">
        <f>Plots!O90</f>
        <v>2.076373885421638</v>
      </c>
      <c r="D90" s="188">
        <f>Plots!P90</f>
        <v>9</v>
      </c>
      <c r="E90" s="207">
        <f>E$86-4*(E$86-E$94)/8</f>
        <v>1.240497176618057</v>
      </c>
      <c r="F90" s="207">
        <f>F$86-4*(F$86-F$94)/8</f>
        <v>1.240497176618057</v>
      </c>
      <c r="G90" s="207">
        <f>G$86-4*(G$86-G$94)/8</f>
        <v>1.240497176618057</v>
      </c>
    </row>
    <row r="91" spans="1:7">
      <c r="A91" s="2">
        <f>Plots!M91</f>
        <v>41632</v>
      </c>
      <c r="B91" s="188">
        <f>Plots!N91</f>
        <v>3.5424000000000002</v>
      </c>
      <c r="C91" s="188">
        <f>Plots!O91</f>
        <v>2.0227156048852222</v>
      </c>
      <c r="D91" s="188">
        <f>Plots!P91</f>
        <v>10</v>
      </c>
      <c r="E91" s="207">
        <f>E$86-5*(E$86-E$94)/8</f>
        <v>1.160052882463543</v>
      </c>
      <c r="F91" s="207">
        <f>F$86-5*(F$86-F$94)/8</f>
        <v>1.160052882463543</v>
      </c>
      <c r="G91" s="207">
        <f>G$86-5*(G$86-G$94)/8</f>
        <v>1.160052882463543</v>
      </c>
    </row>
    <row r="92" spans="1:7">
      <c r="A92" s="2">
        <f>Plots!M92</f>
        <v>41633</v>
      </c>
      <c r="B92" s="188">
        <f>Plots!N92</f>
        <v>3.4416000000000002</v>
      </c>
      <c r="C92" s="188">
        <f>Plots!O92</f>
        <v>1.9766434202106367</v>
      </c>
      <c r="D92" s="188">
        <f>Plots!P92</f>
        <v>11</v>
      </c>
      <c r="E92" s="207">
        <f>E$86-6*(E$86-E$94)/8</f>
        <v>1.0796085883090285</v>
      </c>
      <c r="F92" s="207">
        <f>F$86-6*(F$86-F$94)/8</f>
        <v>1.0796085883090285</v>
      </c>
      <c r="G92" s="207">
        <f>G$86-6*(G$86-G$94)/8</f>
        <v>1.0796085883090285</v>
      </c>
    </row>
    <row r="93" spans="1:7">
      <c r="A93" s="2">
        <f>Plots!M93</f>
        <v>41634</v>
      </c>
      <c r="B93" s="188">
        <f>Plots!N93</f>
        <v>1.6847999999999999</v>
      </c>
      <c r="C93" s="188">
        <f>Plots!O93</f>
        <v>1.9459010906809602</v>
      </c>
      <c r="D93" s="188">
        <f>Plots!P93</f>
        <v>12</v>
      </c>
      <c r="E93" s="207">
        <f>E$86-7*(E$86-E$94)/8</f>
        <v>0.99916429415451424</v>
      </c>
      <c r="F93" s="207">
        <f>F$86-7*(F$86-F$94)/8</f>
        <v>0.99916429415451424</v>
      </c>
      <c r="G93" s="207">
        <f>G$86-7*(G$86-G$94)/8</f>
        <v>0.99916429415451424</v>
      </c>
    </row>
    <row r="94" spans="1:7">
      <c r="A94" s="2">
        <f>Plots!M94</f>
        <v>41635</v>
      </c>
      <c r="B94" s="188">
        <f>Plots!N94</f>
        <v>0.91871999999999998</v>
      </c>
      <c r="C94" s="188">
        <f>Plots!O94</f>
        <v>1.9260965847504816</v>
      </c>
      <c r="D94" s="188">
        <f>Plots!P94</f>
        <v>13</v>
      </c>
      <c r="E94" s="188">
        <v>0.91871999999999998</v>
      </c>
      <c r="F94" s="188">
        <v>0.91871999999999998</v>
      </c>
      <c r="G94" s="188">
        <v>0.91871999999999998</v>
      </c>
    </row>
    <row r="95" spans="1:7">
      <c r="A95" s="2">
        <f>Plots!M95</f>
        <v>41636</v>
      </c>
      <c r="B95" s="188">
        <f>Plots!N95</f>
        <v>0.97055999999999998</v>
      </c>
      <c r="C95" s="188">
        <f>Plots!O95</f>
        <v>1.9073867673003693</v>
      </c>
      <c r="D95" s="188">
        <f>Plots!P95</f>
        <v>14</v>
      </c>
      <c r="E95" s="188">
        <v>0.97055999999999998</v>
      </c>
      <c r="F95" s="188">
        <v>0.97055999999999998</v>
      </c>
      <c r="G95" s="188">
        <v>0.97055999999999998</v>
      </c>
    </row>
    <row r="96" spans="1:7">
      <c r="A96" s="2">
        <f>Plots!M96</f>
        <v>41637</v>
      </c>
      <c r="B96" s="188">
        <f>Plots!N96</f>
        <v>0.99791999999999992</v>
      </c>
      <c r="C96" s="188">
        <f>Plots!O96</f>
        <v>1.8889540455995912</v>
      </c>
      <c r="D96" s="188">
        <f>Plots!P96</f>
        <v>15</v>
      </c>
      <c r="E96" s="188">
        <v>0.99791999999999992</v>
      </c>
      <c r="F96" s="188">
        <v>0.99791999999999992</v>
      </c>
      <c r="G96" s="188">
        <v>0.99791999999999992</v>
      </c>
    </row>
    <row r="97" spans="1:7">
      <c r="A97" s="2">
        <f>Plots!M97</f>
        <v>41638</v>
      </c>
      <c r="B97" s="188">
        <f>Plots!N97</f>
        <v>3.528</v>
      </c>
      <c r="C97" s="188">
        <f>Plots!O97</f>
        <v>1.8552609988435225</v>
      </c>
      <c r="D97" s="188">
        <f>Plots!P97</f>
        <v>16</v>
      </c>
      <c r="E97" s="188">
        <v>3.528</v>
      </c>
      <c r="F97" s="188">
        <v>3.528</v>
      </c>
      <c r="G97" s="188">
        <v>3.528</v>
      </c>
    </row>
    <row r="98" spans="1:7">
      <c r="A98" s="2">
        <f>Plots!M98</f>
        <v>41639</v>
      </c>
      <c r="B98" s="188">
        <f>Plots!N98</f>
        <v>2.8512</v>
      </c>
      <c r="C98" s="188">
        <f>Plots!O98</f>
        <v>1.8162505713273176</v>
      </c>
      <c r="D98" s="188">
        <f>Plots!P98</f>
        <v>17</v>
      </c>
      <c r="E98" s="188">
        <v>2.8512</v>
      </c>
      <c r="F98" s="188">
        <v>2.8512</v>
      </c>
      <c r="G98" s="188">
        <v>2.8512</v>
      </c>
    </row>
    <row r="99" spans="1:7">
      <c r="A99" s="2">
        <f>Plots!M99</f>
        <v>41640</v>
      </c>
      <c r="B99" s="188">
        <f>Plots!N99</f>
        <v>2.5775999999999999</v>
      </c>
      <c r="C99" s="188">
        <f>Plots!O99</f>
        <v>1.7785331858677984</v>
      </c>
      <c r="D99" s="188">
        <f>Plots!P99</f>
        <v>18</v>
      </c>
      <c r="E99" s="188">
        <v>2.5775999999999999</v>
      </c>
      <c r="F99" s="188">
        <v>2.5775999999999999</v>
      </c>
      <c r="G99" s="188">
        <v>2.5775999999999999</v>
      </c>
    </row>
    <row r="100" spans="1:7">
      <c r="A100" s="2">
        <f>Plots!M100</f>
        <v>41641</v>
      </c>
      <c r="B100" s="188">
        <f>Plots!N100</f>
        <v>1.7568000000000001</v>
      </c>
      <c r="C100" s="188">
        <f>Plots!O100</f>
        <v>1.744879811706745</v>
      </c>
      <c r="D100" s="188">
        <f>Plots!P100</f>
        <v>19</v>
      </c>
      <c r="E100" s="188">
        <v>1.7568000000000001</v>
      </c>
      <c r="F100" s="188">
        <v>1.7568000000000001</v>
      </c>
      <c r="G100" s="188">
        <v>1.7568000000000001</v>
      </c>
    </row>
    <row r="101" spans="1:7">
      <c r="A101" s="2">
        <f>Plots!M101</f>
        <v>41642</v>
      </c>
      <c r="B101" s="188">
        <f>Plots!N101</f>
        <v>1.8863999999999999</v>
      </c>
      <c r="C101" s="188">
        <f>Plots!O101</f>
        <v>1.7175538406777657</v>
      </c>
      <c r="D101" s="188">
        <f>Plots!P101</f>
        <v>20</v>
      </c>
      <c r="E101" s="188">
        <v>1.8863999999999999</v>
      </c>
      <c r="F101" s="188">
        <v>1.8863999999999999</v>
      </c>
      <c r="G101" s="188">
        <v>1.8863999999999999</v>
      </c>
    </row>
    <row r="102" spans="1:7">
      <c r="A102" s="2">
        <f>Plots!M102</f>
        <v>41643</v>
      </c>
      <c r="B102" s="188">
        <f>Plots!N102</f>
        <v>1.4327999999999999</v>
      </c>
      <c r="C102" s="188">
        <f>Plots!O102</f>
        <v>1.6927980098044944</v>
      </c>
      <c r="D102" s="188">
        <f>Plots!P102</f>
        <v>21</v>
      </c>
      <c r="E102" s="188">
        <v>1.4327999999999999</v>
      </c>
      <c r="F102" s="188">
        <v>1.4327999999999999</v>
      </c>
      <c r="G102" s="188">
        <v>1.4327999999999999</v>
      </c>
    </row>
    <row r="103" spans="1:7">
      <c r="A103" s="2">
        <f>Plots!M103</f>
        <v>41644</v>
      </c>
      <c r="B103" s="188">
        <f>Plots!N103</f>
        <v>7.9200000000000007E-2</v>
      </c>
      <c r="C103" s="188">
        <f>Plots!O103</f>
        <v>1.6738853257985116</v>
      </c>
      <c r="D103" s="188">
        <f>Plots!P103</f>
        <v>22</v>
      </c>
      <c r="E103" s="188">
        <v>7.9200000000000007E-2</v>
      </c>
      <c r="F103" s="188">
        <v>7.9200000000000007E-2</v>
      </c>
      <c r="G103" s="188">
        <v>7.9200000000000007E-2</v>
      </c>
    </row>
    <row r="104" spans="1:7">
      <c r="A104" s="2">
        <f>Plots!M104</f>
        <v>41645</v>
      </c>
      <c r="B104" s="188">
        <f>Plots!N104</f>
        <v>0.7545599999999999</v>
      </c>
      <c r="C104" s="188">
        <f>Plots!O104</f>
        <v>1.6540399177420588</v>
      </c>
      <c r="D104" s="188">
        <f>Plots!P104</f>
        <v>23</v>
      </c>
      <c r="E104" s="188">
        <v>0.7545599999999999</v>
      </c>
      <c r="F104" s="188">
        <v>0.7545599999999999</v>
      </c>
      <c r="G104" s="188">
        <v>0.7545599999999999</v>
      </c>
    </row>
    <row r="105" spans="1:7">
      <c r="A105" s="2">
        <f>Plots!M105</f>
        <v>41646</v>
      </c>
      <c r="B105" s="188">
        <f>Plots!N105</f>
        <v>0.99504000000000004</v>
      </c>
      <c r="C105" s="188">
        <f>Plots!O105</f>
        <v>1.6342223344097913</v>
      </c>
      <c r="D105" s="188">
        <f>Plots!P105</f>
        <v>24</v>
      </c>
      <c r="E105" s="188">
        <v>0.99504000000000004</v>
      </c>
      <c r="F105" s="188">
        <v>0.99504000000000004</v>
      </c>
      <c r="G105" s="188">
        <v>0.99504000000000004</v>
      </c>
    </row>
    <row r="106" spans="1:7">
      <c r="A106" s="2">
        <f>Plots!M106</f>
        <v>41647</v>
      </c>
      <c r="B106" s="188">
        <f>Plots!N106</f>
        <v>-1.2182400000000002</v>
      </c>
      <c r="C106" s="188">
        <f>Plots!O106</f>
        <v>1.6170466778126253</v>
      </c>
      <c r="D106" s="188">
        <f>Plots!P106</f>
        <v>25</v>
      </c>
      <c r="E106" s="188">
        <v>-1.2182400000000002</v>
      </c>
      <c r="F106" s="188">
        <v>-1.2182400000000002</v>
      </c>
      <c r="G106" s="188">
        <v>-1.2182400000000002</v>
      </c>
    </row>
    <row r="107" spans="1:7">
      <c r="A107" s="2">
        <f>Plots!M107</f>
        <v>41648</v>
      </c>
      <c r="B107" s="188">
        <f>Plots!N107</f>
        <v>1.3881599999999998</v>
      </c>
      <c r="C107" s="188">
        <f>Plots!O107</f>
        <v>1.6136663127128439</v>
      </c>
      <c r="D107" s="188">
        <f>Plots!P107</f>
        <v>26</v>
      </c>
      <c r="E107" s="188">
        <v>1.3881599999999998</v>
      </c>
      <c r="F107" s="188">
        <v>1.3881599999999998</v>
      </c>
      <c r="G107" s="188">
        <v>1.3881599999999998</v>
      </c>
    </row>
    <row r="108" spans="1:7">
      <c r="A108" s="2">
        <f>Plots!M108</f>
        <v>41649</v>
      </c>
      <c r="B108" s="188">
        <f>Plots!N108</f>
        <v>0.98639999999999994</v>
      </c>
      <c r="C108" s="188">
        <f>Plots!O108</f>
        <v>1.5972505666279342</v>
      </c>
      <c r="D108" s="188">
        <f>Plots!P108</f>
        <v>27</v>
      </c>
      <c r="E108" s="188">
        <v>0.98639999999999994</v>
      </c>
      <c r="F108" s="188">
        <v>0.98639999999999994</v>
      </c>
      <c r="G108" s="188">
        <v>0.98639999999999994</v>
      </c>
    </row>
    <row r="109" spans="1:7">
      <c r="A109" s="2">
        <f>Plots!M109</f>
        <v>41650</v>
      </c>
      <c r="B109" s="188">
        <f>Plots!N109</f>
        <v>0.63648000000000005</v>
      </c>
      <c r="C109" s="188">
        <f>Plots!O109</f>
        <v>1.5800470923556609</v>
      </c>
      <c r="D109" s="188">
        <f>Plots!P109</f>
        <v>28</v>
      </c>
      <c r="E109" s="188">
        <v>0.63648000000000005</v>
      </c>
      <c r="F109" s="188">
        <v>0.63648000000000005</v>
      </c>
      <c r="G109" s="188">
        <v>0.63648000000000005</v>
      </c>
    </row>
    <row r="110" spans="1:7">
      <c r="A110" s="2">
        <f>Plots!M110</f>
        <v>41651</v>
      </c>
      <c r="B110" s="188">
        <f>Plots!N110</f>
        <v>0.58608000000000005</v>
      </c>
      <c r="C110" s="188">
        <f>Plots!O110</f>
        <v>1.5642311436986165</v>
      </c>
      <c r="D110" s="188">
        <f>Plots!P110</f>
        <v>29</v>
      </c>
      <c r="E110" s="188">
        <v>0.58608000000000005</v>
      </c>
      <c r="F110" s="188">
        <v>0.58608000000000005</v>
      </c>
      <c r="G110" s="188">
        <v>0.58608000000000005</v>
      </c>
    </row>
    <row r="111" spans="1:7">
      <c r="A111" s="2">
        <f>Plots!M111</f>
        <v>41652</v>
      </c>
      <c r="B111" s="188">
        <f>Plots!N111</f>
        <v>0.78335999999999995</v>
      </c>
      <c r="C111" s="188">
        <f>Plots!O111</f>
        <v>1.5474288942579135</v>
      </c>
      <c r="D111" s="188">
        <f>Plots!P111</f>
        <v>30</v>
      </c>
      <c r="E111" s="188">
        <v>0.78335999999999995</v>
      </c>
      <c r="F111" s="188">
        <v>0.78335999999999995</v>
      </c>
      <c r="G111" s="188">
        <v>0.78335999999999995</v>
      </c>
    </row>
    <row r="112" spans="1:7">
      <c r="A112" s="2">
        <f>Plots!M112</f>
        <v>41653</v>
      </c>
      <c r="B112" s="188">
        <f>Plots!N112</f>
        <v>0.62783999999999995</v>
      </c>
      <c r="C112" s="188">
        <f>Plots!O112</f>
        <v>1.5286434131615603</v>
      </c>
      <c r="D112" s="188">
        <f>Plots!P112</f>
        <v>31</v>
      </c>
      <c r="E112" s="188">
        <v>0.62783999999999995</v>
      </c>
      <c r="F112" s="188">
        <v>0.62783999999999995</v>
      </c>
      <c r="G112" s="188">
        <v>0.62783999999999995</v>
      </c>
    </row>
    <row r="113" spans="1:7">
      <c r="A113" s="2">
        <f>Plots!M113</f>
        <v>41654</v>
      </c>
      <c r="B113" s="188">
        <f>Plots!N113</f>
        <v>0.54143999999999992</v>
      </c>
      <c r="C113" s="188">
        <f>Plots!O113</f>
        <v>1.5106092617073847</v>
      </c>
      <c r="D113" s="188">
        <f>Plots!P113</f>
        <v>32</v>
      </c>
      <c r="E113" s="188">
        <v>0.54143999999999992</v>
      </c>
      <c r="F113" s="188">
        <v>0.54143999999999992</v>
      </c>
      <c r="G113" s="188">
        <v>0.54143999999999992</v>
      </c>
    </row>
    <row r="114" spans="1:7">
      <c r="A114" s="2">
        <f>Plots!M114</f>
        <v>41655</v>
      </c>
      <c r="B114" s="188">
        <f>Plots!N114</f>
        <v>0.64512000000000003</v>
      </c>
      <c r="C114" s="188">
        <f>Plots!O114</f>
        <v>1.4923460747956052</v>
      </c>
      <c r="D114" s="188">
        <f>Plots!P114</f>
        <v>33</v>
      </c>
      <c r="E114" s="188">
        <v>0.64512000000000003</v>
      </c>
      <c r="F114" s="188">
        <v>0.64512000000000003</v>
      </c>
      <c r="G114" s="188">
        <v>0.64512000000000003</v>
      </c>
    </row>
    <row r="115" spans="1:7">
      <c r="A115" s="2">
        <f>Plots!M115</f>
        <v>41656</v>
      </c>
      <c r="B115" s="188">
        <f>Plots!N115</f>
        <v>1.1059199999999998</v>
      </c>
      <c r="C115" s="188">
        <f>Plots!O115</f>
        <v>1.4737438253549064</v>
      </c>
      <c r="D115" s="188">
        <f>Plots!P115</f>
        <v>34</v>
      </c>
      <c r="E115" s="188">
        <v>1.1059199999999998</v>
      </c>
      <c r="F115" s="188">
        <v>1.1059199999999998</v>
      </c>
      <c r="G115" s="188">
        <v>1.1059199999999998</v>
      </c>
    </row>
    <row r="116" spans="1:7">
      <c r="A116" s="2">
        <f>Plots!M116</f>
        <v>41657</v>
      </c>
      <c r="B116" s="188">
        <f>Plots!N116</f>
        <v>0.93024000000000007</v>
      </c>
      <c r="C116" s="188">
        <f>Plots!O116</f>
        <v>1.4548272572329988</v>
      </c>
      <c r="D116" s="188">
        <f>Plots!P116</f>
        <v>35</v>
      </c>
      <c r="E116" s="188">
        <v>0.93024000000000007</v>
      </c>
      <c r="F116" s="188">
        <v>0.93024000000000007</v>
      </c>
      <c r="G116" s="188">
        <v>0.93024000000000007</v>
      </c>
    </row>
    <row r="117" spans="1:7">
      <c r="A117" s="2">
        <f>Plots!M117</f>
        <v>41658</v>
      </c>
      <c r="B117" s="188">
        <f>Plots!N117</f>
        <v>0.70992</v>
      </c>
      <c r="C117" s="188">
        <f>Plots!O117</f>
        <v>1.434738718757099</v>
      </c>
      <c r="D117" s="188">
        <f>Plots!P117</f>
        <v>36</v>
      </c>
      <c r="E117" s="188">
        <v>0.70992</v>
      </c>
      <c r="F117" s="188">
        <v>0.70992</v>
      </c>
      <c r="G117" s="188">
        <v>0.70992</v>
      </c>
    </row>
    <row r="118" spans="1:7">
      <c r="A118" s="2">
        <f>Plots!M118</f>
        <v>41659</v>
      </c>
      <c r="B118" s="188">
        <f>Plots!N118</f>
        <v>0.60624000000000011</v>
      </c>
      <c r="C118" s="188">
        <f>Plots!O118</f>
        <v>1.4139307456034245</v>
      </c>
      <c r="D118" s="188">
        <f>Plots!P118</f>
        <v>37</v>
      </c>
      <c r="E118" s="188">
        <v>0.60624000000000011</v>
      </c>
      <c r="F118" s="188">
        <v>0.60624000000000011</v>
      </c>
      <c r="G118" s="188">
        <v>0.60624000000000011</v>
      </c>
    </row>
    <row r="119" spans="1:7">
      <c r="A119" s="2">
        <f>Plots!M119</f>
        <v>41660</v>
      </c>
      <c r="B119" s="188">
        <f>Plots!N119</f>
        <v>0.48527999999999999</v>
      </c>
      <c r="C119" s="188">
        <f>Plots!O119</f>
        <v>1.3935712355360539</v>
      </c>
      <c r="D119" s="188">
        <f>Plots!P119</f>
        <v>38</v>
      </c>
      <c r="E119" s="188">
        <v>0.48527999999999999</v>
      </c>
      <c r="F119" s="188">
        <v>0.48527999999999999</v>
      </c>
      <c r="G119" s="188">
        <v>0.48527999999999999</v>
      </c>
    </row>
    <row r="120" spans="1:7">
      <c r="A120" s="2">
        <f>Plots!M120</f>
        <v>41661</v>
      </c>
      <c r="B120" s="188">
        <f>Plots!N120</f>
        <v>0.36144000000000004</v>
      </c>
      <c r="C120" s="188">
        <f>Plots!O120</f>
        <v>1.3718448476143439</v>
      </c>
      <c r="D120" s="188">
        <f>Plots!P120</f>
        <v>39</v>
      </c>
      <c r="E120" s="188">
        <v>0.36144000000000004</v>
      </c>
      <c r="F120" s="188">
        <v>0.36144000000000004</v>
      </c>
      <c r="G120" s="188">
        <v>0.36144000000000004</v>
      </c>
    </row>
    <row r="121" spans="1:7">
      <c r="A121" s="2">
        <f>Plots!M121</f>
        <v>41662</v>
      </c>
      <c r="B121" s="188">
        <f>Plots!N121</f>
        <v>6.3072000000000003E-2</v>
      </c>
      <c r="C121" s="188">
        <f>Plots!O121</f>
        <v>1.3499583466082465</v>
      </c>
      <c r="D121" s="188">
        <f>Plots!P121</f>
        <v>40</v>
      </c>
      <c r="E121" s="188">
        <v>6.3072000000000003E-2</v>
      </c>
      <c r="F121" s="188">
        <v>6.3072000000000003E-2</v>
      </c>
      <c r="G121" s="188">
        <v>6.3072000000000003E-2</v>
      </c>
    </row>
    <row r="122" spans="1:7">
      <c r="A122" s="2">
        <f>Plots!M122</f>
        <v>41663</v>
      </c>
      <c r="B122" s="188">
        <f>Plots!N122</f>
        <v>0.42624000000000006</v>
      </c>
      <c r="C122" s="188">
        <f>Plots!O122</f>
        <v>1.3276139702099985</v>
      </c>
      <c r="D122" s="188">
        <f>Plots!P122</f>
        <v>41</v>
      </c>
      <c r="E122" s="188">
        <v>0.42624000000000006</v>
      </c>
      <c r="F122" s="188">
        <v>0.42624000000000006</v>
      </c>
      <c r="G122" s="188">
        <v>0.42624000000000006</v>
      </c>
    </row>
    <row r="123" spans="1:7">
      <c r="A123" s="2">
        <f>Plots!M123</f>
        <v>41664</v>
      </c>
      <c r="B123" s="188">
        <f>Plots!N123</f>
        <v>1.0396800000000002</v>
      </c>
      <c r="C123" s="188">
        <f>Plots!O123</f>
        <v>1.305385945263374</v>
      </c>
      <c r="D123" s="188">
        <f>Plots!P123</f>
        <v>42</v>
      </c>
      <c r="E123" s="188">
        <v>1.0396800000000002</v>
      </c>
      <c r="F123" s="188">
        <v>1.0396800000000002</v>
      </c>
      <c r="G123" s="188">
        <v>1.0396800000000002</v>
      </c>
    </row>
    <row r="124" spans="1:7">
      <c r="A124" s="2">
        <f>Plots!M124</f>
        <v>41665</v>
      </c>
      <c r="B124" s="188">
        <f>Plots!N124</f>
        <v>2.6783999999999999E-2</v>
      </c>
      <c r="C124" s="188">
        <f>Plots!O124</f>
        <v>1.2829575198718639</v>
      </c>
      <c r="D124" s="188">
        <f>Plots!P124</f>
        <v>43</v>
      </c>
      <c r="E124" s="188">
        <v>2.6783999999999999E-2</v>
      </c>
      <c r="F124" s="188">
        <v>2.6783999999999999E-2</v>
      </c>
      <c r="G124" s="188">
        <v>2.6783999999999999E-2</v>
      </c>
    </row>
    <row r="125" spans="1:7">
      <c r="A125" s="2">
        <f>Plots!M125</f>
        <v>41666</v>
      </c>
      <c r="B125" s="188">
        <f>Plots!N125</f>
        <v>-1.2830399999999999E-2</v>
      </c>
      <c r="C125" s="188">
        <f>Plots!O125</f>
        <v>1.2593783796036564</v>
      </c>
      <c r="D125" s="188">
        <f>Plots!P125</f>
        <v>44</v>
      </c>
      <c r="E125" s="188">
        <v>-1.2830399999999999E-2</v>
      </c>
      <c r="F125" s="188">
        <v>-1.2830399999999999E-2</v>
      </c>
      <c r="G125" s="188">
        <v>-1.2830399999999999E-2</v>
      </c>
    </row>
    <row r="126" spans="1:7">
      <c r="A126" s="2">
        <f>Plots!M126</f>
        <v>41667</v>
      </c>
      <c r="B126" s="188">
        <f>Plots!N126</f>
        <v>9.6192E-2</v>
      </c>
      <c r="C126" s="188">
        <f>Plots!O126</f>
        <v>1.2354814463819692</v>
      </c>
      <c r="D126" s="188">
        <f>Plots!P126</f>
        <v>45</v>
      </c>
      <c r="E126" s="188">
        <v>9.6192E-2</v>
      </c>
      <c r="F126" s="188">
        <v>9.6192E-2</v>
      </c>
      <c r="G126" s="188">
        <v>9.6192E-2</v>
      </c>
    </row>
    <row r="127" spans="1:7">
      <c r="A127" s="2">
        <f>Plots!M127</f>
        <v>41668</v>
      </c>
      <c r="B127" s="188">
        <f>Plots!N127</f>
        <v>0.18432000000000001</v>
      </c>
      <c r="C127" s="188">
        <f>Plots!O127</f>
        <v>1.2124260277020418</v>
      </c>
      <c r="D127" s="188">
        <f>Plots!P127</f>
        <v>46</v>
      </c>
      <c r="E127" s="188">
        <v>0.18432000000000001</v>
      </c>
      <c r="F127" s="188">
        <v>0.18432000000000001</v>
      </c>
      <c r="G127" s="188">
        <v>0.18432000000000001</v>
      </c>
    </row>
    <row r="128" spans="1:7">
      <c r="A128" s="2">
        <f>Plots!M128</f>
        <v>41669</v>
      </c>
      <c r="B128" s="188">
        <f>Plots!N128</f>
        <v>-3.8736E-2</v>
      </c>
      <c r="C128" s="188">
        <f>Plots!O128</f>
        <v>1.1877430056676022</v>
      </c>
      <c r="D128" s="188">
        <f>Plots!P128</f>
        <v>47</v>
      </c>
      <c r="E128" s="188">
        <v>-3.8736E-2</v>
      </c>
      <c r="F128" s="188">
        <v>-3.8736E-2</v>
      </c>
      <c r="G128" s="188">
        <v>-3.8736E-2</v>
      </c>
    </row>
    <row r="129" spans="1:7">
      <c r="A129" s="2">
        <f>Plots!M129</f>
        <v>41670</v>
      </c>
      <c r="B129" s="188">
        <f>Plots!N129</f>
        <v>0.11232</v>
      </c>
      <c r="C129" s="188">
        <f>Plots!O129</f>
        <v>1.1624562973899848</v>
      </c>
      <c r="D129" s="188">
        <f>Plots!P129</f>
        <v>48</v>
      </c>
      <c r="E129" s="188">
        <v>0.11232</v>
      </c>
      <c r="F129" s="188">
        <v>0.11232</v>
      </c>
      <c r="G129" s="188">
        <v>0.11232</v>
      </c>
    </row>
    <row r="130" spans="1:7">
      <c r="A130" s="2">
        <f>Plots!M130</f>
        <v>41671</v>
      </c>
      <c r="B130" s="188">
        <f>Plots!N130</f>
        <v>0.30528</v>
      </c>
      <c r="C130" s="188">
        <f>Plots!O130</f>
        <v>1.1376661054413257</v>
      </c>
      <c r="D130" s="188">
        <f>Plots!P130</f>
        <v>49</v>
      </c>
      <c r="E130" s="188">
        <v>0.30528</v>
      </c>
      <c r="F130" s="188">
        <v>0.30528</v>
      </c>
      <c r="G130" s="188">
        <v>0.30528</v>
      </c>
    </row>
    <row r="131" spans="1:7">
      <c r="A131" s="2">
        <f>Plots!M131</f>
        <v>41672</v>
      </c>
      <c r="B131" s="188">
        <f>Plots!N131</f>
        <v>-0.17712</v>
      </c>
      <c r="C131" s="188">
        <f>Plots!O131</f>
        <v>1.112165702646752</v>
      </c>
      <c r="D131" s="188">
        <f>Plots!P131</f>
        <v>50</v>
      </c>
      <c r="E131" s="188">
        <v>-0.17712</v>
      </c>
      <c r="F131" s="188">
        <v>-0.17712</v>
      </c>
      <c r="G131" s="188">
        <v>-0.17712</v>
      </c>
    </row>
    <row r="132" spans="1:7">
      <c r="A132" s="2">
        <f>Plots!M132</f>
        <v>41673</v>
      </c>
      <c r="B132" s="188">
        <f>Plots!N132</f>
        <v>-4.8528000000000002E-2</v>
      </c>
      <c r="C132" s="188">
        <f>Plots!O132</f>
        <v>1.08927653295753</v>
      </c>
      <c r="D132" s="188">
        <f>Plots!P132</f>
        <v>51</v>
      </c>
      <c r="E132" s="188">
        <v>-4.8528000000000002E-2</v>
      </c>
      <c r="F132" s="188">
        <v>-4.8528000000000002E-2</v>
      </c>
      <c r="G132" s="188">
        <v>-4.8528000000000002E-2</v>
      </c>
    </row>
    <row r="133" spans="1:7">
      <c r="A133" s="2">
        <f>Plots!M133</f>
        <v>41674</v>
      </c>
      <c r="B133" s="188">
        <f>Plots!N133</f>
        <v>0.12844800000000001</v>
      </c>
      <c r="C133" s="188">
        <f>Plots!O133</f>
        <v>1.0646573055512696</v>
      </c>
      <c r="D133" s="188">
        <f>Plots!P133</f>
        <v>52</v>
      </c>
      <c r="E133" s="188">
        <v>0.12844800000000001</v>
      </c>
      <c r="F133" s="188">
        <v>0.12844800000000001</v>
      </c>
      <c r="G133" s="188">
        <v>0.12844800000000001</v>
      </c>
    </row>
    <row r="134" spans="1:7">
      <c r="A134" s="2">
        <f>Plots!M134</f>
        <v>41675</v>
      </c>
      <c r="B134" s="188">
        <f>Plots!N134</f>
        <v>0.22320000000000001</v>
      </c>
      <c r="C134" s="188">
        <f>Plots!O134</f>
        <v>1.0399552539833183</v>
      </c>
      <c r="D134" s="188">
        <f>Plots!P134</f>
        <v>53</v>
      </c>
      <c r="E134" s="188">
        <v>0.22320000000000001</v>
      </c>
      <c r="F134" s="188">
        <v>0.22320000000000001</v>
      </c>
      <c r="G134" s="188">
        <v>0.22320000000000001</v>
      </c>
    </row>
    <row r="135" spans="1:7">
      <c r="A135" s="2">
        <f>Plots!M135</f>
        <v>41676</v>
      </c>
      <c r="B135" s="188">
        <f>Plots!N135</f>
        <v>-0.97776000000000007</v>
      </c>
      <c r="C135" s="188">
        <f>Plots!O135</f>
        <v>1.0165198800472619</v>
      </c>
      <c r="D135" s="188">
        <f>Plots!P135</f>
        <v>54</v>
      </c>
      <c r="E135" s="188">
        <v>-0.97776000000000007</v>
      </c>
      <c r="F135" s="188">
        <v>-0.97776000000000007</v>
      </c>
      <c r="G135" s="188">
        <v>-0.97776000000000007</v>
      </c>
    </row>
    <row r="136" spans="1:7">
      <c r="A136" s="2">
        <f>Plots!M136</f>
        <v>41677</v>
      </c>
      <c r="B136" s="188">
        <f>Plots!N136</f>
        <v>-0.54576000000000002</v>
      </c>
      <c r="C136" s="188">
        <f>Plots!O136</f>
        <v>0.99477406919623368</v>
      </c>
      <c r="D136" s="188">
        <f>Plots!P136</f>
        <v>55</v>
      </c>
      <c r="E136" s="188">
        <v>-0.54576000000000002</v>
      </c>
      <c r="F136" s="188">
        <v>-0.54576000000000002</v>
      </c>
      <c r="G136" s="188">
        <v>-0.54576000000000002</v>
      </c>
    </row>
    <row r="137" spans="1:7">
      <c r="A137" s="2">
        <f>Plots!M137</f>
        <v>41678</v>
      </c>
      <c r="B137" s="188">
        <f>Plots!N137</f>
        <v>-0.30528</v>
      </c>
      <c r="C137" s="188">
        <f>Plots!O137</f>
        <v>0.97102928765371876</v>
      </c>
      <c r="D137" s="188">
        <f>Plots!P137</f>
        <v>56</v>
      </c>
      <c r="E137" s="188">
        <v>-0.30528</v>
      </c>
      <c r="F137" s="188">
        <v>-0.30528</v>
      </c>
      <c r="G137" s="188">
        <v>-0.30528</v>
      </c>
    </row>
    <row r="138" spans="1:7">
      <c r="A138" s="2">
        <f>Plots!M138</f>
        <v>41679</v>
      </c>
      <c r="B138" s="188">
        <f>Plots!N138</f>
        <v>-0.4536</v>
      </c>
      <c r="C138" s="188">
        <f>Plots!O138</f>
        <v>0.94512253463223272</v>
      </c>
      <c r="D138" s="188">
        <f>Plots!P138</f>
        <v>57</v>
      </c>
      <c r="E138" s="188">
        <v>-0.4536</v>
      </c>
      <c r="F138" s="188">
        <v>-0.4536</v>
      </c>
      <c r="G138" s="188">
        <v>-0.4536</v>
      </c>
    </row>
    <row r="139" spans="1:7">
      <c r="A139" s="2">
        <f>Plots!M139</f>
        <v>41680</v>
      </c>
      <c r="B139" s="188">
        <f>Plots!N139</f>
        <v>-0.61199999999999999</v>
      </c>
      <c r="C139" s="188">
        <f>Plots!O139</f>
        <v>0.92076568619890642</v>
      </c>
      <c r="D139" s="188">
        <f>Plots!P139</f>
        <v>58</v>
      </c>
      <c r="E139" s="188">
        <v>-0.61199999999999999</v>
      </c>
      <c r="F139" s="188">
        <v>-0.61199999999999999</v>
      </c>
      <c r="G139" s="188">
        <v>-0.61199999999999999</v>
      </c>
    </row>
    <row r="140" spans="1:7">
      <c r="A140" s="2">
        <f>Plots!M140</f>
        <v>41681</v>
      </c>
      <c r="B140" s="188">
        <f>Plots!N140</f>
        <v>-0.93455999999999995</v>
      </c>
      <c r="C140" s="188">
        <f>Plots!O140</f>
        <v>0.89365014268613008</v>
      </c>
      <c r="D140" s="188">
        <f>Plots!P140</f>
        <v>59</v>
      </c>
      <c r="E140" s="188">
        <v>-0.93455999999999995</v>
      </c>
      <c r="F140" s="188">
        <v>-0.93455999999999995</v>
      </c>
      <c r="G140" s="188">
        <v>-0.93455999999999995</v>
      </c>
    </row>
    <row r="141" spans="1:7">
      <c r="A141" s="2">
        <f>Plots!M141</f>
        <v>41682</v>
      </c>
      <c r="B141" s="188">
        <f>Plots!N141</f>
        <v>-0.12124800000000002</v>
      </c>
      <c r="C141" s="188">
        <f>Plots!O141</f>
        <v>0.86809103541333377</v>
      </c>
      <c r="D141" s="188">
        <f>Plots!P141</f>
        <v>60</v>
      </c>
      <c r="E141" s="188">
        <v>-0.12124800000000002</v>
      </c>
      <c r="F141" s="188">
        <v>-0.12124800000000002</v>
      </c>
      <c r="G141" s="188">
        <v>-0.12124800000000002</v>
      </c>
    </row>
    <row r="142" spans="1:7">
      <c r="A142" s="2">
        <f>Plots!M142</f>
        <v>41683</v>
      </c>
      <c r="B142" s="188">
        <f>Plots!N142</f>
        <v>0.30384</v>
      </c>
      <c r="C142" s="188">
        <f>Plots!O142</f>
        <v>0.84340679089701309</v>
      </c>
      <c r="D142" s="188">
        <f>Plots!P142</f>
        <v>61</v>
      </c>
      <c r="E142" s="188">
        <v>0.30384</v>
      </c>
      <c r="F142" s="188">
        <v>0.30384</v>
      </c>
      <c r="G142" s="188">
        <v>0.30384</v>
      </c>
    </row>
    <row r="143" spans="1:7">
      <c r="A143" s="2">
        <f>Plots!M143</f>
        <v>41684</v>
      </c>
      <c r="B143" s="188">
        <f>Plots!N143</f>
        <v>1.6992</v>
      </c>
      <c r="C143" s="188">
        <f>Plots!O143</f>
        <v>0.81532704526209576</v>
      </c>
      <c r="D143" s="188">
        <f>Plots!P143</f>
        <v>62</v>
      </c>
      <c r="E143" s="188">
        <v>1.6992</v>
      </c>
      <c r="F143" s="188">
        <v>1.6992</v>
      </c>
      <c r="G143" s="188">
        <v>1.6992</v>
      </c>
    </row>
    <row r="144" spans="1:7">
      <c r="A144" s="2">
        <f>Plots!M144</f>
        <v>41685</v>
      </c>
      <c r="B144" s="188">
        <f>Plots!N144</f>
        <v>-0.3024</v>
      </c>
      <c r="C144" s="188">
        <f>Plots!O144</f>
        <v>0.78949329895218723</v>
      </c>
      <c r="D144" s="188">
        <f>Plots!P144</f>
        <v>63</v>
      </c>
      <c r="E144" s="188">
        <v>-0.3024</v>
      </c>
      <c r="F144" s="188">
        <v>-0.3024</v>
      </c>
      <c r="G144" s="188">
        <v>-0.3024</v>
      </c>
    </row>
    <row r="145" spans="1:7">
      <c r="A145" s="2">
        <f>Plots!M145</f>
        <v>41686</v>
      </c>
      <c r="B145" s="188">
        <f>Plots!N145</f>
        <v>-0.26495999999999997</v>
      </c>
      <c r="C145" s="188">
        <f>Plots!O145</f>
        <v>0.76517836315581134</v>
      </c>
      <c r="D145" s="188">
        <f>Plots!P145</f>
        <v>64</v>
      </c>
      <c r="E145" s="188">
        <v>-0.26495999999999997</v>
      </c>
      <c r="F145" s="188">
        <v>-0.26495999999999997</v>
      </c>
      <c r="G145" s="188">
        <v>-0.26495999999999997</v>
      </c>
    </row>
    <row r="146" spans="1:7">
      <c r="A146" s="2">
        <f>Plots!M146</f>
        <v>41687</v>
      </c>
      <c r="B146" s="188">
        <f>Plots!N146</f>
        <v>0.71711999999999998</v>
      </c>
      <c r="C146" s="188">
        <f>Plots!O146</f>
        <v>0.74098941248656969</v>
      </c>
      <c r="D146" s="188">
        <f>Plots!P146</f>
        <v>65</v>
      </c>
      <c r="E146" s="188">
        <v>0.71711999999999998</v>
      </c>
      <c r="F146" s="188">
        <v>0.71711999999999998</v>
      </c>
      <c r="G146" s="188">
        <v>0.71711999999999998</v>
      </c>
    </row>
    <row r="147" spans="1:7">
      <c r="A147" s="2">
        <f>Plots!M147</f>
        <v>41688</v>
      </c>
      <c r="B147" s="188">
        <f>Plots!N147</f>
        <v>0.28223999999999999</v>
      </c>
      <c r="C147" s="188">
        <f>Plots!O147</f>
        <v>0.71552950432400797</v>
      </c>
      <c r="D147" s="188">
        <f>Plots!P147</f>
        <v>66</v>
      </c>
      <c r="E147" s="188">
        <v>0.28223999999999999</v>
      </c>
      <c r="F147" s="188">
        <v>0.28223999999999999</v>
      </c>
      <c r="G147" s="188">
        <v>0.28223999999999999</v>
      </c>
    </row>
    <row r="148" spans="1:7">
      <c r="A148" s="2">
        <f>Plots!M148</f>
        <v>41689</v>
      </c>
      <c r="B148" s="188">
        <f>Plots!N148</f>
        <v>-1.1664000000000001</v>
      </c>
      <c r="C148" s="188">
        <f>Plots!O148</f>
        <v>0.69674443542099906</v>
      </c>
      <c r="D148" s="188">
        <f>Plots!P148</f>
        <v>67</v>
      </c>
      <c r="E148" s="188">
        <v>-1.1664000000000001</v>
      </c>
      <c r="F148" s="188">
        <v>-1.1664000000000001</v>
      </c>
      <c r="G148" s="188">
        <v>-1.1664000000000001</v>
      </c>
    </row>
    <row r="149" spans="1:7">
      <c r="A149" s="2">
        <f>Plots!M149</f>
        <v>41690</v>
      </c>
      <c r="B149" s="188">
        <f>Plots!N149</f>
        <v>-6.6096000000000002E-2</v>
      </c>
      <c r="C149" s="188">
        <f>Plots!O149</f>
        <v>0.67210271125803045</v>
      </c>
      <c r="D149" s="188">
        <f>Plots!P149</f>
        <v>68</v>
      </c>
      <c r="E149" s="188">
        <v>-6.6096000000000002E-2</v>
      </c>
      <c r="F149" s="188">
        <v>-6.6096000000000002E-2</v>
      </c>
      <c r="G149" s="188">
        <v>-6.6096000000000002E-2</v>
      </c>
    </row>
    <row r="150" spans="1:7">
      <c r="A150" s="2">
        <f>Plots!M150</f>
        <v>41691</v>
      </c>
      <c r="B150" s="188">
        <f>Plots!N150</f>
        <v>-1.0728</v>
      </c>
      <c r="C150" s="188">
        <f>Plots!O150</f>
        <v>0.52862664481721344</v>
      </c>
      <c r="D150" s="188">
        <f>Plots!P150</f>
        <v>69</v>
      </c>
      <c r="E150" s="188">
        <v>-1.0728</v>
      </c>
      <c r="F150" s="188">
        <v>-1.0728</v>
      </c>
      <c r="G150" s="188">
        <v>-1.0728</v>
      </c>
    </row>
  </sheetData>
  <mergeCells count="3">
    <mergeCell ref="F2:F4"/>
    <mergeCell ref="E2:E4"/>
    <mergeCell ref="G2:G4"/>
  </mergeCells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71"/>
  <sheetViews>
    <sheetView topLeftCell="AX2" workbookViewId="0">
      <selection activeCell="BM56" sqref="BM56"/>
    </sheetView>
  </sheetViews>
  <sheetFormatPr baseColWidth="10" defaultRowHeight="16"/>
  <cols>
    <col min="11" max="12" width="2.85546875" style="232" customWidth="1"/>
    <col min="15" max="16" width="10.7109375" style="134"/>
    <col min="18" max="21" width="10.7109375" style="134"/>
  </cols>
  <sheetData>
    <row r="1" spans="1:58" ht="17" thickBot="1">
      <c r="A1" t="s">
        <v>98</v>
      </c>
      <c r="F1" t="s">
        <v>99</v>
      </c>
      <c r="M1" t="s">
        <v>99</v>
      </c>
      <c r="O1" s="13"/>
      <c r="V1" s="134"/>
    </row>
    <row r="2" spans="1:58" ht="17" thickBot="1">
      <c r="O2" s="13" t="s">
        <v>100</v>
      </c>
      <c r="R2" s="134" t="s">
        <v>113</v>
      </c>
      <c r="V2" s="134"/>
      <c r="X2" s="237" t="s">
        <v>101</v>
      </c>
      <c r="Y2" s="238"/>
      <c r="Z2" s="238"/>
      <c r="AA2" s="239"/>
      <c r="AC2" t="s">
        <v>34</v>
      </c>
      <c r="AE2" t="s">
        <v>104</v>
      </c>
      <c r="AF2" t="s">
        <v>105</v>
      </c>
      <c r="AW2" t="s">
        <v>107</v>
      </c>
      <c r="AY2">
        <v>89.010989010988993</v>
      </c>
      <c r="AZ2">
        <v>-10.989010989011</v>
      </c>
      <c r="BD2" t="s">
        <v>598</v>
      </c>
    </row>
    <row r="3" spans="1:58">
      <c r="A3" s="209">
        <v>41564</v>
      </c>
      <c r="B3" s="210"/>
      <c r="C3" s="210"/>
      <c r="D3" s="210"/>
      <c r="E3" s="210"/>
      <c r="F3" s="225">
        <v>41564</v>
      </c>
      <c r="G3" s="226">
        <v>-29.113842827575777</v>
      </c>
      <c r="H3" s="227">
        <v>-40.14732068659071</v>
      </c>
      <c r="I3" s="227">
        <v>-79.973350146190668</v>
      </c>
      <c r="J3" s="227">
        <v>-53.439130055378115</v>
      </c>
      <c r="M3" s="225">
        <v>41564</v>
      </c>
      <c r="N3" s="260">
        <v>41564</v>
      </c>
      <c r="O3" s="13">
        <v>3.001481022440164</v>
      </c>
      <c r="P3" s="235" t="s">
        <v>106</v>
      </c>
      <c r="Q3" s="260">
        <v>41564</v>
      </c>
      <c r="R3" s="70">
        <v>3.1793810224401646</v>
      </c>
      <c r="S3" s="235" t="s">
        <v>106</v>
      </c>
      <c r="T3" s="235"/>
      <c r="U3" s="235"/>
      <c r="V3" s="236"/>
      <c r="X3" s="240">
        <v>41564</v>
      </c>
      <c r="Y3" s="191"/>
      <c r="Z3" s="241">
        <v>3.001481022440164</v>
      </c>
      <c r="AA3" s="242">
        <v>0</v>
      </c>
      <c r="AC3" s="257">
        <v>3.09</v>
      </c>
      <c r="AD3" s="258">
        <v>3.39</v>
      </c>
      <c r="AE3" s="189">
        <f>AC3*0.6764+4*0.117-0.11+4*0.214</f>
        <v>3.3040759999999998</v>
      </c>
      <c r="AF3" s="189">
        <f>AC3*0.68-4*0.117-0.11-4*0.214</f>
        <v>0.6671999999999999</v>
      </c>
      <c r="AO3" t="s">
        <v>103</v>
      </c>
      <c r="AS3">
        <v>1</v>
      </c>
      <c r="AT3">
        <v>0.93650793650793696</v>
      </c>
    </row>
    <row r="4" spans="1:58">
      <c r="A4" s="211">
        <v>41565</v>
      </c>
      <c r="B4" s="212">
        <v>2.82</v>
      </c>
      <c r="C4" s="212">
        <v>-0.66</v>
      </c>
      <c r="D4" s="212">
        <v>2.62</v>
      </c>
      <c r="E4" s="212">
        <v>-0.33</v>
      </c>
      <c r="F4" s="228">
        <v>41565</v>
      </c>
      <c r="G4" s="226">
        <v>2.716601369125919</v>
      </c>
      <c r="H4" s="227">
        <v>-0.6615640898907964</v>
      </c>
      <c r="I4" s="227">
        <v>2.6177410127786906</v>
      </c>
      <c r="J4" s="227">
        <v>-0.33147637182707679</v>
      </c>
      <c r="M4" s="228">
        <v>41565</v>
      </c>
      <c r="N4" s="261">
        <v>41565</v>
      </c>
      <c r="O4" s="13">
        <v>3.0295143565567302</v>
      </c>
      <c r="P4" s="235" t="s">
        <v>106</v>
      </c>
      <c r="Q4" s="261">
        <v>41565</v>
      </c>
      <c r="R4" s="70">
        <v>3.2773143565567313</v>
      </c>
      <c r="S4" s="235" t="s">
        <v>106</v>
      </c>
      <c r="T4" s="235"/>
      <c r="U4" s="235"/>
      <c r="V4" s="236"/>
      <c r="X4" s="240">
        <v>41565</v>
      </c>
      <c r="Y4" s="191"/>
      <c r="Z4" s="241">
        <v>3.0295143565567302</v>
      </c>
      <c r="AA4" s="242">
        <v>0</v>
      </c>
      <c r="AC4" s="257">
        <v>3.04</v>
      </c>
      <c r="AD4" s="258">
        <v>2.17</v>
      </c>
      <c r="AE4" s="189">
        <f t="shared" ref="AE4:AE66" si="0">AC4*0.6764+4*0.117-0.11+4*0.214</f>
        <v>3.2702559999999998</v>
      </c>
      <c r="AF4" s="189">
        <f t="shared" ref="AF4:AF66" si="1">AC4*0.68-4*0.117-0.11-4*0.214</f>
        <v>0.6332000000000001</v>
      </c>
      <c r="AO4">
        <f t="array" ref="AO4:AP8">LINEST(AD3:AD61,AC3:AC61,TRUE,TRUE)</f>
        <v>0.67638210602726601</v>
      </c>
      <c r="AP4">
        <v>-0.11284505067370798</v>
      </c>
      <c r="AS4">
        <v>1</v>
      </c>
      <c r="AT4">
        <v>-6.3492063492063502E-2</v>
      </c>
      <c r="BD4" t="s">
        <v>107</v>
      </c>
    </row>
    <row r="5" spans="1:58">
      <c r="A5" s="211">
        <v>41566</v>
      </c>
      <c r="B5" s="212"/>
      <c r="C5" s="212"/>
      <c r="D5" s="212">
        <v>-0.56000000000000005</v>
      </c>
      <c r="E5" s="212"/>
      <c r="F5" s="228">
        <v>41566</v>
      </c>
      <c r="G5" s="226">
        <v>-6.9865281303983009</v>
      </c>
      <c r="H5" s="227">
        <v>-6.8159109733490268</v>
      </c>
      <c r="I5" s="227">
        <v>-0.56387212943336684</v>
      </c>
      <c r="J5" s="227">
        <v>12.550215143008876</v>
      </c>
      <c r="M5" s="228">
        <v>41566</v>
      </c>
      <c r="N5" s="261">
        <v>41566</v>
      </c>
      <c r="O5" s="13">
        <v>3.1842159959313361</v>
      </c>
      <c r="P5" s="235" t="s">
        <v>106</v>
      </c>
      <c r="Q5" s="261">
        <v>41566</v>
      </c>
      <c r="R5" s="70">
        <v>3.3345159959313371</v>
      </c>
      <c r="S5" s="235" t="s">
        <v>106</v>
      </c>
      <c r="T5" s="235"/>
      <c r="U5" s="235"/>
      <c r="V5" s="236"/>
      <c r="X5" s="240">
        <v>41567</v>
      </c>
      <c r="Y5" s="191"/>
      <c r="Z5" s="241">
        <v>3.1727063881024375</v>
      </c>
      <c r="AA5" s="242">
        <v>0</v>
      </c>
      <c r="AC5" s="257">
        <v>3</v>
      </c>
      <c r="AD5" s="258">
        <v>2.4700000000000002</v>
      </c>
      <c r="AE5" s="189">
        <f t="shared" si="0"/>
        <v>3.2431999999999999</v>
      </c>
      <c r="AF5" s="189">
        <f t="shared" si="1"/>
        <v>0.60599999999999998</v>
      </c>
      <c r="AO5">
        <v>0.11697813766529816</v>
      </c>
      <c r="AP5">
        <v>0.21420289468103551</v>
      </c>
      <c r="AR5" t="s">
        <v>107</v>
      </c>
      <c r="BD5" t="s">
        <v>34</v>
      </c>
      <c r="BE5">
        <v>87.912087912087898</v>
      </c>
      <c r="BF5">
        <v>-12.0879120879121</v>
      </c>
    </row>
    <row r="6" spans="1:58">
      <c r="A6" s="211">
        <v>41567</v>
      </c>
      <c r="B6" s="212">
        <v>0.01</v>
      </c>
      <c r="C6" s="212"/>
      <c r="D6" s="212"/>
      <c r="E6" s="212"/>
      <c r="F6" s="228">
        <v>41567</v>
      </c>
      <c r="G6" s="226">
        <v>0.21632796069424831</v>
      </c>
      <c r="H6" s="227">
        <v>-8.3333378152627002</v>
      </c>
      <c r="I6" s="227">
        <v>-58.238376605933176</v>
      </c>
      <c r="J6" s="227">
        <v>49.032408985437151</v>
      </c>
      <c r="M6" s="228">
        <v>41567</v>
      </c>
      <c r="N6" s="261">
        <v>41567</v>
      </c>
      <c r="O6" s="13">
        <v>3.1727063881024375</v>
      </c>
      <c r="P6" s="235" t="s">
        <v>106</v>
      </c>
      <c r="Q6" s="261">
        <v>41567</v>
      </c>
      <c r="R6" s="70">
        <v>3.4026063881024378</v>
      </c>
      <c r="S6" s="235" t="s">
        <v>106</v>
      </c>
      <c r="T6" s="235"/>
      <c r="U6" s="235"/>
      <c r="V6" s="236"/>
      <c r="X6" s="240">
        <v>41568</v>
      </c>
      <c r="Y6" s="191"/>
      <c r="Z6" s="241">
        <v>3.1319503382091853</v>
      </c>
      <c r="AA6" s="242">
        <v>0</v>
      </c>
      <c r="AC6" s="257">
        <v>2.96</v>
      </c>
      <c r="AD6" s="258">
        <v>2.3199999999999998</v>
      </c>
      <c r="AE6" s="189">
        <f t="shared" si="0"/>
        <v>3.2161439999999999</v>
      </c>
      <c r="AF6" s="189">
        <f t="shared" si="1"/>
        <v>0.57879999999999987</v>
      </c>
      <c r="AO6">
        <v>0.36969882722438752</v>
      </c>
      <c r="AP6">
        <v>0.6924079240988843</v>
      </c>
      <c r="AR6" t="s">
        <v>34</v>
      </c>
      <c r="AS6">
        <v>85.393258426966298</v>
      </c>
      <c r="AT6">
        <v>-14.6067415730337</v>
      </c>
      <c r="BD6" t="s">
        <v>35</v>
      </c>
      <c r="BE6">
        <v>86.813186813186803</v>
      </c>
      <c r="BF6">
        <v>-13.1868131868132</v>
      </c>
    </row>
    <row r="7" spans="1:58">
      <c r="A7" s="211">
        <v>41568</v>
      </c>
      <c r="B7" s="213"/>
      <c r="C7" s="213"/>
      <c r="D7" s="213"/>
      <c r="E7" s="213"/>
      <c r="F7" s="228">
        <v>41568</v>
      </c>
      <c r="G7" s="226">
        <v>3.466658489390702</v>
      </c>
      <c r="H7" s="227">
        <v>-0.63448691881859731</v>
      </c>
      <c r="I7" s="227">
        <v>5.5839163343111604</v>
      </c>
      <c r="J7" s="227">
        <v>-0.14392828975426342</v>
      </c>
      <c r="M7" s="228">
        <v>41568</v>
      </c>
      <c r="N7" s="261">
        <v>41568</v>
      </c>
      <c r="O7" s="13">
        <v>3.1319503382091853</v>
      </c>
      <c r="P7" s="235" t="s">
        <v>106</v>
      </c>
      <c r="Q7" s="261">
        <v>41568</v>
      </c>
      <c r="R7" s="70">
        <v>3.4228503382091855</v>
      </c>
      <c r="S7" s="235" t="s">
        <v>106</v>
      </c>
      <c r="T7" s="235"/>
      <c r="U7" s="235"/>
      <c r="V7" s="236"/>
      <c r="X7" s="243">
        <v>41571</v>
      </c>
      <c r="Y7" s="244"/>
      <c r="Z7" s="245">
        <v>2.9996337677375871</v>
      </c>
      <c r="AA7" s="246">
        <v>0</v>
      </c>
      <c r="AC7" s="257">
        <v>2.92</v>
      </c>
      <c r="AD7" s="258">
        <v>2.5499999999999998</v>
      </c>
      <c r="AE7" s="189">
        <f t="shared" si="0"/>
        <v>3.1890879999999999</v>
      </c>
      <c r="AF7" s="189">
        <f t="shared" si="1"/>
        <v>0.55159999999999998</v>
      </c>
      <c r="AO7">
        <v>33.432958817120955</v>
      </c>
      <c r="AP7">
        <v>57</v>
      </c>
      <c r="AR7" t="s">
        <v>35</v>
      </c>
      <c r="AS7">
        <v>84.090909090909093</v>
      </c>
      <c r="AT7">
        <v>-15.909090909090899</v>
      </c>
      <c r="BD7" t="s">
        <v>43</v>
      </c>
      <c r="BE7">
        <v>89.010989010988993</v>
      </c>
      <c r="BF7">
        <v>-10.989010989011</v>
      </c>
    </row>
    <row r="8" spans="1:58">
      <c r="A8" s="211">
        <v>41569</v>
      </c>
      <c r="B8" s="213"/>
      <c r="C8" s="213"/>
      <c r="D8" s="213"/>
      <c r="E8" s="213"/>
      <c r="F8" s="211">
        <v>41569</v>
      </c>
      <c r="G8" s="51">
        <v>3.3920863402552461</v>
      </c>
      <c r="H8">
        <v>1.0394279105713664</v>
      </c>
      <c r="I8">
        <v>5.0937353449505034</v>
      </c>
      <c r="J8">
        <v>1.8891291210258447</v>
      </c>
      <c r="M8" s="211">
        <v>41569</v>
      </c>
      <c r="N8" s="262">
        <v>41569</v>
      </c>
      <c r="O8" s="13">
        <v>3.0868947052086626</v>
      </c>
      <c r="P8" s="235">
        <f t="shared" ref="P8:P16" si="2">G8</f>
        <v>3.3920863402552461</v>
      </c>
      <c r="Q8" s="262">
        <v>41569</v>
      </c>
      <c r="R8" s="70">
        <v>3.4088947052086631</v>
      </c>
      <c r="S8" s="235">
        <f t="shared" ref="S8:U12" si="3">H8</f>
        <v>1.0394279105713664</v>
      </c>
      <c r="T8" s="235">
        <f t="shared" si="3"/>
        <v>5.0937353449505034</v>
      </c>
      <c r="U8" s="235">
        <f t="shared" si="3"/>
        <v>1.8891291210258447</v>
      </c>
      <c r="V8" s="236"/>
      <c r="X8" s="243">
        <v>41572</v>
      </c>
      <c r="Y8" s="244"/>
      <c r="Z8" s="245">
        <v>2.9609229280280371</v>
      </c>
      <c r="AA8" s="246">
        <v>0</v>
      </c>
      <c r="AC8" s="257">
        <v>2.88</v>
      </c>
      <c r="AD8" s="258">
        <v>0.83199999999999996</v>
      </c>
      <c r="AE8" s="189">
        <f t="shared" si="0"/>
        <v>3.162032</v>
      </c>
      <c r="AF8" s="189">
        <f t="shared" si="1"/>
        <v>0.52440000000000009</v>
      </c>
      <c r="AO8">
        <v>16.028721097999714</v>
      </c>
      <c r="AP8">
        <v>27.327437801230801</v>
      </c>
      <c r="AR8" t="s">
        <v>43</v>
      </c>
      <c r="AS8">
        <v>86.516853932584297</v>
      </c>
      <c r="AT8">
        <v>-13.483146067415699</v>
      </c>
      <c r="BD8" t="s">
        <v>63</v>
      </c>
      <c r="BE8">
        <v>50.549450549450597</v>
      </c>
      <c r="BF8">
        <v>-49.450549450549502</v>
      </c>
    </row>
    <row r="9" spans="1:58">
      <c r="A9" s="211">
        <v>41570</v>
      </c>
      <c r="B9" s="212">
        <v>2.27</v>
      </c>
      <c r="C9" s="212">
        <v>1.1599999999999999</v>
      </c>
      <c r="D9" s="212">
        <v>4.1900000000000004</v>
      </c>
      <c r="E9" s="212">
        <v>-0.81</v>
      </c>
      <c r="F9" s="211">
        <v>41570</v>
      </c>
      <c r="G9" s="51">
        <v>2.1658642810269448</v>
      </c>
      <c r="H9">
        <v>1.1592289323187195</v>
      </c>
      <c r="I9">
        <v>4.1857935013886101</v>
      </c>
      <c r="J9">
        <v>-0.81316758730067096</v>
      </c>
      <c r="M9" s="211">
        <v>41570</v>
      </c>
      <c r="N9" s="262">
        <v>41570</v>
      </c>
      <c r="O9" s="13">
        <v>3.0421924557679625</v>
      </c>
      <c r="P9" s="235">
        <f t="shared" si="2"/>
        <v>2.1658642810269448</v>
      </c>
      <c r="Q9" s="262">
        <v>41570</v>
      </c>
      <c r="R9" s="70">
        <v>3.3914924557679615</v>
      </c>
      <c r="S9" s="235">
        <f t="shared" si="3"/>
        <v>1.1592289323187195</v>
      </c>
      <c r="T9" s="235">
        <f t="shared" si="3"/>
        <v>4.1857935013886101</v>
      </c>
      <c r="U9" s="235">
        <f t="shared" si="3"/>
        <v>-0.81316758730067096</v>
      </c>
      <c r="V9" s="236"/>
      <c r="X9" s="243">
        <v>41573</v>
      </c>
      <c r="Y9" s="244"/>
      <c r="Z9" s="245">
        <v>2.9154341775812385</v>
      </c>
      <c r="AA9" s="246">
        <v>0</v>
      </c>
      <c r="AC9" s="257">
        <v>2.84</v>
      </c>
      <c r="AD9" s="258">
        <v>2.46</v>
      </c>
      <c r="AE9" s="189">
        <f t="shared" si="0"/>
        <v>3.134976</v>
      </c>
      <c r="AF9" s="189">
        <f t="shared" si="1"/>
        <v>0.49719999999999998</v>
      </c>
      <c r="AR9" t="s">
        <v>63</v>
      </c>
      <c r="AS9">
        <v>57.303370786516901</v>
      </c>
      <c r="AT9">
        <v>-42.696629213483099</v>
      </c>
    </row>
    <row r="10" spans="1:58">
      <c r="A10" s="211">
        <v>41571</v>
      </c>
      <c r="B10" s="212">
        <v>2.57</v>
      </c>
      <c r="C10" s="212">
        <v>1.44</v>
      </c>
      <c r="D10" s="212">
        <v>5.54</v>
      </c>
      <c r="E10" s="214">
        <v>5.8000000000000003E-2</v>
      </c>
      <c r="F10" s="229">
        <v>41571</v>
      </c>
      <c r="G10" s="230">
        <v>2.4658880369421148</v>
      </c>
      <c r="H10" s="231">
        <v>1.4383277025029755</v>
      </c>
      <c r="I10" s="231">
        <v>5.5388270426736348</v>
      </c>
      <c r="J10" s="231">
        <v>5.7906656274811161E-2</v>
      </c>
      <c r="K10" s="233"/>
      <c r="L10" s="233"/>
      <c r="M10" s="229">
        <v>41571</v>
      </c>
      <c r="N10" s="263">
        <v>41571</v>
      </c>
      <c r="O10" s="13">
        <v>2.9996337677375871</v>
      </c>
      <c r="P10" s="235">
        <f t="shared" si="2"/>
        <v>2.4658880369421148</v>
      </c>
      <c r="Q10" s="263">
        <v>41571</v>
      </c>
      <c r="R10" s="70">
        <v>3.371833767737586</v>
      </c>
      <c r="S10" s="235">
        <f t="shared" si="3"/>
        <v>1.4383277025029755</v>
      </c>
      <c r="T10" s="235">
        <f t="shared" si="3"/>
        <v>5.5388270426736348</v>
      </c>
      <c r="U10" s="235">
        <f t="shared" si="3"/>
        <v>5.7906656274811161E-2</v>
      </c>
      <c r="V10" s="236"/>
      <c r="X10" s="247">
        <v>41580</v>
      </c>
      <c r="Y10" s="191">
        <v>1.2391627813077115</v>
      </c>
      <c r="Z10" s="241">
        <v>2.6588710094669961</v>
      </c>
      <c r="AA10" s="242">
        <v>0</v>
      </c>
      <c r="AC10" s="257">
        <v>2.8</v>
      </c>
      <c r="AD10" s="258">
        <v>0.83</v>
      </c>
      <c r="AE10" s="189">
        <f t="shared" si="0"/>
        <v>3.10792</v>
      </c>
      <c r="AF10" s="189">
        <f t="shared" si="1"/>
        <v>0.46999999999999986</v>
      </c>
      <c r="BD10" t="s">
        <v>108</v>
      </c>
    </row>
    <row r="11" spans="1:58">
      <c r="A11" s="211">
        <v>41572</v>
      </c>
      <c r="B11" s="215"/>
      <c r="C11" s="215"/>
      <c r="D11" s="215"/>
      <c r="E11" s="215"/>
      <c r="F11" s="229">
        <v>41572</v>
      </c>
      <c r="G11" s="230">
        <v>2.3188057761894143</v>
      </c>
      <c r="H11" s="231">
        <v>1.7180797601324966</v>
      </c>
      <c r="I11" s="231">
        <v>4.3432434144931031</v>
      </c>
      <c r="J11" s="231">
        <v>-0.79545390828986051</v>
      </c>
      <c r="K11" s="233"/>
      <c r="L11" s="233"/>
      <c r="M11" s="229">
        <v>41572</v>
      </c>
      <c r="N11" s="263">
        <v>41572</v>
      </c>
      <c r="O11" s="13">
        <v>2.9609229280280371</v>
      </c>
      <c r="P11" s="235">
        <f t="shared" si="2"/>
        <v>2.3188057761894143</v>
      </c>
      <c r="Q11" s="263">
        <v>41572</v>
      </c>
      <c r="R11" s="70">
        <v>3.3511229280280386</v>
      </c>
      <c r="S11" s="235">
        <f t="shared" si="3"/>
        <v>1.7180797601324966</v>
      </c>
      <c r="T11" s="235">
        <f t="shared" si="3"/>
        <v>4.3432434144931031</v>
      </c>
      <c r="U11" s="235">
        <f t="shared" si="3"/>
        <v>-0.79545390828986051</v>
      </c>
      <c r="V11" s="236"/>
      <c r="X11" s="247">
        <v>41582</v>
      </c>
      <c r="Y11" s="191">
        <v>1.3690966106416618</v>
      </c>
      <c r="Z11" s="241">
        <v>2.5902771477230098</v>
      </c>
      <c r="AA11" s="242">
        <v>0</v>
      </c>
      <c r="AC11" s="257">
        <v>2.76</v>
      </c>
      <c r="AD11" s="258">
        <v>7.7799999999999996E-3</v>
      </c>
      <c r="AE11" s="189">
        <f t="shared" si="0"/>
        <v>3.080864</v>
      </c>
      <c r="AF11" s="189">
        <f t="shared" si="1"/>
        <v>0.44279999999999997</v>
      </c>
      <c r="AR11" t="s">
        <v>108</v>
      </c>
      <c r="BD11" t="s">
        <v>34</v>
      </c>
      <c r="BE11">
        <v>1.913177927175</v>
      </c>
      <c r="BF11">
        <v>-6.5866477868181796</v>
      </c>
    </row>
    <row r="12" spans="1:58">
      <c r="A12" s="211">
        <v>41573</v>
      </c>
      <c r="B12" s="212">
        <v>2.65</v>
      </c>
      <c r="C12" s="212">
        <v>2.37</v>
      </c>
      <c r="D12" s="212">
        <v>5.03</v>
      </c>
      <c r="E12" s="216">
        <v>0.24</v>
      </c>
      <c r="F12" s="229">
        <v>41573</v>
      </c>
      <c r="G12" s="230">
        <v>2.5485912338155376</v>
      </c>
      <c r="H12" s="231">
        <v>2.372024507120182</v>
      </c>
      <c r="I12" s="231">
        <v>5.0342961067394389</v>
      </c>
      <c r="J12" s="231">
        <v>0.23953170807214652</v>
      </c>
      <c r="K12" s="233"/>
      <c r="L12" s="233"/>
      <c r="M12" s="229">
        <v>41573</v>
      </c>
      <c r="N12" s="263">
        <v>41573</v>
      </c>
      <c r="O12" s="13">
        <v>2.9154341775812385</v>
      </c>
      <c r="P12" s="235">
        <f t="shared" si="2"/>
        <v>2.5485912338155376</v>
      </c>
      <c r="Q12" s="263">
        <v>41573</v>
      </c>
      <c r="R12" s="70">
        <v>3.3322341775812401</v>
      </c>
      <c r="S12" s="235">
        <f t="shared" si="3"/>
        <v>2.372024507120182</v>
      </c>
      <c r="T12" s="235">
        <f t="shared" si="3"/>
        <v>5.0342961067394389</v>
      </c>
      <c r="U12" s="235">
        <f t="shared" si="3"/>
        <v>0.23953170807214652</v>
      </c>
      <c r="V12" s="236"/>
      <c r="X12" s="247">
        <v>41583</v>
      </c>
      <c r="Y12" s="191">
        <v>0.23723239823112835</v>
      </c>
      <c r="Z12" s="241">
        <v>2.6102194843017643</v>
      </c>
      <c r="AA12" s="242">
        <v>0</v>
      </c>
      <c r="AC12" s="259">
        <v>2.565853019</v>
      </c>
      <c r="AD12" s="258">
        <v>0.252</v>
      </c>
      <c r="AE12" s="189">
        <f t="shared" si="0"/>
        <v>2.9495429820516001</v>
      </c>
      <c r="AF12" s="189">
        <f t="shared" si="1"/>
        <v>0.3107800529200001</v>
      </c>
      <c r="AR12" t="s">
        <v>34</v>
      </c>
      <c r="AS12">
        <v>1.1764473684210499</v>
      </c>
      <c r="AT12">
        <v>-1.32230769230769</v>
      </c>
      <c r="BD12" t="s">
        <v>35</v>
      </c>
      <c r="BE12">
        <v>1.8729893646125</v>
      </c>
      <c r="BF12">
        <v>-6.59458879109091</v>
      </c>
    </row>
    <row r="13" spans="1:58">
      <c r="A13" s="211">
        <v>41574</v>
      </c>
      <c r="B13" s="212">
        <v>0.93</v>
      </c>
      <c r="C13" s="212">
        <v>0.54</v>
      </c>
      <c r="D13" s="212">
        <v>3.93</v>
      </c>
      <c r="E13" s="216">
        <v>0.11</v>
      </c>
      <c r="F13" s="211">
        <v>41574</v>
      </c>
      <c r="G13" s="51">
        <v>0.83246256511395056</v>
      </c>
      <c r="H13">
        <v>0.54089600162749185</v>
      </c>
      <c r="I13">
        <v>-5.7800455448740902</v>
      </c>
      <c r="J13">
        <v>0.10653296367176025</v>
      </c>
      <c r="M13" s="211">
        <v>41574</v>
      </c>
      <c r="N13" s="262">
        <v>41574</v>
      </c>
      <c r="O13" s="13">
        <v>2.8776409376518033</v>
      </c>
      <c r="P13" s="235">
        <f t="shared" si="2"/>
        <v>0.83246256511395056</v>
      </c>
      <c r="Q13" s="262">
        <v>41574</v>
      </c>
      <c r="R13" s="70">
        <v>3.3132409376518037</v>
      </c>
      <c r="S13" s="235">
        <f>H13</f>
        <v>0.54089600162749185</v>
      </c>
      <c r="T13" s="234"/>
      <c r="U13" s="235">
        <f>J13</f>
        <v>0.10653296367176025</v>
      </c>
      <c r="V13" s="236"/>
      <c r="X13" s="247">
        <v>41584</v>
      </c>
      <c r="Y13" s="191">
        <v>-9.0125096165409244E-2</v>
      </c>
      <c r="Z13" s="241">
        <v>2.6013288895585291</v>
      </c>
      <c r="AA13" s="242">
        <v>0</v>
      </c>
      <c r="AC13" s="259">
        <v>2.5319487199999999</v>
      </c>
      <c r="AD13" s="258">
        <v>1.05</v>
      </c>
      <c r="AE13" s="189">
        <f t="shared" si="0"/>
        <v>2.9266101142080001</v>
      </c>
      <c r="AF13" s="189">
        <f t="shared" si="1"/>
        <v>0.28772512959999996</v>
      </c>
      <c r="AR13" t="s">
        <v>35</v>
      </c>
      <c r="AS13">
        <v>1.7310810810810799</v>
      </c>
      <c r="AT13">
        <v>-0.63500000000000001</v>
      </c>
      <c r="BD13" t="s">
        <v>43</v>
      </c>
      <c r="BE13">
        <v>2.41848923986747</v>
      </c>
      <c r="BF13">
        <v>-11.179705476624999</v>
      </c>
    </row>
    <row r="14" spans="1:58">
      <c r="A14" s="211">
        <v>41575</v>
      </c>
      <c r="B14" s="212">
        <v>2.56</v>
      </c>
      <c r="C14" s="212">
        <v>0.55000000000000004</v>
      </c>
      <c r="D14" s="212">
        <v>3.41</v>
      </c>
      <c r="E14" s="216">
        <v>-0.18</v>
      </c>
      <c r="F14" s="211">
        <v>41575</v>
      </c>
      <c r="G14" s="51">
        <v>2.4574444869481429</v>
      </c>
      <c r="H14">
        <v>0.55405076621011184</v>
      </c>
      <c r="I14">
        <v>3.4074644537712251</v>
      </c>
      <c r="J14">
        <v>-0.18437699289918197</v>
      </c>
      <c r="M14" s="211">
        <v>41575</v>
      </c>
      <c r="N14" s="262">
        <v>41575</v>
      </c>
      <c r="O14" s="13">
        <v>2.8401098576753268</v>
      </c>
      <c r="P14" s="235">
        <f t="shared" si="2"/>
        <v>2.4574444869481429</v>
      </c>
      <c r="Q14" s="262">
        <v>41575</v>
      </c>
      <c r="R14" s="70">
        <v>3.292209857675326</v>
      </c>
      <c r="S14" s="235">
        <f>H14</f>
        <v>0.55405076621011184</v>
      </c>
      <c r="T14" s="235">
        <f>I14</f>
        <v>3.4074644537712251</v>
      </c>
      <c r="U14" s="235">
        <f>J14</f>
        <v>-0.18437699289918197</v>
      </c>
      <c r="V14" s="236"/>
      <c r="X14" s="247">
        <v>41594</v>
      </c>
      <c r="Y14" s="191">
        <v>1.6406077059297679</v>
      </c>
      <c r="Z14" s="241">
        <v>2.2373266236699831</v>
      </c>
      <c r="AA14" s="242">
        <v>0</v>
      </c>
      <c r="AC14" s="259">
        <v>2.499395341</v>
      </c>
      <c r="AD14" s="258">
        <v>1.26</v>
      </c>
      <c r="AE14" s="189">
        <f t="shared" si="0"/>
        <v>2.9045910086524001</v>
      </c>
      <c r="AF14" s="189">
        <f t="shared" si="1"/>
        <v>0.26558883188000004</v>
      </c>
      <c r="AR14" t="s">
        <v>43</v>
      </c>
      <c r="AS14">
        <v>2.0353246753246799</v>
      </c>
      <c r="AT14">
        <v>-0.76083333333333303</v>
      </c>
      <c r="BD14" t="s">
        <v>63</v>
      </c>
      <c r="BE14">
        <v>2.2740672121521701</v>
      </c>
      <c r="BF14">
        <v>-2.2194976463777798</v>
      </c>
    </row>
    <row r="15" spans="1:58">
      <c r="A15" s="211">
        <v>41576</v>
      </c>
      <c r="B15" s="212">
        <v>0.93</v>
      </c>
      <c r="C15" s="212">
        <v>0.88</v>
      </c>
      <c r="D15" s="212">
        <v>3.16</v>
      </c>
      <c r="E15" s="216">
        <v>-0.47</v>
      </c>
      <c r="F15" s="211">
        <v>41576</v>
      </c>
      <c r="G15" s="51">
        <v>0.82967068513196685</v>
      </c>
      <c r="H15">
        <v>0.88096372110154575</v>
      </c>
      <c r="I15">
        <v>3.1631793989667374</v>
      </c>
      <c r="J15">
        <v>-0.47444989878023047</v>
      </c>
      <c r="M15" s="211">
        <v>41576</v>
      </c>
      <c r="N15" s="262">
        <v>41576</v>
      </c>
      <c r="O15" s="13">
        <v>2.7989624191981517</v>
      </c>
      <c r="P15" s="235">
        <f t="shared" si="2"/>
        <v>0.82967068513196685</v>
      </c>
      <c r="Q15" s="262">
        <v>41576</v>
      </c>
      <c r="R15" s="70">
        <v>3.2727624191981519</v>
      </c>
      <c r="S15" s="235">
        <f>H15</f>
        <v>0.88096372110154575</v>
      </c>
      <c r="T15" s="235">
        <f>I15</f>
        <v>3.1631793989667374</v>
      </c>
      <c r="U15" s="235">
        <f>J15</f>
        <v>-0.47444989878023047</v>
      </c>
      <c r="V15" s="236"/>
      <c r="X15" s="243">
        <v>41596</v>
      </c>
      <c r="Y15" s="244">
        <v>1.3412505342622234</v>
      </c>
      <c r="Z15" s="245">
        <v>2.2556730516361818</v>
      </c>
      <c r="AA15" s="246">
        <v>0</v>
      </c>
      <c r="AC15" s="259">
        <v>2.463218446</v>
      </c>
      <c r="AD15" s="258">
        <v>1.48</v>
      </c>
      <c r="AE15" s="189">
        <f t="shared" si="0"/>
        <v>2.8801209568744</v>
      </c>
      <c r="AF15" s="189">
        <f t="shared" si="1"/>
        <v>0.24098854327999997</v>
      </c>
      <c r="AR15" t="s">
        <v>63</v>
      </c>
      <c r="AS15">
        <v>1.3078431372549</v>
      </c>
      <c r="AT15">
        <v>-1.0347368421052601</v>
      </c>
    </row>
    <row r="16" spans="1:58">
      <c r="A16" s="211">
        <v>41577</v>
      </c>
      <c r="B16" s="217">
        <v>0.106</v>
      </c>
      <c r="C16" s="217">
        <v>0.58899999999999997</v>
      </c>
      <c r="D16" s="217">
        <v>2.46</v>
      </c>
      <c r="E16" s="218">
        <v>-1.37</v>
      </c>
      <c r="F16" s="211">
        <v>41577</v>
      </c>
      <c r="G16" s="51">
        <v>7.777790457327155E-3</v>
      </c>
      <c r="H16">
        <v>0.58902411285490686</v>
      </c>
      <c r="I16">
        <v>3.7827943980309602</v>
      </c>
      <c r="J16">
        <v>-1.3680144254648863</v>
      </c>
      <c r="M16" s="211">
        <v>41577</v>
      </c>
      <c r="N16" s="262">
        <v>41577</v>
      </c>
      <c r="O16" s="13">
        <v>2.7607329762465871</v>
      </c>
      <c r="P16" s="235">
        <f t="shared" si="2"/>
        <v>7.777790457327155E-3</v>
      </c>
      <c r="Q16" s="262">
        <v>41577</v>
      </c>
      <c r="R16" s="70">
        <v>3.2534329762465877</v>
      </c>
      <c r="S16" s="235">
        <f>H16</f>
        <v>0.58902411285490686</v>
      </c>
      <c r="T16" s="235">
        <f>I16</f>
        <v>3.7827943980309602</v>
      </c>
      <c r="U16" s="235">
        <f>J16</f>
        <v>-1.3680144254648863</v>
      </c>
      <c r="V16" s="236"/>
      <c r="X16" s="243">
        <v>41597</v>
      </c>
      <c r="Y16" s="244">
        <v>1.4975622033645566</v>
      </c>
      <c r="Z16" s="245">
        <v>2.2130814440322788</v>
      </c>
      <c r="AA16" s="246">
        <v>0</v>
      </c>
      <c r="AC16" s="259">
        <v>2.4248004519999999</v>
      </c>
      <c r="AD16" s="258">
        <v>0.997</v>
      </c>
      <c r="AE16" s="189">
        <f t="shared" si="0"/>
        <v>2.8541350257328002</v>
      </c>
      <c r="AF16" s="189">
        <f t="shared" si="1"/>
        <v>0.21486430735999995</v>
      </c>
      <c r="BD16" t="s">
        <v>110</v>
      </c>
    </row>
    <row r="17" spans="1:59">
      <c r="A17" s="211">
        <v>41578</v>
      </c>
      <c r="B17" s="219">
        <v>0.50800000000000001</v>
      </c>
      <c r="C17" s="217">
        <v>0.91100000000000003</v>
      </c>
      <c r="D17" s="217">
        <v>3.78</v>
      </c>
      <c r="E17" s="218">
        <v>-0.56200000000000006</v>
      </c>
      <c r="F17" s="228">
        <v>41578</v>
      </c>
      <c r="G17" s="226">
        <v>0.41022454911389916</v>
      </c>
      <c r="H17" s="227">
        <v>0.911208677765174</v>
      </c>
      <c r="I17" s="227">
        <v>3.7836626571571248</v>
      </c>
      <c r="J17" s="227">
        <v>-1.0369758377861031</v>
      </c>
      <c r="M17" s="228">
        <v>41578</v>
      </c>
      <c r="N17" s="261">
        <v>41578</v>
      </c>
      <c r="O17" s="13">
        <v>2.7228466778126248</v>
      </c>
      <c r="P17" s="235" t="s">
        <v>106</v>
      </c>
      <c r="Q17" s="261">
        <v>41578</v>
      </c>
      <c r="R17" s="70">
        <v>3.2334466778126245</v>
      </c>
      <c r="S17" s="235" t="s">
        <v>106</v>
      </c>
      <c r="T17" s="235"/>
      <c r="U17" s="235"/>
      <c r="V17" s="236"/>
      <c r="X17" s="243">
        <v>41602</v>
      </c>
      <c r="Y17" s="244">
        <v>1.8517498878099174</v>
      </c>
      <c r="Z17" s="245">
        <v>1.9673231540970932</v>
      </c>
      <c r="AA17" s="246">
        <v>0</v>
      </c>
      <c r="AC17" s="259">
        <v>2.387816194</v>
      </c>
      <c r="AD17" s="258">
        <v>1.06</v>
      </c>
      <c r="AE17" s="189">
        <f t="shared" si="0"/>
        <v>2.8291188736216002</v>
      </c>
      <c r="AF17" s="189">
        <f t="shared" si="1"/>
        <v>0.18971501192000007</v>
      </c>
      <c r="AR17" t="s">
        <v>110</v>
      </c>
    </row>
    <row r="18" spans="1:59">
      <c r="A18" s="211">
        <v>41579</v>
      </c>
      <c r="B18" s="219">
        <v>0.28699999999999998</v>
      </c>
      <c r="C18" s="218">
        <v>0.57299999999999995</v>
      </c>
      <c r="D18" s="217">
        <v>4.72</v>
      </c>
      <c r="E18" s="218">
        <v>-1.42</v>
      </c>
      <c r="F18" s="228">
        <v>41579</v>
      </c>
      <c r="G18" s="226">
        <v>0.18976332453145039</v>
      </c>
      <c r="H18" s="227">
        <v>0.57275372908752198</v>
      </c>
      <c r="I18" s="227">
        <v>4.7209456837530226</v>
      </c>
      <c r="J18" s="227">
        <v>-1.4684863639916124</v>
      </c>
      <c r="M18" s="228">
        <v>41579</v>
      </c>
      <c r="N18" s="261">
        <v>41579</v>
      </c>
      <c r="O18" s="13">
        <v>2.6960524038752909</v>
      </c>
      <c r="P18" s="235" t="s">
        <v>106</v>
      </c>
      <c r="Q18" s="261">
        <v>41579</v>
      </c>
      <c r="R18" s="70">
        <v>3.2137524038752918</v>
      </c>
      <c r="S18" s="235" t="s">
        <v>106</v>
      </c>
      <c r="T18" s="235"/>
      <c r="U18" s="235"/>
      <c r="V18" s="236"/>
      <c r="X18" s="247">
        <v>41609</v>
      </c>
      <c r="Y18" s="191">
        <v>-0.50943277788117691</v>
      </c>
      <c r="Z18" s="241">
        <v>1.6719742858665225</v>
      </c>
      <c r="AA18" s="242">
        <v>0</v>
      </c>
      <c r="AC18" s="259">
        <v>2.3232748910000001</v>
      </c>
      <c r="AD18" s="258">
        <v>1.21</v>
      </c>
      <c r="AE18" s="189">
        <f t="shared" si="0"/>
        <v>2.7854631362724001</v>
      </c>
      <c r="AF18" s="189">
        <f t="shared" si="1"/>
        <v>0.14582692588000012</v>
      </c>
      <c r="BD18" t="s">
        <v>34</v>
      </c>
      <c r="BE18">
        <v>0.43020000000000003</v>
      </c>
      <c r="BF18">
        <f>1/BE18</f>
        <v>2.3245002324500232</v>
      </c>
    </row>
    <row r="19" spans="1:59">
      <c r="A19" s="211">
        <v>41580</v>
      </c>
      <c r="B19" s="213"/>
      <c r="C19" s="213"/>
      <c r="D19" s="213"/>
      <c r="E19" s="213"/>
      <c r="F19" s="228">
        <v>41580</v>
      </c>
      <c r="G19" s="226">
        <v>1.3991659247795396</v>
      </c>
      <c r="H19" s="227">
        <v>0.5570731036384573</v>
      </c>
      <c r="I19" s="227">
        <v>2.4041579503754762</v>
      </c>
      <c r="J19" s="227">
        <v>-1.0351261824847269</v>
      </c>
      <c r="M19" s="228">
        <v>41580</v>
      </c>
      <c r="N19" s="261">
        <v>41580</v>
      </c>
      <c r="O19" s="13">
        <v>2.6588710094669961</v>
      </c>
      <c r="P19" s="235" t="s">
        <v>106</v>
      </c>
      <c r="Q19" s="261">
        <v>41580</v>
      </c>
      <c r="R19" s="70">
        <v>3.1945710094669977</v>
      </c>
      <c r="S19" s="235" t="s">
        <v>106</v>
      </c>
      <c r="T19" s="235"/>
      <c r="U19" s="235"/>
      <c r="V19" s="236"/>
      <c r="X19" s="247">
        <v>41610</v>
      </c>
      <c r="Y19" s="191"/>
      <c r="Z19" s="241">
        <v>1.638650769200066</v>
      </c>
      <c r="AA19" s="242">
        <v>0</v>
      </c>
      <c r="AC19" s="259">
        <v>2.2819939109999998</v>
      </c>
      <c r="AD19" s="258">
        <v>1.59</v>
      </c>
      <c r="AE19" s="189">
        <f t="shared" si="0"/>
        <v>2.7575406814003998</v>
      </c>
      <c r="AF19" s="189">
        <f t="shared" si="1"/>
        <v>0.11775585948000011</v>
      </c>
      <c r="AR19" t="s">
        <v>34</v>
      </c>
      <c r="AS19">
        <v>0.19059999999999999</v>
      </c>
      <c r="AT19">
        <f>1/AS19</f>
        <v>5.2465897166841557</v>
      </c>
      <c r="BD19" t="s">
        <v>35</v>
      </c>
      <c r="BE19">
        <v>0.564485428387965</v>
      </c>
      <c r="BF19">
        <v>-12.267620965000001</v>
      </c>
    </row>
    <row r="20" spans="1:59">
      <c r="A20" s="211">
        <v>41581</v>
      </c>
      <c r="B20" s="218">
        <v>1.49</v>
      </c>
      <c r="C20" s="218">
        <v>1.7</v>
      </c>
      <c r="D20" s="218">
        <v>2.82</v>
      </c>
      <c r="E20" s="218">
        <v>-0.58699999999999997</v>
      </c>
      <c r="F20" s="228">
        <v>41581</v>
      </c>
      <c r="G20" s="226">
        <v>1.3982649265098575</v>
      </c>
      <c r="H20" s="227">
        <v>1.6999130614841298</v>
      </c>
      <c r="I20" s="227">
        <v>2.8229936699320426</v>
      </c>
      <c r="J20" s="227">
        <v>-1.0332019764012534</v>
      </c>
      <c r="M20" s="228">
        <v>41581</v>
      </c>
      <c r="N20" s="261">
        <v>41581</v>
      </c>
      <c r="O20" s="13">
        <v>2.6246802121516297</v>
      </c>
      <c r="P20" s="235" t="s">
        <v>106</v>
      </c>
      <c r="Q20" s="261">
        <v>41581</v>
      </c>
      <c r="R20" s="70">
        <v>3.1776802121516301</v>
      </c>
      <c r="S20" s="235" t="s">
        <v>106</v>
      </c>
      <c r="T20" s="235"/>
      <c r="U20" s="235"/>
      <c r="V20" s="236"/>
      <c r="X20" s="247">
        <v>41611</v>
      </c>
      <c r="Y20" s="191">
        <v>0.65296018157465396</v>
      </c>
      <c r="Z20" s="241">
        <v>1.6298924910133441</v>
      </c>
      <c r="AA20" s="242">
        <v>0</v>
      </c>
      <c r="AC20" s="259">
        <v>2.16864013</v>
      </c>
      <c r="AD20" s="258">
        <v>1.85</v>
      </c>
      <c r="AE20" s="189">
        <f t="shared" si="0"/>
        <v>2.6808681839319997</v>
      </c>
      <c r="AF20" s="189">
        <f t="shared" si="1"/>
        <v>4.067528840000012E-2</v>
      </c>
      <c r="AR20" t="s">
        <v>35</v>
      </c>
      <c r="AS20">
        <v>7.8299999999999995E-2</v>
      </c>
      <c r="AT20">
        <f>1/AS20</f>
        <v>12.771392081736909</v>
      </c>
      <c r="BD20" t="s">
        <v>43</v>
      </c>
      <c r="BE20">
        <v>0.40839999999999999</v>
      </c>
      <c r="BF20">
        <f>1/BE20</f>
        <v>2.4485798237022527</v>
      </c>
    </row>
    <row r="21" spans="1:59">
      <c r="A21" s="211">
        <v>41582</v>
      </c>
      <c r="B21" s="213"/>
      <c r="C21" s="213"/>
      <c r="D21" s="213"/>
      <c r="E21" s="213"/>
      <c r="F21" s="228">
        <v>41582</v>
      </c>
      <c r="G21" s="226">
        <v>1.5274908896857891</v>
      </c>
      <c r="H21" s="227">
        <v>1.5361647611557454</v>
      </c>
      <c r="I21" s="227">
        <v>2.5220535160769892</v>
      </c>
      <c r="J21" s="227">
        <v>0.40960138061237988</v>
      </c>
      <c r="M21" s="228">
        <v>41582</v>
      </c>
      <c r="N21" s="261">
        <v>41582</v>
      </c>
      <c r="O21" s="13">
        <v>2.5902771477230098</v>
      </c>
      <c r="P21" s="235" t="s">
        <v>106</v>
      </c>
      <c r="Q21" s="261">
        <v>41582</v>
      </c>
      <c r="R21" s="70">
        <v>3.1596771477230092</v>
      </c>
      <c r="S21" s="235" t="s">
        <v>106</v>
      </c>
      <c r="T21" s="235"/>
      <c r="U21" s="235"/>
      <c r="V21" s="236"/>
      <c r="X21" s="243">
        <v>41612</v>
      </c>
      <c r="Y21" s="244">
        <v>0.7389882085370294</v>
      </c>
      <c r="Z21" s="245">
        <v>1.5979663033140761</v>
      </c>
      <c r="AA21" s="246">
        <v>0</v>
      </c>
      <c r="AC21" s="259">
        <v>2.1246155739999999</v>
      </c>
      <c r="AD21" s="258">
        <v>1.49</v>
      </c>
      <c r="AE21" s="189">
        <f t="shared" si="0"/>
        <v>2.6510899742535998</v>
      </c>
      <c r="AF21" s="189">
        <f t="shared" si="1"/>
        <v>1.073859032000013E-2</v>
      </c>
      <c r="AR21" t="s">
        <v>43</v>
      </c>
      <c r="AS21">
        <v>6.0900000000000003E-2</v>
      </c>
      <c r="AT21">
        <f>1/AS21</f>
        <v>16.420361247947454</v>
      </c>
      <c r="BD21" t="s">
        <v>63</v>
      </c>
      <c r="BE21">
        <v>1.1588839190626601</v>
      </c>
      <c r="BF21">
        <f>1/BE21</f>
        <v>0.86289919425996509</v>
      </c>
    </row>
    <row r="22" spans="1:59">
      <c r="A22" s="211">
        <v>41583</v>
      </c>
      <c r="B22" s="213"/>
      <c r="C22" s="213"/>
      <c r="D22" s="213"/>
      <c r="E22" s="213"/>
      <c r="F22" s="228">
        <v>41583</v>
      </c>
      <c r="G22" s="226">
        <v>0.39610524332319919</v>
      </c>
      <c r="H22" s="227">
        <v>0.46775849688989307</v>
      </c>
      <c r="I22" s="227">
        <v>2.3925882414576654</v>
      </c>
      <c r="J22" s="227">
        <v>-2.0403830948889263</v>
      </c>
      <c r="M22" s="228">
        <v>41583</v>
      </c>
      <c r="N22" s="261">
        <v>41583</v>
      </c>
      <c r="O22" s="10">
        <v>2.6102194843017643</v>
      </c>
      <c r="P22" s="235" t="s">
        <v>106</v>
      </c>
      <c r="Q22" s="261">
        <v>41583</v>
      </c>
      <c r="R22" s="70">
        <v>3.1680194843017642</v>
      </c>
      <c r="S22" s="235" t="s">
        <v>106</v>
      </c>
      <c r="T22" s="235"/>
      <c r="U22" s="235"/>
      <c r="V22" s="236"/>
      <c r="X22" s="247">
        <v>41621</v>
      </c>
      <c r="Y22" s="191">
        <v>0.10292249308495628</v>
      </c>
      <c r="Z22" s="241">
        <v>1.3670572820543492</v>
      </c>
      <c r="AA22" s="242">
        <v>0</v>
      </c>
      <c r="AC22" s="259">
        <v>2.0702272339999999</v>
      </c>
      <c r="AD22" s="258">
        <v>3.54</v>
      </c>
      <c r="AE22" s="189">
        <f t="shared" si="0"/>
        <v>2.6143017010775997</v>
      </c>
      <c r="AF22" s="189">
        <f t="shared" si="1"/>
        <v>-2.6245480879999894E-2</v>
      </c>
      <c r="AR22" t="s">
        <v>63</v>
      </c>
      <c r="AS22">
        <v>1.0174000000000001</v>
      </c>
      <c r="AT22">
        <f>1/AS22</f>
        <v>0.98289758207194799</v>
      </c>
    </row>
    <row r="23" spans="1:59">
      <c r="A23" s="211">
        <v>41584</v>
      </c>
      <c r="B23" s="213"/>
      <c r="C23" s="213"/>
      <c r="D23" s="213"/>
      <c r="E23" s="213"/>
      <c r="F23" s="228">
        <v>41584</v>
      </c>
      <c r="G23" s="226">
        <v>6.8535519120552571E-2</v>
      </c>
      <c r="H23" s="227">
        <v>3.0880592362979385E-2</v>
      </c>
      <c r="I23" s="227">
        <v>2.3505325128332526</v>
      </c>
      <c r="J23" s="227">
        <v>-1.5695544001749746</v>
      </c>
      <c r="M23" s="228">
        <v>41584</v>
      </c>
      <c r="N23" s="261">
        <v>41584</v>
      </c>
      <c r="O23" s="10">
        <v>2.6013288895585291</v>
      </c>
      <c r="P23" s="235" t="s">
        <v>106</v>
      </c>
      <c r="Q23" s="261">
        <v>41584</v>
      </c>
      <c r="R23" s="70">
        <v>3.1691288895585306</v>
      </c>
      <c r="S23" s="235" t="s">
        <v>106</v>
      </c>
      <c r="T23" s="235"/>
      <c r="U23" s="235"/>
      <c r="V23" s="236"/>
      <c r="X23" s="247">
        <v>41622</v>
      </c>
      <c r="Y23" s="191">
        <v>0.39759845246897624</v>
      </c>
      <c r="Z23" s="241">
        <v>1.3745521919043875</v>
      </c>
      <c r="AA23" s="242">
        <v>0</v>
      </c>
      <c r="AC23" s="259">
        <v>2.0150720249999998</v>
      </c>
      <c r="AD23" s="258">
        <v>1.85</v>
      </c>
      <c r="AE23" s="189">
        <f t="shared" si="0"/>
        <v>2.5769947177099999</v>
      </c>
      <c r="AF23" s="189">
        <f t="shared" si="1"/>
        <v>-6.3751023000000018E-2</v>
      </c>
      <c r="BD23" t="s">
        <v>160</v>
      </c>
    </row>
    <row r="24" spans="1:59">
      <c r="A24" s="211">
        <v>41585</v>
      </c>
      <c r="B24" s="218">
        <v>0.34599999999999997</v>
      </c>
      <c r="C24" s="218">
        <v>1.1200000000000001</v>
      </c>
      <c r="D24" s="218">
        <v>2.41</v>
      </c>
      <c r="E24" s="218">
        <v>-1.49</v>
      </c>
      <c r="F24" s="211">
        <v>41585</v>
      </c>
      <c r="G24" s="51">
        <v>0.25180894600578124</v>
      </c>
      <c r="H24">
        <v>0.76495192792049382</v>
      </c>
      <c r="I24">
        <v>2.4099202472238552</v>
      </c>
      <c r="J24">
        <v>-1.4589227979861892</v>
      </c>
      <c r="M24" s="211">
        <v>41585</v>
      </c>
      <c r="N24" s="262">
        <v>41585</v>
      </c>
      <c r="O24" s="10">
        <v>2.56585301864077</v>
      </c>
      <c r="P24" s="235">
        <f t="shared" ref="P24:P29" si="4">G24</f>
        <v>0.25180894600578124</v>
      </c>
      <c r="Q24" s="262">
        <v>41585</v>
      </c>
      <c r="R24" s="70">
        <v>3.1474530186407694</v>
      </c>
      <c r="S24" s="235">
        <f t="shared" ref="S24:U29" si="5">H24</f>
        <v>0.76495192792049382</v>
      </c>
      <c r="T24" s="235">
        <f t="shared" si="5"/>
        <v>2.4099202472238552</v>
      </c>
      <c r="U24" s="235">
        <f t="shared" si="5"/>
        <v>-1.4589227979861892</v>
      </c>
      <c r="V24" s="236"/>
      <c r="X24" s="248"/>
      <c r="Y24" s="249"/>
      <c r="Z24" s="249"/>
      <c r="AA24" s="250"/>
      <c r="AC24" s="259">
        <v>1.919013954</v>
      </c>
      <c r="AD24" s="258">
        <v>2.4</v>
      </c>
      <c r="AE24" s="189">
        <f t="shared" si="0"/>
        <v>2.5120210384855999</v>
      </c>
      <c r="AF24" s="189">
        <f t="shared" si="1"/>
        <v>-0.12907051127999991</v>
      </c>
      <c r="AR24" t="s">
        <v>160</v>
      </c>
      <c r="BD24" t="s">
        <v>34</v>
      </c>
      <c r="BE24">
        <v>-3.2087951807228898E-2</v>
      </c>
      <c r="BF24">
        <v>0.46794285714285699</v>
      </c>
      <c r="BG24">
        <v>7.7777777777777807E-2</v>
      </c>
    </row>
    <row r="25" spans="1:59">
      <c r="A25" s="211">
        <v>41586</v>
      </c>
      <c r="B25" s="218">
        <v>1.1399999999999999</v>
      </c>
      <c r="C25" s="218">
        <v>1.31</v>
      </c>
      <c r="D25" s="218">
        <v>2.58</v>
      </c>
      <c r="E25" s="218">
        <v>-0.54600000000000004</v>
      </c>
      <c r="F25" s="211">
        <v>41586</v>
      </c>
      <c r="G25" s="51">
        <v>1.0469022626295983</v>
      </c>
      <c r="H25">
        <v>0.77406069785108023</v>
      </c>
      <c r="I25">
        <v>2.5849687140150812</v>
      </c>
      <c r="J25">
        <v>-2.2699938135866562</v>
      </c>
      <c r="M25" s="211">
        <v>41586</v>
      </c>
      <c r="N25" s="262">
        <v>41586</v>
      </c>
      <c r="O25" s="10">
        <v>2.531948719981806</v>
      </c>
      <c r="P25" s="235">
        <f t="shared" si="4"/>
        <v>1.0469022626295983</v>
      </c>
      <c r="Q25" s="262">
        <v>41586</v>
      </c>
      <c r="R25" s="70">
        <v>3.1306487199818065</v>
      </c>
      <c r="S25" s="235">
        <f t="shared" si="5"/>
        <v>0.77406069785108023</v>
      </c>
      <c r="T25" s="235">
        <f t="shared" si="5"/>
        <v>2.5849687140150812</v>
      </c>
      <c r="U25" s="235">
        <f t="shared" si="5"/>
        <v>-2.2699938135866562</v>
      </c>
      <c r="V25" s="236"/>
      <c r="X25" s="251">
        <v>42296</v>
      </c>
      <c r="Y25" s="249"/>
      <c r="Z25" s="249"/>
      <c r="AA25" s="250"/>
      <c r="AC25" s="259">
        <v>1.8739722299999999</v>
      </c>
      <c r="AD25" s="258">
        <v>1.07</v>
      </c>
      <c r="AE25" s="189">
        <f t="shared" si="0"/>
        <v>2.4815548163719998</v>
      </c>
      <c r="AF25" s="189">
        <f t="shared" si="1"/>
        <v>-0.15969888359999995</v>
      </c>
      <c r="AR25" t="s">
        <v>34</v>
      </c>
      <c r="AS25">
        <v>-3.2439024390243897E-2</v>
      </c>
      <c r="AT25">
        <v>0.54500000000000004</v>
      </c>
      <c r="AU25">
        <v>6.8181818181818205E-2</v>
      </c>
      <c r="BD25" t="s">
        <v>35</v>
      </c>
      <c r="BE25">
        <v>-3.6363636363636397E-2</v>
      </c>
      <c r="BF25">
        <v>0.33</v>
      </c>
      <c r="BG25">
        <v>0.114942528735632</v>
      </c>
    </row>
    <row r="26" spans="1:59">
      <c r="A26" s="211">
        <v>41587</v>
      </c>
      <c r="B26" s="218">
        <v>1.36</v>
      </c>
      <c r="C26" s="218">
        <v>0.91500000000000004</v>
      </c>
      <c r="D26" s="218">
        <v>2.36</v>
      </c>
      <c r="E26" s="218">
        <v>-6.3600000000000004E-2</v>
      </c>
      <c r="F26" s="211">
        <v>41587</v>
      </c>
      <c r="G26" s="51">
        <v>1.2644297557785247</v>
      </c>
      <c r="H26">
        <v>0.91539453249542757</v>
      </c>
      <c r="I26">
        <v>2.357247889535663</v>
      </c>
      <c r="J26">
        <v>-6.363185087767502E-2</v>
      </c>
      <c r="M26" s="211">
        <v>41587</v>
      </c>
      <c r="N26" s="262">
        <v>41587</v>
      </c>
      <c r="O26" s="10">
        <v>2.4993953411213714</v>
      </c>
      <c r="P26" s="235">
        <f t="shared" si="4"/>
        <v>1.2644297557785247</v>
      </c>
      <c r="Q26" s="262">
        <v>41587</v>
      </c>
      <c r="R26" s="70">
        <v>3.1099953411213708</v>
      </c>
      <c r="S26" s="235">
        <f t="shared" si="5"/>
        <v>0.91539453249542757</v>
      </c>
      <c r="T26" s="235">
        <f t="shared" si="5"/>
        <v>2.357247889535663</v>
      </c>
      <c r="U26" s="235">
        <f t="shared" si="5"/>
        <v>-6.363185087767502E-2</v>
      </c>
      <c r="V26" s="236"/>
      <c r="X26" s="251">
        <v>42308</v>
      </c>
      <c r="Y26" s="249"/>
      <c r="Z26" s="249"/>
      <c r="AA26" s="250"/>
      <c r="AC26" s="259">
        <v>1.836758731</v>
      </c>
      <c r="AD26" s="258">
        <v>1.35</v>
      </c>
      <c r="AE26" s="189">
        <f t="shared" si="0"/>
        <v>2.4563836056483996</v>
      </c>
      <c r="AF26" s="189">
        <f t="shared" si="1"/>
        <v>-0.18500406291999982</v>
      </c>
      <c r="AR26" t="s">
        <v>35</v>
      </c>
      <c r="AS26">
        <v>-3.6363636363636397E-2</v>
      </c>
      <c r="AT26">
        <v>0.33</v>
      </c>
      <c r="AU26">
        <v>0.114942528735632</v>
      </c>
      <c r="AW26" t="s">
        <v>109</v>
      </c>
      <c r="BD26" t="s">
        <v>43</v>
      </c>
      <c r="BE26">
        <v>-3.5802469135802498E-2</v>
      </c>
      <c r="BF26">
        <v>0.58750000000000002</v>
      </c>
      <c r="BG26">
        <v>8.98876404494382E-2</v>
      </c>
    </row>
    <row r="27" spans="1:59">
      <c r="A27" s="211">
        <v>41588</v>
      </c>
      <c r="B27" s="218">
        <v>1.57</v>
      </c>
      <c r="C27" s="218">
        <v>1.42</v>
      </c>
      <c r="D27" s="218">
        <v>2.42</v>
      </c>
      <c r="E27" s="218">
        <v>0.72299999999999998</v>
      </c>
      <c r="F27" s="211">
        <v>41588</v>
      </c>
      <c r="G27" s="51">
        <v>1.4826781827594009</v>
      </c>
      <c r="H27">
        <v>1.4157707347119952</v>
      </c>
      <c r="I27">
        <v>2.4177093906381546</v>
      </c>
      <c r="J27">
        <v>0.72275058579618356</v>
      </c>
      <c r="M27" s="211">
        <v>41588</v>
      </c>
      <c r="N27" s="262">
        <v>41588</v>
      </c>
      <c r="O27" s="10">
        <v>2.4632184455944803</v>
      </c>
      <c r="P27" s="235">
        <f t="shared" si="4"/>
        <v>1.4826781827594009</v>
      </c>
      <c r="Q27" s="262">
        <v>41588</v>
      </c>
      <c r="R27" s="70">
        <v>3.0919184455944819</v>
      </c>
      <c r="S27" s="235">
        <f t="shared" si="5"/>
        <v>1.4157707347119952</v>
      </c>
      <c r="T27" s="235">
        <f t="shared" si="5"/>
        <v>2.4177093906381546</v>
      </c>
      <c r="U27" s="235">
        <f t="shared" si="5"/>
        <v>0.72275058579618356</v>
      </c>
      <c r="V27" s="236"/>
      <c r="X27" s="251">
        <v>42309</v>
      </c>
      <c r="Y27" s="249"/>
      <c r="Z27" s="249"/>
      <c r="AA27" s="250"/>
      <c r="AC27" s="259">
        <v>1.7994634389999999</v>
      </c>
      <c r="AD27" s="258">
        <v>0.74099999999999999</v>
      </c>
      <c r="AE27" s="189">
        <f t="shared" si="0"/>
        <v>2.4311570701395997</v>
      </c>
      <c r="AF27" s="189">
        <f t="shared" si="1"/>
        <v>-0.21036486148</v>
      </c>
      <c r="AR27" t="s">
        <v>43</v>
      </c>
      <c r="AS27">
        <v>-3.5802469135802498E-2</v>
      </c>
      <c r="AT27">
        <v>0.58750000000000002</v>
      </c>
      <c r="AU27">
        <v>8.98876404494382E-2</v>
      </c>
      <c r="BD27" t="s">
        <v>63</v>
      </c>
      <c r="BE27">
        <v>-0.03</v>
      </c>
      <c r="BF27">
        <v>0.4975</v>
      </c>
      <c r="BG27">
        <v>9.0909090909090898E-2</v>
      </c>
    </row>
    <row r="28" spans="1:59">
      <c r="A28" s="211">
        <v>41589</v>
      </c>
      <c r="B28" s="218">
        <v>1.0900000000000001</v>
      </c>
      <c r="C28" s="218">
        <v>1.08</v>
      </c>
      <c r="D28" s="218">
        <v>2.48</v>
      </c>
      <c r="E28" s="218">
        <v>0.41799999999999998</v>
      </c>
      <c r="F28" s="211">
        <v>41589</v>
      </c>
      <c r="G28" s="51">
        <v>0.9970202387254643</v>
      </c>
      <c r="H28">
        <v>0.80971881854580408</v>
      </c>
      <c r="I28">
        <v>2.4786486742017049</v>
      </c>
      <c r="J28">
        <v>0.4183905468843514</v>
      </c>
      <c r="M28" s="211">
        <v>41589</v>
      </c>
      <c r="N28" s="262">
        <v>41589</v>
      </c>
      <c r="O28" s="10">
        <v>2.4248004524185611</v>
      </c>
      <c r="P28" s="235">
        <f t="shared" si="4"/>
        <v>0.9970202387254643</v>
      </c>
      <c r="Q28" s="262">
        <v>41589</v>
      </c>
      <c r="R28" s="70">
        <v>3.0709004524185612</v>
      </c>
      <c r="S28" s="235">
        <f t="shared" si="5"/>
        <v>0.80971881854580408</v>
      </c>
      <c r="T28" s="235">
        <f t="shared" si="5"/>
        <v>2.4786486742017049</v>
      </c>
      <c r="U28" s="235">
        <f t="shared" si="5"/>
        <v>0.4183905468843514</v>
      </c>
      <c r="V28" s="236"/>
      <c r="X28" s="251">
        <v>42311</v>
      </c>
      <c r="Y28" s="249"/>
      <c r="Z28" s="249"/>
      <c r="AA28" s="250"/>
      <c r="AC28" s="259">
        <v>1.7632726489999999</v>
      </c>
      <c r="AD28" s="258">
        <v>0.97899999999999998</v>
      </c>
      <c r="AE28" s="189">
        <f t="shared" si="0"/>
        <v>2.4066776197835997</v>
      </c>
      <c r="AF28" s="189">
        <f t="shared" si="1"/>
        <v>-0.23497459867999981</v>
      </c>
      <c r="AR28" t="s">
        <v>63</v>
      </c>
      <c r="AS28">
        <v>-0.03</v>
      </c>
      <c r="AT28">
        <v>0.4975</v>
      </c>
      <c r="AU28">
        <v>9.0909090909090898E-2</v>
      </c>
    </row>
    <row r="29" spans="1:59">
      <c r="A29" s="211">
        <v>41590</v>
      </c>
      <c r="B29" s="218">
        <v>1.1499999999999999</v>
      </c>
      <c r="C29" s="218">
        <v>1.54</v>
      </c>
      <c r="D29" s="218">
        <v>2.54</v>
      </c>
      <c r="E29" s="218">
        <v>1.05</v>
      </c>
      <c r="F29" s="211">
        <v>41590</v>
      </c>
      <c r="G29" s="51">
        <v>1.0585549051520822</v>
      </c>
      <c r="H29">
        <v>0.82340197041009222</v>
      </c>
      <c r="I29">
        <v>2.5400356092888066</v>
      </c>
      <c r="J29">
        <v>1.0451309710629426</v>
      </c>
      <c r="M29" s="211">
        <v>41590</v>
      </c>
      <c r="N29" s="262">
        <v>41590</v>
      </c>
      <c r="O29" s="10">
        <v>2.3878161938040869</v>
      </c>
      <c r="P29" s="235">
        <f t="shared" si="4"/>
        <v>1.0585549051520822</v>
      </c>
      <c r="Q29" s="262">
        <v>41590</v>
      </c>
      <c r="R29" s="70">
        <v>3.0501161938040884</v>
      </c>
      <c r="S29" s="235">
        <f t="shared" si="5"/>
        <v>0.82340197041009222</v>
      </c>
      <c r="T29" s="235">
        <f t="shared" si="5"/>
        <v>2.5400356092888066</v>
      </c>
      <c r="U29" s="235">
        <f t="shared" si="5"/>
        <v>1.0451309710629426</v>
      </c>
      <c r="V29" s="236"/>
      <c r="X29" s="251">
        <v>42321</v>
      </c>
      <c r="Y29" s="249"/>
      <c r="Z29" s="249"/>
      <c r="AA29" s="250"/>
      <c r="AC29" s="259">
        <v>1.5671693680000001</v>
      </c>
      <c r="AD29" s="258">
        <v>1.01</v>
      </c>
      <c r="AE29" s="189">
        <f t="shared" si="0"/>
        <v>2.2740333605152001</v>
      </c>
      <c r="AF29" s="189">
        <f t="shared" si="1"/>
        <v>-0.36832482975999992</v>
      </c>
      <c r="BD29" t="s">
        <v>161</v>
      </c>
    </row>
    <row r="30" spans="1:59">
      <c r="A30" s="211">
        <v>41591</v>
      </c>
      <c r="B30" s="217"/>
      <c r="C30" s="218">
        <v>1.56</v>
      </c>
      <c r="D30" s="218">
        <v>0.28000000000000003</v>
      </c>
      <c r="E30" s="217"/>
      <c r="F30" s="228">
        <v>41591</v>
      </c>
      <c r="G30" s="226">
        <v>-2.2786927870812557</v>
      </c>
      <c r="H30" s="227">
        <v>2.279526715602247</v>
      </c>
      <c r="I30" s="227">
        <v>0.25386746483055578</v>
      </c>
      <c r="J30" s="227">
        <v>-2.6838063946914672</v>
      </c>
      <c r="M30" s="228">
        <v>41591</v>
      </c>
      <c r="N30" s="261">
        <v>41591</v>
      </c>
      <c r="O30" s="10">
        <v>2.3528955413438131</v>
      </c>
      <c r="P30" s="235" t="s">
        <v>106</v>
      </c>
      <c r="Q30" s="261">
        <v>41591</v>
      </c>
      <c r="R30" s="70">
        <v>3.0268955413438121</v>
      </c>
      <c r="S30" s="235" t="s">
        <v>106</v>
      </c>
      <c r="T30" s="235"/>
      <c r="U30" s="235"/>
      <c r="V30" s="236"/>
      <c r="X30" s="251">
        <v>42325</v>
      </c>
      <c r="Y30" s="249"/>
      <c r="Z30" s="249"/>
      <c r="AA30" s="250"/>
      <c r="AC30" s="259">
        <v>1.5350550439999999</v>
      </c>
      <c r="AD30" s="258">
        <v>0.63700000000000001</v>
      </c>
      <c r="AE30" s="189">
        <f t="shared" si="0"/>
        <v>2.2523112317615999</v>
      </c>
      <c r="AF30" s="189">
        <f t="shared" si="1"/>
        <v>-0.39016257007999999</v>
      </c>
      <c r="AR30" t="s">
        <v>161</v>
      </c>
      <c r="BD30" t="s">
        <v>34</v>
      </c>
      <c r="BE30">
        <f>BE24*100</f>
        <v>-3.2087951807228898</v>
      </c>
      <c r="BF30">
        <f t="shared" ref="BF30:BG31" si="6">BF24*100</f>
        <v>46.794285714285699</v>
      </c>
      <c r="BG30">
        <f t="shared" si="6"/>
        <v>7.7777777777777803</v>
      </c>
    </row>
    <row r="31" spans="1:59">
      <c r="A31" s="211">
        <v>41592</v>
      </c>
      <c r="B31" s="218">
        <v>1.29</v>
      </c>
      <c r="C31" s="218">
        <v>1.82</v>
      </c>
      <c r="D31" s="218">
        <v>2.5299999999999998</v>
      </c>
      <c r="E31" s="218">
        <v>0.42699999999999999</v>
      </c>
      <c r="F31" s="211">
        <v>41592</v>
      </c>
      <c r="G31" s="51">
        <v>1.2074456943418108</v>
      </c>
      <c r="H31">
        <v>2.294470562958959</v>
      </c>
      <c r="I31">
        <v>2.5324211692552661</v>
      </c>
      <c r="J31">
        <v>0.42655682172897669</v>
      </c>
      <c r="M31" s="211">
        <v>41592</v>
      </c>
      <c r="N31" s="262">
        <v>41592</v>
      </c>
      <c r="O31" s="10">
        <v>2.3232748912332295</v>
      </c>
      <c r="P31" s="235">
        <f>G31</f>
        <v>1.2074456943418108</v>
      </c>
      <c r="Q31" s="262">
        <v>41592</v>
      </c>
      <c r="R31" s="70">
        <v>3.0064748912332302</v>
      </c>
      <c r="S31" s="235">
        <f t="shared" ref="S31:U32" si="7">H31</f>
        <v>2.294470562958959</v>
      </c>
      <c r="T31" s="235">
        <f t="shared" si="7"/>
        <v>2.5324211692552661</v>
      </c>
      <c r="U31" s="235">
        <f t="shared" si="7"/>
        <v>0.42655682172897669</v>
      </c>
      <c r="V31" s="236"/>
      <c r="X31" s="251">
        <v>42338</v>
      </c>
      <c r="Y31" s="249"/>
      <c r="Z31" s="249"/>
      <c r="AA31" s="250"/>
      <c r="AC31" s="259">
        <v>1.5037257989999999</v>
      </c>
      <c r="AD31" s="258">
        <v>0.193</v>
      </c>
      <c r="AE31" s="189">
        <f t="shared" si="0"/>
        <v>2.2311201304435997</v>
      </c>
      <c r="AF31" s="189">
        <f t="shared" si="1"/>
        <v>-0.41146645667999993</v>
      </c>
      <c r="AR31" t="s">
        <v>34</v>
      </c>
      <c r="AS31">
        <f t="shared" ref="AS31:AT31" si="8">AS25*100</f>
        <v>-3.2439024390243896</v>
      </c>
      <c r="AT31">
        <f t="shared" si="8"/>
        <v>54.500000000000007</v>
      </c>
      <c r="AU31">
        <v>6.8181818181818205E-2</v>
      </c>
      <c r="BD31" t="s">
        <v>35</v>
      </c>
      <c r="BE31">
        <f>BE25*100</f>
        <v>-3.6363636363636398</v>
      </c>
      <c r="BF31">
        <f t="shared" si="6"/>
        <v>33</v>
      </c>
      <c r="BG31">
        <f t="shared" si="6"/>
        <v>11.4942528735632</v>
      </c>
    </row>
    <row r="32" spans="1:59">
      <c r="A32" s="211">
        <v>41593</v>
      </c>
      <c r="B32" s="218">
        <v>1.68</v>
      </c>
      <c r="C32" s="218">
        <v>-6.79E-3</v>
      </c>
      <c r="D32" s="218">
        <v>2.5099999999999998</v>
      </c>
      <c r="E32" s="218">
        <v>0.14499999999999999</v>
      </c>
      <c r="F32" s="211">
        <v>41593</v>
      </c>
      <c r="G32" s="51">
        <v>1.5902010483746121</v>
      </c>
      <c r="H32">
        <v>1.0487128470330551E-2</v>
      </c>
      <c r="I32">
        <v>2.5079453327704595</v>
      </c>
      <c r="J32">
        <v>0.14474981881563398</v>
      </c>
      <c r="M32" s="211">
        <v>41593</v>
      </c>
      <c r="N32" s="262">
        <v>41593</v>
      </c>
      <c r="O32" s="10">
        <v>2.2819939113679717</v>
      </c>
      <c r="P32" s="235">
        <f>G32</f>
        <v>1.5902010483746121</v>
      </c>
      <c r="Q32" s="262">
        <v>41593</v>
      </c>
      <c r="R32" s="70">
        <v>2.9805939113679738</v>
      </c>
      <c r="S32" s="235">
        <f t="shared" si="7"/>
        <v>1.0487128470330551E-2</v>
      </c>
      <c r="T32" s="235">
        <f t="shared" si="7"/>
        <v>2.5079453327704595</v>
      </c>
      <c r="U32" s="235">
        <f t="shared" si="7"/>
        <v>0.14474981881563398</v>
      </c>
      <c r="V32" s="236"/>
      <c r="X32" s="251">
        <v>42352</v>
      </c>
      <c r="Y32" s="249"/>
      <c r="Z32" s="249"/>
      <c r="AA32" s="250"/>
      <c r="AC32" s="259">
        <v>1.3944996279999999</v>
      </c>
      <c r="AD32" s="258">
        <v>0.73</v>
      </c>
      <c r="AE32" s="189">
        <f t="shared" si="0"/>
        <v>2.1572395483792</v>
      </c>
      <c r="AF32" s="189">
        <f t="shared" si="1"/>
        <v>-0.48574025295999995</v>
      </c>
      <c r="AR32" t="s">
        <v>35</v>
      </c>
      <c r="AS32">
        <f t="shared" ref="AS32:AT32" si="9">AS26*100</f>
        <v>-3.6363636363636398</v>
      </c>
      <c r="AT32">
        <f t="shared" si="9"/>
        <v>33</v>
      </c>
      <c r="AU32">
        <v>0.114942528735632</v>
      </c>
      <c r="BD32" t="s">
        <v>43</v>
      </c>
      <c r="BE32">
        <f t="shared" ref="BE32:BG32" si="10">BE26*100</f>
        <v>-3.5802469135802499</v>
      </c>
      <c r="BF32">
        <f t="shared" si="10"/>
        <v>58.75</v>
      </c>
      <c r="BG32">
        <f t="shared" si="10"/>
        <v>8.9887640449438209</v>
      </c>
    </row>
    <row r="33" spans="1:59">
      <c r="A33" s="211">
        <v>41594</v>
      </c>
      <c r="B33" s="213"/>
      <c r="C33" s="213"/>
      <c r="D33" s="213"/>
      <c r="E33" s="213"/>
      <c r="F33" s="228">
        <v>41594</v>
      </c>
      <c r="G33" s="226">
        <v>1.7887605156449635</v>
      </c>
      <c r="H33" s="227">
        <v>0.46265724384605811</v>
      </c>
      <c r="I33" s="227">
        <v>2.4268687058578156</v>
      </c>
      <c r="J33" s="227">
        <v>0.16564679449580372</v>
      </c>
      <c r="M33" s="228">
        <v>41594</v>
      </c>
      <c r="N33" s="261">
        <v>41594</v>
      </c>
      <c r="O33" s="10">
        <v>2.2373266236699831</v>
      </c>
      <c r="P33" s="235" t="s">
        <v>106</v>
      </c>
      <c r="Q33" s="261">
        <v>41594</v>
      </c>
      <c r="R33" s="70">
        <v>2.9560266236699828</v>
      </c>
      <c r="S33" s="235" t="s">
        <v>106</v>
      </c>
      <c r="T33" s="235"/>
      <c r="U33" s="235"/>
      <c r="V33" s="236"/>
      <c r="X33" s="251">
        <v>42005</v>
      </c>
      <c r="Y33" s="249"/>
      <c r="Z33" s="249"/>
      <c r="AA33" s="250"/>
      <c r="AC33" s="259">
        <v>1.3708202730000001</v>
      </c>
      <c r="AD33" s="258">
        <v>2.1100000000000001E-2</v>
      </c>
      <c r="AE33" s="189">
        <f t="shared" si="0"/>
        <v>2.1412228326572</v>
      </c>
      <c r="AF33" s="189">
        <f t="shared" si="1"/>
        <v>-0.50184221435999987</v>
      </c>
      <c r="AR33" t="s">
        <v>43</v>
      </c>
      <c r="AS33">
        <f t="shared" ref="AS33:AT34" si="11">AS27*100</f>
        <v>-3.5802469135802499</v>
      </c>
      <c r="AT33">
        <f t="shared" si="11"/>
        <v>58.75</v>
      </c>
      <c r="AU33">
        <v>6.8181818181818205E-2</v>
      </c>
      <c r="BD33" t="s">
        <v>63</v>
      </c>
      <c r="BE33">
        <f t="shared" ref="BE33:BG33" si="12">BE27*100</f>
        <v>-3</v>
      </c>
      <c r="BF33">
        <f t="shared" si="12"/>
        <v>49.75</v>
      </c>
      <c r="BG33">
        <f t="shared" si="12"/>
        <v>9.0909090909090899</v>
      </c>
    </row>
    <row r="34" spans="1:59">
      <c r="A34" s="211">
        <v>41595</v>
      </c>
      <c r="B34" s="217"/>
      <c r="C34" s="217"/>
      <c r="D34" s="217"/>
      <c r="E34" s="217"/>
      <c r="F34" s="228">
        <v>41595</v>
      </c>
      <c r="G34" s="226">
        <v>-34.961213517434622</v>
      </c>
      <c r="H34" s="227">
        <v>-95.129745562685159</v>
      </c>
      <c r="I34" s="227">
        <v>-97.647430864124217</v>
      </c>
      <c r="J34" s="227">
        <v>-88.681227314746309</v>
      </c>
      <c r="M34" s="228">
        <v>41595</v>
      </c>
      <c r="N34" s="261">
        <v>41595</v>
      </c>
      <c r="O34" s="10">
        <v>2.1916783584564272</v>
      </c>
      <c r="P34" s="235" t="s">
        <v>106</v>
      </c>
      <c r="Q34" s="261">
        <v>41595</v>
      </c>
      <c r="R34" s="70">
        <v>2.928978358456428</v>
      </c>
      <c r="S34" s="235" t="s">
        <v>106</v>
      </c>
      <c r="T34" s="235"/>
      <c r="U34" s="235"/>
      <c r="V34" s="236"/>
      <c r="X34" s="251">
        <v>42346</v>
      </c>
      <c r="Y34" s="249"/>
      <c r="Z34" s="249"/>
      <c r="AA34" s="250"/>
      <c r="AC34" s="259">
        <v>1.346116203</v>
      </c>
      <c r="AD34" s="258">
        <v>0.84799999999999998</v>
      </c>
      <c r="AE34" s="189">
        <f t="shared" si="0"/>
        <v>2.1245129997092</v>
      </c>
      <c r="AF34" s="189">
        <f t="shared" si="1"/>
        <v>-0.51864098195999997</v>
      </c>
      <c r="AR34" t="s">
        <v>63</v>
      </c>
      <c r="AS34">
        <f t="shared" si="11"/>
        <v>-3</v>
      </c>
      <c r="AT34">
        <f t="shared" si="11"/>
        <v>49.75</v>
      </c>
      <c r="AU34">
        <v>7.9545454545454503E-2</v>
      </c>
    </row>
    <row r="35" spans="1:59">
      <c r="A35" s="211">
        <v>41596</v>
      </c>
      <c r="B35" s="213"/>
      <c r="C35" s="213"/>
      <c r="D35" s="213"/>
      <c r="E35" s="213"/>
      <c r="F35" s="228">
        <v>41596</v>
      </c>
      <c r="G35" s="226">
        <v>1.4900324925011976</v>
      </c>
      <c r="H35" s="227">
        <v>0.725190844925235</v>
      </c>
      <c r="I35" s="227">
        <v>-3.8072349285506291</v>
      </c>
      <c r="J35" s="227">
        <v>-1.5957342214388917</v>
      </c>
      <c r="M35" s="228">
        <v>41596</v>
      </c>
      <c r="N35" s="261">
        <v>41596</v>
      </c>
      <c r="O35" s="10">
        <v>2.2556730516361818</v>
      </c>
      <c r="P35" s="235" t="s">
        <v>106</v>
      </c>
      <c r="Q35" s="261">
        <v>41596</v>
      </c>
      <c r="R35" s="70">
        <v>3.230673051636181</v>
      </c>
      <c r="S35" s="235" t="s">
        <v>106</v>
      </c>
      <c r="T35" s="235"/>
      <c r="U35" s="235"/>
      <c r="V35" s="236"/>
      <c r="X35" s="251">
        <v>42347</v>
      </c>
      <c r="Y35" s="249"/>
      <c r="Z35" s="249"/>
      <c r="AA35" s="250"/>
      <c r="AC35" s="259">
        <v>1.316845246</v>
      </c>
      <c r="AD35" s="258">
        <v>0.877</v>
      </c>
      <c r="AE35" s="189">
        <f t="shared" si="0"/>
        <v>2.1047141243944001</v>
      </c>
      <c r="AF35" s="189">
        <f t="shared" si="1"/>
        <v>-0.53854523271999999</v>
      </c>
    </row>
    <row r="36" spans="1:59" ht="17" thickBot="1">
      <c r="A36" s="211">
        <v>41597</v>
      </c>
      <c r="B36" s="218">
        <v>1.73</v>
      </c>
      <c r="C36" s="218">
        <v>-1.57</v>
      </c>
      <c r="D36" s="218">
        <v>1.62</v>
      </c>
      <c r="E36" s="218">
        <v>-0.80800000000000005</v>
      </c>
      <c r="F36" s="228">
        <v>41597</v>
      </c>
      <c r="G36" s="226">
        <v>1.6448642839515508</v>
      </c>
      <c r="H36" s="227">
        <v>-1.5706122176233204</v>
      </c>
      <c r="I36" s="227">
        <v>1.6215926195515196</v>
      </c>
      <c r="J36" s="227">
        <v>-0.80755960410805083</v>
      </c>
      <c r="M36" s="228">
        <v>41597</v>
      </c>
      <c r="N36" s="261">
        <v>41597</v>
      </c>
      <c r="O36" s="10">
        <v>2.2130814440322788</v>
      </c>
      <c r="P36" s="235" t="s">
        <v>106</v>
      </c>
      <c r="Q36" s="261">
        <v>41597</v>
      </c>
      <c r="R36" s="70">
        <v>3.2119814440322791</v>
      </c>
      <c r="S36" s="235" t="s">
        <v>106</v>
      </c>
      <c r="T36" s="235"/>
      <c r="U36" s="235"/>
      <c r="V36" s="236"/>
      <c r="X36" s="252">
        <v>42348</v>
      </c>
      <c r="Y36" s="253"/>
      <c r="Z36" s="253"/>
      <c r="AA36" s="254"/>
      <c r="AC36" s="259">
        <v>1.2877566979999999</v>
      </c>
      <c r="AD36" s="258">
        <v>0.69199999999999995</v>
      </c>
      <c r="AE36" s="189">
        <f t="shared" si="0"/>
        <v>2.0850386305271997</v>
      </c>
      <c r="AF36" s="189">
        <f t="shared" si="1"/>
        <v>-0.55832544535999995</v>
      </c>
    </row>
    <row r="37" spans="1:59">
      <c r="A37" s="211">
        <v>41598</v>
      </c>
      <c r="B37" s="218">
        <v>1.93</v>
      </c>
      <c r="C37" s="218">
        <v>1.3</v>
      </c>
      <c r="D37" s="218">
        <v>3.51</v>
      </c>
      <c r="E37" s="218">
        <v>-0.38</v>
      </c>
      <c r="F37" s="211">
        <v>41598</v>
      </c>
      <c r="G37" s="51">
        <v>1.8452564641379312</v>
      </c>
      <c r="H37">
        <v>0.74244533955201353</v>
      </c>
      <c r="I37">
        <v>3.5082229399978564</v>
      </c>
      <c r="J37">
        <v>-0.37989048676427656</v>
      </c>
      <c r="M37" s="211">
        <v>41598</v>
      </c>
      <c r="N37" s="262">
        <v>41598</v>
      </c>
      <c r="O37" s="10">
        <v>2.1686401297129607</v>
      </c>
      <c r="P37" s="235">
        <f>G37</f>
        <v>1.8452564641379312</v>
      </c>
      <c r="Q37" s="262">
        <v>41598</v>
      </c>
      <c r="R37" s="70">
        <v>3.1923401297129619</v>
      </c>
      <c r="S37" s="235">
        <f t="shared" ref="S37:U40" si="13">H37</f>
        <v>0.74244533955201353</v>
      </c>
      <c r="T37" s="235">
        <f t="shared" si="13"/>
        <v>3.5082229399978564</v>
      </c>
      <c r="U37" s="235">
        <f t="shared" si="13"/>
        <v>-0.37989048676427656</v>
      </c>
      <c r="V37" s="236"/>
      <c r="AC37" s="259">
        <v>1.25995751</v>
      </c>
      <c r="AD37" s="258">
        <v>0.82399999999999995</v>
      </c>
      <c r="AE37" s="189">
        <f t="shared" si="0"/>
        <v>2.0662352597639999</v>
      </c>
      <c r="AF37" s="189">
        <f t="shared" si="1"/>
        <v>-0.57722889320000004</v>
      </c>
    </row>
    <row r="38" spans="1:59">
      <c r="A38" s="211">
        <v>41599</v>
      </c>
      <c r="B38" s="218">
        <v>1.56</v>
      </c>
      <c r="C38" s="218">
        <v>1.6</v>
      </c>
      <c r="D38" s="218">
        <v>2.73</v>
      </c>
      <c r="E38" s="218">
        <v>-9.5699999999999993E-2</v>
      </c>
      <c r="F38" s="211">
        <v>41599</v>
      </c>
      <c r="G38" s="51">
        <v>1.485148008047585</v>
      </c>
      <c r="H38">
        <v>1.602315509407696</v>
      </c>
      <c r="I38">
        <v>2.7310272233608663</v>
      </c>
      <c r="J38">
        <v>-9.5686504933702524E-2</v>
      </c>
      <c r="M38" s="211">
        <v>41599</v>
      </c>
      <c r="N38" s="262">
        <v>41599</v>
      </c>
      <c r="O38" s="10">
        <v>2.1246155743392241</v>
      </c>
      <c r="P38" s="235">
        <f>G38</f>
        <v>1.485148008047585</v>
      </c>
      <c r="Q38" s="262">
        <v>41599</v>
      </c>
      <c r="R38" s="70">
        <v>3.1712155743392252</v>
      </c>
      <c r="S38" s="235">
        <f t="shared" si="13"/>
        <v>1.602315509407696</v>
      </c>
      <c r="T38" s="235">
        <f t="shared" si="13"/>
        <v>2.7310272233608663</v>
      </c>
      <c r="U38" s="235">
        <f t="shared" si="13"/>
        <v>-9.5686504933702524E-2</v>
      </c>
      <c r="V38" s="236"/>
      <c r="AC38" s="259">
        <v>1.2310082250000001</v>
      </c>
      <c r="AD38" s="258">
        <v>0.58699999999999997</v>
      </c>
      <c r="AE38" s="189">
        <f t="shared" si="0"/>
        <v>2.0466539633899998</v>
      </c>
      <c r="AF38" s="189">
        <f t="shared" si="1"/>
        <v>-0.59691440699999987</v>
      </c>
    </row>
    <row r="39" spans="1:59">
      <c r="A39" s="211">
        <v>41600</v>
      </c>
      <c r="B39" s="218">
        <v>3.61</v>
      </c>
      <c r="C39" s="218">
        <v>1.54</v>
      </c>
      <c r="D39" s="218">
        <v>2.4900000000000002</v>
      </c>
      <c r="E39" s="218">
        <v>-0.315</v>
      </c>
      <c r="F39" s="211">
        <v>41600</v>
      </c>
      <c r="G39" s="51">
        <v>3.53859916157956</v>
      </c>
      <c r="H39">
        <v>1.5417711041648792</v>
      </c>
      <c r="I39">
        <v>2.4868161403737918</v>
      </c>
      <c r="J39">
        <v>-0.31456925909300187</v>
      </c>
      <c r="M39" s="211">
        <v>41600</v>
      </c>
      <c r="N39" s="262">
        <v>41600</v>
      </c>
      <c r="O39" s="10">
        <v>2.0702272337360754</v>
      </c>
      <c r="P39" s="235">
        <f>G39</f>
        <v>3.53859916157956</v>
      </c>
      <c r="Q39" s="262">
        <v>41600</v>
      </c>
      <c r="R39" s="70">
        <v>3.1489272337360763</v>
      </c>
      <c r="S39" s="235">
        <f t="shared" si="13"/>
        <v>1.5417711041648792</v>
      </c>
      <c r="T39" s="235">
        <f t="shared" si="13"/>
        <v>2.4868161403737918</v>
      </c>
      <c r="U39" s="235">
        <f t="shared" si="13"/>
        <v>-0.31456925909300187</v>
      </c>
      <c r="V39" s="236"/>
      <c r="AC39" s="259">
        <v>1.2057875730000001</v>
      </c>
      <c r="AD39" s="258">
        <v>0.56100000000000005</v>
      </c>
      <c r="AE39" s="189">
        <f t="shared" si="0"/>
        <v>2.0295947143772</v>
      </c>
      <c r="AF39" s="189">
        <f t="shared" si="1"/>
        <v>-0.6140644503599999</v>
      </c>
    </row>
    <row r="40" spans="1:59">
      <c r="A40" s="211">
        <v>41601</v>
      </c>
      <c r="B40" s="218">
        <v>1.92</v>
      </c>
      <c r="C40" s="218">
        <v>1.61</v>
      </c>
      <c r="D40" s="218">
        <v>2.52</v>
      </c>
      <c r="E40" s="218">
        <v>-0.30199999999999999</v>
      </c>
      <c r="F40" s="211">
        <v>41601</v>
      </c>
      <c r="G40" s="51">
        <v>1.8510278738354182</v>
      </c>
      <c r="H40">
        <v>1.6123134336435554</v>
      </c>
      <c r="I40">
        <v>2.5163349535879447</v>
      </c>
      <c r="J40">
        <v>-0.30200307620411071</v>
      </c>
      <c r="M40" s="211">
        <v>41601</v>
      </c>
      <c r="N40" s="262">
        <v>41601</v>
      </c>
      <c r="O40" s="10">
        <v>2.0150720246773575</v>
      </c>
      <c r="P40" s="235">
        <f>G40</f>
        <v>1.8510278738354182</v>
      </c>
      <c r="Q40" s="262">
        <v>41601</v>
      </c>
      <c r="R40" s="70">
        <v>3.125172024677358</v>
      </c>
      <c r="S40" s="235">
        <f t="shared" si="13"/>
        <v>1.6123134336435554</v>
      </c>
      <c r="T40" s="235">
        <f t="shared" si="13"/>
        <v>2.5163349535879447</v>
      </c>
      <c r="U40" s="235">
        <f t="shared" si="13"/>
        <v>-0.30200307620411071</v>
      </c>
      <c r="V40" s="236"/>
      <c r="AC40" s="259">
        <v>1.1813288900000001</v>
      </c>
      <c r="AD40" s="258">
        <v>0.60799999999999998</v>
      </c>
      <c r="AE40" s="189">
        <f t="shared" si="0"/>
        <v>2.0130508611960001</v>
      </c>
      <c r="AF40" s="189">
        <f t="shared" si="1"/>
        <v>-0.63069635479999997</v>
      </c>
    </row>
    <row r="41" spans="1:59">
      <c r="A41" s="211">
        <v>41602</v>
      </c>
      <c r="B41" s="213"/>
      <c r="C41" s="213"/>
      <c r="D41" s="213"/>
      <c r="E41" s="213"/>
      <c r="F41" s="228">
        <v>41602</v>
      </c>
      <c r="G41" s="226">
        <v>1.9889912044079403</v>
      </c>
      <c r="H41" s="227">
        <v>2.4304877833823939</v>
      </c>
      <c r="I41" s="227">
        <v>2.8773220906537453</v>
      </c>
      <c r="J41" s="227">
        <v>-0.56179775531487108</v>
      </c>
      <c r="M41" s="228">
        <v>41602</v>
      </c>
      <c r="N41" s="261">
        <v>41602</v>
      </c>
      <c r="O41" s="10">
        <v>1.9673231540970932</v>
      </c>
      <c r="P41" s="235" t="s">
        <v>106</v>
      </c>
      <c r="Q41" s="261">
        <v>41602</v>
      </c>
      <c r="R41" s="70">
        <v>3.1047231540970941</v>
      </c>
      <c r="S41" s="235" t="s">
        <v>106</v>
      </c>
      <c r="T41" s="235"/>
      <c r="U41" s="235"/>
      <c r="V41" s="236"/>
      <c r="AC41" s="259">
        <v>1.155893311</v>
      </c>
      <c r="AD41" s="258">
        <v>1.1000000000000001</v>
      </c>
      <c r="AE41" s="189">
        <f t="shared" si="0"/>
        <v>1.9958462355603999</v>
      </c>
      <c r="AF41" s="189">
        <f t="shared" si="1"/>
        <v>-0.64799254851999999</v>
      </c>
    </row>
    <row r="42" spans="1:59">
      <c r="A42" s="211">
        <v>41603</v>
      </c>
      <c r="B42" s="218">
        <v>2.4700000000000002</v>
      </c>
      <c r="C42" s="218">
        <v>1.97</v>
      </c>
      <c r="D42" s="218">
        <v>2.4900000000000002</v>
      </c>
      <c r="E42" s="218">
        <v>-0.59</v>
      </c>
      <c r="F42" s="211">
        <v>41603</v>
      </c>
      <c r="G42" s="51">
        <v>2.4032069433746193</v>
      </c>
      <c r="H42">
        <v>1.9693946521314183</v>
      </c>
      <c r="I42">
        <v>2.4897078554911189</v>
      </c>
      <c r="J42">
        <v>-0.58996450647456522</v>
      </c>
      <c r="M42" s="211">
        <v>41603</v>
      </c>
      <c r="N42" s="262">
        <v>41603</v>
      </c>
      <c r="O42" s="10">
        <v>1.919013953762152</v>
      </c>
      <c r="P42" s="235">
        <f>G42</f>
        <v>2.4032069433746193</v>
      </c>
      <c r="Q42" s="262">
        <v>41603</v>
      </c>
      <c r="R42" s="70">
        <v>3.081513953762153</v>
      </c>
      <c r="S42" s="235">
        <f t="shared" ref="S42:U46" si="14">H42</f>
        <v>1.9693946521314183</v>
      </c>
      <c r="T42" s="235">
        <f t="shared" si="14"/>
        <v>2.4897078554911189</v>
      </c>
      <c r="U42" s="235">
        <f t="shared" si="14"/>
        <v>-0.58996450647456522</v>
      </c>
      <c r="V42" s="236"/>
      <c r="AC42" s="259">
        <v>1.1294738849999999</v>
      </c>
      <c r="AD42" s="258">
        <v>0.56899999999999995</v>
      </c>
      <c r="AE42" s="189">
        <f t="shared" si="0"/>
        <v>1.977976135814</v>
      </c>
      <c r="AF42" s="189">
        <f t="shared" si="1"/>
        <v>-0.66595775820000003</v>
      </c>
    </row>
    <row r="43" spans="1:59">
      <c r="A43" s="211">
        <v>41604</v>
      </c>
      <c r="B43" s="218">
        <v>1.1399999999999999</v>
      </c>
      <c r="C43" s="218">
        <v>1.57</v>
      </c>
      <c r="D43" s="218">
        <v>1.76</v>
      </c>
      <c r="E43" s="218">
        <v>-0.35799999999999998</v>
      </c>
      <c r="F43" s="211">
        <v>41604</v>
      </c>
      <c r="G43" s="51">
        <v>1.0745001960906984</v>
      </c>
      <c r="H43">
        <v>1.5696777496614089</v>
      </c>
      <c r="I43">
        <v>1.7566663861910563</v>
      </c>
      <c r="J43">
        <v>-0.35767398137029927</v>
      </c>
      <c r="M43" s="211">
        <v>41604</v>
      </c>
      <c r="N43" s="262">
        <v>41604</v>
      </c>
      <c r="O43" s="10">
        <v>1.8739722295991847</v>
      </c>
      <c r="P43" s="235">
        <f>G43</f>
        <v>1.0745001960906984</v>
      </c>
      <c r="Q43" s="262">
        <v>41604</v>
      </c>
      <c r="R43" s="70">
        <v>3.0538722295991843</v>
      </c>
      <c r="S43" s="235">
        <f t="shared" si="14"/>
        <v>1.5696777496614089</v>
      </c>
      <c r="T43" s="235">
        <f t="shared" si="14"/>
        <v>1.7566663861910563</v>
      </c>
      <c r="U43" s="235">
        <f t="shared" si="14"/>
        <v>-0.35767398137029927</v>
      </c>
      <c r="V43" s="236"/>
      <c r="AC43" s="259">
        <v>1.102815605</v>
      </c>
      <c r="AD43" s="258">
        <v>0.39300000000000002</v>
      </c>
      <c r="AE43" s="189">
        <f t="shared" si="0"/>
        <v>1.9599444752220001</v>
      </c>
      <c r="AF43" s="189">
        <f t="shared" si="1"/>
        <v>-0.68408538860000001</v>
      </c>
    </row>
    <row r="44" spans="1:59">
      <c r="A44" s="211">
        <v>41605</v>
      </c>
      <c r="B44" s="218">
        <v>1.42</v>
      </c>
      <c r="C44" s="218">
        <v>2.63</v>
      </c>
      <c r="D44" s="218">
        <v>2.3199999999999998</v>
      </c>
      <c r="E44" s="218">
        <v>-0.45500000000000002</v>
      </c>
      <c r="F44" s="211">
        <v>41605</v>
      </c>
      <c r="G44" s="51">
        <v>1.3534649100124276</v>
      </c>
      <c r="H44">
        <v>2.6264411489731012</v>
      </c>
      <c r="I44">
        <v>2.319710623450967</v>
      </c>
      <c r="J44">
        <v>-0.45512925890862677</v>
      </c>
      <c r="M44" s="211">
        <v>41605</v>
      </c>
      <c r="N44" s="262">
        <v>41605</v>
      </c>
      <c r="O44" s="10">
        <v>1.8367587306052831</v>
      </c>
      <c r="P44" s="235">
        <f>G44</f>
        <v>1.3534649100124276</v>
      </c>
      <c r="Q44" s="262">
        <v>41605</v>
      </c>
      <c r="R44" s="70">
        <v>3.0250587306052825</v>
      </c>
      <c r="S44" s="235">
        <f t="shared" si="14"/>
        <v>2.6264411489731012</v>
      </c>
      <c r="T44" s="235">
        <f t="shared" si="14"/>
        <v>2.319710623450967</v>
      </c>
      <c r="U44" s="235">
        <f t="shared" si="14"/>
        <v>-0.45512925890862677</v>
      </c>
      <c r="V44" s="236"/>
      <c r="AC44" s="259">
        <v>1.0784434199999999</v>
      </c>
      <c r="AD44" s="258">
        <v>0.50600000000000001</v>
      </c>
      <c r="AE44" s="189">
        <f t="shared" si="0"/>
        <v>1.9434591292879997</v>
      </c>
      <c r="AF44" s="189">
        <f t="shared" si="1"/>
        <v>-0.70065847439999995</v>
      </c>
    </row>
    <row r="45" spans="1:59">
      <c r="A45" s="211">
        <v>41606</v>
      </c>
      <c r="B45" s="218">
        <v>0.80400000000000005</v>
      </c>
      <c r="C45" s="218">
        <v>1.74</v>
      </c>
      <c r="D45" s="218">
        <v>2.38</v>
      </c>
      <c r="E45" s="218">
        <v>-0.378</v>
      </c>
      <c r="F45" s="211">
        <v>41606</v>
      </c>
      <c r="G45" s="51">
        <v>0.74135844917414362</v>
      </c>
      <c r="H45">
        <v>2.3019141789377926</v>
      </c>
      <c r="I45">
        <v>2.3794553762568076</v>
      </c>
      <c r="J45">
        <v>-0.37774367011921411</v>
      </c>
      <c r="M45" s="211">
        <v>41606</v>
      </c>
      <c r="N45" s="262">
        <v>41606</v>
      </c>
      <c r="O45" s="10">
        <v>1.7994634391078965</v>
      </c>
      <c r="P45" s="235">
        <f>G45</f>
        <v>0.74135844917414362</v>
      </c>
      <c r="Q45" s="262">
        <v>41606</v>
      </c>
      <c r="R45" s="70">
        <v>2.9966634391078966</v>
      </c>
      <c r="S45" s="235">
        <f t="shared" si="14"/>
        <v>2.3019141789377926</v>
      </c>
      <c r="T45" s="235">
        <f t="shared" si="14"/>
        <v>2.3794553762568076</v>
      </c>
      <c r="U45" s="235">
        <f t="shared" si="14"/>
        <v>-0.37774367011921411</v>
      </c>
      <c r="V45" s="236"/>
      <c r="AC45" s="259">
        <v>1.051401091</v>
      </c>
      <c r="AD45" s="258">
        <v>1.64</v>
      </c>
      <c r="AE45" s="189">
        <f t="shared" si="0"/>
        <v>1.9251676979523999</v>
      </c>
      <c r="AF45" s="189">
        <f t="shared" si="1"/>
        <v>-0.71904725812000003</v>
      </c>
    </row>
    <row r="46" spans="1:59">
      <c r="A46" s="211">
        <v>41607</v>
      </c>
      <c r="B46" s="218">
        <v>1.04</v>
      </c>
      <c r="C46" s="218">
        <v>1.96</v>
      </c>
      <c r="D46" s="218">
        <v>1.79</v>
      </c>
      <c r="E46" s="218">
        <v>-0.112</v>
      </c>
      <c r="F46" s="211">
        <v>41607</v>
      </c>
      <c r="G46" s="51">
        <v>0.97947810620428488</v>
      </c>
      <c r="H46">
        <v>1.9612697439769873</v>
      </c>
      <c r="I46">
        <v>1.7914244224558209</v>
      </c>
      <c r="J46">
        <v>-0.11150776774200913</v>
      </c>
      <c r="M46" s="211">
        <v>41607</v>
      </c>
      <c r="N46" s="262">
        <v>41607</v>
      </c>
      <c r="O46" s="10">
        <v>1.7632726488416055</v>
      </c>
      <c r="P46" s="235">
        <f>G46</f>
        <v>0.97947810620428488</v>
      </c>
      <c r="Q46" s="262">
        <v>41607</v>
      </c>
      <c r="R46" s="70">
        <v>2.9721726488416049</v>
      </c>
      <c r="S46" s="235">
        <f t="shared" si="14"/>
        <v>1.9612697439769873</v>
      </c>
      <c r="T46" s="235">
        <f t="shared" si="14"/>
        <v>1.7914244224558209</v>
      </c>
      <c r="U46" s="235">
        <f t="shared" si="14"/>
        <v>-0.11150776774200913</v>
      </c>
      <c r="V46" s="236"/>
      <c r="AC46" s="259">
        <v>1.020996585</v>
      </c>
      <c r="AD46" s="258">
        <v>0.878</v>
      </c>
      <c r="AE46" s="189">
        <f t="shared" si="0"/>
        <v>1.9046020900939999</v>
      </c>
      <c r="AF46" s="189">
        <f t="shared" si="1"/>
        <v>-0.7397223222</v>
      </c>
    </row>
    <row r="47" spans="1:59">
      <c r="A47" s="211">
        <v>41608</v>
      </c>
      <c r="B47" s="218">
        <v>2.0499999999999998</v>
      </c>
      <c r="C47" s="218">
        <v>1.84</v>
      </c>
      <c r="D47" s="218">
        <v>1.65</v>
      </c>
      <c r="E47" s="218">
        <v>-0.23200000000000001</v>
      </c>
      <c r="F47" s="228">
        <v>41608</v>
      </c>
      <c r="G47" s="226">
        <v>1.9958360015556522</v>
      </c>
      <c r="H47" s="227">
        <v>1.8356616307483968</v>
      </c>
      <c r="I47" s="227">
        <v>1.6494972194786475</v>
      </c>
      <c r="J47" s="227">
        <v>-0.23206942474571016</v>
      </c>
      <c r="M47" s="228">
        <v>41608</v>
      </c>
      <c r="N47" s="261">
        <v>41608</v>
      </c>
      <c r="O47" s="10">
        <v>1.7149452480592271</v>
      </c>
      <c r="P47" s="235" t="s">
        <v>106</v>
      </c>
      <c r="Q47" s="261">
        <v>41608</v>
      </c>
      <c r="R47" s="70">
        <v>2.9501452480592274</v>
      </c>
      <c r="S47" s="235" t="s">
        <v>106</v>
      </c>
      <c r="T47" s="235"/>
      <c r="U47" s="235"/>
      <c r="V47" s="236"/>
      <c r="AC47" s="259">
        <v>0.99228676699999996</v>
      </c>
      <c r="AD47" s="258">
        <v>0.76800000000000002</v>
      </c>
      <c r="AE47" s="189">
        <f t="shared" si="0"/>
        <v>1.8851827691987997</v>
      </c>
      <c r="AF47" s="189">
        <f t="shared" si="1"/>
        <v>-0.75924499844000004</v>
      </c>
    </row>
    <row r="48" spans="1:59">
      <c r="A48" s="211">
        <v>41609</v>
      </c>
      <c r="B48" s="218">
        <v>2.46E-2</v>
      </c>
      <c r="C48" s="218">
        <v>-0.32200000000000001</v>
      </c>
      <c r="D48" s="218">
        <v>0.90300000000000002</v>
      </c>
      <c r="E48" s="218">
        <v>-1.61</v>
      </c>
      <c r="F48" s="228">
        <v>41609</v>
      </c>
      <c r="G48" s="226">
        <v>-0.38902093188312498</v>
      </c>
      <c r="H48" s="227">
        <v>-0.37348703267908445</v>
      </c>
      <c r="I48" s="227">
        <v>0.90251670911935233</v>
      </c>
      <c r="J48" s="227">
        <v>-1.5749025158820305</v>
      </c>
      <c r="M48" s="228">
        <v>41609</v>
      </c>
      <c r="N48" s="261">
        <v>41609</v>
      </c>
      <c r="O48" s="10">
        <v>1.6719742858665225</v>
      </c>
      <c r="P48" s="235" t="s">
        <v>106</v>
      </c>
      <c r="Q48" s="261">
        <v>41609</v>
      </c>
      <c r="R48" s="70">
        <v>2.9242742858665238</v>
      </c>
      <c r="S48" s="235" t="s">
        <v>106</v>
      </c>
      <c r="T48" s="235"/>
      <c r="U48" s="235"/>
      <c r="V48" s="236"/>
      <c r="AC48" s="259">
        <v>0.96585404600000002</v>
      </c>
      <c r="AD48" s="258">
        <v>0.16200000000000001</v>
      </c>
      <c r="AE48" s="189">
        <f t="shared" si="0"/>
        <v>1.8673036767143998</v>
      </c>
      <c r="AF48" s="189">
        <f t="shared" si="1"/>
        <v>-0.77721924872000003</v>
      </c>
    </row>
    <row r="49" spans="1:49">
      <c r="A49" s="211">
        <v>41610</v>
      </c>
      <c r="B49" s="213"/>
      <c r="C49" s="213"/>
      <c r="D49" s="213"/>
      <c r="E49" s="213"/>
      <c r="F49" s="228">
        <v>41610</v>
      </c>
      <c r="G49" s="226">
        <v>-0.34918944060170398</v>
      </c>
      <c r="H49" s="227">
        <v>-1.3599574728302397</v>
      </c>
      <c r="I49" s="227">
        <v>-2.3492231024052805</v>
      </c>
      <c r="J49" s="227">
        <v>-1.2738120930003871</v>
      </c>
      <c r="M49" s="228">
        <v>41610</v>
      </c>
      <c r="N49" s="261">
        <v>41610</v>
      </c>
      <c r="O49" s="10">
        <v>1.638650769200066</v>
      </c>
      <c r="P49" s="235" t="s">
        <v>106</v>
      </c>
      <c r="Q49" s="261">
        <v>41610</v>
      </c>
      <c r="R49" s="70">
        <v>2.9012507692000664</v>
      </c>
      <c r="S49" s="235" t="s">
        <v>106</v>
      </c>
      <c r="T49" s="235"/>
      <c r="U49" s="235"/>
      <c r="V49" s="236"/>
      <c r="AC49" s="259">
        <v>0.94686099899999998</v>
      </c>
      <c r="AD49" s="258">
        <v>0.27100000000000002</v>
      </c>
      <c r="AE49" s="189">
        <f t="shared" si="0"/>
        <v>1.8544567797236</v>
      </c>
      <c r="AF49" s="189">
        <f t="shared" si="1"/>
        <v>-0.79013452068000001</v>
      </c>
    </row>
    <row r="50" spans="1:49">
      <c r="A50" s="211">
        <v>41611</v>
      </c>
      <c r="B50" s="213"/>
      <c r="C50" s="213"/>
      <c r="D50" s="213"/>
      <c r="E50" s="213"/>
      <c r="F50" s="228">
        <v>41611</v>
      </c>
      <c r="G50" s="226">
        <v>0.77039023158242992</v>
      </c>
      <c r="H50" s="227">
        <v>-5.9362484117227686E-2</v>
      </c>
      <c r="I50" s="227">
        <v>-1.3401408402984851</v>
      </c>
      <c r="J50" s="227">
        <v>-1.556060318742158</v>
      </c>
      <c r="M50" s="228">
        <v>41611</v>
      </c>
      <c r="N50" s="261">
        <v>41611</v>
      </c>
      <c r="O50" s="10">
        <v>1.6298924910133441</v>
      </c>
      <c r="P50" s="235" t="s">
        <v>106</v>
      </c>
      <c r="Q50" s="261">
        <v>41611</v>
      </c>
      <c r="R50" s="70">
        <v>2.8964924910133441</v>
      </c>
      <c r="S50" s="235" t="s">
        <v>106</v>
      </c>
      <c r="T50" s="235"/>
      <c r="U50" s="235"/>
      <c r="V50" s="236"/>
      <c r="AC50" s="259">
        <v>0.92725057099999997</v>
      </c>
      <c r="AD50" s="258">
        <v>-0.28799999999999998</v>
      </c>
      <c r="AE50" s="189">
        <f t="shared" si="0"/>
        <v>1.8411922862243999</v>
      </c>
      <c r="AF50" s="189">
        <f t="shared" si="1"/>
        <v>-0.80346961171999998</v>
      </c>
    </row>
    <row r="51" spans="1:49">
      <c r="A51" s="211">
        <v>41612</v>
      </c>
      <c r="B51" s="213"/>
      <c r="C51" s="213"/>
      <c r="D51" s="213"/>
      <c r="E51" s="213"/>
      <c r="F51" s="228">
        <v>41612</v>
      </c>
      <c r="G51" s="226">
        <v>0.85403480825987366</v>
      </c>
      <c r="H51" s="227">
        <v>1.3437556730952001</v>
      </c>
      <c r="I51" s="227">
        <v>0.53413838918235679</v>
      </c>
      <c r="J51" s="227">
        <v>4.1422390507913145E-2</v>
      </c>
      <c r="M51" s="228">
        <v>41612</v>
      </c>
      <c r="N51" s="261">
        <v>41612</v>
      </c>
      <c r="O51" s="10">
        <v>1.5979663033140761</v>
      </c>
      <c r="P51" s="235" t="s">
        <v>106</v>
      </c>
      <c r="Q51" s="261">
        <v>41612</v>
      </c>
      <c r="R51" s="70">
        <v>2.8756663033140768</v>
      </c>
      <c r="S51" s="235" t="s">
        <v>106</v>
      </c>
      <c r="T51" s="235"/>
      <c r="U51" s="235"/>
      <c r="V51" s="236"/>
      <c r="AC51" s="259">
        <v>0.88597981199999998</v>
      </c>
      <c r="AD51" s="258">
        <v>-0.48899999999999999</v>
      </c>
      <c r="AE51" s="189">
        <f t="shared" si="0"/>
        <v>1.8132767448367999</v>
      </c>
      <c r="AF51" s="189">
        <f t="shared" si="1"/>
        <v>-0.83153372784000001</v>
      </c>
    </row>
    <row r="52" spans="1:49">
      <c r="A52" s="211">
        <v>41613</v>
      </c>
      <c r="B52" s="218">
        <v>1.06</v>
      </c>
      <c r="C52" s="218">
        <v>1.89</v>
      </c>
      <c r="D52" s="218">
        <v>1.1299999999999999</v>
      </c>
      <c r="E52" s="218">
        <v>-0.51600000000000001</v>
      </c>
      <c r="F52" s="211">
        <v>41613</v>
      </c>
      <c r="G52" s="51">
        <v>1.0100420205928329</v>
      </c>
      <c r="H52">
        <v>1.8910806892071093</v>
      </c>
      <c r="I52">
        <v>1.1272754696107128</v>
      </c>
      <c r="J52">
        <v>-0.51649129679547001</v>
      </c>
      <c r="M52" s="211">
        <v>41613</v>
      </c>
      <c r="N52" s="262">
        <v>41613</v>
      </c>
      <c r="O52" s="10">
        <v>1.567169367742697</v>
      </c>
      <c r="P52" s="235">
        <f>G52</f>
        <v>1.0100420205928329</v>
      </c>
      <c r="Q52" s="262">
        <v>41613</v>
      </c>
      <c r="R52" s="70">
        <v>2.8481693677426971</v>
      </c>
      <c r="S52" s="235">
        <f t="shared" ref="S52:U54" si="15">H52</f>
        <v>1.8910806892071093</v>
      </c>
      <c r="T52" s="235">
        <f t="shared" si="15"/>
        <v>1.1272754696107128</v>
      </c>
      <c r="U52" s="235">
        <f t="shared" si="15"/>
        <v>-0.51649129679547001</v>
      </c>
      <c r="V52" s="236"/>
      <c r="AC52" s="259">
        <v>0.85625384100000002</v>
      </c>
      <c r="AD52" s="258">
        <v>-6.2700000000000004E-3</v>
      </c>
      <c r="AE52" s="189">
        <f t="shared" si="0"/>
        <v>1.7931700980524001</v>
      </c>
      <c r="AF52" s="189">
        <f t="shared" si="1"/>
        <v>-0.85174738811999995</v>
      </c>
    </row>
    <row r="53" spans="1:49">
      <c r="A53" s="211">
        <v>41614</v>
      </c>
      <c r="B53" s="218">
        <v>0.68</v>
      </c>
      <c r="C53" s="218">
        <v>1.8</v>
      </c>
      <c r="D53" s="218">
        <v>1.53</v>
      </c>
      <c r="E53" s="218">
        <v>0.63200000000000001</v>
      </c>
      <c r="F53" s="211">
        <v>41614</v>
      </c>
      <c r="G53" s="51">
        <v>0.63699377620157138</v>
      </c>
      <c r="H53">
        <v>1.7955597399709997</v>
      </c>
      <c r="I53">
        <v>1.5340212544321055</v>
      </c>
      <c r="J53">
        <v>0.63153638159846492</v>
      </c>
      <c r="M53" s="211">
        <v>41614</v>
      </c>
      <c r="N53" s="262">
        <v>41614</v>
      </c>
      <c r="O53" s="10">
        <v>1.5350550443621054</v>
      </c>
      <c r="P53" s="235">
        <f>G53</f>
        <v>0.63699377620157138</v>
      </c>
      <c r="Q53" s="262">
        <v>41614</v>
      </c>
      <c r="R53" s="70">
        <v>2.8178550443621067</v>
      </c>
      <c r="S53" s="235">
        <f t="shared" si="15"/>
        <v>1.7955597399709997</v>
      </c>
      <c r="T53" s="235">
        <f t="shared" si="15"/>
        <v>1.5340212544321055</v>
      </c>
      <c r="U53" s="235">
        <f t="shared" si="15"/>
        <v>0.63153638159846492</v>
      </c>
      <c r="V53" s="236"/>
      <c r="AC53" s="259">
        <v>0.82819801000000004</v>
      </c>
      <c r="AD53" s="258">
        <v>0.25900000000000001</v>
      </c>
      <c r="AE53" s="189">
        <f t="shared" si="0"/>
        <v>1.774193133964</v>
      </c>
      <c r="AF53" s="189">
        <f t="shared" si="1"/>
        <v>-0.87082535319999999</v>
      </c>
    </row>
    <row r="54" spans="1:49">
      <c r="A54" s="211">
        <v>41615</v>
      </c>
      <c r="B54" s="218">
        <v>0.23300000000000001</v>
      </c>
      <c r="C54" s="218">
        <v>2.12</v>
      </c>
      <c r="D54" s="218">
        <v>2.14</v>
      </c>
      <c r="E54" s="218">
        <v>0.94199999999999995</v>
      </c>
      <c r="F54" s="211">
        <v>41615</v>
      </c>
      <c r="G54" s="51">
        <v>0.192954212420195</v>
      </c>
      <c r="H54">
        <v>2.1155167385857632</v>
      </c>
      <c r="I54">
        <v>2.1430160008998009</v>
      </c>
      <c r="J54">
        <v>0.94155290821139181</v>
      </c>
      <c r="M54" s="211">
        <v>41615</v>
      </c>
      <c r="N54" s="262">
        <v>41615</v>
      </c>
      <c r="O54" s="10">
        <v>1.5037257992832953</v>
      </c>
      <c r="P54" s="235">
        <f>G54</f>
        <v>0.192954212420195</v>
      </c>
      <c r="Q54" s="262">
        <v>41615</v>
      </c>
      <c r="R54" s="70">
        <v>2.7797257992832947</v>
      </c>
      <c r="S54" s="235">
        <f t="shared" si="15"/>
        <v>2.1155167385857632</v>
      </c>
      <c r="T54" s="235">
        <f t="shared" si="15"/>
        <v>2.1430160008998009</v>
      </c>
      <c r="U54" s="235">
        <f t="shared" si="15"/>
        <v>0.94155290821139181</v>
      </c>
      <c r="V54" s="236"/>
      <c r="AC54" s="259">
        <v>0.79448532599999999</v>
      </c>
      <c r="AD54" s="258">
        <v>0.82799999999999996</v>
      </c>
      <c r="AE54" s="189">
        <f t="shared" si="0"/>
        <v>1.7513898745064</v>
      </c>
      <c r="AF54" s="189">
        <f t="shared" si="1"/>
        <v>-0.89374997832000003</v>
      </c>
      <c r="AW54" t="s">
        <v>111</v>
      </c>
    </row>
    <row r="55" spans="1:49">
      <c r="A55" s="211">
        <v>41616</v>
      </c>
      <c r="B55" s="218">
        <v>0.64700000000000002</v>
      </c>
      <c r="C55" s="218">
        <v>2.29</v>
      </c>
      <c r="D55" s="218">
        <v>2.1800000000000002</v>
      </c>
      <c r="E55" s="218">
        <v>0.85199999999999998</v>
      </c>
      <c r="F55" s="228">
        <v>41616</v>
      </c>
      <c r="G55" s="226">
        <v>0.60930636040609598</v>
      </c>
      <c r="H55" s="227">
        <v>2.2906588531654606</v>
      </c>
      <c r="I55" s="227">
        <v>2.1751945026621589</v>
      </c>
      <c r="J55" s="227">
        <v>0.85241886971706882</v>
      </c>
      <c r="M55" s="228">
        <v>41616</v>
      </c>
      <c r="N55" s="261">
        <v>41616</v>
      </c>
      <c r="O55" s="10">
        <v>1.4761350043176198</v>
      </c>
      <c r="P55" s="235" t="s">
        <v>106</v>
      </c>
      <c r="Q55" s="261">
        <v>41616</v>
      </c>
      <c r="R55" s="70">
        <v>2.7452350043176192</v>
      </c>
      <c r="S55" s="235" t="s">
        <v>106</v>
      </c>
      <c r="T55" s="235"/>
      <c r="U55" s="235"/>
      <c r="V55" s="236"/>
      <c r="AC55" s="259">
        <v>0.76523991800000002</v>
      </c>
      <c r="AD55" s="258">
        <v>1.34</v>
      </c>
      <c r="AE55" s="189">
        <f t="shared" si="0"/>
        <v>1.7316082805352</v>
      </c>
      <c r="AF55" s="189">
        <f t="shared" si="1"/>
        <v>-0.91363685575999998</v>
      </c>
    </row>
    <row r="56" spans="1:49">
      <c r="A56" s="211">
        <v>41617</v>
      </c>
      <c r="B56" s="218">
        <v>0.32800000000000001</v>
      </c>
      <c r="C56" s="218">
        <v>2.5099999999999998</v>
      </c>
      <c r="D56" s="218">
        <v>1.98</v>
      </c>
      <c r="E56" s="218">
        <v>0.65500000000000003</v>
      </c>
      <c r="F56" s="228">
        <v>41617</v>
      </c>
      <c r="G56" s="226">
        <v>0.29336135933377466</v>
      </c>
      <c r="H56" s="227">
        <v>2.5126653192386073</v>
      </c>
      <c r="I56" s="227">
        <v>1.9768526543968914</v>
      </c>
      <c r="J56" s="227">
        <v>0.65526965992834463</v>
      </c>
      <c r="M56" s="228">
        <v>41617</v>
      </c>
      <c r="N56" s="261">
        <v>41617</v>
      </c>
      <c r="O56" s="10">
        <v>1.4483703853027508</v>
      </c>
      <c r="P56" s="235" t="s">
        <v>106</v>
      </c>
      <c r="Q56" s="261">
        <v>41617</v>
      </c>
      <c r="R56" s="70">
        <v>2.7107703853027498</v>
      </c>
      <c r="S56" s="235" t="s">
        <v>106</v>
      </c>
      <c r="T56" s="235"/>
      <c r="U56" s="235"/>
      <c r="V56" s="236"/>
      <c r="AC56" s="259">
        <v>0.74332233400000003</v>
      </c>
      <c r="AD56" s="258">
        <v>0.109</v>
      </c>
      <c r="AE56" s="189">
        <f t="shared" si="0"/>
        <v>1.7167832267176</v>
      </c>
      <c r="AF56" s="189">
        <f t="shared" si="1"/>
        <v>-0.92854081288000001</v>
      </c>
    </row>
    <row r="57" spans="1:49">
      <c r="A57" s="211">
        <v>41618</v>
      </c>
      <c r="B57" s="218">
        <v>0.29799999999999999</v>
      </c>
      <c r="C57" s="218">
        <v>2.11</v>
      </c>
      <c r="D57" s="218">
        <v>1.91</v>
      </c>
      <c r="E57" s="218">
        <v>0.69499999999999995</v>
      </c>
      <c r="F57" s="228">
        <v>41618</v>
      </c>
      <c r="G57" s="226">
        <v>0.26580098697347887</v>
      </c>
      <c r="H57" s="227">
        <v>2.1075812217741396</v>
      </c>
      <c r="I57" s="227">
        <v>1.9099120904236586</v>
      </c>
      <c r="J57" s="227">
        <v>0.6949683494215666</v>
      </c>
      <c r="M57" s="228">
        <v>41618</v>
      </c>
      <c r="N57" s="261">
        <v>41618</v>
      </c>
      <c r="O57" s="10">
        <v>1.4215358193055381</v>
      </c>
      <c r="P57" s="235" t="s">
        <v>106</v>
      </c>
      <c r="Q57" s="261">
        <v>41618</v>
      </c>
      <c r="R57" s="70">
        <v>2.6747358193055391</v>
      </c>
      <c r="S57" s="235" t="s">
        <v>106</v>
      </c>
      <c r="T57" s="235"/>
      <c r="U57" s="235"/>
      <c r="V57" s="236"/>
      <c r="AC57" s="259">
        <v>0.72156631299999996</v>
      </c>
      <c r="AD57" s="258">
        <v>1.34</v>
      </c>
      <c r="AE57" s="189">
        <f t="shared" si="0"/>
        <v>1.7020674541131999</v>
      </c>
      <c r="AF57" s="189">
        <f t="shared" si="1"/>
        <v>-0.94333490716000001</v>
      </c>
    </row>
    <row r="58" spans="1:49">
      <c r="A58" s="211">
        <v>41619</v>
      </c>
      <c r="B58" s="218">
        <v>0.75900000000000001</v>
      </c>
      <c r="C58" s="218">
        <v>2.87</v>
      </c>
      <c r="D58" s="218">
        <v>2.16</v>
      </c>
      <c r="E58" s="218">
        <v>1.78</v>
      </c>
      <c r="F58" s="211">
        <v>41619</v>
      </c>
      <c r="G58" s="51">
        <v>0.73013884999175416</v>
      </c>
      <c r="H58">
        <v>2.8650014306715583</v>
      </c>
      <c r="I58">
        <v>-99.978730547639628</v>
      </c>
      <c r="J58">
        <v>1.7822660783882269</v>
      </c>
      <c r="M58" s="211">
        <v>41619</v>
      </c>
      <c r="N58" s="262">
        <v>41619</v>
      </c>
      <c r="O58" s="10">
        <v>1.394499628031872</v>
      </c>
      <c r="P58" s="235">
        <f>G58</f>
        <v>0.73013884999175416</v>
      </c>
      <c r="Q58" s="262">
        <v>41619</v>
      </c>
      <c r="R58" s="70">
        <v>2.6353996280318732</v>
      </c>
      <c r="S58" s="235">
        <f>H58</f>
        <v>2.8650014306715583</v>
      </c>
      <c r="T58" s="234"/>
      <c r="U58" s="235">
        <f>J58</f>
        <v>1.7822660783882269</v>
      </c>
      <c r="V58" s="236"/>
      <c r="AC58" s="259">
        <v>0.70435056699999998</v>
      </c>
      <c r="AD58" s="258">
        <v>1.32</v>
      </c>
      <c r="AE58" s="189">
        <f t="shared" si="0"/>
        <v>1.6904227235188001</v>
      </c>
      <c r="AF58" s="189">
        <f t="shared" si="1"/>
        <v>-0.95504161444000002</v>
      </c>
    </row>
    <row r="59" spans="1:49">
      <c r="A59" s="211">
        <v>41620</v>
      </c>
      <c r="B59" s="218">
        <v>4.7399999999999998E-2</v>
      </c>
      <c r="C59" s="218">
        <v>3.86</v>
      </c>
      <c r="D59" s="218">
        <v>2.2000000000000002</v>
      </c>
      <c r="E59" s="218">
        <v>0.995</v>
      </c>
      <c r="F59" s="211">
        <v>41620</v>
      </c>
      <c r="G59" s="51">
        <v>2.1110633027836452E-2</v>
      </c>
      <c r="H59">
        <v>3.8552695079968808</v>
      </c>
      <c r="I59">
        <v>2.195033567448692</v>
      </c>
      <c r="J59">
        <v>0.99522285914351061</v>
      </c>
      <c r="M59" s="211">
        <v>41620</v>
      </c>
      <c r="N59" s="262">
        <v>41620</v>
      </c>
      <c r="O59" s="10">
        <v>1.3708202734430697</v>
      </c>
      <c r="P59" s="235">
        <f>G59</f>
        <v>2.1110633027836452E-2</v>
      </c>
      <c r="Q59" s="262">
        <v>41620</v>
      </c>
      <c r="R59" s="70">
        <v>2.5918202734430693</v>
      </c>
      <c r="S59" s="235">
        <f>H59</f>
        <v>3.8552695079968808</v>
      </c>
      <c r="T59" s="235">
        <f>I59</f>
        <v>2.195033567448692</v>
      </c>
      <c r="U59" s="235">
        <f>J59</f>
        <v>0.99522285914351061</v>
      </c>
      <c r="V59" s="236"/>
      <c r="AC59" s="259">
        <v>0.68174709200000005</v>
      </c>
      <c r="AD59" s="258">
        <v>0.57599999999999996</v>
      </c>
      <c r="AE59" s="189">
        <f t="shared" si="0"/>
        <v>1.6751337330288001</v>
      </c>
      <c r="AF59" s="189">
        <f t="shared" si="1"/>
        <v>-0.97041197743999996</v>
      </c>
    </row>
    <row r="60" spans="1:49">
      <c r="A60" s="211">
        <v>41621</v>
      </c>
      <c r="B60" s="213"/>
      <c r="C60" s="213"/>
      <c r="D60" s="213"/>
      <c r="E60" s="213"/>
      <c r="F60" s="228">
        <v>41621</v>
      </c>
      <c r="G60" s="226">
        <v>0.10292249308495628</v>
      </c>
      <c r="H60" s="227">
        <v>-3.8487165118392443</v>
      </c>
      <c r="I60" s="227">
        <v>-6.9377187857936479E-3</v>
      </c>
      <c r="J60" s="227">
        <v>-3.6344173030996392</v>
      </c>
      <c r="M60" s="228">
        <v>41621</v>
      </c>
      <c r="N60" s="261">
        <v>41621</v>
      </c>
      <c r="O60" s="10">
        <v>1.3670572820543492</v>
      </c>
      <c r="P60" s="235" t="s">
        <v>106</v>
      </c>
      <c r="Q60" s="261">
        <v>41621</v>
      </c>
      <c r="R60" s="70">
        <v>2.588757282054349</v>
      </c>
      <c r="S60" s="235" t="s">
        <v>106</v>
      </c>
      <c r="T60" s="235"/>
      <c r="U60" s="235"/>
      <c r="V60" s="236"/>
      <c r="AC60" s="259">
        <v>0.65773114399999999</v>
      </c>
      <c r="AD60" s="258">
        <v>0.28799999999999998</v>
      </c>
      <c r="AE60" s="189">
        <f t="shared" si="0"/>
        <v>1.6588893458016001</v>
      </c>
      <c r="AF60" s="189">
        <f t="shared" si="1"/>
        <v>-0.98674282207999997</v>
      </c>
    </row>
    <row r="61" spans="1:49">
      <c r="A61" s="211">
        <v>41622</v>
      </c>
      <c r="B61" s="218">
        <v>0.51900000000000002</v>
      </c>
      <c r="C61" s="218">
        <v>1.77</v>
      </c>
      <c r="D61" s="218">
        <v>-0.68700000000000006</v>
      </c>
      <c r="E61" s="218">
        <v>-0.85799999999999998</v>
      </c>
      <c r="F61" s="228">
        <v>41622</v>
      </c>
      <c r="G61" s="226">
        <v>0.49235833221796743</v>
      </c>
      <c r="H61" s="227">
        <v>1.765819430275458</v>
      </c>
      <c r="I61" s="227">
        <v>-0.72903700252423786</v>
      </c>
      <c r="J61" s="227">
        <v>-0.85800801115005854</v>
      </c>
      <c r="M61" s="228">
        <v>41622</v>
      </c>
      <c r="N61" s="261">
        <v>41622</v>
      </c>
      <c r="O61" s="10">
        <v>1.3745521919043875</v>
      </c>
      <c r="P61" s="235" t="s">
        <v>106</v>
      </c>
      <c r="Q61" s="261">
        <v>41622</v>
      </c>
      <c r="R61" s="70">
        <v>2.6219521919043878</v>
      </c>
      <c r="S61" s="235" t="s">
        <v>106</v>
      </c>
      <c r="T61" s="235"/>
      <c r="U61" s="235"/>
      <c r="V61" s="236"/>
      <c r="AC61" s="259">
        <v>0.45490926199999998</v>
      </c>
      <c r="AD61" s="258">
        <v>-0.72</v>
      </c>
      <c r="AE61" s="189">
        <f t="shared" si="0"/>
        <v>1.5217006248168001</v>
      </c>
      <c r="AF61" s="189">
        <f t="shared" si="1"/>
        <v>-1.12466170184</v>
      </c>
    </row>
    <row r="62" spans="1:49">
      <c r="A62" s="211">
        <v>41623</v>
      </c>
      <c r="B62" s="218">
        <v>0.871</v>
      </c>
      <c r="C62" s="218">
        <v>1.31</v>
      </c>
      <c r="D62" s="218">
        <v>0.77200000000000002</v>
      </c>
      <c r="E62" s="218">
        <v>-0.26800000000000002</v>
      </c>
      <c r="F62" s="211">
        <v>41623</v>
      </c>
      <c r="G62" s="51">
        <v>0.84789859757544928</v>
      </c>
      <c r="H62">
        <v>1.3107660964389327</v>
      </c>
      <c r="I62">
        <v>0.77159145993558076</v>
      </c>
      <c r="J62">
        <v>-0.26824852694965379</v>
      </c>
      <c r="M62" s="211">
        <v>41623</v>
      </c>
      <c r="N62" s="262">
        <v>41623</v>
      </c>
      <c r="O62" s="10">
        <v>1.3461162032028562</v>
      </c>
      <c r="P62" s="235">
        <f t="shared" ref="P62:P78" si="16">G62</f>
        <v>0.84789859757544928</v>
      </c>
      <c r="Q62" s="262">
        <v>41623</v>
      </c>
      <c r="R62" s="70">
        <v>2.5973162032028565</v>
      </c>
      <c r="S62" s="235">
        <f t="shared" ref="S62:S78" si="17">H62</f>
        <v>1.3107660964389327</v>
      </c>
      <c r="T62" s="235">
        <f t="shared" ref="T62:T78" si="18">I62</f>
        <v>0.77159145993558076</v>
      </c>
      <c r="U62" s="235">
        <f t="shared" ref="U62:U78" si="19">J62</f>
        <v>-0.26824852694965379</v>
      </c>
      <c r="V62" s="236"/>
      <c r="W62" t="s">
        <v>34</v>
      </c>
      <c r="AC62" s="10">
        <v>0.65773114369861618</v>
      </c>
      <c r="AD62" s="235">
        <v>0.28799999999999998</v>
      </c>
      <c r="AE62" s="189">
        <f t="shared" si="0"/>
        <v>1.658889345597744</v>
      </c>
      <c r="AF62" s="189">
        <f t="shared" si="1"/>
        <v>-0.98674282228494103</v>
      </c>
    </row>
    <row r="63" spans="1:49">
      <c r="A63" s="211">
        <v>41624</v>
      </c>
      <c r="B63" s="218">
        <v>0.89600000000000002</v>
      </c>
      <c r="C63" s="218">
        <v>0.93100000000000005</v>
      </c>
      <c r="D63" s="218">
        <v>1.51</v>
      </c>
      <c r="E63" s="218">
        <v>0.23599999999999999</v>
      </c>
      <c r="F63" s="211">
        <v>41624</v>
      </c>
      <c r="G63" s="51">
        <v>0.87650992421113672</v>
      </c>
      <c r="H63">
        <v>0.93215386435971481</v>
      </c>
      <c r="I63">
        <v>1.5112910128221568</v>
      </c>
      <c r="J63">
        <v>0.23573368904136854</v>
      </c>
      <c r="M63" s="211">
        <v>41624</v>
      </c>
      <c r="N63" s="262">
        <v>41624</v>
      </c>
      <c r="O63" s="10">
        <v>1.3168452457095339</v>
      </c>
      <c r="P63" s="235">
        <f t="shared" si="16"/>
        <v>0.87650992421113672</v>
      </c>
      <c r="Q63" s="262">
        <v>41624</v>
      </c>
      <c r="R63" s="70">
        <v>2.5751452457095354</v>
      </c>
      <c r="S63" s="235">
        <f t="shared" si="17"/>
        <v>0.93215386435971481</v>
      </c>
      <c r="T63" s="235">
        <f t="shared" si="18"/>
        <v>1.5112910128221568</v>
      </c>
      <c r="U63" s="235">
        <f t="shared" si="19"/>
        <v>0.23573368904136854</v>
      </c>
      <c r="V63" s="236"/>
      <c r="AC63" s="10">
        <v>0.61232889425791415</v>
      </c>
      <c r="AD63" s="235">
        <v>3.8736000000000002</v>
      </c>
      <c r="AE63" s="189">
        <f t="shared" si="0"/>
        <v>1.6281792640760533</v>
      </c>
      <c r="AF63" s="189">
        <f t="shared" si="1"/>
        <v>-1.0176163519046184</v>
      </c>
    </row>
    <row r="64" spans="1:49">
      <c r="A64" s="211">
        <v>41625</v>
      </c>
      <c r="B64" s="218">
        <v>0.70799999999999996</v>
      </c>
      <c r="C64" s="218">
        <v>1.22</v>
      </c>
      <c r="D64" s="218">
        <v>1.57</v>
      </c>
      <c r="E64" s="218">
        <v>9.6699999999999994E-2</v>
      </c>
      <c r="F64" s="211">
        <v>41625</v>
      </c>
      <c r="G64" s="51">
        <v>0.69168241790556972</v>
      </c>
      <c r="H64">
        <v>1.2231741351618473</v>
      </c>
      <c r="I64">
        <v>1.573922799789395</v>
      </c>
      <c r="J64">
        <v>9.6746017342390703E-2</v>
      </c>
      <c r="M64" s="211">
        <v>41625</v>
      </c>
      <c r="N64" s="262">
        <v>41625</v>
      </c>
      <c r="O64" s="10">
        <v>1.2877566978348676</v>
      </c>
      <c r="P64" s="235">
        <f t="shared" si="16"/>
        <v>0.69168241790556972</v>
      </c>
      <c r="Q64" s="262">
        <v>41625</v>
      </c>
      <c r="R64" s="70">
        <v>2.5535566978348676</v>
      </c>
      <c r="S64" s="235">
        <f t="shared" si="17"/>
        <v>1.2231741351618473</v>
      </c>
      <c r="T64" s="235">
        <f t="shared" si="18"/>
        <v>1.573922799789395</v>
      </c>
      <c r="U64" s="235">
        <f t="shared" si="19"/>
        <v>9.6746017342390703E-2</v>
      </c>
      <c r="V64" s="236"/>
      <c r="AC64" s="10">
        <v>0.53664341316156028</v>
      </c>
      <c r="AD64" s="235">
        <v>4.2767999999999997</v>
      </c>
      <c r="AE64" s="189">
        <f t="shared" si="0"/>
        <v>1.5769856046624793</v>
      </c>
      <c r="AF64" s="189">
        <f t="shared" si="1"/>
        <v>-1.069082479050139</v>
      </c>
    </row>
    <row r="65" spans="1:60">
      <c r="A65" s="211">
        <v>41626</v>
      </c>
      <c r="B65" s="218">
        <v>0.83599999999999997</v>
      </c>
      <c r="C65" s="218">
        <v>1.7</v>
      </c>
      <c r="D65" s="218">
        <v>1.61</v>
      </c>
      <c r="E65" s="218">
        <v>1.17</v>
      </c>
      <c r="F65" s="211">
        <v>41626</v>
      </c>
      <c r="G65" s="51">
        <v>0.82391284694074296</v>
      </c>
      <c r="H65">
        <v>1.6957201727489404</v>
      </c>
      <c r="I65">
        <v>1.6099028971229741</v>
      </c>
      <c r="J65">
        <v>1.1696818889693983</v>
      </c>
      <c r="M65" s="211">
        <v>41626</v>
      </c>
      <c r="N65" s="262">
        <v>41626</v>
      </c>
      <c r="O65" s="10">
        <v>1.2599575104730953</v>
      </c>
      <c r="P65" s="235">
        <f t="shared" si="16"/>
        <v>0.82391284694074296</v>
      </c>
      <c r="Q65" s="262">
        <v>41626</v>
      </c>
      <c r="R65" s="70">
        <v>2.5267575104730966</v>
      </c>
      <c r="S65" s="235">
        <f t="shared" si="17"/>
        <v>1.6957201727489404</v>
      </c>
      <c r="T65" s="235">
        <f t="shared" si="18"/>
        <v>1.6099028971229741</v>
      </c>
      <c r="U65" s="235">
        <f t="shared" si="19"/>
        <v>1.1696818889693983</v>
      </c>
      <c r="V65" s="236"/>
      <c r="AC65" s="10">
        <v>0.40644607479560563</v>
      </c>
      <c r="AD65" s="235">
        <v>6.4079999999999995</v>
      </c>
      <c r="AE65" s="189">
        <f t="shared" si="0"/>
        <v>1.4889201249917476</v>
      </c>
      <c r="AF65" s="189">
        <f t="shared" si="1"/>
        <v>-1.1576166691389882</v>
      </c>
    </row>
    <row r="66" spans="1:60">
      <c r="A66" s="211">
        <v>41627</v>
      </c>
      <c r="B66" s="218">
        <v>0.59599999999999997</v>
      </c>
      <c r="C66" s="218">
        <v>5.1100000000000003</v>
      </c>
      <c r="D66" s="218">
        <v>1.79</v>
      </c>
      <c r="E66" s="218">
        <v>1.56</v>
      </c>
      <c r="F66" s="211">
        <v>41627</v>
      </c>
      <c r="G66" s="51">
        <v>0.58748827874951015</v>
      </c>
      <c r="H66">
        <v>5.1088733172965268</v>
      </c>
      <c r="I66">
        <v>1.7906845772023492</v>
      </c>
      <c r="J66">
        <v>1.5622743532361143</v>
      </c>
      <c r="M66" s="211">
        <v>41627</v>
      </c>
      <c r="N66" s="262">
        <v>41627</v>
      </c>
      <c r="O66" s="10">
        <v>1.2310082253497936</v>
      </c>
      <c r="P66" s="235">
        <f t="shared" si="16"/>
        <v>0.58748827874951015</v>
      </c>
      <c r="Q66" s="262">
        <v>41627</v>
      </c>
      <c r="R66" s="70">
        <v>2.4946082253497934</v>
      </c>
      <c r="S66" s="235">
        <f t="shared" si="17"/>
        <v>5.1088733172965268</v>
      </c>
      <c r="T66" s="235">
        <f t="shared" si="18"/>
        <v>1.7906845772023492</v>
      </c>
      <c r="U66" s="235">
        <f t="shared" si="19"/>
        <v>1.5622743532361143</v>
      </c>
      <c r="V66" s="236"/>
      <c r="AC66" s="10">
        <v>0.30954382535490638</v>
      </c>
      <c r="AD66" s="235">
        <v>8.1504000000000012</v>
      </c>
      <c r="AE66" s="189">
        <f t="shared" si="0"/>
        <v>1.4233754434700587</v>
      </c>
      <c r="AF66" s="189">
        <f t="shared" si="1"/>
        <v>-1.2235101987586636</v>
      </c>
    </row>
    <row r="67" spans="1:60">
      <c r="A67" s="211">
        <v>41628</v>
      </c>
      <c r="B67" s="218">
        <v>0.56599999999999995</v>
      </c>
      <c r="C67" s="218">
        <v>2.0699999999999998</v>
      </c>
      <c r="D67" s="218">
        <v>2</v>
      </c>
      <c r="E67" s="218"/>
      <c r="F67" s="211">
        <v>41628</v>
      </c>
      <c r="G67" s="51">
        <v>0.56146619707861634</v>
      </c>
      <c r="H67">
        <v>2.0710143984830864</v>
      </c>
      <c r="I67">
        <v>2.0015187029673589</v>
      </c>
      <c r="J67">
        <v>7.3862516395388251</v>
      </c>
      <c r="M67" s="211">
        <v>41628</v>
      </c>
      <c r="N67" s="262">
        <v>41628</v>
      </c>
      <c r="O67" s="10">
        <v>1.2057875728895202</v>
      </c>
      <c r="P67" s="235">
        <f t="shared" si="16"/>
        <v>0.56146619707861634</v>
      </c>
      <c r="Q67" s="262">
        <v>41628</v>
      </c>
      <c r="R67" s="70">
        <v>2.456787572889521</v>
      </c>
      <c r="S67" s="235">
        <f t="shared" si="17"/>
        <v>2.0710143984830864</v>
      </c>
      <c r="T67" s="235">
        <f t="shared" si="18"/>
        <v>2.0015187029673589</v>
      </c>
      <c r="U67" s="235">
        <f t="shared" si="19"/>
        <v>7.3862516395388251</v>
      </c>
      <c r="V67" s="236"/>
    </row>
    <row r="68" spans="1:60">
      <c r="A68" s="211">
        <v>41629</v>
      </c>
      <c r="B68" s="218">
        <v>0.60899999999999999</v>
      </c>
      <c r="C68" s="218">
        <v>2.36</v>
      </c>
      <c r="D68" s="218">
        <v>2.92</v>
      </c>
      <c r="E68" s="218"/>
      <c r="F68" s="211">
        <v>41629</v>
      </c>
      <c r="G68" s="51">
        <v>0.60838084777314272</v>
      </c>
      <c r="H68">
        <v>2.3595608248919042</v>
      </c>
      <c r="I68">
        <v>2.9193934360205995</v>
      </c>
      <c r="J68">
        <v>7.8199520547144363</v>
      </c>
      <c r="M68" s="211">
        <v>41629</v>
      </c>
      <c r="N68" s="262">
        <v>41629</v>
      </c>
      <c r="O68" s="10">
        <v>1.1813288895585292</v>
      </c>
      <c r="P68" s="235">
        <f t="shared" si="16"/>
        <v>0.60838084777314272</v>
      </c>
      <c r="Q68" s="262">
        <v>41629</v>
      </c>
      <c r="R68" s="70">
        <v>2.42622888955853</v>
      </c>
      <c r="S68" s="235">
        <f t="shared" si="17"/>
        <v>2.3595608248919042</v>
      </c>
      <c r="T68" s="235">
        <f t="shared" si="18"/>
        <v>2.9193934360205995</v>
      </c>
      <c r="U68" s="235">
        <f t="shared" si="19"/>
        <v>7.8199520547144363</v>
      </c>
      <c r="V68" s="236"/>
    </row>
    <row r="69" spans="1:60">
      <c r="A69" s="211">
        <v>41630</v>
      </c>
      <c r="B69" s="218">
        <v>1.1000000000000001</v>
      </c>
      <c r="C69" s="218">
        <v>4.72</v>
      </c>
      <c r="D69" s="218">
        <v>1.58</v>
      </c>
      <c r="E69" s="218"/>
      <c r="F69" s="211">
        <v>41630</v>
      </c>
      <c r="G69" s="51">
        <v>1.1015175688425534</v>
      </c>
      <c r="H69">
        <v>4.7218631547601193</v>
      </c>
      <c r="I69">
        <v>1.5777037055302721</v>
      </c>
      <c r="J69">
        <v>7.1657100245320375</v>
      </c>
      <c r="M69" s="211">
        <v>41630</v>
      </c>
      <c r="N69" s="262">
        <v>41630</v>
      </c>
      <c r="O69" s="10">
        <v>1.1558933107006486</v>
      </c>
      <c r="P69" s="235">
        <f t="shared" si="16"/>
        <v>1.1015175688425534</v>
      </c>
      <c r="Q69" s="262">
        <v>41630</v>
      </c>
      <c r="R69" s="70">
        <v>2.3935933107006484</v>
      </c>
      <c r="S69" s="235">
        <f t="shared" si="17"/>
        <v>4.7218631547601193</v>
      </c>
      <c r="T69" s="235">
        <f t="shared" si="18"/>
        <v>1.5777037055302721</v>
      </c>
      <c r="U69" s="235">
        <f t="shared" si="19"/>
        <v>7.1657100245320375</v>
      </c>
      <c r="V69" s="236"/>
    </row>
    <row r="70" spans="1:60">
      <c r="A70" s="211">
        <v>41631</v>
      </c>
      <c r="B70" s="218">
        <v>0.56899999999999995</v>
      </c>
      <c r="C70" s="218">
        <v>2.63</v>
      </c>
      <c r="D70" s="218">
        <v>1.49</v>
      </c>
      <c r="E70" s="220">
        <v>4.97</v>
      </c>
      <c r="F70" s="211">
        <v>41631</v>
      </c>
      <c r="G70" s="51">
        <v>0.56947444958647375</v>
      </c>
      <c r="H70">
        <v>2.6349965501658628</v>
      </c>
      <c r="I70">
        <v>1.4864436727347066</v>
      </c>
      <c r="J70">
        <v>4.9679999999999991</v>
      </c>
      <c r="M70" s="211">
        <v>41631</v>
      </c>
      <c r="N70" s="262">
        <v>41631</v>
      </c>
      <c r="O70" s="10">
        <v>1.1294738854216377</v>
      </c>
      <c r="P70" s="235">
        <f t="shared" si="16"/>
        <v>0.56947444958647375</v>
      </c>
      <c r="Q70" s="262">
        <v>41631</v>
      </c>
      <c r="R70" s="62">
        <v>2.3505738854216389</v>
      </c>
      <c r="S70" s="235">
        <f t="shared" si="17"/>
        <v>2.6349965501658628</v>
      </c>
      <c r="T70" s="235">
        <f t="shared" si="18"/>
        <v>1.4864436727347066</v>
      </c>
      <c r="U70" s="235">
        <f t="shared" si="19"/>
        <v>4.9679999999999991</v>
      </c>
      <c r="V70" s="236"/>
    </row>
    <row r="71" spans="1:60">
      <c r="A71" s="211">
        <v>41632</v>
      </c>
      <c r="B71" s="218">
        <v>0.39300000000000002</v>
      </c>
      <c r="C71" s="218">
        <v>2.06</v>
      </c>
      <c r="D71" s="218">
        <v>1.41</v>
      </c>
      <c r="E71" s="220">
        <v>3.54</v>
      </c>
      <c r="F71" s="211">
        <v>41632</v>
      </c>
      <c r="G71" s="51">
        <v>0.39303599212225993</v>
      </c>
      <c r="H71">
        <v>2.0602434062651653</v>
      </c>
      <c r="I71">
        <v>1.4098371767342981</v>
      </c>
      <c r="J71">
        <v>3.5424000000000002</v>
      </c>
      <c r="M71" s="211">
        <v>41632</v>
      </c>
      <c r="N71" s="262">
        <v>41632</v>
      </c>
      <c r="O71" s="10">
        <v>1.1028156048852229</v>
      </c>
      <c r="P71" s="235">
        <f t="shared" si="16"/>
        <v>0.39303599212225993</v>
      </c>
      <c r="Q71" s="262">
        <v>41632</v>
      </c>
      <c r="R71" s="62">
        <v>2.3118156048852239</v>
      </c>
      <c r="S71" s="235">
        <f t="shared" si="17"/>
        <v>2.0602434062651653</v>
      </c>
      <c r="T71" s="235">
        <f t="shared" si="18"/>
        <v>1.4098371767342981</v>
      </c>
      <c r="U71" s="235">
        <f t="shared" si="19"/>
        <v>3.5424000000000002</v>
      </c>
      <c r="V71" s="236"/>
    </row>
    <row r="72" spans="1:60">
      <c r="A72" s="211">
        <v>41633</v>
      </c>
      <c r="B72" s="218">
        <v>0.50600000000000001</v>
      </c>
      <c r="C72" s="218">
        <v>2.85</v>
      </c>
      <c r="D72" s="218">
        <v>1.49</v>
      </c>
      <c r="E72" s="220">
        <v>3.44</v>
      </c>
      <c r="F72" s="211">
        <v>41633</v>
      </c>
      <c r="G72" s="51">
        <v>0.5057443635654395</v>
      </c>
      <c r="H72">
        <v>2.8535780423817458</v>
      </c>
      <c r="I72">
        <v>1.4931207691465183</v>
      </c>
      <c r="J72">
        <v>3.4416000000000002</v>
      </c>
      <c r="M72" s="211">
        <v>41633</v>
      </c>
      <c r="N72" s="262">
        <v>41633</v>
      </c>
      <c r="O72" s="10">
        <v>1.0784434202106383</v>
      </c>
      <c r="P72" s="235">
        <f t="shared" si="16"/>
        <v>0.5057443635654395</v>
      </c>
      <c r="Q72" s="262">
        <v>41633</v>
      </c>
      <c r="R72" s="62">
        <v>2.2767434202106376</v>
      </c>
      <c r="S72" s="235">
        <f t="shared" si="17"/>
        <v>2.8535780423817458</v>
      </c>
      <c r="T72" s="235">
        <f t="shared" si="18"/>
        <v>1.4931207691465183</v>
      </c>
      <c r="U72" s="235">
        <f t="shared" si="19"/>
        <v>3.4416000000000002</v>
      </c>
      <c r="V72" s="236"/>
    </row>
    <row r="73" spans="1:60">
      <c r="A73" s="211">
        <v>41634</v>
      </c>
      <c r="B73" s="218">
        <v>1.64</v>
      </c>
      <c r="C73" s="218">
        <v>2.2200000000000002</v>
      </c>
      <c r="D73" s="218">
        <v>1.17</v>
      </c>
      <c r="E73" s="220">
        <v>1.68</v>
      </c>
      <c r="F73" s="211">
        <v>41634</v>
      </c>
      <c r="G73" s="51">
        <v>1.6355713718672651</v>
      </c>
      <c r="H73">
        <v>2.2215100794748581</v>
      </c>
      <c r="I73">
        <v>1.1733069915397627</v>
      </c>
      <c r="J73">
        <v>1.6847999999999999</v>
      </c>
      <c r="M73" s="211">
        <v>41634</v>
      </c>
      <c r="N73" s="262">
        <v>41634</v>
      </c>
      <c r="O73" s="10">
        <v>1.0514010906809603</v>
      </c>
      <c r="P73" s="235">
        <f t="shared" si="16"/>
        <v>1.6355713718672651</v>
      </c>
      <c r="Q73" s="262">
        <v>41634</v>
      </c>
      <c r="R73" s="62">
        <v>2.2421010906809613</v>
      </c>
      <c r="S73" s="235">
        <f t="shared" si="17"/>
        <v>2.2215100794748581</v>
      </c>
      <c r="T73" s="235">
        <f t="shared" si="18"/>
        <v>1.1733069915397627</v>
      </c>
      <c r="U73" s="235">
        <f t="shared" si="19"/>
        <v>1.6847999999999999</v>
      </c>
      <c r="V73" s="236"/>
    </row>
    <row r="74" spans="1:60">
      <c r="A74" s="211">
        <v>41635</v>
      </c>
      <c r="B74" s="218">
        <v>0.878</v>
      </c>
      <c r="C74" s="218">
        <v>1.85</v>
      </c>
      <c r="D74" s="218">
        <v>1.39</v>
      </c>
      <c r="E74" s="220">
        <v>0.91900000000000004</v>
      </c>
      <c r="F74" s="211">
        <v>41635</v>
      </c>
      <c r="G74" s="51">
        <v>0.87777292866804757</v>
      </c>
      <c r="H74">
        <v>1.8489628663529076</v>
      </c>
      <c r="I74">
        <v>1.3886855674006375</v>
      </c>
      <c r="J74">
        <v>0.91871999999999998</v>
      </c>
      <c r="M74" s="211">
        <v>41635</v>
      </c>
      <c r="N74" s="262">
        <v>41635</v>
      </c>
      <c r="O74" s="10">
        <v>1.0209965847504816</v>
      </c>
      <c r="P74" s="235">
        <f t="shared" si="16"/>
        <v>0.87777292866804757</v>
      </c>
      <c r="Q74" s="262">
        <v>41635</v>
      </c>
      <c r="R74" s="62">
        <v>2.2058965847504819</v>
      </c>
      <c r="S74" s="235">
        <f t="shared" si="17"/>
        <v>1.8489628663529076</v>
      </c>
      <c r="T74" s="235">
        <f t="shared" si="18"/>
        <v>1.3886855674006375</v>
      </c>
      <c r="U74" s="235">
        <f t="shared" si="19"/>
        <v>0.91871999999999998</v>
      </c>
      <c r="V74" s="236"/>
    </row>
    <row r="75" spans="1:60">
      <c r="A75" s="211">
        <v>41636</v>
      </c>
      <c r="B75" s="218">
        <v>0.76800000000000002</v>
      </c>
      <c r="C75" s="218">
        <v>1.66</v>
      </c>
      <c r="D75" s="218">
        <v>2.0099999999999998</v>
      </c>
      <c r="E75" s="220">
        <v>0.97099999999999997</v>
      </c>
      <c r="F75" s="211">
        <v>41636</v>
      </c>
      <c r="G75" s="51">
        <v>0.76843228316337775</v>
      </c>
      <c r="H75">
        <v>1.6639015834679183</v>
      </c>
      <c r="I75">
        <v>2.0090834447837609</v>
      </c>
      <c r="J75">
        <v>0.97055999999999998</v>
      </c>
      <c r="M75" s="211">
        <v>41636</v>
      </c>
      <c r="N75" s="262">
        <v>41636</v>
      </c>
      <c r="O75" s="10">
        <v>0.99228676730036958</v>
      </c>
      <c r="P75" s="235">
        <f t="shared" si="16"/>
        <v>0.76843228316337775</v>
      </c>
      <c r="Q75" s="262">
        <v>41636</v>
      </c>
      <c r="R75" s="62">
        <v>2.1696867673003695</v>
      </c>
      <c r="S75" s="235">
        <f t="shared" si="17"/>
        <v>1.6639015834679183</v>
      </c>
      <c r="T75" s="235">
        <f t="shared" si="18"/>
        <v>2.0090834447837609</v>
      </c>
      <c r="U75" s="235">
        <f t="shared" si="19"/>
        <v>0.97055999999999998</v>
      </c>
      <c r="V75" s="236"/>
    </row>
    <row r="76" spans="1:60">
      <c r="A76" s="211">
        <v>41637</v>
      </c>
      <c r="B76" s="218">
        <v>0.16200000000000001</v>
      </c>
      <c r="C76" s="218">
        <v>3.48</v>
      </c>
      <c r="D76" s="218">
        <v>0.97499999999999998</v>
      </c>
      <c r="E76" s="220">
        <v>0.998</v>
      </c>
      <c r="F76" s="211">
        <v>41637</v>
      </c>
      <c r="G76" s="51">
        <v>0.16242659840085255</v>
      </c>
      <c r="H76">
        <v>3.481148219352423</v>
      </c>
      <c r="I76">
        <v>0.97471852729933206</v>
      </c>
      <c r="J76">
        <v>0.99791999999999992</v>
      </c>
      <c r="M76" s="211">
        <v>41637</v>
      </c>
      <c r="N76" s="262">
        <v>41637</v>
      </c>
      <c r="O76" s="10">
        <v>0.96585404559959065</v>
      </c>
      <c r="P76" s="235">
        <f t="shared" si="16"/>
        <v>0.16242659840085255</v>
      </c>
      <c r="Q76" s="262">
        <v>41637</v>
      </c>
      <c r="R76" s="62">
        <v>2.1281540455995902</v>
      </c>
      <c r="S76" s="235">
        <f t="shared" si="17"/>
        <v>3.481148219352423</v>
      </c>
      <c r="T76" s="235">
        <f t="shared" si="18"/>
        <v>0.97471852729933206</v>
      </c>
      <c r="U76" s="235">
        <f t="shared" si="19"/>
        <v>0.99791999999999992</v>
      </c>
      <c r="V76" s="236"/>
    </row>
    <row r="77" spans="1:60">
      <c r="A77" s="211">
        <v>41638</v>
      </c>
      <c r="B77" s="218">
        <v>0.27100000000000002</v>
      </c>
      <c r="C77" s="218">
        <v>0.90400000000000003</v>
      </c>
      <c r="D77" s="218">
        <v>2.06</v>
      </c>
      <c r="E77" s="220">
        <v>3.53</v>
      </c>
      <c r="F77" s="211">
        <v>41638</v>
      </c>
      <c r="G77" s="51">
        <v>0.27139643798940749</v>
      </c>
      <c r="H77">
        <v>0.90378747644363489</v>
      </c>
      <c r="I77">
        <v>2.0572191929802996</v>
      </c>
      <c r="J77">
        <v>3.528</v>
      </c>
      <c r="M77" s="211">
        <v>41638</v>
      </c>
      <c r="N77" s="262">
        <v>41638</v>
      </c>
      <c r="O77" s="10">
        <v>0.94686099884352315</v>
      </c>
      <c r="P77" s="235">
        <f t="shared" si="16"/>
        <v>0.27139643798940749</v>
      </c>
      <c r="Q77" s="262">
        <v>41638</v>
      </c>
      <c r="R77" s="62">
        <v>2.0889609988435236</v>
      </c>
      <c r="S77" s="235">
        <f t="shared" si="17"/>
        <v>0.90378747644363489</v>
      </c>
      <c r="T77" s="235">
        <f t="shared" si="18"/>
        <v>2.0572191929802996</v>
      </c>
      <c r="U77" s="235">
        <f t="shared" si="19"/>
        <v>3.528</v>
      </c>
      <c r="V77" s="236"/>
    </row>
    <row r="78" spans="1:60">
      <c r="A78" s="211">
        <v>41639</v>
      </c>
      <c r="B78" s="218">
        <v>-0.28799999999999998</v>
      </c>
      <c r="C78" s="218">
        <v>1.57</v>
      </c>
      <c r="D78" s="218">
        <v>2.29</v>
      </c>
      <c r="E78" s="220">
        <v>2.85</v>
      </c>
      <c r="F78" s="211">
        <v>41639</v>
      </c>
      <c r="G78" s="51">
        <v>-0.28833269867627037</v>
      </c>
      <c r="H78">
        <v>1.5727804140015467</v>
      </c>
      <c r="I78">
        <v>2.294508238372603</v>
      </c>
      <c r="J78">
        <v>2.8512</v>
      </c>
      <c r="M78" s="211">
        <v>41639</v>
      </c>
      <c r="N78" s="262">
        <v>41639</v>
      </c>
      <c r="O78" s="10">
        <v>0.92725057132731747</v>
      </c>
      <c r="P78" s="235">
        <f t="shared" si="16"/>
        <v>-0.28833269867627037</v>
      </c>
      <c r="Q78" s="262">
        <v>41639</v>
      </c>
      <c r="R78" s="62">
        <v>2.0485505713273184</v>
      </c>
      <c r="S78" s="235">
        <f t="shared" si="17"/>
        <v>1.5727804140015467</v>
      </c>
      <c r="T78" s="235">
        <f t="shared" si="18"/>
        <v>2.294508238372603</v>
      </c>
      <c r="U78" s="235">
        <f t="shared" si="19"/>
        <v>2.8512</v>
      </c>
      <c r="V78" s="236"/>
    </row>
    <row r="79" spans="1:60">
      <c r="A79" s="211">
        <v>41640</v>
      </c>
      <c r="B79" s="218">
        <v>-0.32900000000000001</v>
      </c>
      <c r="C79" s="218">
        <v>1.97</v>
      </c>
      <c r="D79" s="218">
        <v>3.24</v>
      </c>
      <c r="E79" s="220">
        <v>2.58</v>
      </c>
      <c r="F79" s="228">
        <v>41640</v>
      </c>
      <c r="G79" s="226">
        <v>-0.32900450010002985</v>
      </c>
      <c r="H79" s="227">
        <v>1.9662749174467264</v>
      </c>
      <c r="I79" s="227">
        <v>3.2419859054981006</v>
      </c>
      <c r="J79" s="227">
        <v>2.5775999999999999</v>
      </c>
      <c r="M79" s="228">
        <v>41640</v>
      </c>
      <c r="N79" s="261">
        <v>41640</v>
      </c>
      <c r="O79" s="10">
        <v>0.90683318586779882</v>
      </c>
      <c r="P79" s="235" t="s">
        <v>106</v>
      </c>
      <c r="Q79" s="261">
        <v>41640</v>
      </c>
      <c r="R79" s="62">
        <v>2.0045331858677997</v>
      </c>
      <c r="S79" s="235" t="s">
        <v>106</v>
      </c>
      <c r="T79" s="235"/>
      <c r="U79" s="235"/>
      <c r="V79" s="236"/>
    </row>
    <row r="80" spans="1:60">
      <c r="A80" s="211">
        <v>41641</v>
      </c>
      <c r="B80" s="218">
        <v>-0.48899999999999999</v>
      </c>
      <c r="C80" s="218">
        <v>0.99299999999999999</v>
      </c>
      <c r="D80" s="218">
        <v>0.81299999999999994</v>
      </c>
      <c r="E80" s="220">
        <v>1.76</v>
      </c>
      <c r="F80" s="211">
        <v>41641</v>
      </c>
      <c r="G80" s="51">
        <v>-0.48853298888598162</v>
      </c>
      <c r="H80">
        <v>0.99278997740990216</v>
      </c>
      <c r="I80">
        <v>0.8130560206943076</v>
      </c>
      <c r="J80">
        <v>1.7568000000000001</v>
      </c>
      <c r="M80" s="211">
        <v>41641</v>
      </c>
      <c r="N80" s="262">
        <v>41641</v>
      </c>
      <c r="O80" s="10">
        <v>0.88597981170674578</v>
      </c>
      <c r="P80" s="235">
        <f t="shared" ref="P80:P85" si="20">G80</f>
        <v>-0.48853298888598162</v>
      </c>
      <c r="Q80" s="262">
        <v>41641</v>
      </c>
      <c r="R80" s="62">
        <v>1.9808798117067459</v>
      </c>
      <c r="S80" s="235">
        <f t="shared" ref="S80:U85" si="21">H80</f>
        <v>0.99278997740990216</v>
      </c>
      <c r="T80" s="235">
        <f t="shared" si="21"/>
        <v>0.8130560206943076</v>
      </c>
      <c r="U80" s="235">
        <f t="shared" si="21"/>
        <v>1.7568000000000001</v>
      </c>
      <c r="V80" s="236"/>
      <c r="BE80">
        <v>0</v>
      </c>
      <c r="BG80">
        <v>0</v>
      </c>
      <c r="BH80">
        <f>IF(BG80&gt;0,BG80, )</f>
        <v>0</v>
      </c>
    </row>
    <row r="81" spans="1:60">
      <c r="A81" s="211">
        <v>41642</v>
      </c>
      <c r="B81" s="218">
        <v>-6.2700000000000004E-3</v>
      </c>
      <c r="C81" s="218">
        <v>0.5</v>
      </c>
      <c r="D81" s="218">
        <v>0.86</v>
      </c>
      <c r="E81" s="220">
        <v>1.89</v>
      </c>
      <c r="F81" s="211">
        <v>41642</v>
      </c>
      <c r="G81" s="51">
        <v>-6.2650090333920497E-3</v>
      </c>
      <c r="H81">
        <v>0.53209994278655559</v>
      </c>
      <c r="I81">
        <v>0.86026939967923932</v>
      </c>
      <c r="J81">
        <v>1.8863999999999999</v>
      </c>
      <c r="M81" s="211">
        <v>41642</v>
      </c>
      <c r="N81" s="262">
        <v>41642</v>
      </c>
      <c r="O81" s="10">
        <v>0.85625384067776678</v>
      </c>
      <c r="P81" s="235">
        <f t="shared" si="20"/>
        <v>-6.2650090333920497E-3</v>
      </c>
      <c r="Q81" s="262">
        <v>41642</v>
      </c>
      <c r="R81" s="62">
        <v>1.9578538406777672</v>
      </c>
      <c r="S81" s="235">
        <f t="shared" si="21"/>
        <v>0.53209994278655559</v>
      </c>
      <c r="T81" s="235">
        <f t="shared" si="21"/>
        <v>0.86026939967923932</v>
      </c>
      <c r="U81" s="235">
        <f t="shared" si="21"/>
        <v>1.8863999999999999</v>
      </c>
      <c r="V81" s="236"/>
      <c r="BE81">
        <v>2.34</v>
      </c>
      <c r="BF81">
        <v>2.34</v>
      </c>
      <c r="BG81">
        <v>2.34</v>
      </c>
      <c r="BH81">
        <f t="shared" ref="BH81:BH144" si="22">IF(BG81&gt;0,BG81, )</f>
        <v>2.34</v>
      </c>
    </row>
    <row r="82" spans="1:60">
      <c r="A82" s="211">
        <v>41643</v>
      </c>
      <c r="B82" s="218">
        <v>0.25900000000000001</v>
      </c>
      <c r="C82" s="218">
        <v>0.95699999999999996</v>
      </c>
      <c r="D82" s="218">
        <v>1.0900000000000001</v>
      </c>
      <c r="E82" s="220">
        <v>1.43</v>
      </c>
      <c r="F82" s="211">
        <v>41643</v>
      </c>
      <c r="G82" s="51">
        <v>0.25864402271873183</v>
      </c>
      <c r="H82">
        <v>0.95706882410562466</v>
      </c>
      <c r="I82">
        <v>1.094623729795529</v>
      </c>
      <c r="J82">
        <v>1.4327999999999999</v>
      </c>
      <c r="M82" s="211">
        <v>41643</v>
      </c>
      <c r="N82" s="262">
        <v>41643</v>
      </c>
      <c r="O82" s="10">
        <v>0.82819800980449421</v>
      </c>
      <c r="P82" s="235">
        <f t="shared" si="20"/>
        <v>0.25864402271873183</v>
      </c>
      <c r="Q82" s="262">
        <v>41643</v>
      </c>
      <c r="R82" s="62">
        <v>1.9360980098044942</v>
      </c>
      <c r="S82" s="235">
        <f t="shared" si="21"/>
        <v>0.95706882410562466</v>
      </c>
      <c r="T82" s="235">
        <f t="shared" si="21"/>
        <v>1.094623729795529</v>
      </c>
      <c r="U82" s="235">
        <f t="shared" si="21"/>
        <v>1.4327999999999999</v>
      </c>
      <c r="V82" s="236"/>
      <c r="BE82">
        <v>0.66</v>
      </c>
      <c r="BF82">
        <v>0.66</v>
      </c>
      <c r="BG82">
        <v>0.22</v>
      </c>
      <c r="BH82">
        <f t="shared" si="22"/>
        <v>0.22</v>
      </c>
    </row>
    <row r="83" spans="1:60">
      <c r="A83" s="211">
        <v>41644</v>
      </c>
      <c r="B83" s="218">
        <v>0.79900000000000004</v>
      </c>
      <c r="C83" s="218">
        <v>1.01</v>
      </c>
      <c r="D83" s="218">
        <v>1.36</v>
      </c>
      <c r="E83" s="220">
        <v>1.23</v>
      </c>
      <c r="F83" s="211">
        <v>41644</v>
      </c>
      <c r="G83" s="51">
        <v>0.82812721657620858</v>
      </c>
      <c r="H83">
        <v>1.0083357123997592</v>
      </c>
      <c r="I83">
        <v>1.3589583779788437</v>
      </c>
      <c r="J83">
        <v>7.9200000000000007E-2</v>
      </c>
      <c r="M83" s="211">
        <v>41644</v>
      </c>
      <c r="N83" s="262">
        <v>41644</v>
      </c>
      <c r="O83" s="10">
        <v>0.79448532579851039</v>
      </c>
      <c r="P83" s="235">
        <f t="shared" si="20"/>
        <v>0.82812721657620858</v>
      </c>
      <c r="Q83" s="262">
        <v>41644</v>
      </c>
      <c r="R83" s="62">
        <v>1.9113853257985107</v>
      </c>
      <c r="S83" s="235">
        <f t="shared" si="21"/>
        <v>1.0083357123997592</v>
      </c>
      <c r="T83" s="235">
        <f t="shared" si="21"/>
        <v>1.3589583779788437</v>
      </c>
      <c r="U83" s="235">
        <f t="shared" si="21"/>
        <v>7.9200000000000007E-2</v>
      </c>
      <c r="V83" s="236"/>
      <c r="BE83">
        <v>2.9999999999999801E-2</v>
      </c>
      <c r="BF83">
        <v>2.9999999999999801E-2</v>
      </c>
      <c r="BG83">
        <v>9.9999999999999603E-2</v>
      </c>
      <c r="BH83">
        <f t="shared" si="22"/>
        <v>9.9999999999999603E-2</v>
      </c>
    </row>
    <row r="84" spans="1:60">
      <c r="A84" s="211">
        <v>41645</v>
      </c>
      <c r="B84" s="218">
        <v>1.34</v>
      </c>
      <c r="C84" s="217"/>
      <c r="D84" s="218">
        <v>1.22</v>
      </c>
      <c r="E84" s="220">
        <v>0.755</v>
      </c>
      <c r="F84" s="211">
        <v>41645</v>
      </c>
      <c r="G84" s="51">
        <v>1.33632</v>
      </c>
      <c r="H84">
        <v>-0.17721527128805709</v>
      </c>
      <c r="I84">
        <v>1.2228366820038492</v>
      </c>
      <c r="J84">
        <v>0.7545599999999999</v>
      </c>
      <c r="M84" s="211">
        <v>41645</v>
      </c>
      <c r="N84" s="262">
        <v>41645</v>
      </c>
      <c r="O84" s="10">
        <v>0.76523991774205824</v>
      </c>
      <c r="P84" s="235">
        <f t="shared" si="20"/>
        <v>1.33632</v>
      </c>
      <c r="Q84" s="262">
        <v>41645</v>
      </c>
      <c r="R84" s="62">
        <v>1.887739917742058</v>
      </c>
      <c r="S84" s="235">
        <f t="shared" si="21"/>
        <v>-0.17721527128805709</v>
      </c>
      <c r="T84" s="235">
        <f t="shared" si="21"/>
        <v>1.2228366820038492</v>
      </c>
      <c r="U84" s="235">
        <f t="shared" si="21"/>
        <v>0.7545599999999999</v>
      </c>
      <c r="V84" s="236"/>
      <c r="BE84">
        <v>0.15</v>
      </c>
      <c r="BF84">
        <v>0.15</v>
      </c>
      <c r="BG84">
        <v>5.0000000000000301E-2</v>
      </c>
      <c r="BH84">
        <f t="shared" si="22"/>
        <v>5.0000000000000301E-2</v>
      </c>
    </row>
    <row r="85" spans="1:60">
      <c r="A85" s="211">
        <v>41646</v>
      </c>
      <c r="B85" s="218">
        <v>0.109</v>
      </c>
      <c r="C85" s="218">
        <v>-2.24E-2</v>
      </c>
      <c r="D85" s="218">
        <v>1.1000000000000001</v>
      </c>
      <c r="E85" s="220">
        <v>0.995</v>
      </c>
      <c r="F85" s="211">
        <v>41646</v>
      </c>
      <c r="G85" s="51">
        <v>0.10900799999999999</v>
      </c>
      <c r="H85">
        <v>-2.2783356034582803E-2</v>
      </c>
      <c r="I85">
        <v>1.1026630432856455</v>
      </c>
      <c r="J85">
        <v>0.99504000000000004</v>
      </c>
      <c r="M85" s="211">
        <v>41646</v>
      </c>
      <c r="N85" s="262">
        <v>41646</v>
      </c>
      <c r="O85" s="10">
        <v>0.74332233440979012</v>
      </c>
      <c r="P85" s="235">
        <f t="shared" si="20"/>
        <v>0.10900799999999999</v>
      </c>
      <c r="Q85" s="262">
        <v>41646</v>
      </c>
      <c r="R85" s="62">
        <v>1.8694223344097904</v>
      </c>
      <c r="S85" s="235">
        <f t="shared" si="21"/>
        <v>-2.2783356034582803E-2</v>
      </c>
      <c r="T85" s="235">
        <f t="shared" si="21"/>
        <v>1.1026630432856455</v>
      </c>
      <c r="U85" s="235">
        <f t="shared" si="21"/>
        <v>0.99504000000000004</v>
      </c>
      <c r="V85" s="236"/>
      <c r="BE85">
        <v>-1.00000000000002E-2</v>
      </c>
      <c r="BF85">
        <v>0</v>
      </c>
      <c r="BG85">
        <v>6.9999999999999798E-2</v>
      </c>
      <c r="BH85">
        <f t="shared" si="22"/>
        <v>6.9999999999999798E-2</v>
      </c>
    </row>
    <row r="86" spans="1:60">
      <c r="A86" s="211">
        <v>41647</v>
      </c>
      <c r="B86" s="220">
        <v>-0.61199999999999999</v>
      </c>
      <c r="C86" s="217"/>
      <c r="D86" s="218">
        <v>-0.624</v>
      </c>
      <c r="E86" s="220">
        <v>-1.22</v>
      </c>
      <c r="F86" s="211">
        <v>41647</v>
      </c>
      <c r="G86" s="51">
        <v>-0.57599999999999996</v>
      </c>
      <c r="H86">
        <v>-28.511999999999997</v>
      </c>
      <c r="I86">
        <v>-0.62409807888486579</v>
      </c>
      <c r="J86">
        <v>-1.2182400000000002</v>
      </c>
      <c r="M86" s="228">
        <v>41647</v>
      </c>
      <c r="N86" s="261">
        <v>41647</v>
      </c>
      <c r="O86" s="10">
        <v>0.72644667781262529</v>
      </c>
      <c r="P86" s="234" t="s">
        <v>106</v>
      </c>
      <c r="Q86" s="261">
        <v>41647</v>
      </c>
      <c r="R86" s="65">
        <v>1.6491466778126254</v>
      </c>
      <c r="S86" s="234" t="s">
        <v>106</v>
      </c>
      <c r="T86" s="234"/>
      <c r="U86" s="234"/>
      <c r="V86" s="236"/>
      <c r="AR86" t="s">
        <v>599</v>
      </c>
      <c r="BE86">
        <v>-0.04</v>
      </c>
      <c r="BF86">
        <v>0</v>
      </c>
      <c r="BG86">
        <v>0.02</v>
      </c>
      <c r="BH86">
        <f t="shared" si="22"/>
        <v>0.02</v>
      </c>
    </row>
    <row r="87" spans="1:60">
      <c r="A87" s="211">
        <v>41648</v>
      </c>
      <c r="B87" s="220">
        <v>1.34</v>
      </c>
      <c r="C87" s="218"/>
      <c r="D87" s="218">
        <v>1.34</v>
      </c>
      <c r="E87" s="220">
        <v>1.39</v>
      </c>
      <c r="F87" s="211">
        <v>41648</v>
      </c>
      <c r="G87" s="51">
        <v>1.3449600000000002</v>
      </c>
      <c r="H87">
        <v>-2.2205988269460639</v>
      </c>
      <c r="I87">
        <v>1.337378577976011</v>
      </c>
      <c r="J87">
        <v>1.3881599999999998</v>
      </c>
      <c r="M87" s="211">
        <v>41648</v>
      </c>
      <c r="N87" s="262">
        <v>41648</v>
      </c>
      <c r="O87" s="10">
        <v>0.72156631271284555</v>
      </c>
      <c r="P87" s="235">
        <f t="shared" ref="P87:P95" si="23">G87</f>
        <v>1.3449600000000002</v>
      </c>
      <c r="Q87" s="262">
        <v>41648</v>
      </c>
      <c r="R87" s="62">
        <v>1.8071663127128443</v>
      </c>
      <c r="S87" s="235">
        <f t="shared" ref="S87:U91" si="24">H87</f>
        <v>-2.2205988269460639</v>
      </c>
      <c r="T87" s="235">
        <f t="shared" si="24"/>
        <v>1.337378577976011</v>
      </c>
      <c r="U87" s="235">
        <f t="shared" si="24"/>
        <v>1.3881599999999998</v>
      </c>
      <c r="V87" s="236"/>
      <c r="BE87">
        <v>-0.04</v>
      </c>
      <c r="BF87">
        <v>0</v>
      </c>
      <c r="BG87">
        <v>-9.9999999999997903E-3</v>
      </c>
      <c r="BH87">
        <f t="shared" si="22"/>
        <v>0</v>
      </c>
    </row>
    <row r="88" spans="1:60">
      <c r="A88" s="211">
        <v>41649</v>
      </c>
      <c r="B88" s="220">
        <v>1.32</v>
      </c>
      <c r="C88" s="218">
        <v>1.5</v>
      </c>
      <c r="D88" s="218">
        <v>1.24</v>
      </c>
      <c r="E88" s="220">
        <v>0.98599999999999999</v>
      </c>
      <c r="F88" s="211">
        <v>41649</v>
      </c>
      <c r="G88" s="51">
        <v>1.3204800000000001</v>
      </c>
      <c r="H88">
        <v>1.4961209645573192</v>
      </c>
      <c r="I88">
        <v>1.2449419530532713</v>
      </c>
      <c r="J88">
        <v>0.98639999999999994</v>
      </c>
      <c r="M88" s="211">
        <v>41649</v>
      </c>
      <c r="N88" s="262">
        <v>41649</v>
      </c>
      <c r="O88" s="10">
        <v>0.70435056662793416</v>
      </c>
      <c r="P88" s="235">
        <f t="shared" si="23"/>
        <v>1.3204800000000001</v>
      </c>
      <c r="Q88" s="262">
        <v>41649</v>
      </c>
      <c r="R88" s="62">
        <v>1.8004505666279333</v>
      </c>
      <c r="S88" s="235">
        <f t="shared" si="24"/>
        <v>1.4961209645573192</v>
      </c>
      <c r="T88" s="235">
        <f t="shared" si="24"/>
        <v>1.2449419530532713</v>
      </c>
      <c r="U88" s="235">
        <f t="shared" si="24"/>
        <v>0.98639999999999994</v>
      </c>
      <c r="V88" s="236"/>
      <c r="BE88">
        <v>-4.9999999999999802E-2</v>
      </c>
      <c r="BF88">
        <v>0</v>
      </c>
      <c r="BG88">
        <v>-0.02</v>
      </c>
      <c r="BH88">
        <f t="shared" si="22"/>
        <v>0</v>
      </c>
    </row>
    <row r="89" spans="1:60">
      <c r="A89" s="211">
        <v>41650</v>
      </c>
      <c r="B89" s="220">
        <v>0.51400000000000001</v>
      </c>
      <c r="C89" s="218">
        <v>0.80300000000000005</v>
      </c>
      <c r="D89" s="218">
        <v>1.04</v>
      </c>
      <c r="E89" s="220">
        <v>0.63600000000000001</v>
      </c>
      <c r="F89" s="211">
        <v>41650</v>
      </c>
      <c r="G89" s="51">
        <v>0.57599999999999996</v>
      </c>
      <c r="H89">
        <v>0.85471084501868233</v>
      </c>
      <c r="I89">
        <v>1.0391201934159273</v>
      </c>
      <c r="J89">
        <v>0.63648000000000005</v>
      </c>
      <c r="M89" s="211">
        <v>41650</v>
      </c>
      <c r="N89" s="262">
        <v>41650</v>
      </c>
      <c r="O89" s="10">
        <v>0.681747092355661</v>
      </c>
      <c r="P89" s="235">
        <f t="shared" si="23"/>
        <v>0.57599999999999996</v>
      </c>
      <c r="Q89" s="262">
        <v>41650</v>
      </c>
      <c r="R89" s="62">
        <v>1.7729470923556627</v>
      </c>
      <c r="S89" s="235">
        <f t="shared" si="24"/>
        <v>0.85471084501868233</v>
      </c>
      <c r="T89" s="235">
        <f t="shared" si="24"/>
        <v>1.0391201934159273</v>
      </c>
      <c r="U89" s="235">
        <f t="shared" si="24"/>
        <v>0.63648000000000005</v>
      </c>
      <c r="V89" s="236"/>
      <c r="BE89">
        <v>-0.04</v>
      </c>
      <c r="BF89">
        <v>0</v>
      </c>
      <c r="BG89">
        <v>-0.02</v>
      </c>
      <c r="BH89">
        <f t="shared" si="22"/>
        <v>0</v>
      </c>
    </row>
    <row r="90" spans="1:60">
      <c r="A90" s="211">
        <v>41651</v>
      </c>
      <c r="B90" s="220">
        <v>0.30199999999999999</v>
      </c>
      <c r="C90" s="220">
        <v>1.92</v>
      </c>
      <c r="D90" s="218">
        <v>1.04</v>
      </c>
      <c r="E90" s="220">
        <v>0.58599999999999997</v>
      </c>
      <c r="F90" s="211">
        <v>41651</v>
      </c>
      <c r="G90" s="51">
        <v>0.28799999999999998</v>
      </c>
      <c r="H90">
        <v>1.904436657899276</v>
      </c>
      <c r="I90">
        <v>1.0384080211698601</v>
      </c>
      <c r="J90">
        <v>0.58608000000000005</v>
      </c>
      <c r="M90" s="211">
        <v>41651</v>
      </c>
      <c r="N90" s="262">
        <v>41651</v>
      </c>
      <c r="O90" s="10">
        <v>0.65773114369861618</v>
      </c>
      <c r="P90" s="235">
        <f t="shared" si="23"/>
        <v>0.28799999999999998</v>
      </c>
      <c r="Q90" s="262">
        <v>41651</v>
      </c>
      <c r="R90" s="66">
        <v>1.1646311436986172</v>
      </c>
      <c r="S90" s="235">
        <f t="shared" si="24"/>
        <v>1.904436657899276</v>
      </c>
      <c r="T90" s="235">
        <f t="shared" si="24"/>
        <v>1.0384080211698601</v>
      </c>
      <c r="U90" s="235">
        <f t="shared" si="24"/>
        <v>0.58608000000000005</v>
      </c>
      <c r="V90" s="236"/>
      <c r="BE90">
        <v>-0.04</v>
      </c>
      <c r="BF90">
        <v>0</v>
      </c>
      <c r="BG90">
        <v>-0.02</v>
      </c>
      <c r="BH90">
        <f t="shared" si="22"/>
        <v>0</v>
      </c>
    </row>
    <row r="91" spans="1:60">
      <c r="A91" s="211">
        <v>41652</v>
      </c>
      <c r="B91" s="221">
        <v>3.87</v>
      </c>
      <c r="C91" s="220">
        <v>3.17</v>
      </c>
      <c r="D91" s="218">
        <v>0.72199999999999998</v>
      </c>
      <c r="E91" s="220">
        <v>0.78300000000000003</v>
      </c>
      <c r="F91" s="211">
        <v>41652</v>
      </c>
      <c r="G91" s="51">
        <v>3.8736000000000002</v>
      </c>
      <c r="H91">
        <v>3.1572366578992761</v>
      </c>
      <c r="I91">
        <v>0.72196983464759812</v>
      </c>
      <c r="J91">
        <v>0.78335999999999995</v>
      </c>
      <c r="M91" s="211">
        <v>41652</v>
      </c>
      <c r="N91" s="262">
        <v>41652</v>
      </c>
      <c r="O91" s="10">
        <v>0.61232889425791415</v>
      </c>
      <c r="P91" s="235">
        <f t="shared" si="23"/>
        <v>3.8736000000000002</v>
      </c>
      <c r="Q91" s="262">
        <v>41652</v>
      </c>
      <c r="R91" s="75">
        <v>1.1184288942579135</v>
      </c>
      <c r="S91" s="235">
        <f t="shared" si="24"/>
        <v>3.1572366578992761</v>
      </c>
      <c r="T91" s="235">
        <f t="shared" si="24"/>
        <v>0.72196983464759812</v>
      </c>
      <c r="U91" s="235">
        <f t="shared" si="24"/>
        <v>0.78335999999999995</v>
      </c>
      <c r="V91" s="236"/>
      <c r="BE91">
        <v>-0.04</v>
      </c>
      <c r="BF91">
        <v>0</v>
      </c>
      <c r="BG91">
        <v>-0.02</v>
      </c>
      <c r="BH91">
        <f t="shared" si="22"/>
        <v>0</v>
      </c>
    </row>
    <row r="92" spans="1:60">
      <c r="A92" s="211">
        <v>41653</v>
      </c>
      <c r="B92" s="221">
        <v>4.28</v>
      </c>
      <c r="C92" s="217"/>
      <c r="D92" s="218">
        <v>1.34</v>
      </c>
      <c r="E92" s="220">
        <v>0.628</v>
      </c>
      <c r="F92" s="211">
        <v>41653</v>
      </c>
      <c r="G92" s="73">
        <v>4.2767999999999997</v>
      </c>
      <c r="I92">
        <v>1.3419423188444295</v>
      </c>
      <c r="J92">
        <v>0.62783999999999995</v>
      </c>
      <c r="M92" s="211">
        <v>41653</v>
      </c>
      <c r="N92" s="262">
        <v>41653</v>
      </c>
      <c r="O92" s="10">
        <v>0.53664341316156028</v>
      </c>
      <c r="P92" s="235">
        <f t="shared" si="23"/>
        <v>4.2767999999999997</v>
      </c>
      <c r="Q92" s="262">
        <v>41653</v>
      </c>
      <c r="R92" s="235"/>
      <c r="S92" s="235"/>
      <c r="T92" s="235">
        <f t="shared" ref="T92:U95" si="25">I92</f>
        <v>1.3419423188444295</v>
      </c>
      <c r="U92" s="235">
        <f t="shared" si="25"/>
        <v>0.62783999999999995</v>
      </c>
      <c r="V92" s="236"/>
      <c r="AW92" t="s">
        <v>112</v>
      </c>
      <c r="BE92">
        <v>-0.04</v>
      </c>
      <c r="BF92">
        <v>0</v>
      </c>
      <c r="BG92">
        <v>-0.02</v>
      </c>
      <c r="BH92">
        <f t="shared" si="22"/>
        <v>0</v>
      </c>
    </row>
    <row r="93" spans="1:60">
      <c r="A93" s="211">
        <v>41654</v>
      </c>
      <c r="B93" s="220">
        <v>-0.68300000000000005</v>
      </c>
      <c r="C93" s="217"/>
      <c r="D93" s="218">
        <v>1.33</v>
      </c>
      <c r="E93" s="220">
        <v>0.54100000000000004</v>
      </c>
      <c r="F93" s="211">
        <v>41654</v>
      </c>
      <c r="G93" s="73">
        <v>-0.72000000000000008</v>
      </c>
      <c r="I93">
        <v>1.3272920470254472</v>
      </c>
      <c r="J93">
        <v>0.54143999999999992</v>
      </c>
      <c r="M93" s="211">
        <v>41654</v>
      </c>
      <c r="N93" s="262">
        <v>41654</v>
      </c>
      <c r="O93" s="10">
        <v>0.45490926170738405</v>
      </c>
      <c r="P93" s="235">
        <f t="shared" si="23"/>
        <v>-0.72000000000000008</v>
      </c>
      <c r="Q93" s="262">
        <v>41654</v>
      </c>
      <c r="R93" s="235"/>
      <c r="S93" s="235"/>
      <c r="T93" s="235">
        <f t="shared" si="25"/>
        <v>1.3272920470254472</v>
      </c>
      <c r="U93" s="235">
        <f t="shared" si="25"/>
        <v>0.54143999999999992</v>
      </c>
      <c r="V93" s="236"/>
      <c r="BE93">
        <v>-0.04</v>
      </c>
      <c r="BF93">
        <v>0</v>
      </c>
      <c r="BG93">
        <v>-0.02</v>
      </c>
      <c r="BH93">
        <f t="shared" si="22"/>
        <v>0</v>
      </c>
    </row>
    <row r="94" spans="1:60">
      <c r="A94" s="211">
        <v>41655</v>
      </c>
      <c r="B94" s="221">
        <v>6.41</v>
      </c>
      <c r="C94" s="217"/>
      <c r="D94" s="218">
        <v>1.01</v>
      </c>
      <c r="E94" s="220">
        <v>0.64500000000000002</v>
      </c>
      <c r="F94" s="211">
        <v>41655</v>
      </c>
      <c r="G94" s="73">
        <v>6.4079999999999995</v>
      </c>
      <c r="I94">
        <v>1.010292671458225</v>
      </c>
      <c r="J94">
        <v>0.64512000000000003</v>
      </c>
      <c r="M94" s="211">
        <v>41655</v>
      </c>
      <c r="N94" s="262">
        <v>41655</v>
      </c>
      <c r="O94" s="10">
        <v>0.40644607479560563</v>
      </c>
      <c r="P94" s="235">
        <f t="shared" si="23"/>
        <v>6.4079999999999995</v>
      </c>
      <c r="Q94" s="262">
        <v>41655</v>
      </c>
      <c r="R94" s="235"/>
      <c r="S94" s="235"/>
      <c r="T94" s="235">
        <f t="shared" si="25"/>
        <v>1.010292671458225</v>
      </c>
      <c r="U94" s="235">
        <f t="shared" si="25"/>
        <v>0.64512000000000003</v>
      </c>
      <c r="V94" s="236"/>
      <c r="BE94">
        <v>-0.04</v>
      </c>
      <c r="BF94">
        <v>0</v>
      </c>
      <c r="BG94">
        <v>-0.02</v>
      </c>
      <c r="BH94">
        <f t="shared" si="22"/>
        <v>0</v>
      </c>
    </row>
    <row r="95" spans="1:60">
      <c r="A95" s="211">
        <v>41656</v>
      </c>
      <c r="B95" s="221"/>
      <c r="C95" s="217"/>
      <c r="D95" s="218">
        <v>1.02</v>
      </c>
      <c r="E95" s="220">
        <v>1.1100000000000001</v>
      </c>
      <c r="F95" s="211">
        <v>41656</v>
      </c>
      <c r="G95" s="256">
        <v>8.1504000000000012</v>
      </c>
      <c r="I95">
        <v>1.0201309896267592</v>
      </c>
      <c r="J95">
        <v>1.1059199999999998</v>
      </c>
      <c r="M95" s="211">
        <v>41656</v>
      </c>
      <c r="N95" s="262">
        <v>41656</v>
      </c>
      <c r="O95" s="10">
        <v>0.30954382535490638</v>
      </c>
      <c r="P95" s="235">
        <f t="shared" si="23"/>
        <v>8.1504000000000012</v>
      </c>
      <c r="Q95" s="262">
        <v>41656</v>
      </c>
      <c r="R95" s="235"/>
      <c r="S95" s="235"/>
      <c r="T95" s="235">
        <f t="shared" si="25"/>
        <v>1.0201309896267592</v>
      </c>
      <c r="U95" s="235">
        <f t="shared" si="25"/>
        <v>1.1059199999999998</v>
      </c>
      <c r="V95" s="236"/>
      <c r="BE95">
        <v>-0.04</v>
      </c>
      <c r="BF95">
        <v>0</v>
      </c>
      <c r="BG95">
        <v>-0.02</v>
      </c>
      <c r="BH95">
        <f t="shared" si="22"/>
        <v>0</v>
      </c>
    </row>
    <row r="96" spans="1:60">
      <c r="A96" s="211">
        <v>41657</v>
      </c>
      <c r="B96" s="217"/>
      <c r="C96" s="217"/>
      <c r="D96" s="218">
        <v>0.745</v>
      </c>
      <c r="E96" s="220">
        <v>0.93</v>
      </c>
      <c r="F96" s="211">
        <v>41657</v>
      </c>
      <c r="G96" s="73">
        <v>-2.8800000000000003</v>
      </c>
      <c r="I96">
        <v>0.74483004024267152</v>
      </c>
      <c r="J96">
        <v>0.93024000000000007</v>
      </c>
      <c r="M96" s="211">
        <v>41657</v>
      </c>
      <c r="N96" s="262">
        <v>41657</v>
      </c>
      <c r="O96" s="235">
        <v>0.21282725723299883</v>
      </c>
      <c r="P96" s="235" t="s">
        <v>106</v>
      </c>
      <c r="Q96" s="262">
        <v>41657</v>
      </c>
      <c r="R96" s="235"/>
      <c r="S96" s="235"/>
      <c r="T96" s="235">
        <f t="shared" ref="T96:T130" si="26">J96</f>
        <v>0.93024000000000007</v>
      </c>
      <c r="U96" s="236"/>
      <c r="BE96">
        <v>-3.9999999999999598E-2</v>
      </c>
      <c r="BF96">
        <v>0</v>
      </c>
      <c r="BG96">
        <v>-0.02</v>
      </c>
      <c r="BH96">
        <f t="shared" si="22"/>
        <v>0</v>
      </c>
    </row>
    <row r="97" spans="1:60">
      <c r="A97" s="211">
        <v>41658</v>
      </c>
      <c r="B97" s="217"/>
      <c r="C97" s="217"/>
      <c r="D97" s="218">
        <v>0.56599999999999995</v>
      </c>
      <c r="E97" s="220">
        <v>0.71</v>
      </c>
      <c r="F97" s="211">
        <v>41658</v>
      </c>
      <c r="G97" s="73">
        <v>-2.8800000000000003</v>
      </c>
      <c r="I97">
        <v>0.56576661193491162</v>
      </c>
      <c r="J97">
        <v>0.70992</v>
      </c>
      <c r="M97" s="211">
        <v>41658</v>
      </c>
      <c r="N97" s="262">
        <v>41658</v>
      </c>
      <c r="O97" s="235">
        <v>0.21143871875709991</v>
      </c>
      <c r="P97" s="235" t="s">
        <v>106</v>
      </c>
      <c r="Q97" s="262">
        <v>41658</v>
      </c>
      <c r="R97" s="235"/>
      <c r="S97" s="235"/>
      <c r="T97" s="235">
        <f t="shared" si="26"/>
        <v>0.70992</v>
      </c>
      <c r="U97" s="236"/>
      <c r="BE97">
        <v>-0.02</v>
      </c>
      <c r="BF97">
        <v>0</v>
      </c>
      <c r="BG97">
        <v>-0.02</v>
      </c>
      <c r="BH97">
        <f t="shared" si="22"/>
        <v>0</v>
      </c>
    </row>
    <row r="98" spans="1:60">
      <c r="A98" s="211">
        <v>41659</v>
      </c>
      <c r="B98" s="217"/>
      <c r="C98" s="217"/>
      <c r="D98" s="218">
        <v>0.56799999999999995</v>
      </c>
      <c r="E98" s="220">
        <v>0.60599999999999998</v>
      </c>
      <c r="F98" s="211">
        <v>41659</v>
      </c>
      <c r="I98">
        <v>0.56816344768324634</v>
      </c>
      <c r="J98">
        <v>0.60624000000000011</v>
      </c>
      <c r="M98" s="211">
        <v>41659</v>
      </c>
      <c r="N98" s="262">
        <v>41659</v>
      </c>
      <c r="O98" s="235" t="s">
        <v>106</v>
      </c>
      <c r="P98" s="235" t="s">
        <v>106</v>
      </c>
      <c r="Q98" s="262">
        <v>41659</v>
      </c>
      <c r="R98" s="235"/>
      <c r="S98" s="235"/>
      <c r="T98" s="235">
        <f t="shared" si="26"/>
        <v>0.60624000000000011</v>
      </c>
      <c r="U98" s="236"/>
      <c r="BE98">
        <v>-0.04</v>
      </c>
      <c r="BF98">
        <v>0</v>
      </c>
      <c r="BG98">
        <v>-0.02</v>
      </c>
      <c r="BH98">
        <f t="shared" si="22"/>
        <v>0</v>
      </c>
    </row>
    <row r="99" spans="1:60">
      <c r="A99" s="211">
        <v>41660</v>
      </c>
      <c r="B99" s="217"/>
      <c r="C99" s="217"/>
      <c r="D99" s="218">
        <v>0.59799999999999998</v>
      </c>
      <c r="E99" s="220">
        <v>0.48499999999999999</v>
      </c>
      <c r="F99" s="211">
        <v>41660</v>
      </c>
      <c r="I99">
        <v>0.59808424612383948</v>
      </c>
      <c r="J99">
        <v>0.48527999999999999</v>
      </c>
      <c r="M99" s="211">
        <v>41660</v>
      </c>
      <c r="N99" s="262">
        <v>41660</v>
      </c>
      <c r="O99" s="235" t="s">
        <v>106</v>
      </c>
      <c r="P99" s="235" t="s">
        <v>106</v>
      </c>
      <c r="Q99" s="262">
        <v>41660</v>
      </c>
      <c r="R99" s="235"/>
      <c r="S99" s="235"/>
      <c r="T99" s="235">
        <f t="shared" si="26"/>
        <v>0.48527999999999999</v>
      </c>
      <c r="U99" s="236"/>
      <c r="BE99">
        <v>-0.04</v>
      </c>
      <c r="BF99">
        <v>0</v>
      </c>
      <c r="BG99">
        <v>-9.9999999999997903E-3</v>
      </c>
      <c r="BH99">
        <f t="shared" si="22"/>
        <v>0</v>
      </c>
    </row>
    <row r="100" spans="1:60">
      <c r="A100" s="211">
        <v>41661</v>
      </c>
      <c r="B100" s="217"/>
      <c r="C100" s="217"/>
      <c r="D100" s="218">
        <v>0.52900000000000003</v>
      </c>
      <c r="E100" s="220">
        <v>0.36099999999999999</v>
      </c>
      <c r="F100" s="211">
        <v>41661</v>
      </c>
      <c r="I100">
        <v>0.52868427880805713</v>
      </c>
      <c r="J100">
        <v>0.36144000000000004</v>
      </c>
      <c r="M100" s="211">
        <v>41661</v>
      </c>
      <c r="N100" s="262">
        <v>41661</v>
      </c>
      <c r="O100" s="235" t="s">
        <v>106</v>
      </c>
      <c r="P100" s="235" t="s">
        <v>106</v>
      </c>
      <c r="Q100" s="262">
        <v>41661</v>
      </c>
      <c r="R100" s="235"/>
      <c r="S100" s="235"/>
      <c r="T100" s="235">
        <f t="shared" si="26"/>
        <v>0.36144000000000004</v>
      </c>
      <c r="U100" s="236"/>
      <c r="BE100">
        <v>-3.0000000000000301E-2</v>
      </c>
      <c r="BF100">
        <v>0</v>
      </c>
      <c r="BG100">
        <v>-0.02</v>
      </c>
      <c r="BH100">
        <f t="shared" si="22"/>
        <v>0</v>
      </c>
    </row>
    <row r="101" spans="1:60">
      <c r="A101" s="211">
        <v>41662</v>
      </c>
      <c r="B101" s="217"/>
      <c r="C101" s="217"/>
      <c r="D101" s="218">
        <v>4.4299999999999999E-3</v>
      </c>
      <c r="E101" s="220">
        <v>6.3100000000000003E-2</v>
      </c>
      <c r="F101" s="211">
        <v>41662</v>
      </c>
      <c r="I101">
        <v>4.4321294862278964E-3</v>
      </c>
      <c r="J101">
        <v>6.3072000000000003E-2</v>
      </c>
      <c r="M101" s="211">
        <v>41662</v>
      </c>
      <c r="N101" s="262">
        <v>41662</v>
      </c>
      <c r="O101" s="235" t="s">
        <v>106</v>
      </c>
      <c r="P101" s="235" t="s">
        <v>106</v>
      </c>
      <c r="Q101" s="262">
        <v>41662</v>
      </c>
      <c r="R101" s="235"/>
      <c r="S101" s="235"/>
      <c r="T101" s="235">
        <f t="shared" si="26"/>
        <v>6.3072000000000003E-2</v>
      </c>
      <c r="U101" s="236"/>
      <c r="BE101">
        <v>0.02</v>
      </c>
      <c r="BF101">
        <v>0.02</v>
      </c>
      <c r="BG101">
        <v>9.9999999999997903E-3</v>
      </c>
      <c r="BH101">
        <f t="shared" si="22"/>
        <v>9.9999999999997903E-3</v>
      </c>
    </row>
    <row r="102" spans="1:60">
      <c r="A102" s="211">
        <v>41663</v>
      </c>
      <c r="B102" s="217"/>
      <c r="C102" s="217"/>
      <c r="D102" s="218">
        <v>0.34699999999999998</v>
      </c>
      <c r="E102" s="220">
        <v>0.42599999999999999</v>
      </c>
      <c r="F102" s="211">
        <v>41663</v>
      </c>
      <c r="I102">
        <v>0.34718426852914031</v>
      </c>
      <c r="J102">
        <v>0.42624000000000006</v>
      </c>
      <c r="M102" s="211">
        <v>41663</v>
      </c>
      <c r="N102" s="262">
        <v>41663</v>
      </c>
      <c r="O102" s="235" t="s">
        <v>106</v>
      </c>
      <c r="P102" s="235" t="s">
        <v>106</v>
      </c>
      <c r="Q102" s="262">
        <v>41663</v>
      </c>
      <c r="R102" s="235"/>
      <c r="S102" s="235"/>
      <c r="T102" s="235">
        <f t="shared" si="26"/>
        <v>0.42624000000000006</v>
      </c>
      <c r="U102" s="236"/>
      <c r="BE102">
        <v>-9.9999999999997903E-3</v>
      </c>
      <c r="BF102">
        <v>0</v>
      </c>
      <c r="BG102">
        <v>0</v>
      </c>
      <c r="BH102">
        <f t="shared" si="22"/>
        <v>0</v>
      </c>
    </row>
    <row r="103" spans="1:60">
      <c r="A103" s="211">
        <v>41664</v>
      </c>
      <c r="B103" s="217"/>
      <c r="C103" s="217"/>
      <c r="D103" s="220">
        <v>-0.47799999999999998</v>
      </c>
      <c r="E103" s="220">
        <v>1.04</v>
      </c>
      <c r="F103" s="211">
        <v>41664</v>
      </c>
      <c r="I103">
        <v>-0.47808</v>
      </c>
      <c r="J103">
        <v>1.0396800000000002</v>
      </c>
      <c r="M103" s="211">
        <v>41664</v>
      </c>
      <c r="N103" s="262">
        <v>41664</v>
      </c>
      <c r="O103" s="235" t="s">
        <v>106</v>
      </c>
      <c r="P103" s="235" t="s">
        <v>106</v>
      </c>
      <c r="Q103" s="262">
        <v>41664</v>
      </c>
      <c r="R103" s="235"/>
      <c r="S103" s="235"/>
      <c r="T103" s="235">
        <f t="shared" si="26"/>
        <v>1.0396800000000002</v>
      </c>
      <c r="U103" s="236"/>
      <c r="BE103">
        <v>-3.0000000000000301E-2</v>
      </c>
      <c r="BF103">
        <v>0</v>
      </c>
      <c r="BG103">
        <v>-0.02</v>
      </c>
      <c r="BH103">
        <f t="shared" si="22"/>
        <v>0</v>
      </c>
    </row>
    <row r="104" spans="1:60">
      <c r="A104" s="211">
        <v>41665</v>
      </c>
      <c r="B104" s="217"/>
      <c r="C104" s="217"/>
      <c r="D104" s="222">
        <v>-0.16</v>
      </c>
      <c r="E104" s="222">
        <v>-2.6800000000000001E-2</v>
      </c>
      <c r="F104" s="211">
        <v>41665</v>
      </c>
      <c r="I104">
        <v>-0.15984000000000001</v>
      </c>
      <c r="J104">
        <v>2.6783999999999999E-2</v>
      </c>
      <c r="M104" s="211">
        <v>41665</v>
      </c>
      <c r="N104" s="262">
        <v>41665</v>
      </c>
      <c r="O104" s="235" t="s">
        <v>106</v>
      </c>
      <c r="P104" s="235" t="s">
        <v>106</v>
      </c>
      <c r="Q104" s="262">
        <v>41665</v>
      </c>
      <c r="R104" s="235"/>
      <c r="S104" s="235"/>
      <c r="T104" s="235">
        <f t="shared" si="26"/>
        <v>2.6783999999999999E-2</v>
      </c>
      <c r="U104" s="236"/>
      <c r="BE104">
        <v>-0.04</v>
      </c>
      <c r="BF104">
        <v>0</v>
      </c>
      <c r="BG104">
        <v>-0.02</v>
      </c>
      <c r="BH104">
        <f t="shared" si="22"/>
        <v>0</v>
      </c>
    </row>
    <row r="105" spans="1:60">
      <c r="A105" s="211">
        <v>41666</v>
      </c>
      <c r="B105" s="217"/>
      <c r="C105" s="217"/>
      <c r="D105" s="222">
        <v>-0.41</v>
      </c>
      <c r="E105" s="222">
        <v>-1.2800000000000001E-2</v>
      </c>
      <c r="F105" s="211">
        <v>41666</v>
      </c>
      <c r="I105">
        <v>-0.41039999999999999</v>
      </c>
      <c r="J105">
        <v>-1.2830399999999999E-2</v>
      </c>
      <c r="M105" s="211">
        <v>41666</v>
      </c>
      <c r="N105" s="262">
        <v>41666</v>
      </c>
      <c r="O105" s="235" t="s">
        <v>106</v>
      </c>
      <c r="P105" s="235" t="s">
        <v>106</v>
      </c>
      <c r="Q105" s="262">
        <v>41666</v>
      </c>
      <c r="R105" s="235"/>
      <c r="S105" s="235"/>
      <c r="T105" s="235">
        <f t="shared" si="26"/>
        <v>-1.2830399999999999E-2</v>
      </c>
      <c r="U105" s="236"/>
      <c r="BE105">
        <v>-2.9999999999999801E-2</v>
      </c>
      <c r="BF105">
        <v>0</v>
      </c>
      <c r="BG105">
        <v>-0.02</v>
      </c>
      <c r="BH105">
        <f t="shared" si="22"/>
        <v>0</v>
      </c>
    </row>
    <row r="106" spans="1:60">
      <c r="A106" s="211">
        <v>41667</v>
      </c>
      <c r="B106" s="217"/>
      <c r="C106" s="217"/>
      <c r="D106" s="222">
        <v>-0.24199999999999999</v>
      </c>
      <c r="E106" s="220">
        <v>9.6199999999999994E-2</v>
      </c>
      <c r="F106" s="211">
        <v>41667</v>
      </c>
      <c r="I106">
        <v>-0.24191999999999997</v>
      </c>
      <c r="J106">
        <v>9.6192E-2</v>
      </c>
      <c r="M106" s="211">
        <v>41667</v>
      </c>
      <c r="N106" s="262">
        <v>41667</v>
      </c>
      <c r="O106" s="235" t="s">
        <v>106</v>
      </c>
      <c r="P106" s="235" t="s">
        <v>106</v>
      </c>
      <c r="Q106" s="262">
        <v>41667</v>
      </c>
      <c r="R106" s="235"/>
      <c r="S106" s="235"/>
      <c r="T106" s="235">
        <f t="shared" si="26"/>
        <v>9.6192E-2</v>
      </c>
      <c r="U106" s="236"/>
      <c r="BE106">
        <v>-0.04</v>
      </c>
      <c r="BF106">
        <v>0</v>
      </c>
      <c r="BG106">
        <v>-0.02</v>
      </c>
      <c r="BH106">
        <f t="shared" si="22"/>
        <v>0</v>
      </c>
    </row>
    <row r="107" spans="1:60">
      <c r="A107" s="211">
        <v>41668</v>
      </c>
      <c r="B107" s="223"/>
      <c r="C107" s="223"/>
      <c r="D107" s="222">
        <v>-0.23300000000000001</v>
      </c>
      <c r="E107" s="220">
        <v>0.184</v>
      </c>
      <c r="F107" s="211">
        <v>41668</v>
      </c>
      <c r="I107">
        <v>-0.23327999999999999</v>
      </c>
      <c r="J107">
        <v>0.18432000000000001</v>
      </c>
      <c r="M107" s="211">
        <v>41668</v>
      </c>
      <c r="N107" s="262">
        <v>41668</v>
      </c>
      <c r="O107" s="235" t="s">
        <v>106</v>
      </c>
      <c r="P107" s="235" t="s">
        <v>106</v>
      </c>
      <c r="Q107" s="262">
        <v>41668</v>
      </c>
      <c r="R107" s="235"/>
      <c r="S107" s="235"/>
      <c r="T107" s="235">
        <f t="shared" si="26"/>
        <v>0.18432000000000001</v>
      </c>
      <c r="U107" s="236"/>
      <c r="BE107">
        <v>-0.04</v>
      </c>
      <c r="BF107">
        <v>0</v>
      </c>
      <c r="BG107">
        <v>-0.02</v>
      </c>
      <c r="BH107">
        <f t="shared" si="22"/>
        <v>0</v>
      </c>
    </row>
    <row r="108" spans="1:60">
      <c r="A108" s="211">
        <v>41669</v>
      </c>
      <c r="B108" s="223"/>
      <c r="C108" s="223"/>
      <c r="D108" s="222">
        <v>-7.1900000000000006E-2</v>
      </c>
      <c r="E108" s="222">
        <v>-3.8699999999999998E-2</v>
      </c>
      <c r="F108" s="211">
        <v>41669</v>
      </c>
      <c r="I108">
        <v>-7.1856000000000003E-2</v>
      </c>
      <c r="J108">
        <v>-3.8736E-2</v>
      </c>
      <c r="M108" s="211">
        <v>41669</v>
      </c>
      <c r="N108" s="262">
        <v>41669</v>
      </c>
      <c r="O108" s="235" t="s">
        <v>106</v>
      </c>
      <c r="P108" s="235" t="s">
        <v>106</v>
      </c>
      <c r="Q108" s="262">
        <v>41669</v>
      </c>
      <c r="R108" s="235"/>
      <c r="S108" s="235"/>
      <c r="T108" s="235">
        <f t="shared" si="26"/>
        <v>-3.8736E-2</v>
      </c>
      <c r="U108" s="236"/>
      <c r="BE108">
        <v>-2.9999999999999801E-2</v>
      </c>
      <c r="BF108">
        <v>0</v>
      </c>
      <c r="BG108">
        <v>-0.02</v>
      </c>
      <c r="BH108">
        <f t="shared" si="22"/>
        <v>0</v>
      </c>
    </row>
    <row r="109" spans="1:60">
      <c r="A109" s="211">
        <v>41670</v>
      </c>
      <c r="B109" s="223"/>
      <c r="C109" s="223"/>
      <c r="D109" s="222">
        <v>-0.14399999999999999</v>
      </c>
      <c r="E109" s="220">
        <v>0.112</v>
      </c>
      <c r="F109" s="211">
        <v>41670</v>
      </c>
      <c r="I109">
        <v>-0.14371200000000001</v>
      </c>
      <c r="J109">
        <v>0.11232</v>
      </c>
      <c r="M109" s="211">
        <v>41670</v>
      </c>
      <c r="N109" s="262">
        <v>41670</v>
      </c>
      <c r="O109" s="235" t="s">
        <v>106</v>
      </c>
      <c r="P109" s="235" t="s">
        <v>106</v>
      </c>
      <c r="Q109" s="262">
        <v>41670</v>
      </c>
      <c r="R109" s="235"/>
      <c r="S109" s="235"/>
      <c r="T109" s="235">
        <f t="shared" si="26"/>
        <v>0.11232</v>
      </c>
      <c r="U109" s="236"/>
      <c r="BE109">
        <v>-0.04</v>
      </c>
      <c r="BF109">
        <v>0</v>
      </c>
      <c r="BG109">
        <v>-0.02</v>
      </c>
      <c r="BH109">
        <f t="shared" si="22"/>
        <v>0</v>
      </c>
    </row>
    <row r="110" spans="1:60">
      <c r="A110" s="211">
        <v>41671</v>
      </c>
      <c r="B110" s="223"/>
      <c r="C110" s="223"/>
      <c r="D110" s="222">
        <v>-6.3100000000000003E-2</v>
      </c>
      <c r="E110" s="220">
        <v>0.30499999999999999</v>
      </c>
      <c r="F110" s="211">
        <v>41671</v>
      </c>
      <c r="I110">
        <v>-6.3072000000000003E-2</v>
      </c>
      <c r="J110">
        <v>0.30528</v>
      </c>
      <c r="M110" s="211">
        <v>41671</v>
      </c>
      <c r="N110" s="262">
        <v>41671</v>
      </c>
      <c r="O110" s="235" t="s">
        <v>106</v>
      </c>
      <c r="P110" s="235" t="s">
        <v>106</v>
      </c>
      <c r="Q110" s="262">
        <v>41671</v>
      </c>
      <c r="R110" s="235"/>
      <c r="S110" s="235"/>
      <c r="T110" s="235">
        <f t="shared" si="26"/>
        <v>0.30528</v>
      </c>
      <c r="U110" s="236"/>
      <c r="BE110">
        <v>-3.0000000000000301E-2</v>
      </c>
      <c r="BF110">
        <v>0</v>
      </c>
      <c r="BG110">
        <v>-0.02</v>
      </c>
      <c r="BH110">
        <f t="shared" si="22"/>
        <v>0</v>
      </c>
    </row>
    <row r="111" spans="1:60">
      <c r="A111" s="211">
        <v>41672</v>
      </c>
      <c r="B111" s="223"/>
      <c r="C111" s="223"/>
      <c r="D111" s="222">
        <v>5.7299999999999997E-2</v>
      </c>
      <c r="E111" s="222">
        <v>-0.17699999999999999</v>
      </c>
      <c r="F111" s="211">
        <v>41672</v>
      </c>
      <c r="I111">
        <v>5.7312000000000002E-2</v>
      </c>
      <c r="J111">
        <v>-0.17712</v>
      </c>
      <c r="M111" s="211">
        <v>41672</v>
      </c>
      <c r="N111" s="262">
        <v>41672</v>
      </c>
      <c r="O111" s="235" t="s">
        <v>106</v>
      </c>
      <c r="P111" s="235" t="s">
        <v>106</v>
      </c>
      <c r="Q111" s="262">
        <v>41672</v>
      </c>
      <c r="R111" s="235"/>
      <c r="S111" s="235"/>
      <c r="T111" s="235">
        <f t="shared" si="26"/>
        <v>-0.17712</v>
      </c>
      <c r="U111" s="236"/>
      <c r="BE111">
        <v>-0.04</v>
      </c>
      <c r="BF111">
        <v>0</v>
      </c>
      <c r="BG111">
        <v>-2.9999999999999801E-2</v>
      </c>
      <c r="BH111">
        <f t="shared" si="22"/>
        <v>0</v>
      </c>
    </row>
    <row r="112" spans="1:60">
      <c r="A112" s="211">
        <v>41673</v>
      </c>
      <c r="B112" s="223"/>
      <c r="C112" s="223"/>
      <c r="D112" s="220">
        <v>0.112</v>
      </c>
      <c r="E112" s="222">
        <v>-4.8500000000000001E-2</v>
      </c>
      <c r="F112" s="211">
        <v>41673</v>
      </c>
      <c r="I112">
        <v>0.11203199999999999</v>
      </c>
      <c r="J112">
        <v>-4.8528000000000002E-2</v>
      </c>
      <c r="M112" s="211">
        <v>41673</v>
      </c>
      <c r="N112" s="262">
        <v>41673</v>
      </c>
      <c r="O112" s="235" t="s">
        <v>106</v>
      </c>
      <c r="P112" s="235" t="s">
        <v>106</v>
      </c>
      <c r="Q112" s="262">
        <v>41673</v>
      </c>
      <c r="R112" s="235"/>
      <c r="S112" s="235"/>
      <c r="T112" s="235">
        <f t="shared" si="26"/>
        <v>-4.8528000000000002E-2</v>
      </c>
      <c r="U112" s="236"/>
      <c r="BE112">
        <v>-3.9999999999999598E-2</v>
      </c>
      <c r="BF112">
        <v>0</v>
      </c>
      <c r="BG112">
        <v>-0.02</v>
      </c>
      <c r="BH112">
        <f t="shared" si="22"/>
        <v>0</v>
      </c>
    </row>
    <row r="113" spans="1:60">
      <c r="A113" s="211">
        <v>41674</v>
      </c>
      <c r="B113" s="223"/>
      <c r="C113" s="223"/>
      <c r="D113" s="222">
        <v>-0.71299999999999997</v>
      </c>
      <c r="E113" s="220">
        <v>0.128</v>
      </c>
      <c r="F113" s="211">
        <v>41674</v>
      </c>
      <c r="I113">
        <v>-0.71279999999999999</v>
      </c>
      <c r="J113">
        <v>0.12844800000000001</v>
      </c>
      <c r="M113" s="211">
        <v>41674</v>
      </c>
      <c r="N113" s="262">
        <v>41674</v>
      </c>
      <c r="O113" s="235" t="s">
        <v>106</v>
      </c>
      <c r="P113" s="235" t="s">
        <v>106</v>
      </c>
      <c r="Q113" s="262">
        <v>41674</v>
      </c>
      <c r="R113" s="235"/>
      <c r="S113" s="235"/>
      <c r="T113" s="235">
        <f t="shared" si="26"/>
        <v>0.12844800000000001</v>
      </c>
      <c r="U113" s="236"/>
      <c r="BE113">
        <v>-5.0000000000000301E-2</v>
      </c>
      <c r="BF113">
        <v>0</v>
      </c>
      <c r="BG113">
        <v>-2.9999999999999801E-2</v>
      </c>
      <c r="BH113">
        <f t="shared" si="22"/>
        <v>0</v>
      </c>
    </row>
    <row r="114" spans="1:60">
      <c r="A114" s="211">
        <v>41675</v>
      </c>
      <c r="B114" s="223"/>
      <c r="C114" s="223"/>
      <c r="D114" s="222">
        <v>-0.66500000000000004</v>
      </c>
      <c r="E114" s="222">
        <v>-0.223</v>
      </c>
      <c r="F114" s="211">
        <v>41675</v>
      </c>
      <c r="I114">
        <v>-0.66527999999999998</v>
      </c>
      <c r="J114">
        <v>0.22320000000000001</v>
      </c>
      <c r="M114" s="211">
        <v>41675</v>
      </c>
      <c r="N114" s="262">
        <v>41675</v>
      </c>
      <c r="O114" s="235" t="s">
        <v>106</v>
      </c>
      <c r="P114" s="235" t="s">
        <v>106</v>
      </c>
      <c r="Q114" s="262">
        <v>41675</v>
      </c>
      <c r="R114" s="235"/>
      <c r="S114" s="235"/>
      <c r="T114" s="235">
        <f t="shared" si="26"/>
        <v>0.22320000000000001</v>
      </c>
      <c r="U114" s="236"/>
      <c r="BE114">
        <v>6.9999999999999798E-2</v>
      </c>
      <c r="BF114">
        <v>6.9999999999999798E-2</v>
      </c>
      <c r="BG114">
        <v>0.3</v>
      </c>
      <c r="BH114">
        <f t="shared" si="22"/>
        <v>0.3</v>
      </c>
    </row>
    <row r="115" spans="1:60">
      <c r="A115" s="211">
        <v>41676</v>
      </c>
      <c r="B115" s="223"/>
      <c r="C115" s="223"/>
      <c r="D115" s="222">
        <v>-1.24</v>
      </c>
      <c r="E115" s="222">
        <v>-0.97799999999999998</v>
      </c>
      <c r="F115" s="211">
        <v>41676</v>
      </c>
      <c r="I115">
        <v>-1.2369600000000001</v>
      </c>
      <c r="J115">
        <v>-0.97776000000000007</v>
      </c>
      <c r="M115" s="211">
        <v>41676</v>
      </c>
      <c r="N115" s="262">
        <v>41676</v>
      </c>
      <c r="O115" s="235" t="s">
        <v>106</v>
      </c>
      <c r="P115" s="235" t="s">
        <v>106</v>
      </c>
      <c r="Q115" s="262">
        <v>41676</v>
      </c>
      <c r="R115" s="235"/>
      <c r="S115" s="235"/>
      <c r="T115" s="235">
        <f t="shared" si="26"/>
        <v>-0.97776000000000007</v>
      </c>
      <c r="U115" s="236"/>
      <c r="BE115">
        <v>-4.9999999999999802E-2</v>
      </c>
      <c r="BF115">
        <v>0</v>
      </c>
      <c r="BG115">
        <v>-0.02</v>
      </c>
      <c r="BH115">
        <f t="shared" si="22"/>
        <v>0</v>
      </c>
    </row>
    <row r="116" spans="1:60">
      <c r="A116" s="211">
        <v>41677</v>
      </c>
      <c r="B116" s="223"/>
      <c r="C116" s="223"/>
      <c r="D116" s="222">
        <v>-1.04</v>
      </c>
      <c r="E116" s="222">
        <v>-0.54600000000000004</v>
      </c>
      <c r="F116" s="211">
        <v>41677</v>
      </c>
      <c r="I116">
        <v>-1.04112</v>
      </c>
      <c r="J116">
        <v>-0.54576000000000002</v>
      </c>
      <c r="M116" s="211">
        <v>41677</v>
      </c>
      <c r="N116" s="262">
        <v>41677</v>
      </c>
      <c r="O116" s="235" t="s">
        <v>106</v>
      </c>
      <c r="P116" s="235" t="s">
        <v>106</v>
      </c>
      <c r="Q116" s="262">
        <v>41677</v>
      </c>
      <c r="R116" s="235"/>
      <c r="S116" s="235"/>
      <c r="T116" s="235">
        <f t="shared" si="26"/>
        <v>-0.54576000000000002</v>
      </c>
      <c r="U116" s="236"/>
      <c r="BE116">
        <v>-0.04</v>
      </c>
      <c r="BF116">
        <v>0</v>
      </c>
      <c r="BG116">
        <v>-0.02</v>
      </c>
      <c r="BH116">
        <f t="shared" si="22"/>
        <v>0</v>
      </c>
    </row>
    <row r="117" spans="1:60">
      <c r="A117" s="211">
        <v>41678</v>
      </c>
      <c r="B117" s="223"/>
      <c r="C117" s="223"/>
      <c r="D117" s="222">
        <v>-0.877</v>
      </c>
      <c r="E117" s="222">
        <v>-0.30499999999999999</v>
      </c>
      <c r="F117" s="211">
        <v>41678</v>
      </c>
      <c r="I117">
        <v>-0.87696000000000007</v>
      </c>
      <c r="J117">
        <v>-0.30528</v>
      </c>
      <c r="M117" s="211">
        <v>41678</v>
      </c>
      <c r="N117" s="262">
        <v>41678</v>
      </c>
      <c r="O117" s="235" t="s">
        <v>106</v>
      </c>
      <c r="P117" s="235" t="s">
        <v>106</v>
      </c>
      <c r="Q117" s="262">
        <v>41678</v>
      </c>
      <c r="R117" s="235"/>
      <c r="S117" s="235"/>
      <c r="T117" s="235">
        <f t="shared" si="26"/>
        <v>-0.30528</v>
      </c>
      <c r="U117" s="236"/>
      <c r="BE117">
        <v>-4.9999999999999802E-2</v>
      </c>
      <c r="BF117">
        <v>0</v>
      </c>
      <c r="BG117">
        <v>-0.02</v>
      </c>
      <c r="BH117">
        <f t="shared" si="22"/>
        <v>0</v>
      </c>
    </row>
    <row r="118" spans="1:60">
      <c r="A118" s="211">
        <v>41679</v>
      </c>
      <c r="B118" s="223"/>
      <c r="C118" s="223"/>
      <c r="D118" s="222">
        <v>-0.98399999999999999</v>
      </c>
      <c r="E118" s="222">
        <v>-0.45400000000000001</v>
      </c>
      <c r="F118" s="211">
        <v>41679</v>
      </c>
      <c r="I118">
        <v>-0.98352000000000006</v>
      </c>
      <c r="J118">
        <v>-0.4536</v>
      </c>
      <c r="M118" s="211">
        <v>41679</v>
      </c>
      <c r="N118" s="262">
        <v>41679</v>
      </c>
      <c r="O118" s="235" t="s">
        <v>106</v>
      </c>
      <c r="P118" s="235" t="s">
        <v>106</v>
      </c>
      <c r="Q118" s="262">
        <v>41679</v>
      </c>
      <c r="R118" s="235"/>
      <c r="S118" s="235"/>
      <c r="T118" s="235">
        <f t="shared" si="26"/>
        <v>-0.4536</v>
      </c>
      <c r="U118" s="236"/>
      <c r="BE118">
        <v>-5.0000000000000301E-2</v>
      </c>
      <c r="BF118">
        <v>0</v>
      </c>
      <c r="BG118">
        <v>-0.02</v>
      </c>
      <c r="BH118">
        <f t="shared" si="22"/>
        <v>0</v>
      </c>
    </row>
    <row r="119" spans="1:60">
      <c r="A119" s="211">
        <v>41680</v>
      </c>
      <c r="B119" s="223"/>
      <c r="C119" s="223"/>
      <c r="D119" s="222">
        <v>-1.05</v>
      </c>
      <c r="E119" s="222">
        <v>-0.61199999999999999</v>
      </c>
      <c r="F119" s="211">
        <v>41680</v>
      </c>
      <c r="I119">
        <v>-1.05264</v>
      </c>
      <c r="J119">
        <v>-0.61199999999999999</v>
      </c>
      <c r="M119" s="211">
        <v>41680</v>
      </c>
      <c r="N119" s="262">
        <v>41680</v>
      </c>
      <c r="O119" s="235" t="s">
        <v>106</v>
      </c>
      <c r="P119" s="235" t="s">
        <v>106</v>
      </c>
      <c r="Q119" s="262">
        <v>41680</v>
      </c>
      <c r="R119" s="235"/>
      <c r="S119" s="235"/>
      <c r="T119" s="235">
        <f t="shared" si="26"/>
        <v>-0.61199999999999999</v>
      </c>
      <c r="U119" s="236"/>
      <c r="BE119">
        <v>-4.9999999999999802E-2</v>
      </c>
      <c r="BF119">
        <v>0</v>
      </c>
      <c r="BG119">
        <v>-0.02</v>
      </c>
      <c r="BH119">
        <f t="shared" si="22"/>
        <v>0</v>
      </c>
    </row>
    <row r="120" spans="1:60">
      <c r="A120" s="211">
        <v>41681</v>
      </c>
      <c r="B120" s="223"/>
      <c r="C120" s="223"/>
      <c r="D120" s="222">
        <v>-0.98099999999999998</v>
      </c>
      <c r="E120" s="222">
        <v>-0.93500000000000005</v>
      </c>
      <c r="F120" s="211">
        <v>41681</v>
      </c>
      <c r="I120">
        <v>-0.98063999999999996</v>
      </c>
      <c r="J120">
        <v>-0.93455999999999995</v>
      </c>
      <c r="M120" s="211">
        <v>41681</v>
      </c>
      <c r="N120" s="262">
        <v>41681</v>
      </c>
      <c r="O120" s="235" t="s">
        <v>106</v>
      </c>
      <c r="P120" s="235" t="s">
        <v>106</v>
      </c>
      <c r="Q120" s="262">
        <v>41681</v>
      </c>
      <c r="R120" s="235"/>
      <c r="S120" s="235"/>
      <c r="T120" s="235">
        <f t="shared" si="26"/>
        <v>-0.93455999999999995</v>
      </c>
      <c r="U120" s="236"/>
      <c r="BE120">
        <v>-0.05</v>
      </c>
      <c r="BF120">
        <v>0</v>
      </c>
      <c r="BG120">
        <v>-2.9999999999999801E-2</v>
      </c>
      <c r="BH120">
        <f t="shared" si="22"/>
        <v>0</v>
      </c>
    </row>
    <row r="121" spans="1:60">
      <c r="A121" s="211">
        <v>41682</v>
      </c>
      <c r="B121" s="223"/>
      <c r="C121" s="223"/>
      <c r="D121" s="222">
        <v>-8.5199999999999998E-2</v>
      </c>
      <c r="E121" s="222">
        <v>-0.121</v>
      </c>
      <c r="F121" s="211">
        <v>41682</v>
      </c>
      <c r="I121">
        <v>-8.524799999999999E-2</v>
      </c>
      <c r="J121">
        <v>-0.12124800000000002</v>
      </c>
      <c r="M121" s="211">
        <v>41682</v>
      </c>
      <c r="N121" s="262">
        <v>41682</v>
      </c>
      <c r="O121" s="235" t="s">
        <v>106</v>
      </c>
      <c r="P121" s="235" t="s">
        <v>106</v>
      </c>
      <c r="Q121" s="262">
        <v>41682</v>
      </c>
      <c r="R121" s="235"/>
      <c r="S121" s="235"/>
      <c r="T121" s="235">
        <f t="shared" si="26"/>
        <v>-0.12124800000000002</v>
      </c>
      <c r="U121" s="236"/>
      <c r="BE121">
        <v>-0.05</v>
      </c>
      <c r="BF121">
        <v>0</v>
      </c>
      <c r="BG121">
        <v>-0.02</v>
      </c>
      <c r="BH121">
        <f t="shared" si="22"/>
        <v>0</v>
      </c>
    </row>
    <row r="122" spans="1:60">
      <c r="A122" s="211">
        <v>41683</v>
      </c>
      <c r="B122" s="223"/>
      <c r="C122" s="223"/>
      <c r="D122" s="220">
        <v>0.122</v>
      </c>
      <c r="E122" s="220">
        <v>0.30399999999999999</v>
      </c>
      <c r="F122" s="211">
        <v>41683</v>
      </c>
      <c r="I122">
        <v>0.12196799999999999</v>
      </c>
      <c r="J122">
        <v>0.30384</v>
      </c>
      <c r="M122" s="211">
        <v>41683</v>
      </c>
      <c r="N122" s="262">
        <v>41683</v>
      </c>
      <c r="O122" s="235" t="s">
        <v>106</v>
      </c>
      <c r="P122" s="235" t="s">
        <v>106</v>
      </c>
      <c r="Q122" s="262">
        <v>41683</v>
      </c>
      <c r="R122" s="235"/>
      <c r="S122" s="235"/>
      <c r="T122" s="235">
        <f t="shared" si="26"/>
        <v>0.30384</v>
      </c>
      <c r="U122" s="236"/>
      <c r="BE122">
        <v>-4.9999999999999802E-2</v>
      </c>
      <c r="BF122">
        <v>0</v>
      </c>
      <c r="BG122">
        <v>-3.0000000000000301E-2</v>
      </c>
      <c r="BH122">
        <f t="shared" si="22"/>
        <v>0</v>
      </c>
    </row>
    <row r="123" spans="1:60">
      <c r="A123" s="211">
        <v>41684</v>
      </c>
      <c r="B123" s="223"/>
      <c r="C123" s="223"/>
      <c r="D123" s="220">
        <v>0.74</v>
      </c>
      <c r="E123" s="220">
        <v>1.7</v>
      </c>
      <c r="F123" s="211">
        <v>41684</v>
      </c>
      <c r="I123">
        <v>0.74015999999999993</v>
      </c>
      <c r="J123">
        <v>1.6992</v>
      </c>
      <c r="M123" s="211">
        <v>41684</v>
      </c>
      <c r="N123" s="262">
        <v>41684</v>
      </c>
      <c r="O123" s="235" t="s">
        <v>106</v>
      </c>
      <c r="P123" s="235" t="s">
        <v>106</v>
      </c>
      <c r="Q123" s="262">
        <v>41684</v>
      </c>
      <c r="R123" s="235"/>
      <c r="S123" s="235"/>
      <c r="T123" s="235">
        <f t="shared" si="26"/>
        <v>1.6992</v>
      </c>
      <c r="U123" s="236"/>
      <c r="BE123">
        <v>-0.03</v>
      </c>
      <c r="BF123">
        <v>0</v>
      </c>
      <c r="BG123">
        <v>-0.02</v>
      </c>
      <c r="BH123">
        <f t="shared" si="22"/>
        <v>0</v>
      </c>
    </row>
    <row r="124" spans="1:60">
      <c r="A124" s="211">
        <v>41685</v>
      </c>
      <c r="B124" s="223"/>
      <c r="C124" s="223"/>
      <c r="D124" s="220">
        <v>0.223</v>
      </c>
      <c r="E124" s="220">
        <v>-0.30199999999999999</v>
      </c>
      <c r="F124" s="211">
        <v>41685</v>
      </c>
      <c r="I124">
        <v>0.22320000000000001</v>
      </c>
      <c r="J124">
        <v>-0.3024</v>
      </c>
      <c r="M124" s="211">
        <v>41685</v>
      </c>
      <c r="N124" s="262">
        <v>41685</v>
      </c>
      <c r="O124" s="235" t="s">
        <v>106</v>
      </c>
      <c r="P124" s="235" t="s">
        <v>106</v>
      </c>
      <c r="Q124" s="262">
        <v>41685</v>
      </c>
      <c r="R124" s="235"/>
      <c r="S124" s="235"/>
      <c r="T124" s="235">
        <f t="shared" si="26"/>
        <v>-0.3024</v>
      </c>
      <c r="U124" s="236"/>
      <c r="BE124">
        <v>-0.04</v>
      </c>
      <c r="BF124">
        <v>0</v>
      </c>
      <c r="BG124">
        <v>-2.9999999999999801E-2</v>
      </c>
      <c r="BH124">
        <f t="shared" si="22"/>
        <v>0</v>
      </c>
    </row>
    <row r="125" spans="1:60">
      <c r="A125" s="211">
        <v>41686</v>
      </c>
      <c r="B125" s="223"/>
      <c r="C125" s="223"/>
      <c r="D125" s="220">
        <v>0.19600000000000001</v>
      </c>
      <c r="E125" s="220">
        <v>-0.26500000000000001</v>
      </c>
      <c r="F125" s="211">
        <v>41686</v>
      </c>
      <c r="I125">
        <v>0.19583999999999999</v>
      </c>
      <c r="J125">
        <v>-0.26495999999999997</v>
      </c>
      <c r="M125" s="211">
        <v>41686</v>
      </c>
      <c r="N125" s="262">
        <v>41686</v>
      </c>
      <c r="O125" s="235" t="s">
        <v>106</v>
      </c>
      <c r="P125" s="235" t="s">
        <v>106</v>
      </c>
      <c r="Q125" s="262">
        <v>41686</v>
      </c>
      <c r="R125" s="235"/>
      <c r="S125" s="235"/>
      <c r="T125" s="235">
        <f t="shared" si="26"/>
        <v>-0.26495999999999997</v>
      </c>
      <c r="U125" s="236"/>
      <c r="BE125">
        <v>-0.04</v>
      </c>
      <c r="BF125">
        <v>0</v>
      </c>
      <c r="BG125">
        <v>-2.9999999999999801E-2</v>
      </c>
      <c r="BH125">
        <f t="shared" si="22"/>
        <v>0</v>
      </c>
    </row>
    <row r="126" spans="1:60">
      <c r="A126" s="211">
        <v>41687</v>
      </c>
      <c r="B126" s="223"/>
      <c r="C126" s="223"/>
      <c r="D126" s="220">
        <v>0.52100000000000002</v>
      </c>
      <c r="E126" s="220">
        <v>0.71699999999999997</v>
      </c>
      <c r="F126" s="211">
        <v>41687</v>
      </c>
      <c r="I126">
        <v>0.52127999999999997</v>
      </c>
      <c r="J126">
        <v>0.71711999999999998</v>
      </c>
      <c r="M126" s="211">
        <v>41687</v>
      </c>
      <c r="N126" s="262">
        <v>41687</v>
      </c>
      <c r="O126" s="235" t="s">
        <v>106</v>
      </c>
      <c r="P126" s="235" t="s">
        <v>106</v>
      </c>
      <c r="Q126" s="262">
        <v>41687</v>
      </c>
      <c r="R126" s="235"/>
      <c r="S126" s="235"/>
      <c r="T126" s="235">
        <f t="shared" si="26"/>
        <v>0.71711999999999998</v>
      </c>
      <c r="U126" s="236"/>
      <c r="BE126">
        <v>-0.05</v>
      </c>
      <c r="BF126">
        <v>0</v>
      </c>
      <c r="BG126">
        <v>-0.02</v>
      </c>
      <c r="BH126">
        <f t="shared" si="22"/>
        <v>0</v>
      </c>
    </row>
    <row r="127" spans="1:60">
      <c r="A127" s="211">
        <v>41688</v>
      </c>
      <c r="B127" s="223"/>
      <c r="C127" s="223"/>
      <c r="D127" s="220">
        <v>7.6600000000000001E-3</v>
      </c>
      <c r="E127" s="220">
        <v>0.28199999999999997</v>
      </c>
      <c r="F127" s="211">
        <v>41688</v>
      </c>
      <c r="I127">
        <v>7.6607999999999997E-3</v>
      </c>
      <c r="J127">
        <v>0.28223999999999999</v>
      </c>
      <c r="M127" s="211">
        <v>41688</v>
      </c>
      <c r="N127" s="262">
        <v>41688</v>
      </c>
      <c r="O127" s="235" t="s">
        <v>106</v>
      </c>
      <c r="P127" s="235" t="s">
        <v>106</v>
      </c>
      <c r="Q127" s="262">
        <v>41688</v>
      </c>
      <c r="R127" s="235"/>
      <c r="S127" s="235"/>
      <c r="T127" s="235">
        <f t="shared" si="26"/>
        <v>0.28223999999999999</v>
      </c>
      <c r="U127" s="236"/>
      <c r="BE127">
        <v>-0.04</v>
      </c>
      <c r="BF127">
        <v>0</v>
      </c>
      <c r="BG127">
        <v>-3.0000000000000301E-2</v>
      </c>
      <c r="BH127">
        <f t="shared" si="22"/>
        <v>0</v>
      </c>
    </row>
    <row r="128" spans="1:60">
      <c r="A128" s="211">
        <v>41689</v>
      </c>
      <c r="B128" s="223"/>
      <c r="C128" s="223"/>
      <c r="D128" s="220">
        <v>-0.13900000000000001</v>
      </c>
      <c r="E128" s="220">
        <v>-1.17</v>
      </c>
      <c r="F128" s="211">
        <v>41689</v>
      </c>
      <c r="I128">
        <v>-0.13852800000000001</v>
      </c>
      <c r="J128">
        <v>-1.1664000000000001</v>
      </c>
      <c r="M128" s="211">
        <v>41689</v>
      </c>
      <c r="N128" s="262">
        <v>41689</v>
      </c>
      <c r="O128" s="235" t="s">
        <v>106</v>
      </c>
      <c r="P128" s="235" t="s">
        <v>106</v>
      </c>
      <c r="Q128" s="262">
        <v>41689</v>
      </c>
      <c r="R128" s="235"/>
      <c r="S128" s="235"/>
      <c r="T128" s="235">
        <f t="shared" si="26"/>
        <v>-1.1664000000000001</v>
      </c>
      <c r="U128" s="236"/>
      <c r="BE128">
        <v>-0.03</v>
      </c>
      <c r="BF128">
        <v>0</v>
      </c>
      <c r="BG128">
        <v>-0.02</v>
      </c>
      <c r="BH128">
        <f t="shared" si="22"/>
        <v>0</v>
      </c>
    </row>
    <row r="129" spans="1:60">
      <c r="A129" s="211">
        <v>41690</v>
      </c>
      <c r="B129" s="223"/>
      <c r="C129" s="223"/>
      <c r="D129" s="220">
        <v>3.0099999999999998E-2</v>
      </c>
      <c r="E129" s="220">
        <v>-6.6100000000000006E-2</v>
      </c>
      <c r="F129" s="211">
        <v>41690</v>
      </c>
      <c r="I129">
        <v>3.0096000000000001E-2</v>
      </c>
      <c r="J129">
        <v>-6.6096000000000002E-2</v>
      </c>
      <c r="M129" s="211">
        <v>41690</v>
      </c>
      <c r="N129" s="262">
        <v>41690</v>
      </c>
      <c r="O129" s="235" t="s">
        <v>106</v>
      </c>
      <c r="P129" s="235" t="s">
        <v>106</v>
      </c>
      <c r="Q129" s="262">
        <v>41690</v>
      </c>
      <c r="R129" s="235"/>
      <c r="S129" s="235"/>
      <c r="T129" s="235">
        <f t="shared" si="26"/>
        <v>-6.6096000000000002E-2</v>
      </c>
      <c r="U129" s="236"/>
      <c r="BE129">
        <v>-0.01</v>
      </c>
      <c r="BF129">
        <v>0</v>
      </c>
      <c r="BG129">
        <v>0</v>
      </c>
      <c r="BH129">
        <f t="shared" si="22"/>
        <v>0</v>
      </c>
    </row>
    <row r="130" spans="1:60" ht="17" thickBot="1">
      <c r="A130" s="224">
        <v>41691</v>
      </c>
      <c r="B130" s="223"/>
      <c r="C130" s="223"/>
      <c r="D130" s="220">
        <v>0.16800000000000001</v>
      </c>
      <c r="E130" s="220">
        <v>-1.07</v>
      </c>
      <c r="F130" s="224">
        <v>41691</v>
      </c>
      <c r="I130">
        <v>0.16847999999999999</v>
      </c>
      <c r="J130">
        <v>-1.0728</v>
      </c>
      <c r="M130" s="224">
        <v>41691</v>
      </c>
      <c r="N130" s="264">
        <v>41691</v>
      </c>
      <c r="O130" s="235" t="s">
        <v>106</v>
      </c>
      <c r="P130" s="235" t="s">
        <v>106</v>
      </c>
      <c r="Q130" s="264">
        <v>41691</v>
      </c>
      <c r="R130" s="235"/>
      <c r="S130" s="235"/>
      <c r="T130" s="235">
        <f t="shared" si="26"/>
        <v>-1.0728</v>
      </c>
      <c r="U130" s="236"/>
      <c r="BE130">
        <v>-2.9999999999999801E-2</v>
      </c>
      <c r="BF130">
        <v>0</v>
      </c>
      <c r="BG130">
        <v>-0.02</v>
      </c>
      <c r="BH130">
        <f t="shared" si="22"/>
        <v>0</v>
      </c>
    </row>
    <row r="131" spans="1:60">
      <c r="BE131">
        <v>-0.03</v>
      </c>
      <c r="BF131">
        <v>0</v>
      </c>
      <c r="BG131">
        <v>-2.9999999999999801E-2</v>
      </c>
      <c r="BH131">
        <f t="shared" si="22"/>
        <v>0</v>
      </c>
    </row>
    <row r="132" spans="1:60">
      <c r="M132" t="s">
        <v>102</v>
      </c>
      <c r="P132" s="235">
        <f>AVERAGE(P8:P95)</f>
        <v>1.3068385949440942</v>
      </c>
      <c r="R132" s="235"/>
      <c r="BE132">
        <v>-0.03</v>
      </c>
      <c r="BF132">
        <v>0</v>
      </c>
      <c r="BG132">
        <v>-3.0000000000000301E-2</v>
      </c>
      <c r="BH132">
        <f t="shared" si="22"/>
        <v>0</v>
      </c>
    </row>
    <row r="133" spans="1:60">
      <c r="P133" s="134">
        <f>STDEV(P8:P95)</f>
        <v>1.4852250783814898</v>
      </c>
      <c r="BE133">
        <v>-0.04</v>
      </c>
      <c r="BF133">
        <v>0</v>
      </c>
      <c r="BG133">
        <v>-0.04</v>
      </c>
      <c r="BH133">
        <f t="shared" si="22"/>
        <v>0</v>
      </c>
    </row>
    <row r="134" spans="1:60">
      <c r="BE134">
        <v>-0.02</v>
      </c>
      <c r="BF134">
        <v>0</v>
      </c>
      <c r="BG134">
        <v>-2.9999999999999801E-2</v>
      </c>
      <c r="BH134">
        <f t="shared" si="22"/>
        <v>0</v>
      </c>
    </row>
    <row r="135" spans="1:60">
      <c r="BE135">
        <v>-0.03</v>
      </c>
      <c r="BF135">
        <v>0</v>
      </c>
      <c r="BG135">
        <v>-0.04</v>
      </c>
      <c r="BH135">
        <f t="shared" si="22"/>
        <v>0</v>
      </c>
    </row>
    <row r="136" spans="1:60">
      <c r="BE136">
        <v>-0.03</v>
      </c>
      <c r="BF136">
        <v>0</v>
      </c>
      <c r="BG136">
        <v>-2.9999999999999801E-2</v>
      </c>
      <c r="BH136">
        <f t="shared" si="22"/>
        <v>0</v>
      </c>
    </row>
    <row r="137" spans="1:60">
      <c r="BE137">
        <v>-0.03</v>
      </c>
      <c r="BF137">
        <v>0</v>
      </c>
      <c r="BG137">
        <v>-0.04</v>
      </c>
      <c r="BH137">
        <f t="shared" si="22"/>
        <v>0</v>
      </c>
    </row>
    <row r="138" spans="1:60">
      <c r="BE138">
        <v>-1.9999999999999799E-2</v>
      </c>
      <c r="BF138">
        <v>0</v>
      </c>
      <c r="BG138">
        <v>-5.0000000000000301E-2</v>
      </c>
      <c r="BH138">
        <f t="shared" si="22"/>
        <v>0</v>
      </c>
    </row>
    <row r="139" spans="1:60">
      <c r="BE139">
        <v>0</v>
      </c>
      <c r="BF139">
        <v>0</v>
      </c>
      <c r="BG139">
        <v>0</v>
      </c>
      <c r="BH139">
        <f t="shared" si="22"/>
        <v>0</v>
      </c>
    </row>
    <row r="140" spans="1:60">
      <c r="BE140">
        <v>0</v>
      </c>
      <c r="BF140">
        <v>0</v>
      </c>
      <c r="BG140">
        <v>3.0000000000000301E-2</v>
      </c>
      <c r="BH140">
        <f t="shared" si="22"/>
        <v>3.0000000000000301E-2</v>
      </c>
    </row>
    <row r="141" spans="1:60">
      <c r="S141" s="255"/>
      <c r="BE141">
        <v>-0.02</v>
      </c>
      <c r="BF141">
        <v>0</v>
      </c>
      <c r="BG141">
        <v>-0.02</v>
      </c>
      <c r="BH141">
        <f t="shared" si="22"/>
        <v>0</v>
      </c>
    </row>
    <row r="142" spans="1:60">
      <c r="BE142">
        <v>-0.03</v>
      </c>
      <c r="BF142">
        <v>0</v>
      </c>
      <c r="BG142">
        <v>-0.02</v>
      </c>
      <c r="BH142">
        <f t="shared" si="22"/>
        <v>0</v>
      </c>
    </row>
    <row r="143" spans="1:60">
      <c r="BE143">
        <v>-0.03</v>
      </c>
      <c r="BF143">
        <v>0</v>
      </c>
      <c r="BG143">
        <v>-3.0000000000000301E-2</v>
      </c>
      <c r="BH143">
        <f t="shared" si="22"/>
        <v>0</v>
      </c>
    </row>
    <row r="144" spans="1:60">
      <c r="BE144">
        <v>-0.03</v>
      </c>
      <c r="BF144">
        <v>0</v>
      </c>
      <c r="BG144">
        <v>-0.02</v>
      </c>
      <c r="BH144">
        <f t="shared" si="22"/>
        <v>0</v>
      </c>
    </row>
    <row r="145" spans="57:60">
      <c r="BE145">
        <v>-0.03</v>
      </c>
      <c r="BF145">
        <v>0</v>
      </c>
      <c r="BG145">
        <v>-3.9999999999999598E-2</v>
      </c>
      <c r="BH145">
        <f t="shared" ref="BH145:BH170" si="27">IF(BG145&gt;0,BG145, )</f>
        <v>0</v>
      </c>
    </row>
    <row r="146" spans="57:60">
      <c r="BE146">
        <v>-0.02</v>
      </c>
      <c r="BF146">
        <v>0</v>
      </c>
      <c r="BG146">
        <v>-3.0000000000000301E-2</v>
      </c>
      <c r="BH146">
        <f t="shared" si="27"/>
        <v>0</v>
      </c>
    </row>
    <row r="147" spans="57:60">
      <c r="BE147">
        <v>-0.03</v>
      </c>
      <c r="BF147">
        <v>0</v>
      </c>
      <c r="BG147">
        <v>-2.9999999999999801E-2</v>
      </c>
      <c r="BH147">
        <f t="shared" si="27"/>
        <v>0</v>
      </c>
    </row>
    <row r="148" spans="57:60">
      <c r="BE148">
        <v>-0.02</v>
      </c>
      <c r="BF148">
        <v>0</v>
      </c>
      <c r="BG148">
        <v>-0.04</v>
      </c>
      <c r="BH148">
        <f t="shared" si="27"/>
        <v>0</v>
      </c>
    </row>
    <row r="149" spans="57:60">
      <c r="BE149">
        <v>-0.03</v>
      </c>
      <c r="BF149">
        <v>0</v>
      </c>
      <c r="BG149">
        <v>-0.04</v>
      </c>
      <c r="BH149">
        <f t="shared" si="27"/>
        <v>0</v>
      </c>
    </row>
    <row r="150" spans="57:60">
      <c r="BE150">
        <v>-2.9999999999999801E-2</v>
      </c>
      <c r="BF150">
        <v>0</v>
      </c>
      <c r="BG150">
        <v>-0.04</v>
      </c>
      <c r="BH150">
        <f t="shared" si="27"/>
        <v>0</v>
      </c>
    </row>
    <row r="151" spans="57:60">
      <c r="BE151">
        <v>-0.02</v>
      </c>
      <c r="BF151">
        <v>0</v>
      </c>
      <c r="BG151">
        <v>-3.0000000000000301E-2</v>
      </c>
      <c r="BH151">
        <f t="shared" si="27"/>
        <v>0</v>
      </c>
    </row>
    <row r="152" spans="57:60">
      <c r="BE152">
        <v>-0.03</v>
      </c>
      <c r="BF152">
        <v>0</v>
      </c>
      <c r="BG152">
        <v>-3.9999999999999598E-2</v>
      </c>
      <c r="BH152">
        <f t="shared" si="27"/>
        <v>0</v>
      </c>
    </row>
    <row r="153" spans="57:60">
      <c r="BE153">
        <v>-0.03</v>
      </c>
      <c r="BF153">
        <v>0</v>
      </c>
      <c r="BG153">
        <v>-3.0000000000000301E-2</v>
      </c>
      <c r="BH153">
        <f t="shared" si="27"/>
        <v>0</v>
      </c>
    </row>
    <row r="154" spans="57:60">
      <c r="BE154">
        <v>-0.03</v>
      </c>
      <c r="BF154">
        <v>0</v>
      </c>
      <c r="BG154">
        <v>-0.04</v>
      </c>
      <c r="BH154">
        <f t="shared" si="27"/>
        <v>0</v>
      </c>
    </row>
    <row r="155" spans="57:60">
      <c r="BE155">
        <v>-0.02</v>
      </c>
      <c r="BF155">
        <v>0</v>
      </c>
      <c r="BG155">
        <v>-0.04</v>
      </c>
      <c r="BH155">
        <f t="shared" si="27"/>
        <v>0</v>
      </c>
    </row>
    <row r="156" spans="57:60">
      <c r="BE156">
        <v>-0.02</v>
      </c>
      <c r="BF156">
        <v>0</v>
      </c>
      <c r="BG156">
        <v>-0.04</v>
      </c>
      <c r="BH156">
        <f t="shared" si="27"/>
        <v>0</v>
      </c>
    </row>
    <row r="157" spans="57:60">
      <c r="BE157">
        <v>-1.99999999999999E-2</v>
      </c>
      <c r="BF157">
        <v>0</v>
      </c>
      <c r="BG157">
        <v>-0.04</v>
      </c>
      <c r="BH157">
        <f t="shared" si="27"/>
        <v>0</v>
      </c>
    </row>
    <row r="158" spans="57:60">
      <c r="BE158">
        <v>-0.02</v>
      </c>
      <c r="BF158">
        <v>0</v>
      </c>
      <c r="BG158">
        <v>-4.9999999999999802E-2</v>
      </c>
      <c r="BH158">
        <f t="shared" si="27"/>
        <v>0</v>
      </c>
    </row>
    <row r="159" spans="57:60">
      <c r="BE159">
        <v>-0.02</v>
      </c>
      <c r="BF159">
        <v>0</v>
      </c>
      <c r="BG159">
        <v>-0.02</v>
      </c>
      <c r="BH159">
        <f t="shared" si="27"/>
        <v>0</v>
      </c>
    </row>
    <row r="160" spans="57:60">
      <c r="BE160">
        <v>-0.03</v>
      </c>
      <c r="BF160">
        <v>0</v>
      </c>
      <c r="BG160">
        <v>-0.02</v>
      </c>
      <c r="BH160">
        <f t="shared" si="27"/>
        <v>0</v>
      </c>
    </row>
    <row r="161" spans="57:60">
      <c r="BE161">
        <v>-0.03</v>
      </c>
      <c r="BF161">
        <v>0</v>
      </c>
      <c r="BG161">
        <v>-0.02</v>
      </c>
      <c r="BH161">
        <f t="shared" si="27"/>
        <v>0</v>
      </c>
    </row>
    <row r="162" spans="57:60">
      <c r="BE162">
        <v>-3.9999999999999897E-2</v>
      </c>
      <c r="BF162">
        <v>0</v>
      </c>
      <c r="BG162">
        <v>-2.9999999999999801E-2</v>
      </c>
      <c r="BH162">
        <f t="shared" si="27"/>
        <v>0</v>
      </c>
    </row>
    <row r="163" spans="57:60">
      <c r="BE163">
        <v>-0.02</v>
      </c>
      <c r="BF163">
        <v>0</v>
      </c>
      <c r="BG163">
        <v>-0.02</v>
      </c>
      <c r="BH163">
        <f t="shared" si="27"/>
        <v>0</v>
      </c>
    </row>
    <row r="164" spans="57:60">
      <c r="BE164">
        <v>-0.03</v>
      </c>
      <c r="BF164">
        <v>0</v>
      </c>
      <c r="BG164">
        <v>-0.02</v>
      </c>
      <c r="BH164">
        <f t="shared" si="27"/>
        <v>0</v>
      </c>
    </row>
    <row r="165" spans="57:60">
      <c r="BE165">
        <v>-0.01</v>
      </c>
      <c r="BF165">
        <v>0</v>
      </c>
      <c r="BG165">
        <v>-0.22</v>
      </c>
      <c r="BH165">
        <f t="shared" si="27"/>
        <v>0</v>
      </c>
    </row>
    <row r="166" spans="57:60">
      <c r="BE166">
        <v>-0.01</v>
      </c>
      <c r="BF166">
        <v>0</v>
      </c>
      <c r="BG166">
        <v>0.16</v>
      </c>
      <c r="BH166">
        <f t="shared" si="27"/>
        <v>0.16</v>
      </c>
    </row>
    <row r="167" spans="57:60">
      <c r="BE167">
        <v>-0.02</v>
      </c>
      <c r="BF167">
        <v>0</v>
      </c>
      <c r="BG167">
        <v>-9.9999999999997903E-3</v>
      </c>
      <c r="BH167">
        <f t="shared" si="27"/>
        <v>0</v>
      </c>
    </row>
    <row r="168" spans="57:60">
      <c r="BE168">
        <v>-1.99999999999999E-2</v>
      </c>
      <c r="BF168">
        <v>0</v>
      </c>
      <c r="BG168">
        <v>-3.0000000000000301E-2</v>
      </c>
      <c r="BH168">
        <f t="shared" si="27"/>
        <v>0</v>
      </c>
    </row>
    <row r="169" spans="57:60">
      <c r="BE169">
        <v>-0.02</v>
      </c>
      <c r="BF169">
        <v>0</v>
      </c>
      <c r="BG169">
        <v>-0.61</v>
      </c>
      <c r="BH169">
        <f t="shared" si="27"/>
        <v>0</v>
      </c>
    </row>
    <row r="170" spans="57:60">
      <c r="BE170">
        <v>-0.05</v>
      </c>
      <c r="BF170">
        <v>0</v>
      </c>
      <c r="BG170">
        <v>-3.99999999999998E-2</v>
      </c>
      <c r="BH170">
        <f t="shared" si="27"/>
        <v>0</v>
      </c>
    </row>
    <row r="171" spans="57:60">
      <c r="BF171">
        <f>SUM(BF81:BF170)/6</f>
        <v>0.54499999999999993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Y231"/>
  <sheetViews>
    <sheetView topLeftCell="DF1" zoomScale="125" zoomScaleNormal="125" zoomScalePageLayoutView="125" workbookViewId="0">
      <pane ySplit="3720" topLeftCell="A55" activePane="bottomLeft"/>
      <selection activeCell="DO2" sqref="DO2"/>
      <selection pane="bottomLeft" activeCell="DP55" sqref="DP55"/>
    </sheetView>
  </sheetViews>
  <sheetFormatPr baseColWidth="10" defaultRowHeight="16"/>
  <cols>
    <col min="1" max="1" width="10.7109375" style="300"/>
    <col min="3" max="3" width="10.7109375" style="34"/>
    <col min="8" max="8" width="2.28515625" style="180" customWidth="1"/>
    <col min="9" max="9" width="10.7109375" style="300"/>
    <col min="10" max="10" width="13.140625" customWidth="1"/>
    <col min="14" max="14" width="2.28515625" style="180" customWidth="1"/>
    <col min="15" max="15" width="10.7109375" style="300"/>
    <col min="16" max="16" width="9.7109375" customWidth="1"/>
    <col min="20" max="20" width="10.7109375" style="300"/>
    <col min="25" max="25" width="2.28515625" style="180" customWidth="1"/>
    <col min="26" max="27" width="10.7109375" style="300"/>
    <col min="28" max="28" width="10.7109375" style="34"/>
    <col min="41" max="41" width="10.7109375" style="300"/>
    <col min="42" max="42" width="10.7109375" style="48"/>
    <col min="43" max="43" width="10.7109375" style="460"/>
    <col min="44" max="44" width="10.7109375" style="461"/>
    <col min="45" max="45" width="10.7109375" style="462"/>
    <col min="46" max="46" width="10.7109375" style="48"/>
    <col min="47" max="47" width="10.7109375" style="460"/>
    <col min="48" max="48" width="10.7109375" style="461"/>
    <col min="49" max="49" width="10.7109375" style="462"/>
    <col min="56" max="56" width="1.28515625" style="232" customWidth="1"/>
    <col min="57" max="57" width="6.85546875" customWidth="1"/>
    <col min="58" max="58" width="8" customWidth="1"/>
    <col min="59" max="59" width="7.42578125" customWidth="1"/>
    <col min="60" max="60" width="7" customWidth="1"/>
    <col min="61" max="61" width="1.28515625" style="232" customWidth="1"/>
    <col min="66" max="66" width="1.28515625" style="232" customWidth="1"/>
    <col min="67" max="67" width="10.7109375" style="300"/>
    <col min="68" max="68" width="11" customWidth="1"/>
    <col min="81" max="81" width="10.42578125" customWidth="1"/>
    <col min="82" max="82" width="10.28515625" customWidth="1"/>
    <col min="83" max="83" width="10.85546875" customWidth="1"/>
    <col min="84" max="84" width="9.85546875" customWidth="1"/>
    <col min="85" max="92" width="10.7109375" style="34"/>
    <col min="97" max="97" width="10.7109375" style="300"/>
    <col min="107" max="107" width="10.7109375" style="48"/>
    <col min="108" max="108" width="10.7109375" style="460"/>
    <col min="109" max="109" width="10.7109375" style="461"/>
    <col min="110" max="110" width="10.7109375" style="462"/>
    <col min="111" max="122" width="10.7109375" style="855"/>
    <col min="127" max="127" width="0.7109375" style="232" customWidth="1"/>
    <col min="128" max="128" width="10.7109375" style="534"/>
    <col min="129" max="129" width="1" style="232" customWidth="1"/>
    <col min="134" max="134" width="1.140625" style="232" customWidth="1"/>
    <col min="135" max="135" width="10.7109375" style="548"/>
    <col min="139" max="139" width="1" style="232" customWidth="1"/>
    <col min="140" max="140" width="10.7109375" style="548"/>
    <col min="144" max="144" width="1" style="232" customWidth="1"/>
    <col min="145" max="145" width="10.7109375" style="548"/>
    <col min="149" max="149" width="1" style="232" customWidth="1"/>
    <col min="150" max="150" width="10.7109375" style="548"/>
    <col min="154" max="154" width="1" style="232" customWidth="1"/>
    <col min="155" max="155" width="10.7109375" style="534"/>
    <col min="156" max="156" width="1" style="232" customWidth="1"/>
    <col min="157" max="157" width="10.7109375" style="548"/>
    <col min="161" max="161" width="1" style="232" customWidth="1"/>
    <col min="162" max="162" width="10.7109375" style="784"/>
    <col min="163" max="163" width="1" style="232" customWidth="1"/>
    <col min="164" max="164" width="10.7109375" style="548"/>
    <col min="165" max="165" width="12.7109375" customWidth="1"/>
    <col min="166" max="166" width="12.5703125" customWidth="1"/>
    <col min="167" max="167" width="11.28515625" customWidth="1"/>
    <col min="168" max="168" width="1" style="232" customWidth="1"/>
    <col min="169" max="169" width="10.7109375" style="548"/>
    <col min="170" max="170" width="12.7109375" customWidth="1"/>
    <col min="171" max="171" width="12.5703125" customWidth="1"/>
    <col min="172" max="172" width="11.28515625" customWidth="1"/>
    <col min="173" max="173" width="1" style="232" customWidth="1"/>
    <col min="174" max="174" width="10.7109375" style="548"/>
    <col min="175" max="175" width="12.7109375" customWidth="1"/>
    <col min="176" max="176" width="12.5703125" customWidth="1"/>
    <col min="177" max="177" width="11.28515625" customWidth="1"/>
    <col min="178" max="178" width="1" style="232" customWidth="1"/>
    <col min="179" max="179" width="10.7109375" style="534"/>
    <col min="180" max="180" width="1" style="232" customWidth="1"/>
    <col min="181" max="181" width="10.7109375" style="548"/>
    <col min="182" max="182" width="12.7109375" customWidth="1"/>
    <col min="183" max="183" width="12.5703125" customWidth="1"/>
    <col min="184" max="184" width="11.28515625" customWidth="1"/>
    <col min="185" max="185" width="1" style="232" customWidth="1"/>
    <col min="186" max="186" width="10.7109375" style="548"/>
    <col min="187" max="187" width="12.7109375" customWidth="1"/>
    <col min="188" max="188" width="12.5703125" customWidth="1"/>
    <col min="189" max="189" width="11.28515625" customWidth="1"/>
    <col min="190" max="190" width="1" style="232" customWidth="1"/>
    <col min="191" max="191" width="10.7109375" style="548"/>
    <col min="192" max="192" width="11" customWidth="1"/>
    <col min="193" max="193" width="12.5703125" customWidth="1"/>
    <col min="194" max="194" width="11.28515625" customWidth="1"/>
    <col min="195" max="195" width="1" style="232" customWidth="1"/>
  </cols>
  <sheetData>
    <row r="1" spans="1:207" s="34" customFormat="1" ht="144">
      <c r="A1" s="298" t="s">
        <v>0</v>
      </c>
      <c r="B1" s="281" t="s">
        <v>122</v>
      </c>
      <c r="C1" s="281" t="s">
        <v>123</v>
      </c>
      <c r="D1" s="292" t="s">
        <v>124</v>
      </c>
      <c r="E1" s="292" t="s">
        <v>124</v>
      </c>
      <c r="F1" s="292" t="s">
        <v>124</v>
      </c>
      <c r="G1" s="292" t="s">
        <v>124</v>
      </c>
      <c r="H1" s="294"/>
      <c r="I1" s="298" t="s">
        <v>0</v>
      </c>
      <c r="J1" s="292" t="s">
        <v>125</v>
      </c>
      <c r="K1" s="292" t="s">
        <v>125</v>
      </c>
      <c r="L1" s="292" t="s">
        <v>125</v>
      </c>
      <c r="M1" s="292" t="s">
        <v>125</v>
      </c>
      <c r="N1" s="294"/>
      <c r="O1" s="298" t="s">
        <v>0</v>
      </c>
      <c r="P1" s="292" t="s">
        <v>134</v>
      </c>
      <c r="Q1" s="292" t="s">
        <v>134</v>
      </c>
      <c r="R1" s="292" t="s">
        <v>134</v>
      </c>
      <c r="S1" s="292" t="s">
        <v>134</v>
      </c>
      <c r="T1" s="298" t="s">
        <v>0</v>
      </c>
      <c r="U1" s="296" t="s">
        <v>143</v>
      </c>
      <c r="V1" s="296" t="s">
        <v>143</v>
      </c>
      <c r="W1" s="296" t="s">
        <v>143</v>
      </c>
      <c r="X1" s="296" t="s">
        <v>143</v>
      </c>
      <c r="Y1" s="294"/>
      <c r="Z1" s="298" t="s">
        <v>0</v>
      </c>
      <c r="AA1" s="298" t="s">
        <v>0</v>
      </c>
      <c r="AB1" s="281" t="s">
        <v>123</v>
      </c>
      <c r="AC1" s="283" t="s">
        <v>145</v>
      </c>
      <c r="AD1" s="296" t="s">
        <v>158</v>
      </c>
      <c r="AE1" s="296" t="s">
        <v>159</v>
      </c>
      <c r="AF1" s="283" t="s">
        <v>146</v>
      </c>
      <c r="AG1" s="296" t="s">
        <v>158</v>
      </c>
      <c r="AH1" s="296" t="s">
        <v>159</v>
      </c>
      <c r="AI1" s="283" t="s">
        <v>147</v>
      </c>
      <c r="AJ1" s="296" t="s">
        <v>158</v>
      </c>
      <c r="AK1" s="296" t="s">
        <v>159</v>
      </c>
      <c r="AL1" s="283" t="s">
        <v>148</v>
      </c>
      <c r="AM1" s="296" t="s">
        <v>158</v>
      </c>
      <c r="AN1" s="296"/>
      <c r="AO1" s="298" t="s">
        <v>0</v>
      </c>
      <c r="AP1" s="454" t="s">
        <v>114</v>
      </c>
      <c r="AQ1" s="455" t="s">
        <v>114</v>
      </c>
      <c r="AR1" s="456" t="s">
        <v>114</v>
      </c>
      <c r="AS1" s="457" t="s">
        <v>114</v>
      </c>
      <c r="AT1" s="454" t="s">
        <v>331</v>
      </c>
      <c r="AU1" s="455" t="s">
        <v>331</v>
      </c>
      <c r="AV1" s="456" t="s">
        <v>331</v>
      </c>
      <c r="AW1" s="457" t="s">
        <v>331</v>
      </c>
      <c r="AX1" s="283"/>
      <c r="AY1" s="283" t="s">
        <v>115</v>
      </c>
      <c r="AZ1" s="283" t="s">
        <v>115</v>
      </c>
      <c r="BA1" s="283" t="s">
        <v>115</v>
      </c>
      <c r="BB1" s="283" t="s">
        <v>115</v>
      </c>
      <c r="BD1" s="553"/>
      <c r="BE1" s="454" t="s">
        <v>334</v>
      </c>
      <c r="BF1" s="455" t="s">
        <v>334</v>
      </c>
      <c r="BG1" s="456" t="s">
        <v>334</v>
      </c>
      <c r="BH1" s="457" t="s">
        <v>334</v>
      </c>
      <c r="BI1" s="553"/>
      <c r="BJ1" s="295" t="s">
        <v>116</v>
      </c>
      <c r="BK1" s="295"/>
      <c r="BL1" s="295"/>
      <c r="BM1" s="295"/>
      <c r="BN1" s="553"/>
      <c r="BO1" s="298" t="s">
        <v>0</v>
      </c>
      <c r="BP1" s="293" t="s">
        <v>117</v>
      </c>
      <c r="BQ1" s="292" t="s">
        <v>126</v>
      </c>
      <c r="BR1" s="292" t="s">
        <v>126</v>
      </c>
      <c r="BS1" s="292" t="s">
        <v>126</v>
      </c>
      <c r="BT1" s="292" t="s">
        <v>126</v>
      </c>
      <c r="BU1" s="292" t="s">
        <v>127</v>
      </c>
      <c r="BV1" s="292" t="s">
        <v>127</v>
      </c>
      <c r="BW1" s="292" t="s">
        <v>127</v>
      </c>
      <c r="BX1" s="292" t="s">
        <v>127</v>
      </c>
      <c r="BY1" s="292" t="s">
        <v>338</v>
      </c>
      <c r="BZ1" s="292" t="s">
        <v>338</v>
      </c>
      <c r="CA1" s="292" t="s">
        <v>338</v>
      </c>
      <c r="CB1" s="292" t="s">
        <v>338</v>
      </c>
      <c r="CC1" s="292" t="s">
        <v>612</v>
      </c>
      <c r="CD1" s="292" t="s">
        <v>613</v>
      </c>
      <c r="CE1" s="292" t="s">
        <v>613</v>
      </c>
      <c r="CF1" s="292" t="s">
        <v>614</v>
      </c>
      <c r="CG1" s="292" t="s">
        <v>128</v>
      </c>
      <c r="CH1" s="292" t="s">
        <v>128</v>
      </c>
      <c r="CI1" s="292" t="s">
        <v>128</v>
      </c>
      <c r="CJ1" s="292" t="s">
        <v>128</v>
      </c>
      <c r="CK1" s="292" t="s">
        <v>129</v>
      </c>
      <c r="CL1" s="292" t="s">
        <v>129</v>
      </c>
      <c r="CM1" s="292" t="s">
        <v>129</v>
      </c>
      <c r="CN1" s="292" t="s">
        <v>129</v>
      </c>
      <c r="CO1" s="292" t="s">
        <v>130</v>
      </c>
      <c r="CP1" s="292" t="s">
        <v>133</v>
      </c>
      <c r="CQ1" s="292" t="s">
        <v>132</v>
      </c>
      <c r="CR1" s="292" t="s">
        <v>131</v>
      </c>
      <c r="CS1" s="298" t="s">
        <v>0</v>
      </c>
      <c r="CT1" s="301" t="s">
        <v>135</v>
      </c>
      <c r="CU1" s="301" t="s">
        <v>138</v>
      </c>
      <c r="CV1" s="301" t="s">
        <v>137</v>
      </c>
      <c r="CW1" s="301" t="s">
        <v>136</v>
      </c>
      <c r="CY1" s="435" t="s">
        <v>325</v>
      </c>
      <c r="CZ1" s="435" t="s">
        <v>265</v>
      </c>
      <c r="DA1" s="435" t="s">
        <v>266</v>
      </c>
      <c r="DB1" s="435" t="s">
        <v>267</v>
      </c>
      <c r="DC1" s="454" t="s">
        <v>326</v>
      </c>
      <c r="DD1" s="455" t="s">
        <v>327</v>
      </c>
      <c r="DE1" s="456" t="s">
        <v>328</v>
      </c>
      <c r="DF1" s="457" t="s">
        <v>329</v>
      </c>
      <c r="DG1" s="457" t="s">
        <v>636</v>
      </c>
      <c r="DH1" s="457" t="s">
        <v>637</v>
      </c>
      <c r="DI1" s="457" t="s">
        <v>638</v>
      </c>
      <c r="DJ1" s="457" t="s">
        <v>639</v>
      </c>
      <c r="DK1" s="457" t="s">
        <v>640</v>
      </c>
      <c r="DL1" s="457" t="s">
        <v>641</v>
      </c>
      <c r="DM1" s="457" t="s">
        <v>642</v>
      </c>
      <c r="DN1" s="457" t="s">
        <v>643</v>
      </c>
      <c r="DO1" s="457" t="s">
        <v>645</v>
      </c>
      <c r="DP1" s="457" t="s">
        <v>644</v>
      </c>
      <c r="DQ1" s="457" t="s">
        <v>644</v>
      </c>
      <c r="DR1" s="457" t="s">
        <v>644</v>
      </c>
      <c r="DS1" s="454" t="s">
        <v>330</v>
      </c>
      <c r="DT1" s="455" t="s">
        <v>330</v>
      </c>
      <c r="DU1" s="456" t="s">
        <v>330</v>
      </c>
      <c r="DV1" s="457" t="s">
        <v>330</v>
      </c>
      <c r="DW1" s="549"/>
      <c r="DX1" s="531" t="s">
        <v>0</v>
      </c>
      <c r="DY1" s="549"/>
      <c r="DZ1" s="454" t="s">
        <v>332</v>
      </c>
      <c r="EA1" s="455" t="s">
        <v>332</v>
      </c>
      <c r="EB1" s="456" t="s">
        <v>332</v>
      </c>
      <c r="EC1" s="542" t="s">
        <v>332</v>
      </c>
      <c r="ED1" s="549"/>
      <c r="EE1" s="541" t="s">
        <v>333</v>
      </c>
      <c r="EF1" s="538" t="s">
        <v>333</v>
      </c>
      <c r="EG1" s="539" t="s">
        <v>333</v>
      </c>
      <c r="EH1" s="540" t="s">
        <v>333</v>
      </c>
      <c r="EI1" s="549"/>
      <c r="EJ1" s="541" t="s">
        <v>603</v>
      </c>
      <c r="EK1" s="538" t="s">
        <v>603</v>
      </c>
      <c r="EL1" s="539" t="s">
        <v>603</v>
      </c>
      <c r="EM1" s="540" t="s">
        <v>603</v>
      </c>
      <c r="EN1" s="549"/>
      <c r="EO1" s="541" t="s">
        <v>335</v>
      </c>
      <c r="EP1" s="538" t="s">
        <v>335</v>
      </c>
      <c r="EQ1" s="539" t="s">
        <v>335</v>
      </c>
      <c r="ER1" s="540" t="s">
        <v>335</v>
      </c>
      <c r="ES1" s="549"/>
      <c r="ET1" s="541" t="s">
        <v>601</v>
      </c>
      <c r="EU1" s="538" t="s">
        <v>601</v>
      </c>
      <c r="EV1" s="539" t="s">
        <v>601</v>
      </c>
      <c r="EW1" s="540" t="s">
        <v>601</v>
      </c>
      <c r="EX1" s="549"/>
      <c r="EY1" s="531" t="s">
        <v>0</v>
      </c>
      <c r="EZ1" s="549"/>
      <c r="FA1" s="541" t="s">
        <v>336</v>
      </c>
      <c r="FB1" s="538" t="s">
        <v>336</v>
      </c>
      <c r="FC1" s="539" t="s">
        <v>337</v>
      </c>
      <c r="FD1" s="540" t="s">
        <v>336</v>
      </c>
      <c r="FE1" s="549"/>
      <c r="FF1" s="781" t="s">
        <v>0</v>
      </c>
      <c r="FG1" s="549"/>
      <c r="FH1" s="541" t="s">
        <v>596</v>
      </c>
      <c r="FI1" s="538" t="s">
        <v>596</v>
      </c>
      <c r="FJ1" s="539" t="s">
        <v>597</v>
      </c>
      <c r="FK1" s="540" t="s">
        <v>596</v>
      </c>
      <c r="FL1" s="549"/>
      <c r="FM1" s="541" t="s">
        <v>610</v>
      </c>
      <c r="FN1" s="538" t="s">
        <v>610</v>
      </c>
      <c r="FO1" s="539" t="s">
        <v>611</v>
      </c>
      <c r="FP1" s="540" t="s">
        <v>610</v>
      </c>
      <c r="FQ1" s="549"/>
      <c r="FR1" s="541" t="s">
        <v>606</v>
      </c>
      <c r="FS1" s="538" t="s">
        <v>606</v>
      </c>
      <c r="FT1" s="539" t="s">
        <v>607</v>
      </c>
      <c r="FU1" s="540" t="s">
        <v>606</v>
      </c>
      <c r="FV1" s="549"/>
      <c r="FW1" s="531" t="s">
        <v>0</v>
      </c>
      <c r="FX1" s="549"/>
      <c r="FY1" s="541" t="s">
        <v>608</v>
      </c>
      <c r="FZ1" s="538" t="s">
        <v>608</v>
      </c>
      <c r="GA1" s="539" t="s">
        <v>609</v>
      </c>
      <c r="GB1" s="540" t="s">
        <v>608</v>
      </c>
      <c r="GC1" s="549"/>
      <c r="GD1" s="541" t="s">
        <v>608</v>
      </c>
      <c r="GE1" s="538" t="s">
        <v>608</v>
      </c>
      <c r="GF1" s="539" t="s">
        <v>609</v>
      </c>
      <c r="GG1" s="540" t="s">
        <v>608</v>
      </c>
      <c r="GH1" s="549"/>
      <c r="GI1" s="541" t="s">
        <v>627</v>
      </c>
      <c r="GJ1" s="538" t="s">
        <v>627</v>
      </c>
      <c r="GK1" s="539" t="s">
        <v>627</v>
      </c>
      <c r="GL1" s="540" t="s">
        <v>627</v>
      </c>
      <c r="GM1" s="549"/>
    </row>
    <row r="2" spans="1:207" s="498" customFormat="1">
      <c r="A2" s="464">
        <v>41562</v>
      </c>
      <c r="B2" s="682">
        <v>127.800000000002</v>
      </c>
      <c r="C2" s="498">
        <v>0</v>
      </c>
      <c r="D2" s="499"/>
      <c r="E2" s="499"/>
      <c r="F2" s="499"/>
      <c r="G2" s="499"/>
      <c r="H2" s="500"/>
      <c r="I2" s="501"/>
      <c r="J2" s="499"/>
      <c r="K2" s="499"/>
      <c r="L2" s="499"/>
      <c r="M2" s="499"/>
      <c r="N2" s="500"/>
      <c r="O2" s="501"/>
      <c r="P2" s="499"/>
      <c r="Q2" s="499"/>
      <c r="R2" s="499"/>
      <c r="S2" s="499"/>
      <c r="T2" s="501"/>
      <c r="U2" s="502"/>
      <c r="V2" s="502"/>
      <c r="W2" s="502"/>
      <c r="X2" s="502"/>
      <c r="Y2" s="500"/>
      <c r="Z2" s="501"/>
      <c r="AA2" s="501"/>
      <c r="AD2" s="502"/>
      <c r="AE2" s="502"/>
      <c r="AG2" s="502"/>
      <c r="AH2" s="502"/>
      <c r="AJ2" s="502"/>
      <c r="AK2" s="502"/>
      <c r="AM2" s="502"/>
      <c r="AN2" s="502"/>
      <c r="AO2" s="464">
        <v>41562</v>
      </c>
      <c r="AP2" s="483">
        <v>10.946832704118993</v>
      </c>
      <c r="AQ2" s="483">
        <v>33.676731100706128</v>
      </c>
      <c r="AR2" s="483">
        <v>9.1406617200152738</v>
      </c>
      <c r="AS2" s="483">
        <v>12.568729497438397</v>
      </c>
      <c r="AT2" s="483">
        <f t="shared" ref="AT2:AT3" si="0">AP2/28</f>
        <v>0.3909583108613926</v>
      </c>
      <c r="AU2" s="483">
        <f t="shared" ref="AU2:AU3" si="1">AQ2/59</f>
        <v>0.57079205255434118</v>
      </c>
      <c r="AV2" s="483">
        <f t="shared" ref="AV2:AV3" si="2">AR2/20</f>
        <v>0.4570330860007637</v>
      </c>
      <c r="AW2" s="483">
        <f t="shared" ref="AW2:AW3" si="3">AS2/19</f>
        <v>0.66151207881254726</v>
      </c>
      <c r="AY2" s="482">
        <v>0</v>
      </c>
      <c r="AZ2" s="482">
        <v>0.61806955386698603</v>
      </c>
      <c r="BA2" s="482">
        <v>0.16656955386698569</v>
      </c>
      <c r="BB2" s="482">
        <v>0.25926955386698619</v>
      </c>
      <c r="BJ2" s="506"/>
      <c r="BK2" s="506"/>
      <c r="BL2" s="506"/>
      <c r="BM2" s="506"/>
      <c r="BO2" s="501"/>
      <c r="BP2" s="699">
        <v>57.236000000001241</v>
      </c>
      <c r="BQ2" s="1">
        <v>5035950</v>
      </c>
      <c r="BR2" s="1">
        <v>11127132</v>
      </c>
      <c r="BS2" s="1">
        <v>6310099.7999999998</v>
      </c>
      <c r="BT2" s="1">
        <v>5970600</v>
      </c>
      <c r="BU2" s="474">
        <v>153402.67665978591</v>
      </c>
      <c r="BV2" s="474">
        <v>509866.00211189309</v>
      </c>
      <c r="BW2" s="474">
        <v>144414.10030668529</v>
      </c>
      <c r="BX2" s="474">
        <v>214415.58927759767</v>
      </c>
      <c r="BY2" s="556">
        <f>$B2/1000*BQ2</f>
        <v>643594.41000001004</v>
      </c>
      <c r="BZ2" s="556">
        <f>$B2/1000*BR2</f>
        <v>1422047.4696000223</v>
      </c>
      <c r="CA2" s="556">
        <f>$B2/1000*BS2</f>
        <v>806430.75444001262</v>
      </c>
      <c r="CB2" s="556">
        <f>$B2/1000*BT2</f>
        <v>763042.68000001193</v>
      </c>
      <c r="CC2" s="475">
        <f>$BP2/1000*BQ2*1.25</f>
        <v>360297.04275000782</v>
      </c>
      <c r="CD2" s="475">
        <f>$BP2/1000*BR2*1.5</f>
        <v>955308.7907280206</v>
      </c>
      <c r="CE2" s="475">
        <f>$BP2/1000*BS2*1.25</f>
        <v>451456.09019100969</v>
      </c>
      <c r="CF2" s="475">
        <f>$BP2/1000*BT2*1.5</f>
        <v>512599.89240001107</v>
      </c>
      <c r="CG2" s="476">
        <f t="shared" ref="CG2:CG3" si="4">$B2/1000*BU2</f>
        <v>19604.862077120946</v>
      </c>
      <c r="CH2" s="476">
        <f t="shared" ref="CH2:CH3" si="5">$B2/1000*BV2</f>
        <v>65160.875069900954</v>
      </c>
      <c r="CI2" s="476">
        <f t="shared" ref="CI2:CI3" si="6">$B2/1000*BW2</f>
        <v>18456.122019194667</v>
      </c>
      <c r="CJ2" s="476">
        <f t="shared" ref="CJ2:CJ3" si="7">$B2/1000*BX2</f>
        <v>27402.312309677411</v>
      </c>
      <c r="CK2" s="476">
        <f t="shared" ref="CK2:CK3" si="8">CG2+CC2</f>
        <v>379901.90482712875</v>
      </c>
      <c r="CL2" s="476">
        <f t="shared" ref="CL2:CL3" si="9">CH2+CD2</f>
        <v>1020469.6657979216</v>
      </c>
      <c r="CM2" s="476">
        <f t="shared" ref="CM2:CM3" si="10">CI2+CE2</f>
        <v>469912.21221020434</v>
      </c>
      <c r="CN2" s="476">
        <f t="shared" ref="CN2:CN3" si="11">CJ2+CF2</f>
        <v>540002.20470968843</v>
      </c>
      <c r="CO2" s="477">
        <f>CK2/BU2*100</f>
        <v>247.65011478233157</v>
      </c>
      <c r="CP2" s="477">
        <f>CL2/BV2*100</f>
        <v>200.14467753705483</v>
      </c>
      <c r="CQ2" s="477">
        <f>CM2/BW2*100</f>
        <v>325.39219592288731</v>
      </c>
      <c r="CR2" s="477">
        <f>CN2/BX2*100</f>
        <v>251.84838776371024</v>
      </c>
      <c r="CS2" s="501"/>
      <c r="CT2" s="504"/>
      <c r="CU2" s="504"/>
      <c r="CV2" s="504"/>
      <c r="CW2" s="504"/>
      <c r="CY2" s="517"/>
      <c r="CZ2" s="517"/>
      <c r="DA2" s="517"/>
      <c r="DB2" s="517"/>
      <c r="DC2" s="483">
        <f t="shared" ref="DC2:DC33" si="12">(AY3-AY2)*100</f>
        <v>234.25855213215675</v>
      </c>
      <c r="DD2" s="483">
        <f t="shared" ref="DD2:DD33" si="13">(AZ3-AZ2)*100</f>
        <v>234.62159674545831</v>
      </c>
      <c r="DE2" s="483">
        <f t="shared" ref="DE2:DE33" si="14">(BA3-BA2)*100</f>
        <v>298.69159674545824</v>
      </c>
      <c r="DF2" s="483">
        <f t="shared" ref="DF2:DF33" si="15">(BB3-BB2)*100</f>
        <v>261.90159674545822</v>
      </c>
      <c r="DG2" s="483">
        <f>IF(DC2&lt;0,ABS(DC2),0)</f>
        <v>0</v>
      </c>
      <c r="DH2" s="483">
        <f t="shared" ref="DH2:DJ2" si="16">IF(DD2&lt;0,ABS(DD2),0)</f>
        <v>0</v>
      </c>
      <c r="DI2" s="483">
        <f t="shared" si="16"/>
        <v>0</v>
      </c>
      <c r="DJ2" s="483">
        <f t="shared" si="16"/>
        <v>0</v>
      </c>
      <c r="DK2" s="483"/>
      <c r="DL2" s="483"/>
      <c r="DM2" s="483"/>
      <c r="DN2" s="483"/>
      <c r="DO2" s="483"/>
      <c r="DP2" s="483"/>
      <c r="DQ2" s="483"/>
      <c r="DR2" s="483"/>
      <c r="DS2" s="503"/>
      <c r="DT2" s="503"/>
      <c r="DU2" s="503"/>
      <c r="DV2" s="503"/>
      <c r="DW2" s="543"/>
      <c r="DX2" s="501"/>
      <c r="DY2" s="543"/>
      <c r="DZ2" s="503"/>
      <c r="EA2" s="503"/>
      <c r="EB2" s="503"/>
      <c r="EC2" s="543"/>
      <c r="ED2" s="543"/>
      <c r="EE2" s="503">
        <v>0.55400000000000005</v>
      </c>
      <c r="EF2" s="503">
        <f>0.459</f>
        <v>0.45900000000000002</v>
      </c>
      <c r="EG2" s="503">
        <v>0.83199999999999996</v>
      </c>
      <c r="EH2" s="503">
        <v>0.49299999999999999</v>
      </c>
      <c r="EI2" s="543"/>
      <c r="EJ2" s="503">
        <f>EE2/100*AP2*10^4</f>
        <v>606.45453180819231</v>
      </c>
      <c r="EK2" s="503">
        <f>EF2/100*AQ2*10^4</f>
        <v>1545.7619575224112</v>
      </c>
      <c r="EL2" s="503">
        <f>EG2/100*AR2*10^4</f>
        <v>760.50305510527073</v>
      </c>
      <c r="EM2" s="503">
        <f>EH2/100*AS2*10^4</f>
        <v>619.6383642237131</v>
      </c>
      <c r="EN2" s="543"/>
      <c r="EO2" s="700">
        <v>2.5099999999999998</v>
      </c>
      <c r="EP2" s="700">
        <v>0.69</v>
      </c>
      <c r="EQ2" s="700">
        <v>0.92</v>
      </c>
      <c r="ER2" s="700">
        <v>2.46</v>
      </c>
      <c r="ES2" s="543"/>
      <c r="ET2" s="700">
        <f>EO2/100*AP2*10^4</f>
        <v>2747.6550087338669</v>
      </c>
      <c r="EU2" s="700">
        <f>EP2/100*AQ2*10^4</f>
        <v>2323.6944459487227</v>
      </c>
      <c r="EV2" s="700">
        <f>EQ2/100*AR2*10^4</f>
        <v>840.94087824140513</v>
      </c>
      <c r="EW2" s="700">
        <f>ER2/100*AS2*10^4</f>
        <v>3091.9074563698455</v>
      </c>
      <c r="EX2" s="543"/>
      <c r="EY2" s="464">
        <v>41562</v>
      </c>
      <c r="EZ2" s="543"/>
      <c r="FA2" s="745">
        <f>CO2-EE2-EO2-DC2</f>
        <v>10.327562650174826</v>
      </c>
      <c r="FB2" s="745">
        <f>CP2-EF2-EP2-DD2</f>
        <v>-35.625919208403474</v>
      </c>
      <c r="FC2" s="745">
        <f>CQ2-EG2-EQ2-DE2</f>
        <v>24.94859917742906</v>
      </c>
      <c r="FD2" s="745">
        <f>CR2-EH2-ER2-DF2</f>
        <v>-13.006208981747989</v>
      </c>
      <c r="FE2" s="757"/>
      <c r="FF2" s="464">
        <v>41562</v>
      </c>
      <c r="FG2" s="757"/>
      <c r="FH2" s="745">
        <f t="shared" ref="FH2:FK3" si="17">FA2/100*AP2*10^4</f>
        <v>11305.41005727716</v>
      </c>
      <c r="FI2" s="745">
        <f t="shared" si="17"/>
        <v>-119976.45013968852</v>
      </c>
      <c r="FJ2" s="745">
        <f t="shared" si="17"/>
        <v>22804.670546913032</v>
      </c>
      <c r="FK2" s="745">
        <f t="shared" si="17"/>
        <v>-16347.152247874417</v>
      </c>
      <c r="FL2" s="757"/>
      <c r="FM2" s="756">
        <f>FH2</f>
        <v>11305.41005727716</v>
      </c>
      <c r="FN2" s="756">
        <f>AVERAGE(FN$9:FN$17)</f>
        <v>3499.8023757396686</v>
      </c>
      <c r="FO2" s="756">
        <f>AVERAGE(FO$9:FO$17)</f>
        <v>4192.1670315234878</v>
      </c>
      <c r="FP2" s="756">
        <f>AVERAGE(FP$9:FP$17)</f>
        <v>-1640.9416765476597</v>
      </c>
      <c r="FQ2" s="757"/>
      <c r="FR2" s="756">
        <f>IF(FH2&gt;0,FH2+ET2+EJ2,EJ2+ET2)</f>
        <v>14659.519597819221</v>
      </c>
      <c r="FS2" s="756">
        <f>IF(FI2&gt;0,FI2+EU2+EK2,EK2+EU2)</f>
        <v>3869.4564034711339</v>
      </c>
      <c r="FT2" s="756">
        <f>IF(FJ2&gt;0,FJ2+EV2+EL2,EL2+EV2)</f>
        <v>24406.114480259708</v>
      </c>
      <c r="FU2" s="756">
        <f>IF(FK2&gt;0,FK2+EW2+EM2,EM2+EW2)</f>
        <v>3711.5458205935583</v>
      </c>
      <c r="FV2" s="854"/>
      <c r="FW2" s="753">
        <v>41562</v>
      </c>
      <c r="FX2" s="854"/>
      <c r="FY2" s="756">
        <f>FR2</f>
        <v>14659.519597819221</v>
      </c>
      <c r="FZ2" s="756">
        <f>FS2</f>
        <v>3869.4564034711339</v>
      </c>
      <c r="GA2" s="756">
        <f>FT2</f>
        <v>24406.114480259708</v>
      </c>
      <c r="GB2" s="756">
        <f>FU2</f>
        <v>3711.5458205935583</v>
      </c>
      <c r="GC2" s="757"/>
      <c r="GD2" s="756">
        <f>FY2/FY$92</f>
        <v>3.8770925911599315E-2</v>
      </c>
      <c r="GE2" s="756">
        <f>FZ2/FZ$92</f>
        <v>5.072834802120325E-3</v>
      </c>
      <c r="GF2" s="756">
        <f>GA2/GA$146</f>
        <v>6.5525765590968385E-2</v>
      </c>
      <c r="GG2" s="756">
        <f>GB2/GB$146</f>
        <v>9.6867431876404998E-3</v>
      </c>
      <c r="GH2" s="543"/>
      <c r="GI2" s="756">
        <f>(BQ2+BU2)*$BP2/1000</f>
        <v>297017.78980130597</v>
      </c>
      <c r="GJ2" s="756">
        <f>(BZ2+CH2)*$BP2</f>
        <v>85121856.81552957</v>
      </c>
      <c r="GK2" s="756">
        <f>(BS2+BW2)*$BP2/1000</f>
        <v>369430.55759796145</v>
      </c>
      <c r="GL2" s="756">
        <f>(BT2+BX2)*$BP2/1000</f>
        <v>354005.55226790026</v>
      </c>
      <c r="GM2" s="543"/>
    </row>
    <row r="3" spans="1:207" s="498" customFormat="1">
      <c r="A3" s="464">
        <v>41563</v>
      </c>
      <c r="B3" s="682">
        <v>21.2</v>
      </c>
      <c r="C3" s="498">
        <v>0</v>
      </c>
      <c r="D3" s="499"/>
      <c r="E3" s="499"/>
      <c r="F3" s="499"/>
      <c r="G3" s="499"/>
      <c r="H3" s="500"/>
      <c r="I3" s="501"/>
      <c r="J3" s="499"/>
      <c r="K3" s="499"/>
      <c r="L3" s="499"/>
      <c r="M3" s="499"/>
      <c r="N3" s="500"/>
      <c r="O3" s="501"/>
      <c r="P3" s="499"/>
      <c r="Q3" s="499"/>
      <c r="R3" s="499"/>
      <c r="S3" s="499"/>
      <c r="T3" s="501"/>
      <c r="U3" s="502"/>
      <c r="V3" s="502"/>
      <c r="W3" s="502"/>
      <c r="X3" s="502"/>
      <c r="Y3" s="500"/>
      <c r="Z3" s="501"/>
      <c r="AA3" s="501"/>
      <c r="AD3" s="502"/>
      <c r="AE3" s="502"/>
      <c r="AG3" s="502"/>
      <c r="AH3" s="502"/>
      <c r="AJ3" s="502"/>
      <c r="AK3" s="502"/>
      <c r="AM3" s="502"/>
      <c r="AN3" s="502"/>
      <c r="AO3" s="464">
        <v>41563</v>
      </c>
      <c r="AP3" s="483">
        <v>10.946832704118993</v>
      </c>
      <c r="AQ3" s="483">
        <v>33.676731100706128</v>
      </c>
      <c r="AR3" s="483">
        <v>9.1406617200152738</v>
      </c>
      <c r="AS3" s="483">
        <v>12.568729497438397</v>
      </c>
      <c r="AT3" s="483">
        <f t="shared" si="0"/>
        <v>0.3909583108613926</v>
      </c>
      <c r="AU3" s="483">
        <f t="shared" si="1"/>
        <v>0.57079205255434118</v>
      </c>
      <c r="AV3" s="483">
        <f t="shared" si="2"/>
        <v>0.4570330860007637</v>
      </c>
      <c r="AW3" s="483">
        <f t="shared" si="3"/>
        <v>0.66151207881254726</v>
      </c>
      <c r="AY3" s="505">
        <v>2.3425855213215674</v>
      </c>
      <c r="AZ3" s="471">
        <v>2.9642855213215693</v>
      </c>
      <c r="BA3" s="471">
        <v>3.153485521321568</v>
      </c>
      <c r="BB3" s="471">
        <v>2.8782855213215686</v>
      </c>
      <c r="BJ3" s="506"/>
      <c r="BK3" s="506"/>
      <c r="BL3" s="506"/>
      <c r="BM3" s="506"/>
      <c r="BO3" s="501"/>
      <c r="BP3" s="699">
        <v>0.95399999999999996</v>
      </c>
      <c r="BQ3" s="1">
        <v>5035950</v>
      </c>
      <c r="BR3" s="1">
        <v>11127132</v>
      </c>
      <c r="BS3" s="1">
        <v>6310099.7999999998</v>
      </c>
      <c r="BT3" s="1">
        <v>5970600</v>
      </c>
      <c r="BU3" s="474">
        <v>153402.67665978591</v>
      </c>
      <c r="BV3" s="474">
        <v>509866.00211189309</v>
      </c>
      <c r="BW3" s="474">
        <v>144414.10030668529</v>
      </c>
      <c r="BX3" s="474">
        <v>214415.58927759767</v>
      </c>
      <c r="BY3" s="556">
        <f t="shared" ref="BY3:BY66" si="18">$B3/1000*BQ3</f>
        <v>106762.14</v>
      </c>
      <c r="BZ3" s="556">
        <f t="shared" ref="BZ3:BZ66" si="19">$B3/1000*BR3</f>
        <v>235895.19839999999</v>
      </c>
      <c r="CA3" s="556">
        <f t="shared" ref="CA3:CA66" si="20">$B3/1000*BS3</f>
        <v>133774.11575999999</v>
      </c>
      <c r="CB3" s="556">
        <f t="shared" ref="CB3:CB66" si="21">$B3/1000*BT3</f>
        <v>126576.72</v>
      </c>
      <c r="CC3" s="475">
        <f t="shared" ref="CC3:CC66" si="22">$BP3/1000*BQ3*1.25</f>
        <v>6005.3703750000004</v>
      </c>
      <c r="CD3" s="475">
        <f t="shared" ref="CD3:CD66" si="23">$BP3/1000*BR3*1.5</f>
        <v>15922.925892000001</v>
      </c>
      <c r="CE3" s="475">
        <f t="shared" ref="CE3:CE66" si="24">$BP3/1000*BS3*1.25</f>
        <v>7524.7940114999992</v>
      </c>
      <c r="CF3" s="475">
        <f t="shared" ref="CF3:CF66" si="25">$BP3/1000*BT3*1.5</f>
        <v>8543.9285999999993</v>
      </c>
      <c r="CG3" s="476">
        <f t="shared" si="4"/>
        <v>3252.1367451874612</v>
      </c>
      <c r="CH3" s="476">
        <f t="shared" si="5"/>
        <v>10809.159244772134</v>
      </c>
      <c r="CI3" s="476">
        <f t="shared" si="6"/>
        <v>3061.5789265017279</v>
      </c>
      <c r="CJ3" s="476">
        <f t="shared" si="7"/>
        <v>4545.6104926850703</v>
      </c>
      <c r="CK3" s="476">
        <f t="shared" si="8"/>
        <v>9257.5071201874616</v>
      </c>
      <c r="CL3" s="476">
        <f t="shared" si="9"/>
        <v>26732.085136772133</v>
      </c>
      <c r="CM3" s="476">
        <f t="shared" si="10"/>
        <v>10586.372938001727</v>
      </c>
      <c r="CN3" s="476">
        <f t="shared" si="11"/>
        <v>13089.539092685071</v>
      </c>
      <c r="CO3" s="477">
        <f t="shared" ref="CO3:CO8" si="26">CK3/BU3*100</f>
        <v>6.0347754822548616</v>
      </c>
      <c r="CP3" s="477">
        <f t="shared" ref="CP3:CP8" si="27">CL3/BV3*100</f>
        <v>5.2429628620159736</v>
      </c>
      <c r="CQ3" s="477">
        <f t="shared" ref="CQ3:CQ8" si="28">CM3/BW3*100</f>
        <v>7.3305673860931551</v>
      </c>
      <c r="CR3" s="477">
        <f t="shared" ref="CR3:CR8" si="29">CN3/BX3*100</f>
        <v>6.104751588625593</v>
      </c>
      <c r="CS3" s="501"/>
      <c r="CT3" s="504"/>
      <c r="CU3" s="504"/>
      <c r="CV3" s="504"/>
      <c r="CW3" s="504"/>
      <c r="CY3" s="517"/>
      <c r="CZ3" s="517"/>
      <c r="DA3" s="517"/>
      <c r="DB3" s="517"/>
      <c r="DC3" s="483">
        <f t="shared" si="12"/>
        <v>65.889550111859663</v>
      </c>
      <c r="DD3" s="483">
        <f t="shared" si="13"/>
        <v>21.509550111859532</v>
      </c>
      <c r="DE3" s="483">
        <f t="shared" si="14"/>
        <v>24.909550111859602</v>
      </c>
      <c r="DF3" s="483">
        <f t="shared" si="15"/>
        <v>26.529550111859557</v>
      </c>
      <c r="DG3" s="483">
        <f t="shared" ref="DG3:DG66" si="30">IF(DC3&lt;0,ABS(DC3),0)</f>
        <v>0</v>
      </c>
      <c r="DH3" s="483">
        <f t="shared" ref="DH3:DH66" si="31">IF(DD3&lt;0,ABS(DD3),0)</f>
        <v>0</v>
      </c>
      <c r="DI3" s="483">
        <f t="shared" ref="DI3:DI66" si="32">IF(DE3&lt;0,ABS(DE3),0)</f>
        <v>0</v>
      </c>
      <c r="DJ3" s="483">
        <f t="shared" ref="DJ3:DJ66" si="33">IF(DF3&lt;0,ABS(DF3),0)</f>
        <v>0</v>
      </c>
      <c r="DK3" s="483">
        <f>IF(DG3=0,0,AP3-AP2)</f>
        <v>0</v>
      </c>
      <c r="DL3" s="483">
        <f t="shared" ref="DL3:DN3" si="34">IF(DH3=0,0,AQ3-AQ2)</f>
        <v>0</v>
      </c>
      <c r="DM3" s="483">
        <f t="shared" si="34"/>
        <v>0</v>
      </c>
      <c r="DN3" s="483">
        <f t="shared" si="34"/>
        <v>0</v>
      </c>
      <c r="DO3" s="483"/>
      <c r="DP3" s="483"/>
      <c r="DQ3" s="483"/>
      <c r="DR3" s="483"/>
      <c r="DS3" s="503"/>
      <c r="DT3" s="503"/>
      <c r="DU3" s="503"/>
      <c r="DV3" s="503"/>
      <c r="DW3" s="544"/>
      <c r="DX3" s="501"/>
      <c r="DY3" s="544"/>
      <c r="DZ3" s="527"/>
      <c r="EA3" s="527"/>
      <c r="EB3" s="527"/>
      <c r="EC3" s="544"/>
      <c r="ED3" s="544"/>
      <c r="EE3" s="503">
        <v>0.55400000000000005</v>
      </c>
      <c r="EF3" s="503">
        <f t="shared" ref="EF3:EF8" si="35">0.459</f>
        <v>0.45900000000000002</v>
      </c>
      <c r="EG3" s="503">
        <v>0.83199999999999996</v>
      </c>
      <c r="EH3" s="503">
        <v>0.49299999999999999</v>
      </c>
      <c r="EI3" s="544"/>
      <c r="EJ3" s="503">
        <f t="shared" ref="EJ3:EJ66" si="36">EE3/100*AP3*10^4</f>
        <v>606.45453180819231</v>
      </c>
      <c r="EK3" s="503">
        <f t="shared" ref="EK3:EK66" si="37">EF3/100*AQ3*10^4</f>
        <v>1545.7619575224112</v>
      </c>
      <c r="EL3" s="503">
        <f t="shared" ref="EL3:EL66" si="38">EG3/100*AR3*10^4</f>
        <v>760.50305510527073</v>
      </c>
      <c r="EM3" s="503">
        <f t="shared" ref="EM3:EM66" si="39">EH3/100*AS3*10^4</f>
        <v>619.6383642237131</v>
      </c>
      <c r="EN3" s="544"/>
      <c r="EO3" s="700">
        <v>2.5099999999999998</v>
      </c>
      <c r="EP3" s="700">
        <v>0.69</v>
      </c>
      <c r="EQ3" s="700">
        <v>0.92</v>
      </c>
      <c r="ER3" s="700">
        <v>2.46</v>
      </c>
      <c r="ES3" s="544"/>
      <c r="ET3" s="700">
        <f t="shared" ref="ET3:ET66" si="40">EO3/100*AP3*10^4</f>
        <v>2747.6550087338669</v>
      </c>
      <c r="EU3" s="700">
        <f t="shared" ref="EU3:EU66" si="41">EP3/100*AQ3*10^4</f>
        <v>2323.6944459487227</v>
      </c>
      <c r="EV3" s="700">
        <f t="shared" ref="EV3:EV66" si="42">EQ3/100*AR3*10^4</f>
        <v>840.94087824140513</v>
      </c>
      <c r="EW3" s="700">
        <f t="shared" ref="EW3:EW66" si="43">ER3/100*AS3*10^4</f>
        <v>3091.9074563698455</v>
      </c>
      <c r="EX3" s="544"/>
      <c r="EY3" s="464">
        <v>41563</v>
      </c>
      <c r="EZ3" s="544"/>
      <c r="FA3" s="745">
        <f t="shared" ref="FA3:FA66" si="44">CO3-EE3-EO3-DC3</f>
        <v>-62.918774629604798</v>
      </c>
      <c r="FB3" s="745">
        <f t="shared" ref="FB3:FB66" si="45">CP3-EF3-EP3-DD3</f>
        <v>-17.415587249843558</v>
      </c>
      <c r="FC3" s="745">
        <f t="shared" ref="FC3:FC66" si="46">CQ3-EG3-EQ3-DE3</f>
        <v>-19.330982725766447</v>
      </c>
      <c r="FD3" s="745">
        <f t="shared" ref="FD3:FD66" si="47">CR3-EH3-ER3-DF3</f>
        <v>-23.377798523233963</v>
      </c>
      <c r="FE3" s="758"/>
      <c r="FF3" s="464">
        <v>41563</v>
      </c>
      <c r="FG3" s="758"/>
      <c r="FH3" s="745">
        <f t="shared" si="17"/>
        <v>-68876.129981845021</v>
      </c>
      <c r="FI3" s="745">
        <f t="shared" si="17"/>
        <v>-58650.004877386775</v>
      </c>
      <c r="FJ3" s="745">
        <f t="shared" si="17"/>
        <v>-17669.797381168988</v>
      </c>
      <c r="FK3" s="745">
        <f t="shared" si="17"/>
        <v>-29382.922588414254</v>
      </c>
      <c r="FL3" s="758"/>
      <c r="FM3" s="756">
        <f t="shared" ref="FM3:FO4" si="48">AVERAGE(FM$9:FM$17)</f>
        <v>1606.295613157039</v>
      </c>
      <c r="FN3" s="756">
        <f t="shared" si="48"/>
        <v>3499.8023757396686</v>
      </c>
      <c r="FO3" s="756">
        <f t="shared" si="48"/>
        <v>4192.1670315234878</v>
      </c>
      <c r="FP3" s="756">
        <f t="shared" ref="FP3:FP66" si="49">FK3</f>
        <v>-29382.922588414254</v>
      </c>
      <c r="FQ3" s="758"/>
      <c r="FR3" s="756">
        <f t="shared" ref="FR3:FR66" si="50">IF(FH3&gt;0,FH3+ET3+EJ3,EJ3+ET3)</f>
        <v>3354.1095405420592</v>
      </c>
      <c r="FS3" s="756">
        <f t="shared" ref="FS3:FS66" si="51">IF(FI3&gt;0,FI3+EU3+EK3,EK3+EU3)</f>
        <v>3869.4564034711339</v>
      </c>
      <c r="FT3" s="756">
        <f t="shared" ref="FT3:FT66" si="52">IF(FJ3&gt;0,FJ3+EV3+EL3,EL3+EV3)</f>
        <v>1601.4439333466757</v>
      </c>
      <c r="FU3" s="756">
        <f t="shared" ref="FU3:FU66" si="53">IF(FK3&gt;0,FK3+EW3+EM3,EM3+EW3)</f>
        <v>3711.5458205935583</v>
      </c>
      <c r="FV3" s="761"/>
      <c r="FW3" s="753">
        <v>41563</v>
      </c>
      <c r="FX3" s="761"/>
      <c r="FY3" s="756">
        <f>FY2+FR3</f>
        <v>18013.629138361281</v>
      </c>
      <c r="FZ3" s="756">
        <f>FZ2+FS3</f>
        <v>7738.9128069422677</v>
      </c>
      <c r="GA3" s="756">
        <f>GA2+FT3</f>
        <v>26007.558413606384</v>
      </c>
      <c r="GB3" s="756">
        <f>GB2+FU3</f>
        <v>7423.0916411871167</v>
      </c>
      <c r="GC3" s="758"/>
      <c r="GD3" s="756">
        <f t="shared" ref="GD3:GE66" si="54">FY3/FY$92</f>
        <v>4.7641744060039182E-2</v>
      </c>
      <c r="GE3" s="756">
        <f t="shared" si="54"/>
        <v>1.014566960424065E-2</v>
      </c>
      <c r="GF3" s="756">
        <f t="shared" ref="GF3:GF66" si="55">GA3/GA$146</f>
        <v>6.9825337317898847E-2</v>
      </c>
      <c r="GG3" s="756">
        <f t="shared" ref="GG3:GG66" si="56">GB3/GB$146</f>
        <v>1.9373486375281E-2</v>
      </c>
      <c r="GH3" s="544"/>
      <c r="GI3" s="756">
        <f t="shared" ref="GI3:GI66" si="57">(BQ3+BU3)*$BP3/1000</f>
        <v>4950.6424535334363</v>
      </c>
      <c r="GJ3" s="756">
        <f t="shared" ref="GJ3:GJ66" si="58">(BZ3+CH3)*$BP3</f>
        <v>235355.95719311261</v>
      </c>
      <c r="GK3" s="756">
        <f t="shared" ref="GK3:GK66" si="59">(BS3+BW3)*$BP3/1000</f>
        <v>6157.6062608925777</v>
      </c>
      <c r="GL3" s="756">
        <f t="shared" ref="GL3:GL66" si="60">(BT3+BX3)*$BP3/1000</f>
        <v>5900.5048721708281</v>
      </c>
      <c r="GM3" s="544"/>
    </row>
    <row r="4" spans="1:207" s="472" customFormat="1">
      <c r="A4" s="464">
        <v>41564</v>
      </c>
      <c r="B4" s="682">
        <v>11.4</v>
      </c>
      <c r="C4" s="466">
        <f>0</f>
        <v>0</v>
      </c>
      <c r="D4" s="467">
        <v>-29.010268167534907</v>
      </c>
      <c r="E4" s="467">
        <v>-40.14732068659071</v>
      </c>
      <c r="F4" s="467">
        <v>-79.973350146190668</v>
      </c>
      <c r="G4" s="467">
        <v>-53.439130055378115</v>
      </c>
      <c r="H4" s="468"/>
      <c r="I4" s="464">
        <v>41564</v>
      </c>
      <c r="J4" s="467"/>
      <c r="K4" s="467"/>
      <c r="L4" s="467"/>
      <c r="M4" s="467"/>
      <c r="N4" s="468"/>
      <c r="O4" s="464">
        <v>41564</v>
      </c>
      <c r="P4" s="467">
        <f t="shared" ref="P4:S8" si="61">D4+CO4</f>
        <v>-26.116005569354662</v>
      </c>
      <c r="Q4" s="467">
        <f t="shared" si="61"/>
        <v>-37.607879781442044</v>
      </c>
      <c r="R4" s="467">
        <f t="shared" si="61"/>
        <v>-76.498426081667787</v>
      </c>
      <c r="S4" s="467">
        <f t="shared" si="61"/>
        <v>-50.513510239720418</v>
      </c>
      <c r="T4" s="464">
        <v>41564</v>
      </c>
      <c r="U4" s="468"/>
      <c r="V4" s="468"/>
      <c r="W4" s="468"/>
      <c r="X4" s="468"/>
      <c r="Y4" s="468"/>
      <c r="Z4" s="464">
        <v>41564</v>
      </c>
      <c r="AA4" s="469">
        <v>41564</v>
      </c>
      <c r="AB4" s="466">
        <f>0</f>
        <v>0</v>
      </c>
      <c r="AC4" s="470">
        <v>3.001481022440164</v>
      </c>
      <c r="AD4" s="468">
        <f>0.78*AC4-0.57</f>
        <v>1.7711551975033282</v>
      </c>
      <c r="AE4" s="468">
        <f>AD4/100*AP4*10^4</f>
        <v>1938.8539640099766</v>
      </c>
      <c r="AF4" s="471">
        <v>3.1793810224401646</v>
      </c>
      <c r="AG4" s="468">
        <f t="shared" ref="AG4:AG7" si="62">0.78*AF4-0.57</f>
        <v>1.9099171975033284</v>
      </c>
      <c r="AH4" s="468">
        <f>AG4/100*AQ4*10^4</f>
        <v>6431.9767884933835</v>
      </c>
      <c r="AI4" s="471">
        <v>3.402581022440164</v>
      </c>
      <c r="AJ4" s="468">
        <f t="shared" ref="AJ4:AJ7" si="63">0.78*AI4-0.57</f>
        <v>2.084013197503328</v>
      </c>
      <c r="AK4" s="468">
        <f>AJ4/100*AR4*10^4</f>
        <v>1904.9259658425301</v>
      </c>
      <c r="AL4" s="471">
        <v>3.1435810224401641</v>
      </c>
      <c r="AM4" s="468">
        <f t="shared" ref="AM4:AM7" si="64">0.78*AL4-0.57</f>
        <v>1.8819931975033284</v>
      </c>
      <c r="AN4" s="468">
        <f>AM4/100*AS4*10^4</f>
        <v>2365.426341543849</v>
      </c>
      <c r="AO4" s="464">
        <v>41564</v>
      </c>
      <c r="AP4" s="483">
        <v>10.946832704118993</v>
      </c>
      <c r="AQ4" s="483">
        <v>33.676731100706128</v>
      </c>
      <c r="AR4" s="483">
        <v>9.1406617200152738</v>
      </c>
      <c r="AS4" s="483">
        <v>12.568729497438397</v>
      </c>
      <c r="AT4" s="483">
        <f>AP4/28</f>
        <v>0.3909583108613926</v>
      </c>
      <c r="AU4" s="483">
        <f>AQ4/59</f>
        <v>0.57079205255434118</v>
      </c>
      <c r="AV4" s="483">
        <f>AR4/20</f>
        <v>0.4570330860007637</v>
      </c>
      <c r="AW4" s="483">
        <f>AS4/19</f>
        <v>0.66151207881254726</v>
      </c>
      <c r="AY4" s="470">
        <v>3.001481022440164</v>
      </c>
      <c r="AZ4" s="471">
        <v>3.1793810224401646</v>
      </c>
      <c r="BA4" s="471">
        <v>3.402581022440164</v>
      </c>
      <c r="BB4" s="471">
        <v>3.1435810224401641</v>
      </c>
      <c r="BE4" s="472">
        <v>-2.5142681675349093E-2</v>
      </c>
      <c r="BF4" s="472">
        <v>-6.9132068659071358E-3</v>
      </c>
      <c r="BG4" s="472">
        <v>-9.173501461906609E-3</v>
      </c>
      <c r="BH4" s="472">
        <v>-2.4631300553781193E-2</v>
      </c>
      <c r="BJ4" s="507">
        <v>236.35784315040155</v>
      </c>
      <c r="BK4" s="507">
        <v>297.11168930424822</v>
      </c>
      <c r="BL4" s="507">
        <v>598.21168930424778</v>
      </c>
      <c r="BM4" s="507">
        <v>450.50399699655543</v>
      </c>
      <c r="BO4" s="464">
        <v>41564</v>
      </c>
      <c r="BP4" s="473">
        <v>0.42749999999999999</v>
      </c>
      <c r="BQ4" s="1">
        <v>5035950</v>
      </c>
      <c r="BR4" s="1">
        <v>11127132</v>
      </c>
      <c r="BS4" s="1">
        <v>6310099.7999999998</v>
      </c>
      <c r="BT4" s="1">
        <v>5970600</v>
      </c>
      <c r="BU4" s="474">
        <v>153402.67665978591</v>
      </c>
      <c r="BV4" s="474">
        <v>509866.00211189309</v>
      </c>
      <c r="BW4" s="474">
        <v>144414.10030668529</v>
      </c>
      <c r="BX4" s="474">
        <v>214415.58927759767</v>
      </c>
      <c r="BY4" s="556">
        <f t="shared" si="18"/>
        <v>57409.83</v>
      </c>
      <c r="BZ4" s="556">
        <f t="shared" si="19"/>
        <v>126849.3048</v>
      </c>
      <c r="CA4" s="556">
        <f t="shared" si="20"/>
        <v>71935.137719999999</v>
      </c>
      <c r="CB4" s="556">
        <f t="shared" si="21"/>
        <v>68064.84</v>
      </c>
      <c r="CC4" s="475">
        <f t="shared" si="22"/>
        <v>2691.0857812499999</v>
      </c>
      <c r="CD4" s="475">
        <f t="shared" si="23"/>
        <v>7135.2733950000002</v>
      </c>
      <c r="CE4" s="475">
        <f t="shared" si="24"/>
        <v>3371.9595806249999</v>
      </c>
      <c r="CF4" s="475">
        <f t="shared" si="25"/>
        <v>3828.6472499999995</v>
      </c>
      <c r="CG4" s="476">
        <f>$B4/1000*BU4</f>
        <v>1748.7905139215595</v>
      </c>
      <c r="CH4" s="476">
        <f>$B4/1000*BV4</f>
        <v>5812.4724240755813</v>
      </c>
      <c r="CI4" s="476">
        <f>$B4/1000*BW4</f>
        <v>1646.3207434962123</v>
      </c>
      <c r="CJ4" s="476">
        <f>$B4/1000*BX4</f>
        <v>2444.3377177646134</v>
      </c>
      <c r="CK4" s="476">
        <f>CG4+CC4</f>
        <v>4439.8762951715598</v>
      </c>
      <c r="CL4" s="476">
        <f>CH4+CD4</f>
        <v>12947.745819075582</v>
      </c>
      <c r="CM4" s="476">
        <f>CI4+CE4</f>
        <v>5018.2803241212123</v>
      </c>
      <c r="CN4" s="476">
        <f>CJ4+CF4</f>
        <v>6272.9849677646125</v>
      </c>
      <c r="CO4" s="477">
        <f t="shared" si="26"/>
        <v>2.8942625981802448</v>
      </c>
      <c r="CP4" s="477">
        <f t="shared" si="27"/>
        <v>2.5394409051486675</v>
      </c>
      <c r="CQ4" s="477">
        <f t="shared" si="28"/>
        <v>3.4749240645228765</v>
      </c>
      <c r="CR4" s="477">
        <f t="shared" si="29"/>
        <v>2.9256198156576945</v>
      </c>
      <c r="CS4" s="464">
        <v>41564</v>
      </c>
      <c r="CT4" s="478">
        <v>0.85699999999999998</v>
      </c>
      <c r="CU4" s="479">
        <v>0.97899999999999998</v>
      </c>
      <c r="CV4" s="480">
        <v>0.98499999999999999</v>
      </c>
      <c r="CW4" s="481">
        <v>0.97099999999999997</v>
      </c>
      <c r="CY4" s="518">
        <v>-2.8602156849598437E-2</v>
      </c>
      <c r="CZ4" s="518">
        <v>-9.7448310695751772E-2</v>
      </c>
      <c r="DA4" s="518">
        <v>-0.1923483106957522</v>
      </c>
      <c r="DB4" s="518">
        <v>-5.9256003003444579E-2</v>
      </c>
      <c r="DC4" s="483">
        <f t="shared" si="12"/>
        <v>2.8033334116566166</v>
      </c>
      <c r="DD4" s="483">
        <f t="shared" si="13"/>
        <v>9.7933334116566684</v>
      </c>
      <c r="DE4" s="483">
        <f t="shared" si="14"/>
        <v>19.303333411656709</v>
      </c>
      <c r="DF4" s="483">
        <f t="shared" si="15"/>
        <v>6.073333411656634</v>
      </c>
      <c r="DG4" s="483">
        <f t="shared" si="30"/>
        <v>0</v>
      </c>
      <c r="DH4" s="483">
        <f t="shared" si="31"/>
        <v>0</v>
      </c>
      <c r="DI4" s="483">
        <f t="shared" si="32"/>
        <v>0</v>
      </c>
      <c r="DJ4" s="483">
        <f t="shared" si="33"/>
        <v>0</v>
      </c>
      <c r="DK4" s="483">
        <f t="shared" ref="DK4:DK7" si="65">IF(DG4=0,0,AP4-AP3)</f>
        <v>0</v>
      </c>
      <c r="DL4" s="483">
        <f t="shared" ref="DL4:DL7" si="66">IF(DH4=0,0,AQ4-AQ3)</f>
        <v>0</v>
      </c>
      <c r="DM4" s="483">
        <f t="shared" ref="DM4:DM7" si="67">IF(DI4=0,0,AR4-AR3)</f>
        <v>0</v>
      </c>
      <c r="DN4" s="483">
        <f t="shared" ref="DN4:DN7" si="68">IF(DJ4=0,0,AS4-AS3)</f>
        <v>0</v>
      </c>
      <c r="DO4" s="483"/>
      <c r="DP4" s="483"/>
      <c r="DQ4" s="483"/>
      <c r="DR4" s="483"/>
      <c r="DS4" s="473"/>
      <c r="DT4" s="473"/>
      <c r="DU4" s="473"/>
      <c r="DV4" s="473"/>
      <c r="DW4" s="545"/>
      <c r="DX4" s="464">
        <v>41564</v>
      </c>
      <c r="DY4" s="545"/>
      <c r="DZ4" s="473"/>
      <c r="EA4" s="473"/>
      <c r="EB4" s="473"/>
      <c r="EC4" s="545"/>
      <c r="ED4" s="545"/>
      <c r="EE4" s="503">
        <v>0.55400000000000005</v>
      </c>
      <c r="EF4" s="503">
        <f t="shared" si="35"/>
        <v>0.45900000000000002</v>
      </c>
      <c r="EG4" s="503">
        <v>0.83199999999999996</v>
      </c>
      <c r="EH4" s="503">
        <v>0.49299999999999999</v>
      </c>
      <c r="EI4" s="545"/>
      <c r="EJ4" s="503">
        <f t="shared" si="36"/>
        <v>606.45453180819231</v>
      </c>
      <c r="EK4" s="503">
        <f t="shared" si="37"/>
        <v>1545.7619575224112</v>
      </c>
      <c r="EL4" s="503">
        <f t="shared" si="38"/>
        <v>760.50305510527073</v>
      </c>
      <c r="EM4" s="503">
        <f t="shared" si="39"/>
        <v>619.6383642237131</v>
      </c>
      <c r="EN4" s="545"/>
      <c r="EO4" s="503">
        <f t="shared" ref="EO4:EO35" si="69">-BE4*100</f>
        <v>2.5142681675349094</v>
      </c>
      <c r="EP4" s="503">
        <f t="shared" ref="EP4:EP35" si="70">-BF4*100</f>
        <v>0.69132068659071355</v>
      </c>
      <c r="EQ4" s="503">
        <f t="shared" ref="EQ4:EQ35" si="71">-BG4*100</f>
        <v>0.91735014619066091</v>
      </c>
      <c r="ER4" s="503">
        <f t="shared" ref="ER4:ER35" si="72">-BH4*100</f>
        <v>2.4631300553781195</v>
      </c>
      <c r="ES4" s="545"/>
      <c r="ET4" s="700">
        <f t="shared" si="40"/>
        <v>2752.3273003296476</v>
      </c>
      <c r="EU4" s="700">
        <f t="shared" si="41"/>
        <v>2328.1420866670996</v>
      </c>
      <c r="EV4" s="700">
        <f t="shared" si="42"/>
        <v>838.5187365135389</v>
      </c>
      <c r="EW4" s="700">
        <f t="shared" si="43"/>
        <v>3095.8415383058045</v>
      </c>
      <c r="EX4" s="545"/>
      <c r="EY4" s="464">
        <v>41564</v>
      </c>
      <c r="EZ4" s="545"/>
      <c r="FA4" s="745">
        <f t="shared" si="44"/>
        <v>-2.9773389810112811</v>
      </c>
      <c r="FB4" s="745">
        <f t="shared" si="45"/>
        <v>-8.4042131930987143</v>
      </c>
      <c r="FC4" s="745">
        <f t="shared" si="46"/>
        <v>-17.577759493324493</v>
      </c>
      <c r="FD4" s="745">
        <f t="shared" si="47"/>
        <v>-6.1038436513770584</v>
      </c>
      <c r="FE4" s="758"/>
      <c r="FF4" s="464">
        <v>41564</v>
      </c>
      <c r="FG4" s="758"/>
      <c r="FH4" s="745">
        <v>-2875.1707892308164</v>
      </c>
      <c r="FI4" s="745">
        <f t="shared" ref="FI4:FI35" si="73">FB4/100*AQ4*10^4</f>
        <v>-28302.642781699222</v>
      </c>
      <c r="FJ4" s="745">
        <f t="shared" ref="FJ4:FJ35" si="74">FC4/100*AR4*10^4</f>
        <v>-16067.235332426628</v>
      </c>
      <c r="FK4" s="745">
        <f t="shared" ref="FK4:FK35" si="75">FD4/100*AS4*10^4</f>
        <v>-7671.755974881492</v>
      </c>
      <c r="FL4" s="758"/>
      <c r="FM4" s="756">
        <f t="shared" si="48"/>
        <v>1606.295613157039</v>
      </c>
      <c r="FN4" s="756">
        <f t="shared" si="48"/>
        <v>3499.8023757396686</v>
      </c>
      <c r="FO4" s="756">
        <f t="shared" si="48"/>
        <v>4192.1670315234878</v>
      </c>
      <c r="FP4" s="756">
        <f t="shared" si="49"/>
        <v>-7671.755974881492</v>
      </c>
      <c r="FQ4" s="758"/>
      <c r="FR4" s="756">
        <f t="shared" si="50"/>
        <v>3358.78183213784</v>
      </c>
      <c r="FS4" s="756">
        <f t="shared" si="51"/>
        <v>3873.9040441895108</v>
      </c>
      <c r="FT4" s="756">
        <f t="shared" si="52"/>
        <v>1599.0217916188096</v>
      </c>
      <c r="FU4" s="756">
        <f t="shared" si="53"/>
        <v>3715.4799025295179</v>
      </c>
      <c r="FV4" s="761"/>
      <c r="FW4" s="753">
        <v>41564</v>
      </c>
      <c r="FX4" s="761"/>
      <c r="FY4" s="756">
        <f t="shared" ref="FY4:FY67" si="76">FY3+FR4</f>
        <v>21372.410970499121</v>
      </c>
      <c r="FZ4" s="756">
        <f t="shared" ref="FZ4:FZ67" si="77">FZ3+FS4</f>
        <v>11612.816851131778</v>
      </c>
      <c r="GA4" s="756">
        <f t="shared" ref="GA4:GA67" si="78">GA3+FT4</f>
        <v>27606.580205225193</v>
      </c>
      <c r="GB4" s="756">
        <f t="shared" ref="GB4:GB67" si="79">GB3+FU4</f>
        <v>11138.571543716635</v>
      </c>
      <c r="GC4" s="758"/>
      <c r="GD4" s="756">
        <f t="shared" si="54"/>
        <v>5.6524919303136113E-2</v>
      </c>
      <c r="GE4" s="756">
        <f t="shared" si="54"/>
        <v>1.5224335237431528E-2</v>
      </c>
      <c r="GF4" s="756">
        <f t="shared" si="55"/>
        <v>7.4118406055948521E-2</v>
      </c>
      <c r="GG4" s="756">
        <f t="shared" si="56"/>
        <v>2.9070497101902515E-2</v>
      </c>
      <c r="GH4" s="545"/>
      <c r="GI4" s="756">
        <f t="shared" si="57"/>
        <v>2218.448269272059</v>
      </c>
      <c r="GJ4" s="756">
        <f t="shared" si="58"/>
        <v>56712.909763292308</v>
      </c>
      <c r="GK4" s="756">
        <f t="shared" si="59"/>
        <v>2759.3046923811075</v>
      </c>
      <c r="GL4" s="756">
        <f t="shared" si="60"/>
        <v>2644.094164416173</v>
      </c>
      <c r="GM4" s="545"/>
      <c r="GN4" s="701">
        <v>-2.8602156849598437E-2</v>
      </c>
      <c r="GO4" s="702">
        <v>-9.7448310695751772E-2</v>
      </c>
      <c r="GP4" s="702">
        <v>-0.1923483106957522</v>
      </c>
      <c r="GQ4" s="702">
        <v>-5.9256003003444579E-2</v>
      </c>
      <c r="GR4" s="483">
        <v>65.889550111859663</v>
      </c>
      <c r="GS4" s="483">
        <v>21.509550111859532</v>
      </c>
      <c r="GT4" s="483">
        <v>24.909550111859602</v>
      </c>
      <c r="GU4" s="483">
        <v>26.529550111859557</v>
      </c>
      <c r="GV4" s="472">
        <f>GN4*100</f>
        <v>-2.8602156849598437</v>
      </c>
      <c r="GW4" s="472">
        <f t="shared" ref="GW4:GY4" si="80">GO4*100</f>
        <v>-9.7448310695751772</v>
      </c>
      <c r="GX4" s="472">
        <f t="shared" si="80"/>
        <v>-19.234831069575222</v>
      </c>
      <c r="GY4" s="472">
        <f t="shared" si="80"/>
        <v>-5.9256003003444579</v>
      </c>
    </row>
    <row r="5" spans="1:207" s="472" customFormat="1">
      <c r="A5" s="464">
        <v>41565</v>
      </c>
      <c r="B5" s="465">
        <v>24.049999999999976</v>
      </c>
      <c r="C5" s="466">
        <f>0</f>
        <v>0</v>
      </c>
      <c r="D5" s="467">
        <v>2.8206964540453718</v>
      </c>
      <c r="E5" s="467">
        <v>-0.65638008989079644</v>
      </c>
      <c r="F5" s="467">
        <v>2.6177410127786906</v>
      </c>
      <c r="G5" s="467">
        <v>-0.33147637182707679</v>
      </c>
      <c r="H5" s="468"/>
      <c r="I5" s="464">
        <v>41565</v>
      </c>
      <c r="J5" s="467"/>
      <c r="K5" s="467"/>
      <c r="L5" s="467"/>
      <c r="M5" s="467"/>
      <c r="N5" s="468"/>
      <c r="O5" s="464">
        <v>41565</v>
      </c>
      <c r="P5" s="467">
        <f t="shared" si="61"/>
        <v>22.989913500881091</v>
      </c>
      <c r="Q5" s="467">
        <f t="shared" si="61"/>
        <v>15.919800444351484</v>
      </c>
      <c r="R5" s="467">
        <f t="shared" si="61"/>
        <v>28.666919434578737</v>
      </c>
      <c r="S5" s="467">
        <f t="shared" si="61"/>
        <v>20.155273761464507</v>
      </c>
      <c r="T5" s="464">
        <v>41565</v>
      </c>
      <c r="U5" s="468"/>
      <c r="V5" s="468">
        <v>11.044092735040785</v>
      </c>
      <c r="W5" s="468"/>
      <c r="X5" s="468"/>
      <c r="Y5" s="468"/>
      <c r="Z5" s="464">
        <v>41565</v>
      </c>
      <c r="AA5" s="469">
        <v>41565</v>
      </c>
      <c r="AB5" s="466">
        <f>0</f>
        <v>0</v>
      </c>
      <c r="AC5" s="470">
        <v>3.0295143565567302</v>
      </c>
      <c r="AD5" s="468">
        <f t="shared" ref="AD5:AD6" si="81">0.78*AC5-0.57</f>
        <v>1.7930211981142499</v>
      </c>
      <c r="AE5" s="468">
        <f t="shared" ref="AE5:AE68" si="82">AD5/100*AP5*10^4</f>
        <v>2577.5240052889712</v>
      </c>
      <c r="AF5" s="471">
        <v>3.2773143565567313</v>
      </c>
      <c r="AG5" s="468">
        <f t="shared" si="62"/>
        <v>1.9863051981142505</v>
      </c>
      <c r="AH5" s="468">
        <f t="shared" ref="AH5:AH68" si="83">AG5/100*AQ5*10^4</f>
        <v>8186.5197983105472</v>
      </c>
      <c r="AI5" s="471">
        <v>3.5956143565567311</v>
      </c>
      <c r="AJ5" s="468">
        <f t="shared" si="63"/>
        <v>2.2345791981142504</v>
      </c>
      <c r="AK5" s="468">
        <f t="shared" ref="AK5:AK68" si="84">AJ5/100*AR5*10^4</f>
        <v>2340.6209252831945</v>
      </c>
      <c r="AL5" s="471">
        <v>3.2043143565567305</v>
      </c>
      <c r="AM5" s="468">
        <f t="shared" si="64"/>
        <v>1.9293651981142501</v>
      </c>
      <c r="AN5" s="468">
        <f t="shared" ref="AN5:AN68" si="85">AM5/100*AS5*10^4</f>
        <v>3217.848798999451</v>
      </c>
      <c r="AO5" s="464">
        <v>41565</v>
      </c>
      <c r="AP5" s="483">
        <v>14.375312506064045</v>
      </c>
      <c r="AQ5" s="483">
        <v>41.214813343300051</v>
      </c>
      <c r="AR5" s="483">
        <v>10.474548976641474</v>
      </c>
      <c r="AS5" s="483">
        <v>16.67827740515148</v>
      </c>
      <c r="AT5" s="483">
        <f t="shared" ref="AT5:AT68" si="86">AP5/28</f>
        <v>0.51340401807371594</v>
      </c>
      <c r="AU5" s="483">
        <f t="shared" ref="AU5:AU68" si="87">AQ5/59</f>
        <v>0.69855615836101781</v>
      </c>
      <c r="AV5" s="483">
        <f t="shared" ref="AV5:AV68" si="88">AR5/20</f>
        <v>0.52372744883207367</v>
      </c>
      <c r="AW5" s="483">
        <f t="shared" ref="AW5:AW68" si="89">AS5/19</f>
        <v>0.8778040739553411</v>
      </c>
      <c r="AY5" s="470">
        <v>3.0295143565567302</v>
      </c>
      <c r="AZ5" s="471">
        <v>3.2773143565567313</v>
      </c>
      <c r="BA5" s="471">
        <v>3.5956143565567311</v>
      </c>
      <c r="BB5" s="471">
        <v>3.2043143565567305</v>
      </c>
      <c r="BE5" s="472">
        <v>-2.5217035459546282E-2</v>
      </c>
      <c r="BF5" s="472">
        <v>-7.3356408989079646E-3</v>
      </c>
      <c r="BG5" s="472">
        <v>-9.2465898722130981E-3</v>
      </c>
      <c r="BH5" s="472">
        <v>-2.4482763718270767E-2</v>
      </c>
      <c r="BJ5" s="507">
        <v>-209.21895265940714</v>
      </c>
      <c r="BK5" s="507">
        <v>-60.697561890177198</v>
      </c>
      <c r="BL5" s="507">
        <v>-156.58818342863879</v>
      </c>
      <c r="BM5" s="507">
        <v>-92.855260351717348</v>
      </c>
      <c r="BO5" s="464">
        <v>41565</v>
      </c>
      <c r="BP5" s="473">
        <v>4.3289999999999953</v>
      </c>
      <c r="BQ5" s="1">
        <v>5035950</v>
      </c>
      <c r="BR5" s="1">
        <v>11127132</v>
      </c>
      <c r="BS5" s="1">
        <v>6310099.7999999998</v>
      </c>
      <c r="BT5" s="1">
        <v>5970600</v>
      </c>
      <c r="BU5" s="474">
        <v>153402.67665978591</v>
      </c>
      <c r="BV5" s="474">
        <v>509866.00211189309</v>
      </c>
      <c r="BW5" s="474">
        <v>144414.10030668529</v>
      </c>
      <c r="BX5" s="474">
        <v>214415.58927759767</v>
      </c>
      <c r="BY5" s="556">
        <f t="shared" si="18"/>
        <v>121114.59749999987</v>
      </c>
      <c r="BZ5" s="556">
        <f t="shared" si="19"/>
        <v>267607.52459999971</v>
      </c>
      <c r="CA5" s="556">
        <f t="shared" si="20"/>
        <v>151757.90018999984</v>
      </c>
      <c r="CB5" s="556">
        <f t="shared" si="21"/>
        <v>143592.92999999985</v>
      </c>
      <c r="CC5" s="475">
        <f t="shared" si="22"/>
        <v>27250.784437499969</v>
      </c>
      <c r="CD5" s="475">
        <f t="shared" si="23"/>
        <v>72254.031641999929</v>
      </c>
      <c r="CE5" s="475">
        <f t="shared" si="24"/>
        <v>34145.527542749958</v>
      </c>
      <c r="CF5" s="475">
        <f t="shared" si="25"/>
        <v>38770.091099999954</v>
      </c>
      <c r="CG5" s="476">
        <f t="shared" ref="CG5:CG68" si="90">$B5/1000*BU5</f>
        <v>3689.3343736678471</v>
      </c>
      <c r="CH5" s="476">
        <f t="shared" ref="CH5:CH68" si="91">$B5/1000*BV5</f>
        <v>12262.277350791015</v>
      </c>
      <c r="CI5" s="476">
        <f t="shared" ref="CI5:CI68" si="92">$B5/1000*BW5</f>
        <v>3473.1591123757776</v>
      </c>
      <c r="CJ5" s="476">
        <f t="shared" ref="CJ5:CJ68" si="93">$B5/1000*BX5</f>
        <v>5156.6949221262184</v>
      </c>
      <c r="CK5" s="476">
        <f t="shared" ref="CK5:CN68" si="94">CG5+CC5</f>
        <v>30940.118811167817</v>
      </c>
      <c r="CL5" s="476">
        <f t="shared" si="94"/>
        <v>84516.308992790946</v>
      </c>
      <c r="CM5" s="476">
        <f t="shared" si="94"/>
        <v>37618.686655125734</v>
      </c>
      <c r="CN5" s="476">
        <f t="shared" si="94"/>
        <v>43926.786022126173</v>
      </c>
      <c r="CO5" s="477">
        <f t="shared" si="26"/>
        <v>20.169217046835719</v>
      </c>
      <c r="CP5" s="477">
        <f t="shared" si="27"/>
        <v>16.57618053424228</v>
      </c>
      <c r="CQ5" s="477">
        <f t="shared" si="28"/>
        <v>26.049178421800047</v>
      </c>
      <c r="CR5" s="477">
        <f t="shared" si="29"/>
        <v>20.486750133291583</v>
      </c>
      <c r="CS5" s="464">
        <v>41565</v>
      </c>
      <c r="CT5" s="478">
        <v>0.81100000000000005</v>
      </c>
      <c r="CU5" s="479">
        <v>2E-3</v>
      </c>
      <c r="CV5" s="480">
        <v>0.97699999999999998</v>
      </c>
      <c r="CW5" s="481">
        <v>0.86299999999999999</v>
      </c>
      <c r="CY5" s="519">
        <v>-0.15579495265940713</v>
      </c>
      <c r="CZ5" s="519">
        <v>-5.9925721890177197E-2</v>
      </c>
      <c r="DA5" s="519">
        <v>-0.12116418342863877</v>
      </c>
      <c r="DB5" s="519">
        <v>-7.1687260351717352E-2</v>
      </c>
      <c r="DC5" s="483">
        <f t="shared" si="12"/>
        <v>15.47016393746059</v>
      </c>
      <c r="DD5" s="483">
        <f t="shared" si="13"/>
        <v>5.7201639374605762</v>
      </c>
      <c r="DE5" s="483">
        <f t="shared" si="14"/>
        <v>12.110163937460605</v>
      </c>
      <c r="DF5" s="483">
        <f t="shared" si="15"/>
        <v>7.0701639374606273</v>
      </c>
      <c r="DG5" s="483">
        <f t="shared" si="30"/>
        <v>0</v>
      </c>
      <c r="DH5" s="483">
        <f t="shared" si="31"/>
        <v>0</v>
      </c>
      <c r="DI5" s="483">
        <f t="shared" si="32"/>
        <v>0</v>
      </c>
      <c r="DJ5" s="483">
        <f t="shared" si="33"/>
        <v>0</v>
      </c>
      <c r="DK5" s="483">
        <f t="shared" si="65"/>
        <v>0</v>
      </c>
      <c r="DL5" s="483">
        <f t="shared" si="66"/>
        <v>0</v>
      </c>
      <c r="DM5" s="483">
        <f t="shared" si="67"/>
        <v>0</v>
      </c>
      <c r="DN5" s="483">
        <f t="shared" si="68"/>
        <v>0</v>
      </c>
      <c r="DO5" s="483"/>
      <c r="DP5" s="483"/>
      <c r="DQ5" s="483"/>
      <c r="DR5" s="483"/>
      <c r="DS5" s="473"/>
      <c r="DT5" s="473"/>
      <c r="DU5" s="473"/>
      <c r="DV5" s="473"/>
      <c r="DW5" s="545"/>
      <c r="DX5" s="464">
        <v>41565</v>
      </c>
      <c r="DY5" s="545"/>
      <c r="DZ5" s="473"/>
      <c r="EA5" s="473"/>
      <c r="EB5" s="473"/>
      <c r="EC5" s="545"/>
      <c r="ED5" s="545"/>
      <c r="EE5" s="503">
        <v>0.55400000000000005</v>
      </c>
      <c r="EF5" s="503">
        <f t="shared" si="35"/>
        <v>0.45900000000000002</v>
      </c>
      <c r="EG5" s="503">
        <v>0.83199999999999996</v>
      </c>
      <c r="EH5" s="503">
        <v>0.49299999999999999</v>
      </c>
      <c r="EI5" s="545"/>
      <c r="EJ5" s="503">
        <f t="shared" si="36"/>
        <v>796.39231283594825</v>
      </c>
      <c r="EK5" s="503">
        <f t="shared" si="37"/>
        <v>1891.7599324574724</v>
      </c>
      <c r="EL5" s="503">
        <f t="shared" si="38"/>
        <v>871.48247485657055</v>
      </c>
      <c r="EM5" s="503">
        <f t="shared" si="39"/>
        <v>822.23907607396802</v>
      </c>
      <c r="EN5" s="545"/>
      <c r="EO5" s="503">
        <f t="shared" si="69"/>
        <v>2.5217035459546282</v>
      </c>
      <c r="EP5" s="503">
        <f t="shared" si="70"/>
        <v>0.73356408989079647</v>
      </c>
      <c r="EQ5" s="503">
        <f t="shared" si="71"/>
        <v>0.92465898722130979</v>
      </c>
      <c r="ER5" s="503">
        <f t="shared" si="72"/>
        <v>2.4482763718270766</v>
      </c>
      <c r="ES5" s="545"/>
      <c r="ET5" s="700">
        <f t="shared" si="40"/>
        <v>3625.0276520747616</v>
      </c>
      <c r="EU5" s="700">
        <f t="shared" si="41"/>
        <v>3023.3707040196955</v>
      </c>
      <c r="EV5" s="700">
        <f t="shared" si="42"/>
        <v>968.53858483413126</v>
      </c>
      <c r="EW5" s="700">
        <f t="shared" si="43"/>
        <v>4083.3032493809778</v>
      </c>
      <c r="EX5" s="545"/>
      <c r="EY5" s="464">
        <v>41565</v>
      </c>
      <c r="EZ5" s="545"/>
      <c r="FA5" s="745">
        <f t="shared" si="44"/>
        <v>1.6233495634205006</v>
      </c>
      <c r="FB5" s="745">
        <f t="shared" si="45"/>
        <v>9.6634525068909074</v>
      </c>
      <c r="FC5" s="745">
        <f t="shared" si="46"/>
        <v>12.182355497118131</v>
      </c>
      <c r="FD5" s="745">
        <f t="shared" si="47"/>
        <v>10.47530982400388</v>
      </c>
      <c r="FE5" s="758"/>
      <c r="FF5" s="464">
        <v>41565</v>
      </c>
      <c r="FG5" s="758"/>
      <c r="FH5" s="745">
        <v>7440.9391575515083</v>
      </c>
      <c r="FI5" s="745">
        <f t="shared" si="73"/>
        <v>39827.739132335366</v>
      </c>
      <c r="FJ5" s="745">
        <f t="shared" si="74"/>
        <v>12760.467930542134</v>
      </c>
      <c r="FK5" s="745">
        <f t="shared" si="75"/>
        <v>17471.012314964522</v>
      </c>
      <c r="FL5" s="758"/>
      <c r="FM5" s="756">
        <f t="shared" ref="FM5:FM66" si="95">FH5</f>
        <v>7440.9391575515083</v>
      </c>
      <c r="FN5" s="756">
        <f t="shared" ref="FN5:FN66" si="96">FI5</f>
        <v>39827.739132335366</v>
      </c>
      <c r="FO5" s="756">
        <f t="shared" ref="FO5:FO66" si="97">FJ5</f>
        <v>12760.467930542134</v>
      </c>
      <c r="FP5" s="756">
        <f t="shared" si="49"/>
        <v>17471.012314964522</v>
      </c>
      <c r="FQ5" s="758"/>
      <c r="FR5" s="756">
        <f t="shared" si="50"/>
        <v>11862.359122462218</v>
      </c>
      <c r="FS5" s="756">
        <f t="shared" si="51"/>
        <v>44742.869768812532</v>
      </c>
      <c r="FT5" s="756">
        <f t="shared" si="52"/>
        <v>14600.488990232836</v>
      </c>
      <c r="FU5" s="756">
        <f t="shared" si="53"/>
        <v>22376.554640419468</v>
      </c>
      <c r="FV5" s="761"/>
      <c r="FW5" s="753">
        <v>41565</v>
      </c>
      <c r="FX5" s="761"/>
      <c r="FY5" s="756">
        <f t="shared" si="76"/>
        <v>33234.770092961335</v>
      </c>
      <c r="FZ5" s="756">
        <f t="shared" si="77"/>
        <v>56355.68661994431</v>
      </c>
      <c r="GA5" s="756">
        <f t="shared" si="78"/>
        <v>42207.069195458025</v>
      </c>
      <c r="GB5" s="756">
        <f t="shared" si="79"/>
        <v>33515.126184136105</v>
      </c>
      <c r="GC5" s="758"/>
      <c r="GD5" s="756">
        <f t="shared" si="54"/>
        <v>8.7898024240502859E-2</v>
      </c>
      <c r="GE5" s="756">
        <f t="shared" si="54"/>
        <v>7.3881976839585542E-2</v>
      </c>
      <c r="GF5" s="756">
        <f t="shared" si="55"/>
        <v>0.11331793615162686</v>
      </c>
      <c r="GG5" s="756">
        <f t="shared" si="56"/>
        <v>8.7470944975474682E-2</v>
      </c>
      <c r="GH5" s="545"/>
      <c r="GI5" s="756">
        <f t="shared" si="57"/>
        <v>22464.707737260189</v>
      </c>
      <c r="GJ5" s="756">
        <f t="shared" si="58"/>
        <v>1211556.3726449718</v>
      </c>
      <c r="GK5" s="756">
        <f t="shared" si="59"/>
        <v>27941.590674427611</v>
      </c>
      <c r="GL5" s="756">
        <f t="shared" si="60"/>
        <v>26774.932485982692</v>
      </c>
      <c r="GM5" s="545"/>
      <c r="GN5" s="701">
        <v>-0.15579495265940713</v>
      </c>
      <c r="GO5" s="701">
        <v>-5.9925721890177197E-2</v>
      </c>
      <c r="GP5" s="701">
        <v>-0.12116418342863877</v>
      </c>
      <c r="GQ5" s="701">
        <v>-7.1687260351717352E-2</v>
      </c>
      <c r="GR5" s="483">
        <v>2.8033334116566166</v>
      </c>
      <c r="GS5" s="483">
        <v>9.7933334116566684</v>
      </c>
      <c r="GT5" s="483">
        <v>19.303333411656709</v>
      </c>
      <c r="GU5" s="483">
        <v>6.073333411656634</v>
      </c>
      <c r="GV5" s="472">
        <f t="shared" ref="GV5:GV8" si="98">GN5*100</f>
        <v>-15.579495265940713</v>
      </c>
    </row>
    <row r="6" spans="1:207" s="472" customFormat="1">
      <c r="A6" s="464">
        <v>41566</v>
      </c>
      <c r="B6" s="465">
        <v>25.749999999999925</v>
      </c>
      <c r="C6" s="466">
        <f>0</f>
        <v>0</v>
      </c>
      <c r="D6" s="467">
        <v>-6.7933581073393317</v>
      </c>
      <c r="E6" s="467">
        <v>-6.8159109733490268</v>
      </c>
      <c r="F6" s="467">
        <v>-0.56387212943336684</v>
      </c>
      <c r="G6" s="467">
        <v>12.550215143008876</v>
      </c>
      <c r="H6" s="468"/>
      <c r="I6" s="464">
        <v>41566</v>
      </c>
      <c r="J6" s="467"/>
      <c r="K6" s="467"/>
      <c r="L6" s="467"/>
      <c r="M6" s="467"/>
      <c r="N6" s="468"/>
      <c r="O6" s="464">
        <v>41566</v>
      </c>
      <c r="P6" s="467">
        <f t="shared" si="61"/>
        <v>16.914863835650685</v>
      </c>
      <c r="Q6" s="467">
        <f t="shared" si="61"/>
        <v>12.617850807974044</v>
      </c>
      <c r="R6" s="467">
        <f t="shared" si="61"/>
        <v>30.13945285838599</v>
      </c>
      <c r="S6" s="467">
        <f t="shared" si="61"/>
        <v>36.636190700054719</v>
      </c>
      <c r="T6" s="464">
        <v>41566</v>
      </c>
      <c r="U6" s="468"/>
      <c r="V6" s="468">
        <v>5.6133500377476402</v>
      </c>
      <c r="W6" s="468"/>
      <c r="X6" s="468"/>
      <c r="Y6" s="468"/>
      <c r="Z6" s="464">
        <v>41566</v>
      </c>
      <c r="AA6" s="469">
        <v>41566</v>
      </c>
      <c r="AB6" s="466">
        <f>0</f>
        <v>0</v>
      </c>
      <c r="AC6" s="470">
        <v>3.1842159959313361</v>
      </c>
      <c r="AD6" s="468">
        <f t="shared" si="81"/>
        <v>1.9136884768264424</v>
      </c>
      <c r="AE6" s="468">
        <f t="shared" si="82"/>
        <v>2779.2452026919623</v>
      </c>
      <c r="AF6" s="471">
        <v>3.3345159959313371</v>
      </c>
      <c r="AG6" s="468">
        <f t="shared" si="62"/>
        <v>2.0309224768264431</v>
      </c>
      <c r="AH6" s="468">
        <f t="shared" si="83"/>
        <v>9135.6258240310235</v>
      </c>
      <c r="AI6" s="471">
        <v>3.7167159959313372</v>
      </c>
      <c r="AJ6" s="468">
        <f t="shared" si="63"/>
        <v>2.3290384768264434</v>
      </c>
      <c r="AK6" s="468">
        <f t="shared" si="84"/>
        <v>2693.0810460316893</v>
      </c>
      <c r="AL6" s="471">
        <v>3.2750159959313367</v>
      </c>
      <c r="AM6" s="468">
        <f t="shared" si="64"/>
        <v>1.9845124768264428</v>
      </c>
      <c r="AN6" s="468">
        <f t="shared" si="85"/>
        <v>3519.4107805861836</v>
      </c>
      <c r="AO6" s="464">
        <v>41566</v>
      </c>
      <c r="AP6" s="483">
        <v>14.522976107902956</v>
      </c>
      <c r="AQ6" s="483">
        <v>44.982641771272924</v>
      </c>
      <c r="AR6" s="483">
        <v>11.56305948925881</v>
      </c>
      <c r="AS6" s="483">
        <v>17.734384750325638</v>
      </c>
      <c r="AT6" s="483">
        <f t="shared" si="86"/>
        <v>0.51867771813939123</v>
      </c>
      <c r="AU6" s="483">
        <f t="shared" si="87"/>
        <v>0.76241765714021903</v>
      </c>
      <c r="AV6" s="483">
        <f t="shared" si="88"/>
        <v>0.57815297446294056</v>
      </c>
      <c r="AW6" s="483">
        <f t="shared" si="89"/>
        <v>0.93338867106977041</v>
      </c>
      <c r="AY6" s="470">
        <v>3.1842159959313361</v>
      </c>
      <c r="AZ6" s="471">
        <v>3.3345159959313371</v>
      </c>
      <c r="BA6" s="471">
        <v>3.7167159959313372</v>
      </c>
      <c r="BB6" s="471">
        <v>3.2750159959313367</v>
      </c>
      <c r="BE6" s="472">
        <v>-2.5597581073393313E-2</v>
      </c>
      <c r="BF6" s="472">
        <v>-7.5351097334902624E-3</v>
      </c>
      <c r="BG6" s="472">
        <v>-9.2675212943336676E-3</v>
      </c>
      <c r="BH6" s="472">
        <v>-2.4257848569911266E-2</v>
      </c>
      <c r="BJ6" s="507">
        <v>52.703606977093933</v>
      </c>
      <c r="BK6" s="507">
        <v>-6.3545468690591322</v>
      </c>
      <c r="BL6" s="507">
        <v>-257.55350071521343</v>
      </c>
      <c r="BM6" s="507">
        <v>-270.37700840751933</v>
      </c>
      <c r="BO6" s="464">
        <v>41566</v>
      </c>
      <c r="BP6" s="473">
        <v>5.1499999999999853</v>
      </c>
      <c r="BQ6" s="1">
        <v>5035950</v>
      </c>
      <c r="BR6" s="1">
        <v>11127132</v>
      </c>
      <c r="BS6" s="1">
        <v>6310099.7999999998</v>
      </c>
      <c r="BT6" s="1">
        <v>5970600</v>
      </c>
      <c r="BU6" s="474">
        <v>153402.67665978591</v>
      </c>
      <c r="BV6" s="474">
        <v>509866.00211189309</v>
      </c>
      <c r="BW6" s="474">
        <v>144414.10030668529</v>
      </c>
      <c r="BX6" s="474">
        <v>214415.58927759767</v>
      </c>
      <c r="BY6" s="556">
        <f t="shared" si="18"/>
        <v>129675.71249999963</v>
      </c>
      <c r="BZ6" s="556">
        <f t="shared" si="19"/>
        <v>286523.64899999916</v>
      </c>
      <c r="CA6" s="556">
        <f t="shared" si="20"/>
        <v>162485.06984999953</v>
      </c>
      <c r="CB6" s="556">
        <f t="shared" si="21"/>
        <v>153742.94999999955</v>
      </c>
      <c r="CC6" s="475">
        <f t="shared" si="22"/>
        <v>32418.928124999908</v>
      </c>
      <c r="CD6" s="475">
        <f t="shared" si="23"/>
        <v>85957.094699999754</v>
      </c>
      <c r="CE6" s="475">
        <f t="shared" si="24"/>
        <v>40621.267462499884</v>
      </c>
      <c r="CF6" s="475">
        <f t="shared" si="25"/>
        <v>46122.884999999871</v>
      </c>
      <c r="CG6" s="476">
        <f t="shared" si="90"/>
        <v>3950.1189239894757</v>
      </c>
      <c r="CH6" s="476">
        <f t="shared" si="91"/>
        <v>13129.049554381209</v>
      </c>
      <c r="CI6" s="476">
        <f t="shared" si="92"/>
        <v>3718.6630828971356</v>
      </c>
      <c r="CJ6" s="476">
        <f t="shared" si="93"/>
        <v>5521.2014238981237</v>
      </c>
      <c r="CK6" s="476">
        <f t="shared" si="94"/>
        <v>36369.047048989385</v>
      </c>
      <c r="CL6" s="476">
        <f t="shared" si="94"/>
        <v>99086.144254380968</v>
      </c>
      <c r="CM6" s="476">
        <f t="shared" si="94"/>
        <v>44339.930545397016</v>
      </c>
      <c r="CN6" s="476">
        <f t="shared" si="94"/>
        <v>51644.086423897992</v>
      </c>
      <c r="CO6" s="477">
        <f t="shared" si="26"/>
        <v>23.708221942990015</v>
      </c>
      <c r="CP6" s="477">
        <f t="shared" si="27"/>
        <v>19.433761781323071</v>
      </c>
      <c r="CQ6" s="477">
        <f t="shared" si="28"/>
        <v>30.703324987819357</v>
      </c>
      <c r="CR6" s="477">
        <f t="shared" si="29"/>
        <v>24.085975557045845</v>
      </c>
      <c r="CS6" s="464">
        <v>41566</v>
      </c>
      <c r="CT6" s="478">
        <v>0.71499999999999997</v>
      </c>
      <c r="CU6" s="479">
        <v>0.54400000000000004</v>
      </c>
      <c r="CV6" s="480">
        <v>0.185</v>
      </c>
      <c r="CW6" s="481">
        <v>0.99299999999999999</v>
      </c>
      <c r="CY6" s="519">
        <v>1.0367606977093935E-2</v>
      </c>
      <c r="CZ6" s="519">
        <v>-6.697854686905913E-2</v>
      </c>
      <c r="DA6" s="519">
        <v>-0.25392470071521345</v>
      </c>
      <c r="DB6" s="519">
        <v>-0.12061700840751932</v>
      </c>
      <c r="DC6" s="483">
        <f t="shared" si="12"/>
        <v>-1.1509607828898538</v>
      </c>
      <c r="DD6" s="483">
        <f t="shared" si="13"/>
        <v>6.8090392171100689</v>
      </c>
      <c r="DE6" s="483">
        <f t="shared" si="14"/>
        <v>25.679039217109967</v>
      </c>
      <c r="DF6" s="483">
        <f t="shared" si="15"/>
        <v>12.459039217110046</v>
      </c>
      <c r="DG6" s="483">
        <f t="shared" si="30"/>
        <v>1.1509607828898538</v>
      </c>
      <c r="DH6" s="483">
        <f t="shared" si="31"/>
        <v>0</v>
      </c>
      <c r="DI6" s="483">
        <f t="shared" si="32"/>
        <v>0</v>
      </c>
      <c r="DJ6" s="483">
        <f t="shared" si="33"/>
        <v>0</v>
      </c>
      <c r="DK6" s="483">
        <f t="shared" si="65"/>
        <v>0.14766360183891081</v>
      </c>
      <c r="DL6" s="483">
        <f t="shared" si="66"/>
        <v>0</v>
      </c>
      <c r="DM6" s="483">
        <f t="shared" si="67"/>
        <v>0</v>
      </c>
      <c r="DN6" s="483">
        <f t="shared" si="68"/>
        <v>0</v>
      </c>
      <c r="DO6" s="483">
        <f>IF(DK6&gt;0,(DK6*10^4*DG6/100*0.25),0)</f>
        <v>4.2488753694212109</v>
      </c>
      <c r="DP6" s="483">
        <f t="shared" ref="DP6:DR6" si="99">IF(DL6&gt;0,(DL6*10^4*DH6/100*0.25),0)</f>
        <v>0</v>
      </c>
      <c r="DQ6" s="483">
        <f t="shared" si="99"/>
        <v>0</v>
      </c>
      <c r="DR6" s="483">
        <f t="shared" si="99"/>
        <v>0</v>
      </c>
      <c r="DS6" s="473"/>
      <c r="DT6" s="473"/>
      <c r="DU6" s="473"/>
      <c r="DV6" s="473"/>
      <c r="DW6" s="545"/>
      <c r="DX6" s="464">
        <v>41566</v>
      </c>
      <c r="DY6" s="545"/>
      <c r="DZ6" s="473"/>
      <c r="EA6" s="473"/>
      <c r="EB6" s="473"/>
      <c r="EC6" s="545"/>
      <c r="ED6" s="545"/>
      <c r="EE6" s="503">
        <v>0.55400000000000005</v>
      </c>
      <c r="EF6" s="503">
        <f t="shared" si="35"/>
        <v>0.45900000000000002</v>
      </c>
      <c r="EG6" s="503">
        <v>0.83199999999999996</v>
      </c>
      <c r="EH6" s="503">
        <v>0.49299999999999999</v>
      </c>
      <c r="EI6" s="545"/>
      <c r="EJ6" s="503">
        <f t="shared" si="36"/>
        <v>804.57287637782383</v>
      </c>
      <c r="EK6" s="503">
        <f t="shared" si="37"/>
        <v>2064.7032573014271</v>
      </c>
      <c r="EL6" s="503">
        <f t="shared" si="38"/>
        <v>962.04654950633289</v>
      </c>
      <c r="EM6" s="503">
        <f t="shared" si="39"/>
        <v>874.30516819105412</v>
      </c>
      <c r="EN6" s="545"/>
      <c r="EO6" s="503">
        <f t="shared" si="69"/>
        <v>2.5597581073393312</v>
      </c>
      <c r="EP6" s="503">
        <f t="shared" si="70"/>
        <v>0.75351097334902628</v>
      </c>
      <c r="EQ6" s="503">
        <f t="shared" si="71"/>
        <v>0.92675212943336671</v>
      </c>
      <c r="ER6" s="503">
        <f t="shared" si="72"/>
        <v>2.4257848569911267</v>
      </c>
      <c r="ES6" s="545"/>
      <c r="ET6" s="700">
        <f t="shared" si="40"/>
        <v>3717.5305834899996</v>
      </c>
      <c r="EU6" s="700">
        <f t="shared" si="41"/>
        <v>3389.4914184882432</v>
      </c>
      <c r="EV6" s="700">
        <f t="shared" si="42"/>
        <v>1071.60900044353</v>
      </c>
      <c r="EW6" s="700">
        <f t="shared" si="43"/>
        <v>4301.9801975394294</v>
      </c>
      <c r="EX6" s="545"/>
      <c r="EY6" s="464">
        <v>41566</v>
      </c>
      <c r="EZ6" s="545"/>
      <c r="FA6" s="745">
        <f t="shared" si="44"/>
        <v>21.74542461854054</v>
      </c>
      <c r="FB6" s="745">
        <f t="shared" si="45"/>
        <v>11.412211590863976</v>
      </c>
      <c r="FC6" s="745">
        <f t="shared" si="46"/>
        <v>3.2655336412760221</v>
      </c>
      <c r="FD6" s="745">
        <f t="shared" si="47"/>
        <v>8.7081514829446753</v>
      </c>
      <c r="FE6" s="758"/>
      <c r="FF6" s="464">
        <v>41566</v>
      </c>
      <c r="FG6" s="758"/>
      <c r="FH6" s="745">
        <v>37719.17376634798</v>
      </c>
      <c r="FI6" s="745">
        <f t="shared" si="73"/>
        <v>51335.142580980289</v>
      </c>
      <c r="FJ6" s="745">
        <f t="shared" si="74"/>
        <v>3775.9559758250584</v>
      </c>
      <c r="FK6" s="745">
        <f t="shared" si="75"/>
        <v>15443.370886265966</v>
      </c>
      <c r="FL6" s="758"/>
      <c r="FM6" s="756">
        <f t="shared" si="95"/>
        <v>37719.17376634798</v>
      </c>
      <c r="FN6" s="756">
        <f>AVERAGE(FN$9:FN$17)</f>
        <v>3499.8023757396686</v>
      </c>
      <c r="FO6" s="756">
        <f>AVERAGE(FO$9:FO$17)</f>
        <v>4192.1670315234878</v>
      </c>
      <c r="FP6" s="756">
        <f t="shared" si="49"/>
        <v>15443.370886265966</v>
      </c>
      <c r="FQ6" s="758"/>
      <c r="FR6" s="756">
        <f t="shared" si="50"/>
        <v>42241.277226215803</v>
      </c>
      <c r="FS6" s="756">
        <f t="shared" si="51"/>
        <v>56789.337256769963</v>
      </c>
      <c r="FT6" s="756">
        <f t="shared" si="52"/>
        <v>5809.6115257749207</v>
      </c>
      <c r="FU6" s="756">
        <f t="shared" si="53"/>
        <v>20619.65625199645</v>
      </c>
      <c r="FV6" s="761"/>
      <c r="FW6" s="753">
        <v>41566</v>
      </c>
      <c r="FX6" s="761"/>
      <c r="FY6" s="756">
        <f t="shared" si="76"/>
        <v>75476.047319177131</v>
      </c>
      <c r="FZ6" s="756">
        <f t="shared" si="77"/>
        <v>113145.02387671427</v>
      </c>
      <c r="GA6" s="756">
        <f t="shared" si="78"/>
        <v>48016.680721232944</v>
      </c>
      <c r="GB6" s="756">
        <f t="shared" si="79"/>
        <v>54134.782436132555</v>
      </c>
      <c r="GC6" s="758"/>
      <c r="GD6" s="756">
        <f t="shared" si="54"/>
        <v>0.19961610741647356</v>
      </c>
      <c r="GE6" s="756">
        <f t="shared" si="54"/>
        <v>0.14833246713767068</v>
      </c>
      <c r="GF6" s="756">
        <f t="shared" si="55"/>
        <v>0.12891563579039642</v>
      </c>
      <c r="GG6" s="756">
        <f t="shared" si="56"/>
        <v>0.14128607333042328</v>
      </c>
      <c r="GH6" s="545"/>
      <c r="GI6" s="756">
        <f t="shared" si="57"/>
        <v>26725.166284797822</v>
      </c>
      <c r="GJ6" s="756">
        <f t="shared" si="58"/>
        <v>1543211.3975550546</v>
      </c>
      <c r="GK6" s="756">
        <f t="shared" si="59"/>
        <v>33240.746586579327</v>
      </c>
      <c r="GL6" s="756">
        <f t="shared" si="60"/>
        <v>31852.830284779538</v>
      </c>
      <c r="GM6" s="545"/>
      <c r="GN6" s="701">
        <v>1.0367606977093935E-2</v>
      </c>
      <c r="GO6" s="701">
        <v>-6.697854686905913E-2</v>
      </c>
      <c r="GP6" s="701">
        <v>-0.25392470071521345</v>
      </c>
      <c r="GQ6" s="701">
        <v>-0.12061700840751932</v>
      </c>
      <c r="GR6" s="483">
        <v>15.47016393746059</v>
      </c>
      <c r="GS6" s="483">
        <v>5.7201639374605762</v>
      </c>
      <c r="GT6" s="483">
        <v>12.110163937460605</v>
      </c>
      <c r="GU6" s="483">
        <v>7.0701639374606273</v>
      </c>
      <c r="GV6" s="472">
        <f t="shared" si="98"/>
        <v>1.0367606977093935</v>
      </c>
    </row>
    <row r="7" spans="1:207" s="472" customFormat="1">
      <c r="A7" s="464">
        <v>41567</v>
      </c>
      <c r="B7" s="465">
        <v>2</v>
      </c>
      <c r="C7" s="466">
        <f>0</f>
        <v>0</v>
      </c>
      <c r="D7" s="467">
        <v>6.1097893619480037E-3</v>
      </c>
      <c r="E7" s="467">
        <v>-8.3333378152627002</v>
      </c>
      <c r="F7" s="467">
        <v>-58.238376605933176</v>
      </c>
      <c r="G7" s="467">
        <v>49.032408985437151</v>
      </c>
      <c r="H7" s="468"/>
      <c r="I7" s="464">
        <v>41567</v>
      </c>
      <c r="J7" s="467"/>
      <c r="K7" s="467"/>
      <c r="L7" s="467"/>
      <c r="M7" s="467"/>
      <c r="N7" s="468"/>
      <c r="O7" s="464">
        <v>41567</v>
      </c>
      <c r="P7" s="484">
        <f t="shared" si="61"/>
        <v>0.65134368854921476</v>
      </c>
      <c r="Q7" s="467">
        <f t="shared" si="61"/>
        <v>-7.7781580767629794</v>
      </c>
      <c r="R7" s="467">
        <f t="shared" si="61"/>
        <v>-57.445770147451931</v>
      </c>
      <c r="S7" s="467">
        <f t="shared" si="61"/>
        <v>49.685601383095303</v>
      </c>
      <c r="T7" s="464">
        <v>41567</v>
      </c>
      <c r="U7" s="468">
        <v>0.91848402806157492</v>
      </c>
      <c r="V7" s="468">
        <v>-7.9270599707414116</v>
      </c>
      <c r="W7" s="468"/>
      <c r="X7" s="468"/>
      <c r="Y7" s="468"/>
      <c r="Z7" s="464">
        <v>41567</v>
      </c>
      <c r="AA7" s="469">
        <v>41567</v>
      </c>
      <c r="AB7" s="466">
        <f>0</f>
        <v>0</v>
      </c>
      <c r="AC7" s="470">
        <v>3.1727063881024375</v>
      </c>
      <c r="AD7" s="468">
        <v>0.91848402806157492</v>
      </c>
      <c r="AE7" s="468">
        <f t="shared" si="82"/>
        <v>1408.9790837390751</v>
      </c>
      <c r="AF7" s="471">
        <v>3.4026063881024378</v>
      </c>
      <c r="AG7" s="468">
        <f t="shared" si="62"/>
        <v>2.0840329827199016</v>
      </c>
      <c r="AH7" s="468">
        <f t="shared" si="83"/>
        <v>9854.1279323107283</v>
      </c>
      <c r="AI7" s="471">
        <v>3.9735063881024368</v>
      </c>
      <c r="AJ7" s="468">
        <f t="shared" si="63"/>
        <v>2.529334982719901</v>
      </c>
      <c r="AK7" s="468">
        <f t="shared" si="84"/>
        <v>3103.5231724275181</v>
      </c>
      <c r="AL7" s="471">
        <v>3.3996063881024372</v>
      </c>
      <c r="AM7" s="468">
        <f t="shared" si="64"/>
        <v>2.0816929827199013</v>
      </c>
      <c r="AN7" s="468">
        <f t="shared" si="85"/>
        <v>3959.5415968384291</v>
      </c>
      <c r="AO7" s="464">
        <v>41567</v>
      </c>
      <c r="AP7" s="483">
        <v>15.34026766597859</v>
      </c>
      <c r="AQ7" s="483">
        <v>47.283934630679234</v>
      </c>
      <c r="AR7" s="483">
        <v>12.270115242268812</v>
      </c>
      <c r="AS7" s="483">
        <v>19.020776020799023</v>
      </c>
      <c r="AT7" s="483">
        <f t="shared" si="86"/>
        <v>0.54786670235637824</v>
      </c>
      <c r="AU7" s="483">
        <f t="shared" si="87"/>
        <v>0.80142262085897009</v>
      </c>
      <c r="AV7" s="483">
        <f t="shared" si="88"/>
        <v>0.61350576211344054</v>
      </c>
      <c r="AW7" s="483">
        <f t="shared" si="89"/>
        <v>1.001093474778896</v>
      </c>
      <c r="AY7" s="470">
        <v>3.1727063881024375</v>
      </c>
      <c r="AZ7" s="471">
        <v>3.4026063881024378</v>
      </c>
      <c r="BA7" s="471">
        <v>3.9735063881024368</v>
      </c>
      <c r="BB7" s="471">
        <v>3.3996063881024372</v>
      </c>
      <c r="BE7" s="472">
        <v>-2.5570902106380518E-2</v>
      </c>
      <c r="BF7" s="472">
        <v>-7.7333781526270117E-3</v>
      </c>
      <c r="BG7" s="472">
        <v>-9.2637660593316538E-3</v>
      </c>
      <c r="BH7" s="472">
        <v>-2.3755910145628431E-2</v>
      </c>
      <c r="BJ7" s="507">
        <v>15.629036349919955</v>
      </c>
      <c r="BK7" s="507">
        <v>55.161036349918987</v>
      </c>
      <c r="BL7" s="507">
        <v>473.26565173453457</v>
      </c>
      <c r="BM7" s="507">
        <v>-323.44204057315744</v>
      </c>
      <c r="BO7" s="464">
        <v>41567</v>
      </c>
      <c r="BP7" s="473">
        <v>0.10850000000000001</v>
      </c>
      <c r="BQ7" s="1">
        <v>5035950</v>
      </c>
      <c r="BR7" s="1">
        <v>11127132</v>
      </c>
      <c r="BS7" s="1">
        <v>6310099.7999999998</v>
      </c>
      <c r="BT7" s="1">
        <v>5970600</v>
      </c>
      <c r="BU7" s="474">
        <v>153402.67665978591</v>
      </c>
      <c r="BV7" s="474">
        <v>509866.00211189309</v>
      </c>
      <c r="BW7" s="474">
        <v>144414.10030668529</v>
      </c>
      <c r="BX7" s="474">
        <v>214415.58927759767</v>
      </c>
      <c r="BY7" s="556">
        <f t="shared" si="18"/>
        <v>10071.9</v>
      </c>
      <c r="BZ7" s="556">
        <f t="shared" si="19"/>
        <v>22254.263999999999</v>
      </c>
      <c r="CA7" s="556">
        <f t="shared" si="20"/>
        <v>12620.1996</v>
      </c>
      <c r="CB7" s="556">
        <f t="shared" si="21"/>
        <v>11941.2</v>
      </c>
      <c r="CC7" s="475">
        <f t="shared" si="22"/>
        <v>683.00071875000003</v>
      </c>
      <c r="CD7" s="475">
        <f t="shared" si="23"/>
        <v>1810.9407330000001</v>
      </c>
      <c r="CE7" s="475">
        <f t="shared" si="24"/>
        <v>855.80728537500011</v>
      </c>
      <c r="CF7" s="475">
        <f t="shared" si="25"/>
        <v>971.71514999999999</v>
      </c>
      <c r="CG7" s="476">
        <f t="shared" si="90"/>
        <v>306.80535331957185</v>
      </c>
      <c r="CH7" s="476">
        <f t="shared" si="91"/>
        <v>1019.7320042237862</v>
      </c>
      <c r="CI7" s="476">
        <f t="shared" si="92"/>
        <v>288.8282006133706</v>
      </c>
      <c r="CJ7" s="476">
        <f t="shared" si="93"/>
        <v>428.83117855519532</v>
      </c>
      <c r="CK7" s="476">
        <f t="shared" si="94"/>
        <v>989.80607206957188</v>
      </c>
      <c r="CL7" s="476">
        <f t="shared" si="94"/>
        <v>2830.6727372237865</v>
      </c>
      <c r="CM7" s="476">
        <f t="shared" si="94"/>
        <v>1144.6354859883706</v>
      </c>
      <c r="CN7" s="476">
        <f t="shared" si="94"/>
        <v>1400.5463285551953</v>
      </c>
      <c r="CO7" s="477">
        <f t="shared" si="26"/>
        <v>0.64523389918726681</v>
      </c>
      <c r="CP7" s="477">
        <f t="shared" si="27"/>
        <v>0.55517973849972035</v>
      </c>
      <c r="CQ7" s="477">
        <f t="shared" si="28"/>
        <v>0.79260645848124467</v>
      </c>
      <c r="CR7" s="477">
        <f t="shared" si="29"/>
        <v>0.65319239765815185</v>
      </c>
      <c r="CS7" s="464">
        <v>41567</v>
      </c>
      <c r="CT7" s="478">
        <v>0.32900000000000001</v>
      </c>
      <c r="CU7" s="479">
        <v>0.78200000000000003</v>
      </c>
      <c r="CV7" s="480">
        <v>0.89900000000000002</v>
      </c>
      <c r="CW7" s="481">
        <v>0.98299999999999998</v>
      </c>
      <c r="CY7" s="519">
        <v>4.1261036349919955E-2</v>
      </c>
      <c r="CZ7" s="519">
        <v>-2.0438963650081021E-2</v>
      </c>
      <c r="DA7" s="519">
        <v>-9.9854348265465465E-2</v>
      </c>
      <c r="DB7" s="519">
        <v>0.19063795942684258</v>
      </c>
      <c r="DC7" s="483">
        <f t="shared" si="12"/>
        <v>-4.0756049893252211</v>
      </c>
      <c r="DD7" s="483">
        <f t="shared" si="13"/>
        <v>2.0243950106747732</v>
      </c>
      <c r="DE7" s="483">
        <f t="shared" si="14"/>
        <v>9.7043950106749932</v>
      </c>
      <c r="DF7" s="483">
        <f t="shared" si="15"/>
        <v>-19.405604989325198</v>
      </c>
      <c r="DG7" s="483">
        <f t="shared" si="30"/>
        <v>4.0756049893252211</v>
      </c>
      <c r="DH7" s="483">
        <f t="shared" si="31"/>
        <v>0</v>
      </c>
      <c r="DI7" s="483">
        <f t="shared" si="32"/>
        <v>0</v>
      </c>
      <c r="DJ7" s="483">
        <f t="shared" si="33"/>
        <v>19.405604989325198</v>
      </c>
      <c r="DK7" s="483">
        <f t="shared" si="65"/>
        <v>0.81729155807563458</v>
      </c>
      <c r="DL7" s="483">
        <f t="shared" si="66"/>
        <v>0</v>
      </c>
      <c r="DM7" s="483">
        <f t="shared" si="67"/>
        <v>0</v>
      </c>
      <c r="DN7" s="483">
        <f t="shared" si="68"/>
        <v>1.2863912704733842</v>
      </c>
      <c r="DO7" s="483">
        <f t="shared" ref="DO7:DO70" si="100">IF(DK7&gt;0,(DK7*10^4*DG7/100*0.25),0)</f>
        <v>83.273938795660996</v>
      </c>
      <c r="DP7" s="483">
        <f t="shared" ref="DP7:DP70" si="101">IF(DL7&gt;0,(DL7*10^4*DH7/100*0.25),0)</f>
        <v>0</v>
      </c>
      <c r="DQ7" s="483">
        <f t="shared" ref="DQ7:DQ70" si="102">IF(DM7&gt;0,(DM7*10^4*DI7/100*0.25),0)</f>
        <v>0</v>
      </c>
      <c r="DR7" s="483">
        <f t="shared" ref="DR7:DR70" si="103">IF(DN7&gt;0,(DN7*10^4*DJ7/100*0.25),0)</f>
        <v>624.08002141306713</v>
      </c>
      <c r="DS7" s="473"/>
      <c r="DT7" s="473"/>
      <c r="DU7" s="473"/>
      <c r="DV7" s="473"/>
      <c r="DW7" s="545"/>
      <c r="DX7" s="464">
        <v>41567</v>
      </c>
      <c r="DY7" s="545"/>
      <c r="DZ7" s="473"/>
      <c r="EA7" s="473"/>
      <c r="EB7" s="473"/>
      <c r="EC7" s="545"/>
      <c r="ED7" s="545"/>
      <c r="EE7" s="503">
        <v>0.55400000000000005</v>
      </c>
      <c r="EF7" s="503">
        <f t="shared" si="35"/>
        <v>0.45900000000000002</v>
      </c>
      <c r="EG7" s="503">
        <v>0.83199999999999996</v>
      </c>
      <c r="EH7" s="503">
        <v>0.49299999999999999</v>
      </c>
      <c r="EI7" s="545"/>
      <c r="EJ7" s="503">
        <f t="shared" si="36"/>
        <v>849.85082869521398</v>
      </c>
      <c r="EK7" s="503">
        <f t="shared" si="37"/>
        <v>2170.3325995481769</v>
      </c>
      <c r="EL7" s="503">
        <f t="shared" si="38"/>
        <v>1020.873588156765</v>
      </c>
      <c r="EM7" s="503">
        <f t="shared" si="39"/>
        <v>937.72425782539187</v>
      </c>
      <c r="EN7" s="545"/>
      <c r="EO7" s="503">
        <f t="shared" si="69"/>
        <v>2.557090210638052</v>
      </c>
      <c r="EP7" s="503">
        <f t="shared" si="70"/>
        <v>0.77333781526270118</v>
      </c>
      <c r="EQ7" s="503">
        <f t="shared" si="71"/>
        <v>0.9263766059331654</v>
      </c>
      <c r="ER7" s="503">
        <f t="shared" si="72"/>
        <v>2.3755910145628429</v>
      </c>
      <c r="ES7" s="545"/>
      <c r="ET7" s="700">
        <f t="shared" si="40"/>
        <v>3922.6448277241288</v>
      </c>
      <c r="EU7" s="700">
        <f t="shared" si="41"/>
        <v>3656.6454704313855</v>
      </c>
      <c r="EV7" s="700">
        <f t="shared" si="42"/>
        <v>1136.6747712541783</v>
      </c>
      <c r="EW7" s="700">
        <f t="shared" si="43"/>
        <v>4518.558460502255</v>
      </c>
      <c r="EX7" s="545"/>
      <c r="EY7" s="464">
        <v>41567</v>
      </c>
      <c r="EZ7" s="545"/>
      <c r="FA7" s="745">
        <f t="shared" si="44"/>
        <v>1.6097486778744359</v>
      </c>
      <c r="FB7" s="745">
        <f t="shared" si="45"/>
        <v>-2.701553087437754</v>
      </c>
      <c r="FC7" s="745">
        <f t="shared" si="46"/>
        <v>-10.670165158126913</v>
      </c>
      <c r="FD7" s="745">
        <f t="shared" si="47"/>
        <v>17.190206372420505</v>
      </c>
      <c r="FE7" s="758"/>
      <c r="FF7" s="464">
        <v>41567</v>
      </c>
      <c r="FG7" s="758"/>
      <c r="FH7" s="745">
        <v>2605.9977031048998</v>
      </c>
      <c r="FI7" s="745">
        <f t="shared" si="73"/>
        <v>-12774.005958771642</v>
      </c>
      <c r="FJ7" s="745">
        <f t="shared" si="74"/>
        <v>-13092.415614425865</v>
      </c>
      <c r="FK7" s="745">
        <f t="shared" si="75"/>
        <v>32697.10651611225</v>
      </c>
      <c r="FL7" s="758"/>
      <c r="FM7" s="756">
        <f t="shared" si="95"/>
        <v>2605.9977031048998</v>
      </c>
      <c r="FN7" s="756">
        <f>AVERAGE(FN$9:FN$17)</f>
        <v>3499.8023757396686</v>
      </c>
      <c r="FO7" s="756">
        <f>AVERAGE(FO$9:FO$17)</f>
        <v>4192.1670315234878</v>
      </c>
      <c r="FP7" s="756">
        <f t="shared" si="49"/>
        <v>32697.10651611225</v>
      </c>
      <c r="FQ7" s="758"/>
      <c r="FR7" s="756">
        <f t="shared" si="50"/>
        <v>7378.4933595242428</v>
      </c>
      <c r="FS7" s="756">
        <f t="shared" si="51"/>
        <v>5826.9780699795629</v>
      </c>
      <c r="FT7" s="756">
        <f t="shared" si="52"/>
        <v>2157.5483594109432</v>
      </c>
      <c r="FU7" s="756">
        <f t="shared" si="53"/>
        <v>38153.389234439899</v>
      </c>
      <c r="FV7" s="761"/>
      <c r="FW7" s="753">
        <v>41567</v>
      </c>
      <c r="FX7" s="761"/>
      <c r="FY7" s="756">
        <f t="shared" si="76"/>
        <v>82854.540678701378</v>
      </c>
      <c r="FZ7" s="756">
        <f t="shared" si="77"/>
        <v>118972.00194669384</v>
      </c>
      <c r="GA7" s="756">
        <f t="shared" si="78"/>
        <v>50174.22908064389</v>
      </c>
      <c r="GB7" s="756">
        <f t="shared" si="79"/>
        <v>92288.171670572454</v>
      </c>
      <c r="GC7" s="758"/>
      <c r="GD7" s="756">
        <f t="shared" si="54"/>
        <v>0.21913045899344466</v>
      </c>
      <c r="GE7" s="756">
        <f t="shared" si="54"/>
        <v>0.15597160144037733</v>
      </c>
      <c r="GF7" s="756">
        <f t="shared" si="55"/>
        <v>0.13470824190819072</v>
      </c>
      <c r="GG7" s="756">
        <f t="shared" si="56"/>
        <v>0.24086239573535664</v>
      </c>
      <c r="GH7" s="545"/>
      <c r="GI7" s="756">
        <f t="shared" si="57"/>
        <v>563.04476541758686</v>
      </c>
      <c r="GJ7" s="756">
        <f t="shared" si="58"/>
        <v>2525.2285664582814</v>
      </c>
      <c r="GK7" s="756">
        <f t="shared" si="59"/>
        <v>700.31475818327533</v>
      </c>
      <c r="GL7" s="756">
        <f t="shared" si="60"/>
        <v>671.07419143661946</v>
      </c>
      <c r="GM7" s="545"/>
      <c r="GN7" s="701">
        <v>4.1261036349919955E-2</v>
      </c>
      <c r="GO7" s="702">
        <v>-2.0438963650081021E-2</v>
      </c>
      <c r="GP7" s="702">
        <v>-9.9854348265465465E-2</v>
      </c>
      <c r="GQ7" s="702">
        <v>0.19063795942684258</v>
      </c>
      <c r="GR7" s="483">
        <v>-1.1509607828898538</v>
      </c>
      <c r="GS7" s="483">
        <v>6.8090392171100689</v>
      </c>
      <c r="GT7" s="483">
        <v>25.679039217109967</v>
      </c>
      <c r="GU7" s="483">
        <v>12.459039217110046</v>
      </c>
      <c r="GV7" s="472">
        <f t="shared" si="98"/>
        <v>4.1261036349919955</v>
      </c>
    </row>
    <row r="8" spans="1:207" s="472" customFormat="1">
      <c r="A8" s="464">
        <v>41568</v>
      </c>
      <c r="B8" s="465">
        <v>10.466666666666667</v>
      </c>
      <c r="C8" s="466">
        <f>0</f>
        <v>0</v>
      </c>
      <c r="D8" s="467">
        <v>-2.5474395743311042</v>
      </c>
      <c r="E8" s="467">
        <v>-0.77848691881859722</v>
      </c>
      <c r="F8" s="467">
        <v>-0.92488366568884028</v>
      </c>
      <c r="G8" s="467">
        <v>-2.4479282897542634</v>
      </c>
      <c r="H8" s="468"/>
      <c r="I8" s="464">
        <v>41568</v>
      </c>
      <c r="J8" s="467"/>
      <c r="K8" s="467"/>
      <c r="L8" s="467"/>
      <c r="M8" s="467"/>
      <c r="N8" s="468"/>
      <c r="O8" s="464">
        <v>41568</v>
      </c>
      <c r="P8" s="467">
        <f t="shared" si="61"/>
        <v>3.3311433715337806</v>
      </c>
      <c r="Q8" s="467">
        <f t="shared" si="61"/>
        <v>4.1227801357136977</v>
      </c>
      <c r="R8" s="467">
        <f t="shared" si="61"/>
        <v>6.5530650734355733</v>
      </c>
      <c r="S8" s="467">
        <f t="shared" si="61"/>
        <v>3.5170245358292123</v>
      </c>
      <c r="T8" s="464">
        <v>41568</v>
      </c>
      <c r="U8" s="468">
        <v>6.2653043678876905</v>
      </c>
      <c r="V8" s="468">
        <v>2.2377769851101101</v>
      </c>
      <c r="W8" s="468">
        <v>3.4651910869511395</v>
      </c>
      <c r="X8" s="468">
        <v>1.8775958161902748</v>
      </c>
      <c r="Y8" s="468"/>
      <c r="Z8" s="464">
        <v>41568</v>
      </c>
      <c r="AA8" s="469">
        <v>41568</v>
      </c>
      <c r="AB8" s="466">
        <f>0</f>
        <v>0</v>
      </c>
      <c r="AC8" s="470">
        <v>3.1319503382091853</v>
      </c>
      <c r="AD8" s="468">
        <f>0.78*AC8-0.57</f>
        <v>1.8729212638031649</v>
      </c>
      <c r="AE8" s="468">
        <f t="shared" si="82"/>
        <v>2861.6970667695414</v>
      </c>
      <c r="AF8" s="471">
        <v>3.4228503382091855</v>
      </c>
      <c r="AG8" s="468">
        <v>2.2377769851101101</v>
      </c>
      <c r="AH8" s="468">
        <f t="shared" si="83"/>
        <v>11216.165068192677</v>
      </c>
      <c r="AI8" s="471">
        <v>4.0705503382091868</v>
      </c>
      <c r="AJ8" s="468">
        <v>3.4651910869511395</v>
      </c>
      <c r="AK8" s="468">
        <f t="shared" si="84"/>
        <v>4792.4896040346102</v>
      </c>
      <c r="AL8" s="471">
        <v>3.2055503382091852</v>
      </c>
      <c r="AM8" s="468">
        <v>1.8775958161902748</v>
      </c>
      <c r="AN8" s="468">
        <f t="shared" si="85"/>
        <v>4025.8581335358972</v>
      </c>
      <c r="AO8" s="464">
        <v>41568</v>
      </c>
      <c r="AP8" s="483">
        <v>15.279323920742733</v>
      </c>
      <c r="AQ8" s="483">
        <v>50.121907334035718</v>
      </c>
      <c r="AR8" s="483">
        <v>13.830376114268779</v>
      </c>
      <c r="AS8" s="483">
        <v>21.441558927759768</v>
      </c>
      <c r="AT8" s="483">
        <f t="shared" si="86"/>
        <v>0.54569014002652616</v>
      </c>
      <c r="AU8" s="483">
        <f t="shared" si="87"/>
        <v>0.84952385311924949</v>
      </c>
      <c r="AV8" s="483">
        <f t="shared" si="88"/>
        <v>0.69151880571343893</v>
      </c>
      <c r="AW8" s="483">
        <f t="shared" si="89"/>
        <v>1.1285031014610405</v>
      </c>
      <c r="AY8" s="470">
        <v>3.1319503382091853</v>
      </c>
      <c r="AZ8" s="471">
        <v>3.4228503382091855</v>
      </c>
      <c r="BA8" s="471">
        <v>4.0705503382091868</v>
      </c>
      <c r="BB8" s="471">
        <v>3.2055503382091852</v>
      </c>
      <c r="BE8" s="472">
        <v>-2.5474395743311042E-2</v>
      </c>
      <c r="BF8" s="472">
        <v>-7.7848691881859727E-3</v>
      </c>
      <c r="BG8" s="472">
        <v>-9.2488366568884029E-3</v>
      </c>
      <c r="BH8" s="472">
        <v>-2.4479282897542632E-2</v>
      </c>
      <c r="BJ8" s="507">
        <v>44.725241183241948</v>
      </c>
      <c r="BK8" s="507">
        <v>13.786779644780811</v>
      </c>
      <c r="BL8" s="507">
        <v>33.2713950293968</v>
      </c>
      <c r="BM8" s="507">
        <v>-9.4286049706027164</v>
      </c>
      <c r="BO8" s="464">
        <v>41568</v>
      </c>
      <c r="BP8" s="473">
        <v>1.1775</v>
      </c>
      <c r="BQ8" s="1">
        <v>5035950</v>
      </c>
      <c r="BR8" s="1">
        <v>11127132</v>
      </c>
      <c r="BS8" s="1">
        <v>6310099.7999999998</v>
      </c>
      <c r="BT8" s="1">
        <v>5970600</v>
      </c>
      <c r="BU8" s="474">
        <v>153402.67665978591</v>
      </c>
      <c r="BV8" s="474">
        <v>509866.00211189309</v>
      </c>
      <c r="BW8" s="474">
        <v>144414.10030668529</v>
      </c>
      <c r="BX8" s="474">
        <v>214415.58927759767</v>
      </c>
      <c r="BY8" s="556">
        <f t="shared" si="18"/>
        <v>52709.610000000008</v>
      </c>
      <c r="BZ8" s="556">
        <f t="shared" si="19"/>
        <v>116463.98160000001</v>
      </c>
      <c r="CA8" s="556">
        <f t="shared" si="20"/>
        <v>66045.711240000004</v>
      </c>
      <c r="CB8" s="556">
        <f t="shared" si="21"/>
        <v>62492.280000000006</v>
      </c>
      <c r="CC8" s="475">
        <f t="shared" si="22"/>
        <v>7412.2889062499999</v>
      </c>
      <c r="CD8" s="475">
        <f t="shared" si="23"/>
        <v>19653.296894999999</v>
      </c>
      <c r="CE8" s="475">
        <f t="shared" si="24"/>
        <v>9287.6781431249983</v>
      </c>
      <c r="CF8" s="475">
        <f t="shared" si="25"/>
        <v>10545.572249999999</v>
      </c>
      <c r="CG8" s="476">
        <f t="shared" si="90"/>
        <v>1605.6146823724259</v>
      </c>
      <c r="CH8" s="476">
        <f t="shared" si="91"/>
        <v>5336.5974887711482</v>
      </c>
      <c r="CI8" s="476">
        <f t="shared" si="92"/>
        <v>1511.5342498766395</v>
      </c>
      <c r="CJ8" s="476">
        <f t="shared" si="93"/>
        <v>2244.2165011055226</v>
      </c>
      <c r="CK8" s="476">
        <f t="shared" si="94"/>
        <v>9017.9035886224265</v>
      </c>
      <c r="CL8" s="476">
        <f t="shared" si="94"/>
        <v>24989.894383771149</v>
      </c>
      <c r="CM8" s="476">
        <f t="shared" si="94"/>
        <v>10799.212393001639</v>
      </c>
      <c r="CN8" s="476">
        <f t="shared" si="94"/>
        <v>12789.788751105521</v>
      </c>
      <c r="CO8" s="477">
        <f t="shared" si="26"/>
        <v>5.8785829458648848</v>
      </c>
      <c r="CP8" s="477">
        <f t="shared" si="27"/>
        <v>4.9012670545322949</v>
      </c>
      <c r="CQ8" s="477">
        <f t="shared" si="28"/>
        <v>7.4779487391244137</v>
      </c>
      <c r="CR8" s="477">
        <f t="shared" si="29"/>
        <v>5.9649528255834756</v>
      </c>
      <c r="CS8" s="464">
        <v>41568</v>
      </c>
      <c r="CT8" s="478">
        <v>0.92100000000000004</v>
      </c>
      <c r="CU8" s="479">
        <v>1.6E-2</v>
      </c>
      <c r="CV8" s="480">
        <v>0.96599999999999997</v>
      </c>
      <c r="CW8" s="481">
        <v>0.90400000000000003</v>
      </c>
      <c r="CY8" s="519">
        <v>4.4725241183241948E-2</v>
      </c>
      <c r="CZ8" s="519">
        <v>1.3786779644780811E-2</v>
      </c>
      <c r="DA8" s="519">
        <v>3.32713950293968E-2</v>
      </c>
      <c r="DB8" s="519">
        <v>-9.4286049706027164E-3</v>
      </c>
      <c r="DC8" s="483">
        <f t="shared" si="12"/>
        <v>-4.5055633000522732</v>
      </c>
      <c r="DD8" s="483">
        <f t="shared" si="13"/>
        <v>-1.3955633000522383</v>
      </c>
      <c r="DE8" s="483">
        <f t="shared" si="14"/>
        <v>-3.3155633000523821</v>
      </c>
      <c r="DF8" s="483">
        <f t="shared" si="15"/>
        <v>0.92443669994768385</v>
      </c>
      <c r="DG8" s="483">
        <f t="shared" si="30"/>
        <v>4.5055633000522732</v>
      </c>
      <c r="DH8" s="483">
        <f t="shared" si="31"/>
        <v>1.3955633000522383</v>
      </c>
      <c r="DI8" s="483">
        <f t="shared" si="32"/>
        <v>3.3155633000523821</v>
      </c>
      <c r="DJ8" s="483">
        <f t="shared" si="33"/>
        <v>0</v>
      </c>
      <c r="DK8" s="483">
        <f>IF(DG8=0,0,AP7-AP8)</f>
        <v>6.0943745235856994E-2</v>
      </c>
      <c r="DL8" s="483" t="s">
        <v>106</v>
      </c>
      <c r="DM8" s="483" t="s">
        <v>106</v>
      </c>
      <c r="DN8" s="483">
        <f t="shared" ref="DL8:DN11" si="104">IF(DJ8=0,0,AS7-AS8)</f>
        <v>0</v>
      </c>
      <c r="DO8" s="483">
        <f t="shared" si="100"/>
        <v>6.8646475475603221</v>
      </c>
      <c r="DP8" s="483" t="s">
        <v>106</v>
      </c>
      <c r="DQ8" s="483" t="s">
        <v>106</v>
      </c>
      <c r="DR8" s="483">
        <f t="shared" si="103"/>
        <v>0</v>
      </c>
      <c r="DS8" s="473"/>
      <c r="DT8" s="473"/>
      <c r="DU8" s="473"/>
      <c r="DV8" s="473"/>
      <c r="DW8" s="545"/>
      <c r="DX8" s="464">
        <v>41568</v>
      </c>
      <c r="DY8" s="545"/>
      <c r="DZ8" s="473"/>
      <c r="EA8" s="473"/>
      <c r="EB8" s="473"/>
      <c r="EC8" s="545"/>
      <c r="ED8" s="545"/>
      <c r="EE8" s="503">
        <v>0.55400000000000005</v>
      </c>
      <c r="EF8" s="503">
        <f t="shared" si="35"/>
        <v>0.45900000000000002</v>
      </c>
      <c r="EG8" s="503">
        <v>0.83199999999999996</v>
      </c>
      <c r="EH8" s="503">
        <v>0.49299999999999999</v>
      </c>
      <c r="EI8" s="545"/>
      <c r="EJ8" s="503">
        <f t="shared" si="36"/>
        <v>846.47454520914755</v>
      </c>
      <c r="EK8" s="503">
        <f t="shared" si="37"/>
        <v>2300.5955466322398</v>
      </c>
      <c r="EL8" s="503">
        <f t="shared" si="38"/>
        <v>1150.6872927071622</v>
      </c>
      <c r="EM8" s="503">
        <f t="shared" si="39"/>
        <v>1057.0688551385567</v>
      </c>
      <c r="EN8" s="545"/>
      <c r="EO8" s="503">
        <f t="shared" si="69"/>
        <v>2.5474395743311042</v>
      </c>
      <c r="EP8" s="503">
        <f t="shared" si="70"/>
        <v>0.77848691881859722</v>
      </c>
      <c r="EQ8" s="503">
        <f t="shared" si="71"/>
        <v>0.92488366568884028</v>
      </c>
      <c r="ER8" s="503">
        <f t="shared" si="72"/>
        <v>2.4479282897542634</v>
      </c>
      <c r="ES8" s="545"/>
      <c r="ET8" s="700">
        <f t="shared" si="40"/>
        <v>3892.3154424723925</v>
      </c>
      <c r="EU8" s="700">
        <f t="shared" si="41"/>
        <v>3901.9249205784718</v>
      </c>
      <c r="EV8" s="700">
        <f t="shared" si="42"/>
        <v>1279.1488958420289</v>
      </c>
      <c r="EW8" s="700">
        <f t="shared" si="43"/>
        <v>5248.7398675696213</v>
      </c>
      <c r="EX8" s="545"/>
      <c r="EY8" s="464">
        <v>41568</v>
      </c>
      <c r="EZ8" s="545"/>
      <c r="FA8" s="745">
        <f t="shared" si="44"/>
        <v>7.2827066715860536</v>
      </c>
      <c r="FB8" s="745">
        <f t="shared" si="45"/>
        <v>5.0593434357659364</v>
      </c>
      <c r="FC8" s="745">
        <f t="shared" si="46"/>
        <v>9.0366283734879556</v>
      </c>
      <c r="FD8" s="745">
        <f t="shared" si="47"/>
        <v>2.0995878358815281</v>
      </c>
      <c r="FE8" s="758"/>
      <c r="FF8" s="464">
        <v>41568</v>
      </c>
      <c r="FG8" s="758"/>
      <c r="FH8" s="745">
        <v>12604.051705247339</v>
      </c>
      <c r="FI8" s="745">
        <f t="shared" si="73"/>
        <v>25358.394285852217</v>
      </c>
      <c r="FJ8" s="745">
        <f t="shared" si="74"/>
        <v>12497.996921021133</v>
      </c>
      <c r="FK8" s="745">
        <f t="shared" si="75"/>
        <v>4501.8436307061393</v>
      </c>
      <c r="FL8" s="758"/>
      <c r="FM8" s="756">
        <f t="shared" si="95"/>
        <v>12604.051705247339</v>
      </c>
      <c r="FN8" s="756">
        <f t="shared" si="96"/>
        <v>25358.394285852217</v>
      </c>
      <c r="FO8" s="756">
        <f t="shared" si="97"/>
        <v>12497.996921021133</v>
      </c>
      <c r="FP8" s="756">
        <f t="shared" si="49"/>
        <v>4501.8436307061393</v>
      </c>
      <c r="FQ8" s="758"/>
      <c r="FR8" s="756">
        <f t="shared" si="50"/>
        <v>17342.84169292888</v>
      </c>
      <c r="FS8" s="756">
        <f t="shared" si="51"/>
        <v>31560.914753062931</v>
      </c>
      <c r="FT8" s="756">
        <f t="shared" si="52"/>
        <v>14927.833109570323</v>
      </c>
      <c r="FU8" s="756">
        <f t="shared" si="53"/>
        <v>10807.652353414318</v>
      </c>
      <c r="FV8" s="761"/>
      <c r="FW8" s="753">
        <v>41568</v>
      </c>
      <c r="FX8" s="761"/>
      <c r="FY8" s="756">
        <f t="shared" si="76"/>
        <v>100197.38237163026</v>
      </c>
      <c r="FZ8" s="756">
        <f t="shared" si="77"/>
        <v>150532.91669975678</v>
      </c>
      <c r="GA8" s="756">
        <f t="shared" si="78"/>
        <v>65102.062190214216</v>
      </c>
      <c r="GB8" s="756">
        <f t="shared" si="79"/>
        <v>103095.82402398677</v>
      </c>
      <c r="GC8" s="758"/>
      <c r="GD8" s="756">
        <f t="shared" si="54"/>
        <v>0.2649981305693378</v>
      </c>
      <c r="GE8" s="756">
        <f t="shared" si="54"/>
        <v>0.1973477768128323</v>
      </c>
      <c r="GF8" s="756">
        <f t="shared" si="55"/>
        <v>0.17478662857272761</v>
      </c>
      <c r="GG8" s="756">
        <f t="shared" si="56"/>
        <v>0.26906922864792476</v>
      </c>
      <c r="GH8" s="545"/>
      <c r="GI8" s="756">
        <f t="shared" si="57"/>
        <v>6110.4627767668981</v>
      </c>
      <c r="GJ8" s="756">
        <f t="shared" si="58"/>
        <v>143420.18187702805</v>
      </c>
      <c r="GK8" s="756">
        <f t="shared" si="59"/>
        <v>7600.1901176111214</v>
      </c>
      <c r="GL8" s="756">
        <f t="shared" si="60"/>
        <v>7282.8558563743718</v>
      </c>
      <c r="GM8" s="545"/>
      <c r="GN8" s="703">
        <v>4.4725241183241948E-2</v>
      </c>
      <c r="GO8" s="704">
        <v>1.3786779644780811E-2</v>
      </c>
      <c r="GP8" s="704">
        <v>3.32713950293968E-2</v>
      </c>
      <c r="GQ8" s="704">
        <v>-9.4286049706027164E-3</v>
      </c>
      <c r="GR8" s="483">
        <v>-4.0756049893252211</v>
      </c>
      <c r="GS8" s="483">
        <v>2.0243950106747732</v>
      </c>
      <c r="GT8" s="483">
        <v>9.7043950106749932</v>
      </c>
      <c r="GU8" s="483">
        <v>-19.405604989325198</v>
      </c>
      <c r="GV8" s="472">
        <f t="shared" si="98"/>
        <v>4.4725241183241948</v>
      </c>
    </row>
    <row r="9" spans="1:207" s="134" customFormat="1">
      <c r="A9" s="705">
        <v>41569</v>
      </c>
      <c r="B9" s="706">
        <v>0</v>
      </c>
      <c r="C9" s="497">
        <f>C8+1</f>
        <v>1</v>
      </c>
      <c r="D9" s="270">
        <v>-2.5363886575912691</v>
      </c>
      <c r="E9" s="270">
        <v>-0.7749720894286336</v>
      </c>
      <c r="F9" s="270">
        <v>-0.9254646550494966</v>
      </c>
      <c r="G9" s="270">
        <v>-2.4452708789741555</v>
      </c>
      <c r="H9" s="291"/>
      <c r="I9" s="705">
        <v>41569</v>
      </c>
      <c r="J9" s="270">
        <f t="shared" ref="J9:J17" si="105">D9</f>
        <v>-2.5363886575912691</v>
      </c>
      <c r="K9" s="270">
        <f t="shared" ref="K9:K17" si="106">E9</f>
        <v>-0.7749720894286336</v>
      </c>
      <c r="L9" s="270">
        <f t="shared" ref="L9:L17" si="107">F9</f>
        <v>-0.9254646550494966</v>
      </c>
      <c r="M9" s="270">
        <f t="shared" ref="M9:M17" si="108">G9</f>
        <v>-2.4452708789741555</v>
      </c>
      <c r="N9" s="291"/>
      <c r="O9" s="705">
        <v>41569</v>
      </c>
      <c r="P9" s="270">
        <f t="shared" ref="P9:P17" si="109">J9</f>
        <v>-2.5363886575912691</v>
      </c>
      <c r="Q9" s="270">
        <f t="shared" ref="Q9:Q17" si="110">K9</f>
        <v>-0.7749720894286336</v>
      </c>
      <c r="R9" s="270">
        <f t="shared" ref="R9:R17" si="111">L9</f>
        <v>-0.9254646550494966</v>
      </c>
      <c r="S9" s="270">
        <f t="shared" ref="S9:S17" si="112">M9</f>
        <v>-2.4452708789741555</v>
      </c>
      <c r="T9" s="705">
        <v>41569</v>
      </c>
      <c r="U9" s="291">
        <v>-2.5363886575912691</v>
      </c>
      <c r="V9" s="291">
        <v>-0.7749720894286336</v>
      </c>
      <c r="W9" s="291">
        <v>-0.9254646550494966</v>
      </c>
      <c r="X9" s="291">
        <v>-2.4452708789741555</v>
      </c>
      <c r="Y9" s="291"/>
      <c r="Z9" s="705">
        <v>41569</v>
      </c>
      <c r="AA9" s="707">
        <v>41569</v>
      </c>
      <c r="AB9" s="497">
        <f>AB8+1</f>
        <v>1</v>
      </c>
      <c r="AC9" s="266">
        <v>3.0868947052086626</v>
      </c>
      <c r="AD9" s="291">
        <f>0.78*AC9-0.57</f>
        <v>1.8377778700627569</v>
      </c>
      <c r="AE9" s="291">
        <f t="shared" si="82"/>
        <v>2768.3727681113805</v>
      </c>
      <c r="AF9" s="161">
        <v>3.4088947052086631</v>
      </c>
      <c r="AG9" s="291">
        <v>-0.7749720894286336</v>
      </c>
      <c r="AH9" s="291">
        <f t="shared" si="83"/>
        <v>-3951.3192098527793</v>
      </c>
      <c r="AI9" s="161">
        <v>4.0373947052086629</v>
      </c>
      <c r="AJ9" s="291">
        <v>-0.9254646550494966</v>
      </c>
      <c r="AK9" s="291">
        <f t="shared" si="84"/>
        <v>-1336.5014552460989</v>
      </c>
      <c r="AL9" s="161">
        <v>3.2147947052086621</v>
      </c>
      <c r="AM9" s="291">
        <v>-2.4452708789741555</v>
      </c>
      <c r="AN9" s="291">
        <f t="shared" si="85"/>
        <v>-4341.9067944897079</v>
      </c>
      <c r="AO9" s="705">
        <v>41569</v>
      </c>
      <c r="AP9" s="463">
        <v>15.063696288914642</v>
      </c>
      <c r="AQ9" s="463">
        <v>50.986600211189312</v>
      </c>
      <c r="AR9" s="463">
        <v>14.441410030668528</v>
      </c>
      <c r="AS9" s="463">
        <v>17.756342791401636</v>
      </c>
      <c r="AT9" s="463">
        <f t="shared" si="86"/>
        <v>0.53798915317552287</v>
      </c>
      <c r="AU9" s="463">
        <f t="shared" si="87"/>
        <v>0.86417966459642903</v>
      </c>
      <c r="AV9" s="463">
        <f t="shared" si="88"/>
        <v>0.72207050153342645</v>
      </c>
      <c r="AW9" s="463">
        <f t="shared" si="89"/>
        <v>0.93454435744219133</v>
      </c>
      <c r="AY9" s="266">
        <v>3.0868947052086626</v>
      </c>
      <c r="AZ9" s="161">
        <v>3.4088947052086631</v>
      </c>
      <c r="BA9" s="161">
        <v>4.0373947052086629</v>
      </c>
      <c r="BB9" s="161">
        <v>3.2147947052086621</v>
      </c>
      <c r="BE9" s="134">
        <v>-2.5363886575912691E-2</v>
      </c>
      <c r="BF9" s="134">
        <v>-7.7497208942863358E-3</v>
      </c>
      <c r="BG9" s="134">
        <v>-9.2546465504949656E-3</v>
      </c>
      <c r="BH9" s="134">
        <v>-2.4452708789741553E-2</v>
      </c>
      <c r="BJ9" s="508">
        <v>44.882869824633964</v>
      </c>
      <c r="BK9" s="508">
        <v>16.598254440019389</v>
      </c>
      <c r="BL9" s="508">
        <v>49.936715978480265</v>
      </c>
      <c r="BM9" s="508">
        <v>33.867485209247761</v>
      </c>
      <c r="BO9" s="705">
        <v>41569</v>
      </c>
      <c r="BP9" s="324">
        <v>0</v>
      </c>
      <c r="BQ9" s="1">
        <v>5035950</v>
      </c>
      <c r="BR9" s="1">
        <v>11127132</v>
      </c>
      <c r="BS9" s="1">
        <v>6310099.7999999998</v>
      </c>
      <c r="BT9" s="1">
        <v>5970600</v>
      </c>
      <c r="BU9" s="708">
        <v>153402.67665978591</v>
      </c>
      <c r="BV9" s="708">
        <v>509866.00211189309</v>
      </c>
      <c r="BW9" s="708">
        <v>144414.10030668529</v>
      </c>
      <c r="BX9" s="708">
        <v>214415.58927759767</v>
      </c>
      <c r="BY9" s="709">
        <f t="shared" si="18"/>
        <v>0</v>
      </c>
      <c r="BZ9" s="709">
        <f t="shared" si="19"/>
        <v>0</v>
      </c>
      <c r="CA9" s="709">
        <f t="shared" si="20"/>
        <v>0</v>
      </c>
      <c r="CB9" s="709">
        <f t="shared" si="21"/>
        <v>0</v>
      </c>
      <c r="CC9" s="475">
        <f t="shared" si="22"/>
        <v>0</v>
      </c>
      <c r="CD9" s="475">
        <f t="shared" si="23"/>
        <v>0</v>
      </c>
      <c r="CE9" s="475">
        <f t="shared" si="24"/>
        <v>0</v>
      </c>
      <c r="CF9" s="475">
        <f t="shared" si="25"/>
        <v>0</v>
      </c>
      <c r="CG9" s="302">
        <f t="shared" si="90"/>
        <v>0</v>
      </c>
      <c r="CH9" s="302">
        <f t="shared" si="91"/>
        <v>0</v>
      </c>
      <c r="CI9" s="302">
        <f t="shared" si="92"/>
        <v>0</v>
      </c>
      <c r="CJ9" s="302">
        <f t="shared" si="93"/>
        <v>0</v>
      </c>
      <c r="CK9" s="302">
        <f t="shared" si="94"/>
        <v>0</v>
      </c>
      <c r="CL9" s="302">
        <f t="shared" si="94"/>
        <v>0</v>
      </c>
      <c r="CM9" s="302">
        <f t="shared" si="94"/>
        <v>0</v>
      </c>
      <c r="CN9" s="302">
        <f t="shared" si="94"/>
        <v>0</v>
      </c>
      <c r="CO9" s="710">
        <f t="shared" ref="CO9:CO17" si="113">CK9/AP9/10000*100</f>
        <v>0</v>
      </c>
      <c r="CP9" s="710">
        <f t="shared" ref="CP9:CP17" si="114">CL9/AQ9/10000*100</f>
        <v>0</v>
      </c>
      <c r="CQ9" s="710">
        <f t="shared" ref="CQ9:CQ17" si="115">CM9/AR9/10000*100</f>
        <v>0</v>
      </c>
      <c r="CR9" s="710">
        <f t="shared" ref="CR9:CR17" si="116">CN9/AS9/10000*100</f>
        <v>0</v>
      </c>
      <c r="CS9" s="705">
        <v>41569</v>
      </c>
      <c r="CT9" s="711">
        <v>0.93</v>
      </c>
      <c r="CU9" s="712">
        <v>0.51600000000000001</v>
      </c>
      <c r="CV9" s="713">
        <v>0.96</v>
      </c>
      <c r="CW9" s="714">
        <v>0.93200000000000005</v>
      </c>
      <c r="CY9" s="715">
        <v>4.4882869824633964E-2</v>
      </c>
      <c r="CZ9" s="715">
        <v>1.6598254440019389E-2</v>
      </c>
      <c r="DA9" s="715">
        <v>4.9936715978480262E-2</v>
      </c>
      <c r="DB9" s="715">
        <v>3.3867485209247761E-2</v>
      </c>
      <c r="DC9" s="463">
        <f t="shared" si="12"/>
        <v>-4.4702249440700115</v>
      </c>
      <c r="DD9" s="463">
        <f t="shared" si="13"/>
        <v>-1.7402249440701567</v>
      </c>
      <c r="DE9" s="463">
        <f t="shared" si="14"/>
        <v>-5.0302249440701274</v>
      </c>
      <c r="DF9" s="463">
        <f t="shared" si="15"/>
        <v>-3.4802249440700095</v>
      </c>
      <c r="DG9" s="483">
        <f t="shared" si="30"/>
        <v>4.4702249440700115</v>
      </c>
      <c r="DH9" s="483">
        <f t="shared" si="31"/>
        <v>1.7402249440701567</v>
      </c>
      <c r="DI9" s="483">
        <f t="shared" si="32"/>
        <v>5.0302249440701274</v>
      </c>
      <c r="DJ9" s="483">
        <f t="shared" si="33"/>
        <v>3.4802249440700095</v>
      </c>
      <c r="DK9" s="483">
        <f t="shared" ref="DK9:DK11" si="117">IF(DG9=0,0,AP8-AP9)</f>
        <v>0.21562763182809164</v>
      </c>
      <c r="DL9" s="483" t="s">
        <v>106</v>
      </c>
      <c r="DM9" s="483" t="s">
        <v>106</v>
      </c>
      <c r="DN9" s="483">
        <f t="shared" si="104"/>
        <v>3.6852161363581324</v>
      </c>
      <c r="DO9" s="483">
        <f t="shared" si="100"/>
        <v>24.097600460717</v>
      </c>
      <c r="DP9" s="483" t="s">
        <v>106</v>
      </c>
      <c r="DQ9" s="483" t="s">
        <v>106</v>
      </c>
      <c r="DR9" s="483">
        <f t="shared" si="103"/>
        <v>320.63452805107198</v>
      </c>
      <c r="DS9" s="324">
        <v>6.03</v>
      </c>
      <c r="DT9" s="324">
        <v>1.81</v>
      </c>
      <c r="DU9" s="324">
        <v>6.02</v>
      </c>
      <c r="DV9" s="324">
        <v>4.33</v>
      </c>
      <c r="DW9" s="716"/>
      <c r="DX9" s="705">
        <v>41569</v>
      </c>
      <c r="DY9" s="716"/>
      <c r="DZ9" s="269"/>
      <c r="EA9" s="269"/>
      <c r="EB9" s="269"/>
      <c r="EC9" s="716"/>
      <c r="ED9" s="716"/>
      <c r="EE9" s="269">
        <f>-(EE$8-EE$14)/6+EE8</f>
        <v>0.518384666274609</v>
      </c>
      <c r="EF9" s="269">
        <v>0.45900000000000002</v>
      </c>
      <c r="EG9" s="269">
        <v>0.83199999999999996</v>
      </c>
      <c r="EH9" s="269">
        <v>0.49299999999999999</v>
      </c>
      <c r="EI9" s="716"/>
      <c r="EJ9" s="717">
        <f t="shared" si="36"/>
        <v>780.8789173591083</v>
      </c>
      <c r="EK9" s="717">
        <f t="shared" si="37"/>
        <v>2340.2849496935896</v>
      </c>
      <c r="EL9" s="717">
        <f t="shared" si="38"/>
        <v>1201.5253145516215</v>
      </c>
      <c r="EM9" s="717">
        <f t="shared" si="39"/>
        <v>875.38769961610069</v>
      </c>
      <c r="EN9" s="716"/>
      <c r="EO9" s="269">
        <f t="shared" si="69"/>
        <v>2.5363886575912691</v>
      </c>
      <c r="EP9" s="269">
        <f t="shared" si="70"/>
        <v>0.7749720894286336</v>
      </c>
      <c r="EQ9" s="269">
        <f t="shared" si="71"/>
        <v>0.9254646550494966</v>
      </c>
      <c r="ER9" s="269">
        <f t="shared" si="72"/>
        <v>2.4452708789741555</v>
      </c>
      <c r="ES9" s="716"/>
      <c r="ET9" s="718">
        <f t="shared" si="40"/>
        <v>3820.7388408602787</v>
      </c>
      <c r="EU9" s="718">
        <f t="shared" si="41"/>
        <v>3951.3192098527793</v>
      </c>
      <c r="EV9" s="718">
        <f t="shared" si="42"/>
        <v>1336.5014552460989</v>
      </c>
      <c r="EW9" s="718">
        <f t="shared" si="43"/>
        <v>4341.9067944897079</v>
      </c>
      <c r="EX9" s="716"/>
      <c r="EY9" s="705">
        <v>41569</v>
      </c>
      <c r="EZ9" s="716"/>
      <c r="FA9" s="766">
        <f t="shared" si="44"/>
        <v>1.4154516202041334</v>
      </c>
      <c r="FB9" s="766">
        <f t="shared" si="45"/>
        <v>0.50625285464152303</v>
      </c>
      <c r="FC9" s="766">
        <f t="shared" si="46"/>
        <v>3.2727602890206309</v>
      </c>
      <c r="FD9" s="766">
        <f t="shared" si="47"/>
        <v>0.54195406509585409</v>
      </c>
      <c r="FE9" s="760"/>
      <c r="FF9" s="705">
        <v>41569</v>
      </c>
      <c r="FG9" s="760"/>
      <c r="FH9" s="766">
        <v>2132.1933318407223</v>
      </c>
      <c r="FI9" s="766">
        <f t="shared" si="73"/>
        <v>2581.2111905380671</v>
      </c>
      <c r="FJ9" s="766">
        <f t="shared" si="74"/>
        <v>4726.327326583616</v>
      </c>
      <c r="FK9" s="766">
        <f t="shared" si="75"/>
        <v>962.31221570355819</v>
      </c>
      <c r="FL9" s="760"/>
      <c r="FM9" s="759">
        <f t="shared" si="95"/>
        <v>2132.1933318407223</v>
      </c>
      <c r="FN9" s="759">
        <f t="shared" si="96"/>
        <v>2581.2111905380671</v>
      </c>
      <c r="FO9" s="759">
        <f t="shared" si="97"/>
        <v>4726.327326583616</v>
      </c>
      <c r="FP9" s="759">
        <f t="shared" si="49"/>
        <v>962.31221570355819</v>
      </c>
      <c r="FQ9" s="760"/>
      <c r="FR9" s="759">
        <f t="shared" si="50"/>
        <v>6733.8110900601096</v>
      </c>
      <c r="FS9" s="759">
        <f t="shared" si="51"/>
        <v>8872.8153500844346</v>
      </c>
      <c r="FT9" s="759">
        <f t="shared" si="52"/>
        <v>7264.3540963813366</v>
      </c>
      <c r="FU9" s="759">
        <f t="shared" si="53"/>
        <v>6179.6067098093672</v>
      </c>
      <c r="FV9" s="761"/>
      <c r="FW9" s="754">
        <v>41569</v>
      </c>
      <c r="FX9" s="761"/>
      <c r="FY9" s="759">
        <f t="shared" si="76"/>
        <v>106931.19346169036</v>
      </c>
      <c r="FZ9" s="759">
        <f t="shared" si="77"/>
        <v>159405.7320498412</v>
      </c>
      <c r="GA9" s="759">
        <f t="shared" si="78"/>
        <v>72366.416286595559</v>
      </c>
      <c r="GB9" s="759">
        <f t="shared" si="79"/>
        <v>109275.43073379614</v>
      </c>
      <c r="GC9" s="760"/>
      <c r="GD9" s="759">
        <f t="shared" si="54"/>
        <v>0.28280745161381898</v>
      </c>
      <c r="GE9" s="759">
        <f t="shared" si="54"/>
        <v>0.20897998604519857</v>
      </c>
      <c r="GF9" s="759">
        <f t="shared" si="55"/>
        <v>0.19429003474064829</v>
      </c>
      <c r="GG9" s="759">
        <f t="shared" si="56"/>
        <v>0.28519735048503314</v>
      </c>
      <c r="GH9" s="716"/>
      <c r="GI9" s="756">
        <f t="shared" si="57"/>
        <v>0</v>
      </c>
      <c r="GJ9" s="756">
        <f t="shared" si="58"/>
        <v>0</v>
      </c>
      <c r="GK9" s="756">
        <f t="shared" si="59"/>
        <v>0</v>
      </c>
      <c r="GL9" s="756">
        <f t="shared" si="60"/>
        <v>0</v>
      </c>
      <c r="GM9" s="716"/>
      <c r="GN9" s="720">
        <v>4.4882869824633964E-2</v>
      </c>
      <c r="GO9" s="721">
        <v>1.6598254440019389E-2</v>
      </c>
      <c r="GP9" s="721">
        <v>4.9936715978480262E-2</v>
      </c>
      <c r="GQ9" s="721">
        <v>3.3867485209247761E-2</v>
      </c>
      <c r="GR9" s="463">
        <v>-4.5055633000522732</v>
      </c>
      <c r="GS9" s="463">
        <v>-1.3955633000522383</v>
      </c>
      <c r="GT9" s="463">
        <v>-3.3155633000523821</v>
      </c>
      <c r="GU9" s="463">
        <v>0.92443669994768385</v>
      </c>
    </row>
    <row r="10" spans="1:207" s="134" customFormat="1">
      <c r="A10" s="705">
        <v>41570</v>
      </c>
      <c r="B10" s="706">
        <v>0</v>
      </c>
      <c r="C10" s="497">
        <f t="shared" ref="C10:C17" si="118">C9+1</f>
        <v>2</v>
      </c>
      <c r="D10" s="270">
        <v>2.2701909498638466</v>
      </c>
      <c r="E10" s="270">
        <v>1.1592289323187195</v>
      </c>
      <c r="F10" s="270">
        <v>4.1857935013886101</v>
      </c>
      <c r="G10" s="270">
        <v>-0.81316758730067096</v>
      </c>
      <c r="H10" s="291"/>
      <c r="I10" s="705">
        <v>41570</v>
      </c>
      <c r="J10" s="270">
        <f t="shared" si="105"/>
        <v>2.2701909498638466</v>
      </c>
      <c r="K10" s="270">
        <f t="shared" si="106"/>
        <v>1.1592289323187195</v>
      </c>
      <c r="L10" s="270">
        <f t="shared" si="107"/>
        <v>4.1857935013886101</v>
      </c>
      <c r="M10" s="270">
        <f t="shared" si="108"/>
        <v>-0.81316758730067096</v>
      </c>
      <c r="N10" s="291"/>
      <c r="O10" s="705">
        <v>41570</v>
      </c>
      <c r="P10" s="270">
        <f t="shared" si="109"/>
        <v>2.2701909498638466</v>
      </c>
      <c r="Q10" s="270">
        <f t="shared" si="110"/>
        <v>1.1592289323187195</v>
      </c>
      <c r="R10" s="270">
        <f t="shared" si="111"/>
        <v>4.1857935013886101</v>
      </c>
      <c r="S10" s="270">
        <f t="shared" si="112"/>
        <v>-0.81316758730067096</v>
      </c>
      <c r="T10" s="705">
        <v>41570</v>
      </c>
      <c r="U10" s="291">
        <v>2.2701909498638466</v>
      </c>
      <c r="V10" s="291">
        <v>1.1592289323187195</v>
      </c>
      <c r="W10" s="291">
        <v>4.1857935013886101</v>
      </c>
      <c r="X10" s="291">
        <v>-0.81316758730067096</v>
      </c>
      <c r="Y10" s="291"/>
      <c r="Z10" s="705">
        <v>41570</v>
      </c>
      <c r="AA10" s="707">
        <v>41570</v>
      </c>
      <c r="AB10" s="497">
        <f t="shared" ref="AB10:AB17" si="119">AB9+1</f>
        <v>2</v>
      </c>
      <c r="AC10" s="266">
        <v>3.0421924557679625</v>
      </c>
      <c r="AD10" s="291">
        <v>2.2701909498638466</v>
      </c>
      <c r="AE10" s="291">
        <f t="shared" si="82"/>
        <v>3365.7045338532671</v>
      </c>
      <c r="AF10" s="161">
        <v>3.3914924557679615</v>
      </c>
      <c r="AG10" s="291">
        <v>1.1592289323187195</v>
      </c>
      <c r="AH10" s="291">
        <f t="shared" si="83"/>
        <v>5841.2931770610703</v>
      </c>
      <c r="AI10" s="161">
        <v>3.9870924557679617</v>
      </c>
      <c r="AJ10" s="291">
        <f>0.78*AI10-0.57</f>
        <v>2.5399321154990102</v>
      </c>
      <c r="AK10" s="291">
        <f t="shared" si="84"/>
        <v>3614.6623217629549</v>
      </c>
      <c r="AL10" s="161">
        <v>3.179992455767962</v>
      </c>
      <c r="AM10" s="291">
        <v>-0.81316758730067096</v>
      </c>
      <c r="AN10" s="291">
        <f t="shared" si="85"/>
        <v>-1457.2913722870564</v>
      </c>
      <c r="AO10" s="705">
        <v>41570</v>
      </c>
      <c r="AP10" s="463">
        <v>14.825645102915784</v>
      </c>
      <c r="AQ10" s="463">
        <v>50.38947022636129</v>
      </c>
      <c r="AR10" s="463">
        <v>14.231334371914095</v>
      </c>
      <c r="AS10" s="463">
        <v>17.921168957613887</v>
      </c>
      <c r="AT10" s="463">
        <f t="shared" si="86"/>
        <v>0.5294873251041351</v>
      </c>
      <c r="AU10" s="463">
        <f t="shared" si="87"/>
        <v>0.85405881739595402</v>
      </c>
      <c r="AV10" s="463">
        <f t="shared" si="88"/>
        <v>0.71156671859570475</v>
      </c>
      <c r="AW10" s="463">
        <f t="shared" si="89"/>
        <v>0.94321941882178351</v>
      </c>
      <c r="AY10" s="266">
        <v>3.0421924557679625</v>
      </c>
      <c r="AZ10" s="161">
        <v>3.3914924557679615</v>
      </c>
      <c r="BA10" s="161">
        <v>3.9870924557679617</v>
      </c>
      <c r="BB10" s="161">
        <v>3.179992455767962</v>
      </c>
      <c r="BE10" s="134">
        <v>-2.5250090501361535E-2</v>
      </c>
      <c r="BF10" s="134">
        <v>-7.7037106768128054E-3</v>
      </c>
      <c r="BG10" s="134">
        <v>-9.2620649861139062E-3</v>
      </c>
      <c r="BH10" s="134">
        <v>-2.454767587300671E-2</v>
      </c>
      <c r="BJ10" s="508">
        <v>-5.88112078052961</v>
      </c>
      <c r="BK10" s="508">
        <v>0.72872537331678666</v>
      </c>
      <c r="BL10" s="508">
        <v>-0.5491207805294398</v>
      </c>
      <c r="BM10" s="508">
        <v>14.747186911779217</v>
      </c>
      <c r="BO10" s="705">
        <v>41570</v>
      </c>
      <c r="BP10" s="324">
        <v>0</v>
      </c>
      <c r="BQ10" s="1">
        <v>5035950</v>
      </c>
      <c r="BR10" s="1">
        <v>11127132</v>
      </c>
      <c r="BS10" s="1">
        <v>6310099.7999999998</v>
      </c>
      <c r="BT10" s="1">
        <v>5970600</v>
      </c>
      <c r="BU10" s="708">
        <v>153402.67665978591</v>
      </c>
      <c r="BV10" s="708">
        <v>509866.00211189309</v>
      </c>
      <c r="BW10" s="708">
        <v>144414.10030668529</v>
      </c>
      <c r="BX10" s="708">
        <v>214415.58927759767</v>
      </c>
      <c r="BY10" s="709">
        <f t="shared" si="18"/>
        <v>0</v>
      </c>
      <c r="BZ10" s="709">
        <f t="shared" si="19"/>
        <v>0</v>
      </c>
      <c r="CA10" s="709">
        <f t="shared" si="20"/>
        <v>0</v>
      </c>
      <c r="CB10" s="709">
        <f t="shared" si="21"/>
        <v>0</v>
      </c>
      <c r="CC10" s="475">
        <f t="shared" si="22"/>
        <v>0</v>
      </c>
      <c r="CD10" s="475">
        <f t="shared" si="23"/>
        <v>0</v>
      </c>
      <c r="CE10" s="475">
        <f t="shared" si="24"/>
        <v>0</v>
      </c>
      <c r="CF10" s="475">
        <f t="shared" si="25"/>
        <v>0</v>
      </c>
      <c r="CG10" s="302">
        <f t="shared" si="90"/>
        <v>0</v>
      </c>
      <c r="CH10" s="302">
        <f t="shared" si="91"/>
        <v>0</v>
      </c>
      <c r="CI10" s="302">
        <f t="shared" si="92"/>
        <v>0</v>
      </c>
      <c r="CJ10" s="302">
        <f t="shared" si="93"/>
        <v>0</v>
      </c>
      <c r="CK10" s="302">
        <f t="shared" si="94"/>
        <v>0</v>
      </c>
      <c r="CL10" s="302">
        <f t="shared" si="94"/>
        <v>0</v>
      </c>
      <c r="CM10" s="302">
        <f t="shared" si="94"/>
        <v>0</v>
      </c>
      <c r="CN10" s="302">
        <f t="shared" si="94"/>
        <v>0</v>
      </c>
      <c r="CO10" s="710">
        <f t="shared" si="113"/>
        <v>0</v>
      </c>
      <c r="CP10" s="710">
        <f t="shared" si="114"/>
        <v>0</v>
      </c>
      <c r="CQ10" s="710">
        <f t="shared" si="115"/>
        <v>0</v>
      </c>
      <c r="CR10" s="710">
        <f t="shared" si="116"/>
        <v>0</v>
      </c>
      <c r="CS10" s="705">
        <v>41570</v>
      </c>
      <c r="CT10" s="711">
        <v>0.79900000000000004</v>
      </c>
      <c r="CU10" s="712">
        <v>0.44900000000000001</v>
      </c>
      <c r="CV10" s="713">
        <v>0.91300000000000003</v>
      </c>
      <c r="CW10" s="714">
        <v>0.50600000000000001</v>
      </c>
      <c r="CY10" s="715">
        <v>4.2070879219470392E-2</v>
      </c>
      <c r="CZ10" s="715">
        <v>2.0024725373316787E-2</v>
      </c>
      <c r="DA10" s="715">
        <v>5.0570879219470566E-2</v>
      </c>
      <c r="DB10" s="715">
        <v>3.1163186911779217E-2</v>
      </c>
      <c r="DC10" s="463">
        <f t="shared" si="12"/>
        <v>-4.2558688030375436</v>
      </c>
      <c r="DD10" s="463">
        <f t="shared" si="13"/>
        <v>-1.9658688030375515</v>
      </c>
      <c r="DE10" s="463">
        <f t="shared" si="14"/>
        <v>-5.0758688030374088</v>
      </c>
      <c r="DF10" s="463">
        <f t="shared" si="15"/>
        <v>-3.1458688030376436</v>
      </c>
      <c r="DG10" s="483">
        <f t="shared" si="30"/>
        <v>4.2558688030375436</v>
      </c>
      <c r="DH10" s="483">
        <f t="shared" si="31"/>
        <v>1.9658688030375515</v>
      </c>
      <c r="DI10" s="483">
        <f t="shared" si="32"/>
        <v>5.0758688030374088</v>
      </c>
      <c r="DJ10" s="483">
        <f t="shared" si="33"/>
        <v>3.1458688030376436</v>
      </c>
      <c r="DK10" s="483">
        <f t="shared" si="117"/>
        <v>0.23805118599885766</v>
      </c>
      <c r="DL10" s="483">
        <f t="shared" si="104"/>
        <v>0.59712998482802249</v>
      </c>
      <c r="DM10" s="483">
        <f t="shared" si="104"/>
        <v>0.2100756587544339</v>
      </c>
      <c r="DN10" s="483">
        <f t="shared" si="104"/>
        <v>-0.16482616621225077</v>
      </c>
      <c r="DO10" s="483">
        <f t="shared" si="100"/>
        <v>25.327865400465654</v>
      </c>
      <c r="DP10" s="483">
        <f t="shared" si="101"/>
        <v>29.346980213292394</v>
      </c>
      <c r="DQ10" s="483">
        <f t="shared" si="102"/>
        <v>26.657912063729086</v>
      </c>
      <c r="DR10" s="483">
        <f t="shared" si="103"/>
        <v>0</v>
      </c>
      <c r="DS10" s="324">
        <v>4.7952000000000004</v>
      </c>
      <c r="DT10" s="324">
        <v>1.9296</v>
      </c>
      <c r="DU10" s="324">
        <v>5.112000000000001</v>
      </c>
      <c r="DV10" s="324">
        <v>1.6415999999999999</v>
      </c>
      <c r="DW10" s="716"/>
      <c r="DX10" s="705">
        <v>41570</v>
      </c>
      <c r="DY10" s="716"/>
      <c r="DZ10" s="269"/>
      <c r="EA10" s="269">
        <f>-DD10-DT10</f>
        <v>3.6268803037551534E-2</v>
      </c>
      <c r="EB10" s="269"/>
      <c r="EC10" s="716">
        <f>-DF10-DV10</f>
        <v>1.5042688030376437</v>
      </c>
      <c r="ED10" s="716"/>
      <c r="EE10" s="269">
        <f>-(EE$8-EE$14)/6+EE9</f>
        <v>0.48276933254921789</v>
      </c>
      <c r="EF10" s="269">
        <f t="shared" ref="EF10:EH10" si="120">EA10</f>
        <v>3.6268803037551534E-2</v>
      </c>
      <c r="EG10" s="269">
        <v>0.83199999999999996</v>
      </c>
      <c r="EH10" s="269">
        <f t="shared" si="120"/>
        <v>1.5042688030376437</v>
      </c>
      <c r="EI10" s="716"/>
      <c r="EJ10" s="717">
        <f t="shared" si="36"/>
        <v>715.73667909462347</v>
      </c>
      <c r="EK10" s="717">
        <f t="shared" si="37"/>
        <v>182.75657708064648</v>
      </c>
      <c r="EL10" s="717">
        <f t="shared" si="38"/>
        <v>1184.0470197432526</v>
      </c>
      <c r="EM10" s="717">
        <f t="shared" si="39"/>
        <v>2695.8255376905217</v>
      </c>
      <c r="EN10" s="716"/>
      <c r="EO10" s="269">
        <f t="shared" si="69"/>
        <v>2.5250090501361533</v>
      </c>
      <c r="EP10" s="269">
        <f t="shared" si="70"/>
        <v>0.7703710676812805</v>
      </c>
      <c r="EQ10" s="269">
        <f t="shared" si="71"/>
        <v>0.92620649861139059</v>
      </c>
      <c r="ER10" s="269">
        <f t="shared" si="72"/>
        <v>2.4547675873006711</v>
      </c>
      <c r="ES10" s="716"/>
      <c r="ET10" s="718">
        <f t="shared" si="40"/>
        <v>3743.4888058969095</v>
      </c>
      <c r="EU10" s="718">
        <f t="shared" si="41"/>
        <v>3881.8589978176042</v>
      </c>
      <c r="EV10" s="718">
        <f t="shared" si="42"/>
        <v>1318.1154379178486</v>
      </c>
      <c r="EW10" s="718">
        <f t="shared" si="43"/>
        <v>4399.2304683689517</v>
      </c>
      <c r="EX10" s="716"/>
      <c r="EY10" s="705">
        <v>41570</v>
      </c>
      <c r="EZ10" s="716"/>
      <c r="FA10" s="766">
        <f t="shared" si="44"/>
        <v>1.2480904203521725</v>
      </c>
      <c r="FB10" s="766">
        <f t="shared" si="45"/>
        <v>1.1592289323187195</v>
      </c>
      <c r="FC10" s="766">
        <f t="shared" si="46"/>
        <v>3.3176623044260181</v>
      </c>
      <c r="FD10" s="766">
        <f t="shared" si="47"/>
        <v>-0.81316758730067118</v>
      </c>
      <c r="FE10" s="760"/>
      <c r="FF10" s="705">
        <v>41570</v>
      </c>
      <c r="FG10" s="760"/>
      <c r="FH10" s="766">
        <v>1850.374562849029</v>
      </c>
      <c r="FI10" s="766">
        <f t="shared" si="73"/>
        <v>5841.2931770610703</v>
      </c>
      <c r="FJ10" s="766">
        <f t="shared" si="74"/>
        <v>4721.4761587381718</v>
      </c>
      <c r="FK10" s="766">
        <f t="shared" si="75"/>
        <v>-1457.2913722870567</v>
      </c>
      <c r="FL10" s="760"/>
      <c r="FM10" s="759">
        <f t="shared" si="95"/>
        <v>1850.374562849029</v>
      </c>
      <c r="FN10" s="759">
        <f t="shared" si="96"/>
        <v>5841.2931770610703</v>
      </c>
      <c r="FO10" s="759">
        <f t="shared" si="97"/>
        <v>4721.4761587381718</v>
      </c>
      <c r="FP10" s="759">
        <f t="shared" si="49"/>
        <v>-1457.2913722870567</v>
      </c>
      <c r="FQ10" s="760"/>
      <c r="FR10" s="759">
        <f t="shared" si="50"/>
        <v>6309.6000478405622</v>
      </c>
      <c r="FS10" s="759">
        <f t="shared" si="51"/>
        <v>9905.9087519593213</v>
      </c>
      <c r="FT10" s="759">
        <f t="shared" si="52"/>
        <v>7223.6386163992729</v>
      </c>
      <c r="FU10" s="759">
        <f t="shared" si="53"/>
        <v>7095.0560060594735</v>
      </c>
      <c r="FV10" s="761"/>
      <c r="FW10" s="754">
        <v>41570</v>
      </c>
      <c r="FX10" s="761"/>
      <c r="FY10" s="759">
        <f t="shared" si="76"/>
        <v>113240.79350953092</v>
      </c>
      <c r="FZ10" s="759">
        <f t="shared" si="77"/>
        <v>169311.64080180053</v>
      </c>
      <c r="GA10" s="759">
        <f t="shared" si="78"/>
        <v>79590.054902994831</v>
      </c>
      <c r="GB10" s="759">
        <f t="shared" si="79"/>
        <v>116370.48673985561</v>
      </c>
      <c r="GC10" s="760"/>
      <c r="GD10" s="759">
        <f t="shared" si="54"/>
        <v>0.2994948358322651</v>
      </c>
      <c r="GE10" s="759">
        <f t="shared" si="54"/>
        <v>0.22196657470878692</v>
      </c>
      <c r="GF10" s="759">
        <f t="shared" si="55"/>
        <v>0.2136841276051594</v>
      </c>
      <c r="GG10" s="759">
        <f t="shared" si="56"/>
        <v>0.30371469844589793</v>
      </c>
      <c r="GH10" s="716"/>
      <c r="GI10" s="756">
        <f t="shared" si="57"/>
        <v>0</v>
      </c>
      <c r="GJ10" s="756">
        <f t="shared" si="58"/>
        <v>0</v>
      </c>
      <c r="GK10" s="756">
        <f t="shared" si="59"/>
        <v>0</v>
      </c>
      <c r="GL10" s="756">
        <f t="shared" si="60"/>
        <v>0</v>
      </c>
      <c r="GM10" s="716"/>
      <c r="GN10" s="722">
        <v>4.2070879219470392E-2</v>
      </c>
      <c r="GO10" s="723">
        <v>2.0024725373316787E-2</v>
      </c>
      <c r="GP10" s="723">
        <v>5.0570879219470566E-2</v>
      </c>
      <c r="GQ10" s="723">
        <v>3.1163186911779217E-2</v>
      </c>
      <c r="GR10" s="463">
        <v>-4.4702249440700115</v>
      </c>
      <c r="GS10" s="463">
        <v>-1.7402249440701567</v>
      </c>
      <c r="GT10" s="463">
        <v>-5.0302249440701274</v>
      </c>
      <c r="GU10" s="463">
        <v>-3.4802249440700095</v>
      </c>
    </row>
    <row r="11" spans="1:207" s="134" customFormat="1">
      <c r="A11" s="705">
        <v>41571</v>
      </c>
      <c r="B11" s="706">
        <v>0</v>
      </c>
      <c r="C11" s="497">
        <f t="shared" si="118"/>
        <v>3</v>
      </c>
      <c r="D11" s="270">
        <v>2.5694279933329804</v>
      </c>
      <c r="E11" s="270">
        <v>1.4383277025029755</v>
      </c>
      <c r="F11" s="270">
        <v>5.5388270426736348</v>
      </c>
      <c r="G11" s="271">
        <v>5.7906656274811161E-2</v>
      </c>
      <c r="H11" s="724"/>
      <c r="I11" s="705">
        <v>41571</v>
      </c>
      <c r="J11" s="270">
        <f t="shared" si="105"/>
        <v>2.5694279933329804</v>
      </c>
      <c r="K11" s="270">
        <f t="shared" si="106"/>
        <v>1.4383277025029755</v>
      </c>
      <c r="L11" s="270">
        <f t="shared" si="107"/>
        <v>5.5388270426736348</v>
      </c>
      <c r="M11" s="270">
        <f t="shared" si="108"/>
        <v>5.7906656274811161E-2</v>
      </c>
      <c r="N11" s="724"/>
      <c r="O11" s="705">
        <v>41571</v>
      </c>
      <c r="P11" s="270">
        <f t="shared" si="109"/>
        <v>2.5694279933329804</v>
      </c>
      <c r="Q11" s="270">
        <f t="shared" si="110"/>
        <v>1.4383277025029755</v>
      </c>
      <c r="R11" s="270">
        <f t="shared" si="111"/>
        <v>5.5388270426736348</v>
      </c>
      <c r="S11" s="270">
        <f t="shared" si="112"/>
        <v>5.7906656274811161E-2</v>
      </c>
      <c r="T11" s="705">
        <v>41571</v>
      </c>
      <c r="U11" s="291">
        <v>2.5694279933329804</v>
      </c>
      <c r="V11" s="291">
        <v>1.4383277025029755</v>
      </c>
      <c r="W11" s="291">
        <v>5.5388270426736348</v>
      </c>
      <c r="X11" s="291">
        <v>5.7906656274811161E-2</v>
      </c>
      <c r="Y11" s="724"/>
      <c r="Z11" s="705">
        <v>41571</v>
      </c>
      <c r="AA11" s="707">
        <v>41571</v>
      </c>
      <c r="AB11" s="497">
        <f t="shared" si="119"/>
        <v>3</v>
      </c>
      <c r="AC11" s="266">
        <v>2.9996337677375871</v>
      </c>
      <c r="AD11" s="291">
        <v>2.5694279933329804</v>
      </c>
      <c r="AE11" s="291">
        <f t="shared" si="82"/>
        <v>3748.7445016251781</v>
      </c>
      <c r="AF11" s="161">
        <v>3.371833767737586</v>
      </c>
      <c r="AG11" s="291">
        <v>1.4383277025029755</v>
      </c>
      <c r="AH11" s="291">
        <f t="shared" si="83"/>
        <v>7141.4827454012893</v>
      </c>
      <c r="AI11" s="161">
        <v>3.9363337677375876</v>
      </c>
      <c r="AJ11" s="291">
        <f>0.78*AI11-0.57</f>
        <v>2.5003403388353185</v>
      </c>
      <c r="AK11" s="291">
        <f t="shared" si="84"/>
        <v>3479.2778984068646</v>
      </c>
      <c r="AL11" s="161">
        <v>3.1485337677375855</v>
      </c>
      <c r="AM11" s="291">
        <v>5.7906656274811161E-2</v>
      </c>
      <c r="AN11" s="291">
        <f t="shared" si="85"/>
        <v>100.21374077045651</v>
      </c>
      <c r="AO11" s="705">
        <v>41571</v>
      </c>
      <c r="AP11" s="463">
        <v>14.589801743237125</v>
      </c>
      <c r="AQ11" s="463">
        <v>49.651291099891168</v>
      </c>
      <c r="AR11" s="463">
        <v>13.915217238096252</v>
      </c>
      <c r="AS11" s="463">
        <v>17.306083137466274</v>
      </c>
      <c r="AT11" s="463">
        <f t="shared" si="86"/>
        <v>0.52106434797275447</v>
      </c>
      <c r="AU11" s="463">
        <f t="shared" si="87"/>
        <v>0.84154730677781642</v>
      </c>
      <c r="AV11" s="463">
        <f t="shared" si="88"/>
        <v>0.69576086190481257</v>
      </c>
      <c r="AW11" s="463">
        <f t="shared" si="89"/>
        <v>0.91084648091927756</v>
      </c>
      <c r="AY11" s="266">
        <v>2.9996337677375871</v>
      </c>
      <c r="AZ11" s="161">
        <v>3.371833767737586</v>
      </c>
      <c r="BA11" s="161">
        <v>3.9363337677375876</v>
      </c>
      <c r="BB11" s="161">
        <v>3.1485337677375855</v>
      </c>
      <c r="BE11" s="134">
        <v>-2.5137720066670192E-2</v>
      </c>
      <c r="BF11" s="134">
        <v>-7.6487229749702445E-3</v>
      </c>
      <c r="BG11" s="134">
        <v>-9.2677295732636559E-3</v>
      </c>
      <c r="BH11" s="134">
        <v>-2.4620933437251885E-2</v>
      </c>
      <c r="BJ11" s="508">
        <v>-12.020625606279152</v>
      </c>
      <c r="BK11" s="508">
        <v>-1.412933298587663</v>
      </c>
      <c r="BL11" s="508">
        <v>-11.144625606279225</v>
      </c>
      <c r="BM11" s="508">
        <v>-6.173240990895775</v>
      </c>
      <c r="BO11" s="705">
        <v>41571</v>
      </c>
      <c r="BP11" s="324">
        <v>0</v>
      </c>
      <c r="BQ11" s="1">
        <v>5035950</v>
      </c>
      <c r="BR11" s="1">
        <v>11127132</v>
      </c>
      <c r="BS11" s="1">
        <v>6310099.7999999998</v>
      </c>
      <c r="BT11" s="1">
        <v>5970600</v>
      </c>
      <c r="BU11" s="708">
        <v>153402.67665978591</v>
      </c>
      <c r="BV11" s="708">
        <v>509866.00211189309</v>
      </c>
      <c r="BW11" s="708">
        <v>144414.10030668529</v>
      </c>
      <c r="BX11" s="708">
        <v>214415.58927759767</v>
      </c>
      <c r="BY11" s="709">
        <f t="shared" si="18"/>
        <v>0</v>
      </c>
      <c r="BZ11" s="709">
        <f t="shared" si="19"/>
        <v>0</v>
      </c>
      <c r="CA11" s="709">
        <f t="shared" si="20"/>
        <v>0</v>
      </c>
      <c r="CB11" s="709">
        <f t="shared" si="21"/>
        <v>0</v>
      </c>
      <c r="CC11" s="475">
        <f t="shared" si="22"/>
        <v>0</v>
      </c>
      <c r="CD11" s="475">
        <f t="shared" si="23"/>
        <v>0</v>
      </c>
      <c r="CE11" s="475">
        <f t="shared" si="24"/>
        <v>0</v>
      </c>
      <c r="CF11" s="475">
        <f t="shared" si="25"/>
        <v>0</v>
      </c>
      <c r="CG11" s="302">
        <f t="shared" si="90"/>
        <v>0</v>
      </c>
      <c r="CH11" s="302">
        <f t="shared" si="91"/>
        <v>0</v>
      </c>
      <c r="CI11" s="302">
        <f t="shared" si="92"/>
        <v>0</v>
      </c>
      <c r="CJ11" s="302">
        <f t="shared" si="93"/>
        <v>0</v>
      </c>
      <c r="CK11" s="302">
        <f t="shared" si="94"/>
        <v>0</v>
      </c>
      <c r="CL11" s="302">
        <f t="shared" si="94"/>
        <v>0</v>
      </c>
      <c r="CM11" s="302">
        <f t="shared" si="94"/>
        <v>0</v>
      </c>
      <c r="CN11" s="302">
        <f t="shared" si="94"/>
        <v>0</v>
      </c>
      <c r="CO11" s="710">
        <f t="shared" si="113"/>
        <v>0</v>
      </c>
      <c r="CP11" s="710">
        <f t="shared" si="114"/>
        <v>0</v>
      </c>
      <c r="CQ11" s="710">
        <f t="shared" si="115"/>
        <v>0</v>
      </c>
      <c r="CR11" s="710">
        <f t="shared" si="116"/>
        <v>0</v>
      </c>
      <c r="CS11" s="705">
        <v>41571</v>
      </c>
      <c r="CT11" s="711">
        <v>0.755</v>
      </c>
      <c r="CU11" s="712">
        <v>0.45900000000000002</v>
      </c>
      <c r="CV11" s="713">
        <v>0.879</v>
      </c>
      <c r="CW11" s="714">
        <v>0.501</v>
      </c>
      <c r="CY11" s="725">
        <v>3.8811374393720843E-2</v>
      </c>
      <c r="CZ11" s="725">
        <v>2.0619066701412336E-2</v>
      </c>
      <c r="DA11" s="725">
        <v>5.3511374393720779E-2</v>
      </c>
      <c r="DB11" s="725">
        <v>1.9026759009104222E-2</v>
      </c>
      <c r="DC11" s="463">
        <f t="shared" si="12"/>
        <v>-3.8710839709549916</v>
      </c>
      <c r="DD11" s="463">
        <f t="shared" si="13"/>
        <v>-2.0710839709547457</v>
      </c>
      <c r="DE11" s="463">
        <f t="shared" si="14"/>
        <v>-5.3510839709549174</v>
      </c>
      <c r="DF11" s="463">
        <f t="shared" si="15"/>
        <v>-1.8810839709548333</v>
      </c>
      <c r="DG11" s="483">
        <f t="shared" si="30"/>
        <v>3.8710839709549916</v>
      </c>
      <c r="DH11" s="483">
        <f t="shared" si="31"/>
        <v>2.0710839709547457</v>
      </c>
      <c r="DI11" s="483">
        <f t="shared" si="32"/>
        <v>5.3510839709549174</v>
      </c>
      <c r="DJ11" s="483">
        <f t="shared" si="33"/>
        <v>1.8810839709548333</v>
      </c>
      <c r="DK11" s="483">
        <f t="shared" si="117"/>
        <v>0.23584335967865933</v>
      </c>
      <c r="DL11" s="483">
        <f t="shared" si="104"/>
        <v>0.73817912647012207</v>
      </c>
      <c r="DM11" s="483">
        <f t="shared" si="104"/>
        <v>0.31611713381784234</v>
      </c>
      <c r="DN11" s="483">
        <f t="shared" si="104"/>
        <v>0.61508582014761259</v>
      </c>
      <c r="DO11" s="483">
        <f t="shared" si="100"/>
        <v>22.824236232705772</v>
      </c>
      <c r="DP11" s="483">
        <f t="shared" si="101"/>
        <v>38.220773913141144</v>
      </c>
      <c r="DQ11" s="483">
        <f t="shared" si="102"/>
        <v>42.289233192921671</v>
      </c>
      <c r="DR11" s="483">
        <f t="shared" si="103"/>
        <v>28.925701926032037</v>
      </c>
      <c r="DS11" s="324">
        <v>5.0831999999999997</v>
      </c>
      <c r="DT11" s="324">
        <v>2.2031999999999998</v>
      </c>
      <c r="DU11" s="324">
        <v>6.4656000000000002</v>
      </c>
      <c r="DV11" s="324">
        <v>2.5199999999999996</v>
      </c>
      <c r="DW11" s="716"/>
      <c r="DX11" s="705">
        <v>41571</v>
      </c>
      <c r="DY11" s="716"/>
      <c r="DZ11" s="269"/>
      <c r="EA11" s="269"/>
      <c r="EB11" s="269"/>
      <c r="EC11" s="716"/>
      <c r="ED11" s="716"/>
      <c r="EE11" s="269">
        <f>-(EE$8-EE$14)/6+EE10</f>
        <v>0.44715399882382678</v>
      </c>
      <c r="EF11" s="269">
        <f>-(EF$10-EF$14)/4+EF10</f>
        <v>0.23113860169010575</v>
      </c>
      <c r="EG11" s="269">
        <v>0.83199999999999996</v>
      </c>
      <c r="EH11" s="269">
        <f>-(EH$10-EH$15)/5+EH10</f>
        <v>1.2584438119736281</v>
      </c>
      <c r="EI11" s="716"/>
      <c r="EJ11" s="717">
        <f t="shared" si="36"/>
        <v>652.38881915353193</v>
      </c>
      <c r="EK11" s="717">
        <f t="shared" si="37"/>
        <v>1147.6329996937236</v>
      </c>
      <c r="EL11" s="717">
        <f t="shared" si="38"/>
        <v>1157.7460742096082</v>
      </c>
      <c r="EM11" s="717">
        <f t="shared" si="39"/>
        <v>2177.8733233845583</v>
      </c>
      <c r="EN11" s="716"/>
      <c r="EO11" s="269">
        <f t="shared" si="69"/>
        <v>2.5137720066670193</v>
      </c>
      <c r="EP11" s="269">
        <f t="shared" si="70"/>
        <v>0.76487229749702446</v>
      </c>
      <c r="EQ11" s="269">
        <f t="shared" si="71"/>
        <v>0.92677295732636555</v>
      </c>
      <c r="ER11" s="269">
        <f t="shared" si="72"/>
        <v>2.4620933437251886</v>
      </c>
      <c r="ES11" s="716"/>
      <c r="ET11" s="718">
        <f t="shared" si="40"/>
        <v>3667.5435204971163</v>
      </c>
      <c r="EU11" s="718">
        <f t="shared" si="41"/>
        <v>3797.689709726732</v>
      </c>
      <c r="EV11" s="718">
        <f t="shared" si="42"/>
        <v>1289.6247031589282</v>
      </c>
      <c r="EW11" s="718">
        <f t="shared" si="43"/>
        <v>4260.9192098710437</v>
      </c>
      <c r="EX11" s="716"/>
      <c r="EY11" s="705">
        <v>41571</v>
      </c>
      <c r="EZ11" s="716"/>
      <c r="FA11" s="766">
        <f t="shared" si="44"/>
        <v>0.9101579654641454</v>
      </c>
      <c r="FB11" s="766">
        <f t="shared" si="45"/>
        <v>1.0750730717676156</v>
      </c>
      <c r="FC11" s="766">
        <f t="shared" si="46"/>
        <v>3.5923110136285521</v>
      </c>
      <c r="FD11" s="766">
        <f t="shared" si="47"/>
        <v>-1.8394531847439834</v>
      </c>
      <c r="FE11" s="760"/>
      <c r="FF11" s="705">
        <v>41571</v>
      </c>
      <c r="FG11" s="760"/>
      <c r="FH11" s="766">
        <v>1327.9024271149945</v>
      </c>
      <c r="FI11" s="766">
        <f t="shared" si="73"/>
        <v>5337.8766039988068</v>
      </c>
      <c r="FJ11" s="766">
        <f t="shared" si="74"/>
        <v>4998.7788141447045</v>
      </c>
      <c r="FK11" s="766">
        <f t="shared" si="75"/>
        <v>-3183.3729742656492</v>
      </c>
      <c r="FL11" s="760"/>
      <c r="FM11" s="759">
        <f t="shared" si="95"/>
        <v>1327.9024271149945</v>
      </c>
      <c r="FN11" s="759">
        <f t="shared" si="96"/>
        <v>5337.8766039988068</v>
      </c>
      <c r="FO11" s="759">
        <f t="shared" si="97"/>
        <v>4998.7788141447045</v>
      </c>
      <c r="FP11" s="759">
        <f t="shared" si="49"/>
        <v>-3183.3729742656492</v>
      </c>
      <c r="FQ11" s="760"/>
      <c r="FR11" s="759">
        <f t="shared" si="50"/>
        <v>5647.8347667656426</v>
      </c>
      <c r="FS11" s="759">
        <f t="shared" si="51"/>
        <v>10283.199313419263</v>
      </c>
      <c r="FT11" s="759">
        <f t="shared" si="52"/>
        <v>7446.1495915132409</v>
      </c>
      <c r="FU11" s="759">
        <f t="shared" si="53"/>
        <v>6438.7925332556024</v>
      </c>
      <c r="FV11" s="761"/>
      <c r="FW11" s="754">
        <v>41571</v>
      </c>
      <c r="FX11" s="761"/>
      <c r="FY11" s="759">
        <f t="shared" si="76"/>
        <v>118888.62827629657</v>
      </c>
      <c r="FZ11" s="759">
        <f t="shared" si="77"/>
        <v>179594.84011521979</v>
      </c>
      <c r="GA11" s="759">
        <f t="shared" si="78"/>
        <v>87036.204494508071</v>
      </c>
      <c r="GB11" s="759">
        <f t="shared" si="79"/>
        <v>122809.27927311121</v>
      </c>
      <c r="GC11" s="760"/>
      <c r="GD11" s="759">
        <f t="shared" si="54"/>
        <v>0.31443200903511687</v>
      </c>
      <c r="GE11" s="759">
        <f t="shared" si="54"/>
        <v>0.23544778910041517</v>
      </c>
      <c r="GF11" s="759">
        <f t="shared" si="55"/>
        <v>0.23367562002741363</v>
      </c>
      <c r="GG11" s="759">
        <f t="shared" si="56"/>
        <v>0.32051926794954744</v>
      </c>
      <c r="GH11" s="716"/>
      <c r="GI11" s="756">
        <f t="shared" si="57"/>
        <v>0</v>
      </c>
      <c r="GJ11" s="756">
        <f t="shared" si="58"/>
        <v>0</v>
      </c>
      <c r="GK11" s="756">
        <f t="shared" si="59"/>
        <v>0</v>
      </c>
      <c r="GL11" s="756">
        <f t="shared" si="60"/>
        <v>0</v>
      </c>
      <c r="GM11" s="716"/>
      <c r="GN11" s="722">
        <v>3.8811374393720843E-2</v>
      </c>
      <c r="GO11" s="722">
        <v>2.0619066701412336E-2</v>
      </c>
      <c r="GP11" s="722">
        <v>5.3511374393720779E-2</v>
      </c>
      <c r="GQ11" s="726">
        <v>1.9026759009104222E-2</v>
      </c>
      <c r="GR11" s="463">
        <v>-4.2558688030375436</v>
      </c>
      <c r="GS11" s="463">
        <v>-1.9658688030375515</v>
      </c>
      <c r="GT11" s="463">
        <v>-5.0758688030374088</v>
      </c>
      <c r="GU11" s="463">
        <v>-3.1458688030376436</v>
      </c>
    </row>
    <row r="12" spans="1:207" s="134" customFormat="1">
      <c r="A12" s="705">
        <v>41572</v>
      </c>
      <c r="B12" s="706">
        <v>0</v>
      </c>
      <c r="C12" s="497">
        <f t="shared" si="118"/>
        <v>4</v>
      </c>
      <c r="D12" s="270">
        <v>-2.5031934750398275</v>
      </c>
      <c r="E12" s="270">
        <v>-0.75872023986750337</v>
      </c>
      <c r="F12" s="270">
        <v>-0.92715658550689728</v>
      </c>
      <c r="G12" s="270">
        <v>-2.4658539082898603</v>
      </c>
      <c r="H12" s="291"/>
      <c r="I12" s="705">
        <v>41572</v>
      </c>
      <c r="J12" s="270">
        <f t="shared" si="105"/>
        <v>-2.5031934750398275</v>
      </c>
      <c r="K12" s="270">
        <f t="shared" si="106"/>
        <v>-0.75872023986750337</v>
      </c>
      <c r="L12" s="270">
        <f t="shared" si="107"/>
        <v>-0.92715658550689728</v>
      </c>
      <c r="M12" s="270">
        <f t="shared" si="108"/>
        <v>-2.4658539082898603</v>
      </c>
      <c r="N12" s="291"/>
      <c r="O12" s="705">
        <v>41572</v>
      </c>
      <c r="P12" s="270">
        <f t="shared" si="109"/>
        <v>-2.5031934750398275</v>
      </c>
      <c r="Q12" s="270">
        <f t="shared" si="110"/>
        <v>-0.75872023986750337</v>
      </c>
      <c r="R12" s="270">
        <f t="shared" si="111"/>
        <v>-0.92715658550689728</v>
      </c>
      <c r="S12" s="270">
        <f t="shared" si="112"/>
        <v>-2.4658539082898603</v>
      </c>
      <c r="T12" s="705">
        <v>41572</v>
      </c>
      <c r="U12" s="291">
        <v>-2.5031934750398275</v>
      </c>
      <c r="V12" s="291">
        <v>-0.75872023986750337</v>
      </c>
      <c r="W12" s="291">
        <v>-0.92715658550689728</v>
      </c>
      <c r="X12" s="291">
        <v>-2.4658539082898603</v>
      </c>
      <c r="Y12" s="291"/>
      <c r="Z12" s="705">
        <v>41572</v>
      </c>
      <c r="AA12" s="707">
        <v>41572</v>
      </c>
      <c r="AB12" s="497">
        <f t="shared" si="119"/>
        <v>4</v>
      </c>
      <c r="AC12" s="266">
        <v>2.9609229280280371</v>
      </c>
      <c r="AD12" s="291">
        <f>0.78*AC12-0.57</f>
        <v>1.7395198838618691</v>
      </c>
      <c r="AE12" s="291">
        <f t="shared" si="82"/>
        <v>2498.9224260260085</v>
      </c>
      <c r="AF12" s="161">
        <v>3.3511229280280386</v>
      </c>
      <c r="AG12" s="291">
        <v>-0.75872023986750337</v>
      </c>
      <c r="AH12" s="291">
        <f t="shared" si="83"/>
        <v>-3704.5225620843362</v>
      </c>
      <c r="AI12" s="161">
        <v>3.8828229280280384</v>
      </c>
      <c r="AJ12" s="291">
        <v>-0.92715658550689728</v>
      </c>
      <c r="AK12" s="291">
        <f t="shared" si="84"/>
        <v>-1260.8788481497606</v>
      </c>
      <c r="AL12" s="161">
        <v>3.1297229280280372</v>
      </c>
      <c r="AM12" s="291">
        <v>-2.4658539082898603</v>
      </c>
      <c r="AN12" s="291">
        <f t="shared" si="85"/>
        <v>-4133.4457925816832</v>
      </c>
      <c r="AO12" s="705">
        <v>41572</v>
      </c>
      <c r="AP12" s="463">
        <v>14.365587017483278</v>
      </c>
      <c r="AQ12" s="463">
        <v>48.825935666765183</v>
      </c>
      <c r="AR12" s="463">
        <v>13.599416407751772</v>
      </c>
      <c r="AS12" s="463">
        <v>16.762735937784512</v>
      </c>
      <c r="AT12" s="463">
        <f t="shared" si="86"/>
        <v>0.51305667919583142</v>
      </c>
      <c r="AU12" s="463">
        <f t="shared" si="87"/>
        <v>0.82755823164008779</v>
      </c>
      <c r="AV12" s="463">
        <f t="shared" si="88"/>
        <v>0.6799708203875886</v>
      </c>
      <c r="AW12" s="463">
        <f t="shared" si="89"/>
        <v>0.88224925988339542</v>
      </c>
      <c r="AY12" s="266">
        <v>2.9609229280280371</v>
      </c>
      <c r="AZ12" s="161">
        <v>3.3511229280280386</v>
      </c>
      <c r="BA12" s="161">
        <v>3.8828229280280384</v>
      </c>
      <c r="BB12" s="161">
        <v>3.1297229280280372</v>
      </c>
      <c r="BE12" s="134">
        <v>-2.5031934750398277E-2</v>
      </c>
      <c r="BF12" s="134">
        <v>-7.5872023986750334E-3</v>
      </c>
      <c r="BG12" s="134">
        <v>-9.2715658550689729E-3</v>
      </c>
      <c r="BH12" s="134">
        <v>-2.4658539082898605E-2</v>
      </c>
      <c r="BJ12" s="508">
        <v>45.392557011856738</v>
      </c>
      <c r="BK12" s="508">
        <v>19.292557011856726</v>
      </c>
      <c r="BL12" s="508">
        <v>54.777172396472729</v>
      </c>
      <c r="BM12" s="508">
        <v>11.000249319549571</v>
      </c>
      <c r="BO12" s="705">
        <v>41572</v>
      </c>
      <c r="BP12" s="324">
        <v>0</v>
      </c>
      <c r="BQ12" s="1">
        <v>5035950</v>
      </c>
      <c r="BR12" s="1">
        <v>11127132</v>
      </c>
      <c r="BS12" s="1">
        <v>6310099.7999999998</v>
      </c>
      <c r="BT12" s="1">
        <v>5970600</v>
      </c>
      <c r="BU12" s="708">
        <v>153402.67665978591</v>
      </c>
      <c r="BV12" s="708">
        <v>509866.00211189309</v>
      </c>
      <c r="BW12" s="708">
        <v>144414.10030668529</v>
      </c>
      <c r="BX12" s="708">
        <v>214415.58927759767</v>
      </c>
      <c r="BY12" s="709">
        <f t="shared" si="18"/>
        <v>0</v>
      </c>
      <c r="BZ12" s="709">
        <f t="shared" si="19"/>
        <v>0</v>
      </c>
      <c r="CA12" s="709">
        <f t="shared" si="20"/>
        <v>0</v>
      </c>
      <c r="CB12" s="709">
        <f t="shared" si="21"/>
        <v>0</v>
      </c>
      <c r="CC12" s="475">
        <f t="shared" si="22"/>
        <v>0</v>
      </c>
      <c r="CD12" s="475">
        <f t="shared" si="23"/>
        <v>0</v>
      </c>
      <c r="CE12" s="475">
        <f t="shared" si="24"/>
        <v>0</v>
      </c>
      <c r="CF12" s="475">
        <f t="shared" si="25"/>
        <v>0</v>
      </c>
      <c r="CG12" s="302">
        <f t="shared" si="90"/>
        <v>0</v>
      </c>
      <c r="CH12" s="302">
        <f t="shared" si="91"/>
        <v>0</v>
      </c>
      <c r="CI12" s="302">
        <f t="shared" si="92"/>
        <v>0</v>
      </c>
      <c r="CJ12" s="302">
        <f t="shared" si="93"/>
        <v>0</v>
      </c>
      <c r="CK12" s="302">
        <f t="shared" si="94"/>
        <v>0</v>
      </c>
      <c r="CL12" s="302">
        <f t="shared" si="94"/>
        <v>0</v>
      </c>
      <c r="CM12" s="302">
        <f t="shared" si="94"/>
        <v>0</v>
      </c>
      <c r="CN12" s="302">
        <f t="shared" si="94"/>
        <v>0</v>
      </c>
      <c r="CO12" s="710">
        <f t="shared" si="113"/>
        <v>0</v>
      </c>
      <c r="CP12" s="710">
        <f t="shared" si="114"/>
        <v>0</v>
      </c>
      <c r="CQ12" s="710">
        <f t="shared" si="115"/>
        <v>0</v>
      </c>
      <c r="CR12" s="710">
        <f t="shared" si="116"/>
        <v>0</v>
      </c>
      <c r="CS12" s="705">
        <v>41572</v>
      </c>
      <c r="CT12" s="711">
        <v>0.91700000000000004</v>
      </c>
      <c r="CU12" s="712">
        <v>0.82199999999999995</v>
      </c>
      <c r="CV12" s="713">
        <v>0.97</v>
      </c>
      <c r="CW12" s="714">
        <v>0.88500000000000001</v>
      </c>
      <c r="CY12" s="725">
        <v>4.5392557011856738E-2</v>
      </c>
      <c r="CZ12" s="725">
        <v>1.9292557011856726E-2</v>
      </c>
      <c r="DA12" s="725">
        <v>5.4777172396472729E-2</v>
      </c>
      <c r="DB12" s="727">
        <v>1.1000249319549571E-2</v>
      </c>
      <c r="DC12" s="463">
        <f t="shared" si="12"/>
        <v>-4.5488750446798676</v>
      </c>
      <c r="DD12" s="463">
        <f t="shared" si="13"/>
        <v>-1.8888750446798497</v>
      </c>
      <c r="DE12" s="463">
        <f t="shared" si="14"/>
        <v>-5.438875044679925</v>
      </c>
      <c r="DF12" s="463">
        <f t="shared" si="15"/>
        <v>-1.008875044679769</v>
      </c>
      <c r="DG12" s="483">
        <f t="shared" si="30"/>
        <v>4.5488750446798676</v>
      </c>
      <c r="DH12" s="483">
        <f t="shared" si="31"/>
        <v>1.8888750446798497</v>
      </c>
      <c r="DI12" s="483">
        <f t="shared" si="32"/>
        <v>5.438875044679925</v>
      </c>
      <c r="DJ12" s="483">
        <f t="shared" si="33"/>
        <v>1.008875044679769</v>
      </c>
      <c r="DK12" s="483">
        <f t="shared" ref="DK12:DK75" si="121">IF(DG12=0,0,AP11-AP12)</f>
        <v>0.22421472575384627</v>
      </c>
      <c r="DL12" s="483">
        <f t="shared" ref="DL12:DL75" si="122">IF(DH12=0,0,AQ11-AQ12)</f>
        <v>0.82535543312598492</v>
      </c>
      <c r="DM12" s="483">
        <f t="shared" ref="DM12:DM75" si="123">IF(DI12=0,0,AR11-AR12)</f>
        <v>0.31580083034448059</v>
      </c>
      <c r="DN12" s="483">
        <f t="shared" ref="DN12:DN75" si="124">IF(DJ12=0,0,AS11-AS12)</f>
        <v>0.54334719968176159</v>
      </c>
      <c r="DO12" s="483">
        <f t="shared" si="100"/>
        <v>25.498119265785295</v>
      </c>
      <c r="DP12" s="483">
        <f t="shared" si="101"/>
        <v>38.974832015565035</v>
      </c>
      <c r="DQ12" s="483">
        <f t="shared" si="102"/>
        <v>42.94003138124485</v>
      </c>
      <c r="DR12" s="483">
        <f t="shared" si="103"/>
        <v>13.704235758889116</v>
      </c>
      <c r="DS12" s="324">
        <v>4.92</v>
      </c>
      <c r="DT12" s="324">
        <v>2.48</v>
      </c>
      <c r="DU12" s="324">
        <v>5.27</v>
      </c>
      <c r="DV12" s="324">
        <v>1.67</v>
      </c>
      <c r="DW12" s="716"/>
      <c r="DX12" s="705">
        <v>41572</v>
      </c>
      <c r="DY12" s="716"/>
      <c r="DZ12" s="269"/>
      <c r="EA12" s="269"/>
      <c r="EB12" s="269">
        <f>-DE12-DU12</f>
        <v>0.16887504467992542</v>
      </c>
      <c r="EC12" s="716"/>
      <c r="ED12" s="716"/>
      <c r="EE12" s="269">
        <f>-(EE$8-EE$14)/6+EE11</f>
        <v>0.41153866509843567</v>
      </c>
      <c r="EF12" s="269">
        <f>-(EF$10-EF$14)/4+EF11</f>
        <v>0.42600840034265997</v>
      </c>
      <c r="EG12" s="269">
        <f t="shared" ref="EG12:EG17" si="125">EB12</f>
        <v>0.16887504467992542</v>
      </c>
      <c r="EH12" s="269">
        <f t="shared" ref="EH12:EH14" si="126">-(EH$10-EH$15)/5+EH11</f>
        <v>1.0126188209096125</v>
      </c>
      <c r="EI12" s="716"/>
      <c r="EJ12" s="717">
        <f t="shared" si="36"/>
        <v>591.19945045304871</v>
      </c>
      <c r="EK12" s="717">
        <f t="shared" si="37"/>
        <v>2080.0258748632264</v>
      </c>
      <c r="EL12" s="717">
        <f t="shared" si="38"/>
        <v>229.66020534799912</v>
      </c>
      <c r="EM12" s="717">
        <f t="shared" si="39"/>
        <v>1697.426190053854</v>
      </c>
      <c r="EN12" s="716"/>
      <c r="EO12" s="269">
        <f t="shared" si="69"/>
        <v>2.5031934750398275</v>
      </c>
      <c r="EP12" s="269">
        <f t="shared" si="70"/>
        <v>0.75872023986750337</v>
      </c>
      <c r="EQ12" s="269">
        <f t="shared" si="71"/>
        <v>0.92715658550689728</v>
      </c>
      <c r="ER12" s="269">
        <f t="shared" si="72"/>
        <v>2.4658539082898603</v>
      </c>
      <c r="ES12" s="716"/>
      <c r="ET12" s="718">
        <f t="shared" si="40"/>
        <v>3595.9843687280995</v>
      </c>
      <c r="EU12" s="718">
        <f t="shared" si="41"/>
        <v>3704.5225620843362</v>
      </c>
      <c r="EV12" s="718">
        <f t="shared" si="42"/>
        <v>1260.8788481497606</v>
      </c>
      <c r="EW12" s="718">
        <f t="shared" si="43"/>
        <v>4133.4457925816832</v>
      </c>
      <c r="EX12" s="716"/>
      <c r="EY12" s="705">
        <v>41572</v>
      </c>
      <c r="EZ12" s="716"/>
      <c r="FA12" s="766">
        <f t="shared" si="44"/>
        <v>1.6341429045416045</v>
      </c>
      <c r="FB12" s="766">
        <f t="shared" si="45"/>
        <v>0.70414640446968635</v>
      </c>
      <c r="FC12" s="766">
        <f t="shared" si="46"/>
        <v>4.3428434144931023</v>
      </c>
      <c r="FD12" s="766">
        <f t="shared" si="47"/>
        <v>-2.4695976845197039</v>
      </c>
      <c r="FE12" s="760"/>
      <c r="FF12" s="705">
        <v>41572</v>
      </c>
      <c r="FG12" s="760"/>
      <c r="FH12" s="766">
        <v>2347.5422094195287</v>
      </c>
      <c r="FI12" s="766">
        <f t="shared" si="73"/>
        <v>3438.060704462092</v>
      </c>
      <c r="FJ12" s="766">
        <f t="shared" si="74"/>
        <v>5906.0135987354224</v>
      </c>
      <c r="FK12" s="766">
        <f t="shared" si="75"/>
        <v>-4139.7213858167861</v>
      </c>
      <c r="FL12" s="760"/>
      <c r="FM12" s="759">
        <f t="shared" si="95"/>
        <v>2347.5422094195287</v>
      </c>
      <c r="FN12" s="759">
        <f t="shared" si="96"/>
        <v>3438.060704462092</v>
      </c>
      <c r="FO12" s="759">
        <f t="shared" si="97"/>
        <v>5906.0135987354224</v>
      </c>
      <c r="FP12" s="759">
        <f t="shared" si="49"/>
        <v>-4139.7213858167861</v>
      </c>
      <c r="FQ12" s="760"/>
      <c r="FR12" s="759">
        <f t="shared" si="50"/>
        <v>6534.7260286006767</v>
      </c>
      <c r="FS12" s="759">
        <f t="shared" si="51"/>
        <v>9222.6091414096536</v>
      </c>
      <c r="FT12" s="759">
        <f t="shared" si="52"/>
        <v>7396.552652233182</v>
      </c>
      <c r="FU12" s="759">
        <f t="shared" si="53"/>
        <v>5830.8719826355373</v>
      </c>
      <c r="FV12" s="761"/>
      <c r="FW12" s="754">
        <v>41572</v>
      </c>
      <c r="FX12" s="761"/>
      <c r="FY12" s="759">
        <f t="shared" si="76"/>
        <v>125423.35430489725</v>
      </c>
      <c r="FZ12" s="759">
        <f t="shared" si="77"/>
        <v>188817.44925662945</v>
      </c>
      <c r="GA12" s="759">
        <f t="shared" si="78"/>
        <v>94432.757146741249</v>
      </c>
      <c r="GB12" s="759">
        <f t="shared" si="79"/>
        <v>128640.15125574675</v>
      </c>
      <c r="GC12" s="760"/>
      <c r="GD12" s="759">
        <f t="shared" si="54"/>
        <v>0.33171479767064393</v>
      </c>
      <c r="GE12" s="759">
        <f t="shared" si="54"/>
        <v>0.24753857595536646</v>
      </c>
      <c r="GF12" s="759">
        <f t="shared" si="55"/>
        <v>0.25353395412084323</v>
      </c>
      <c r="GG12" s="759">
        <f t="shared" si="56"/>
        <v>0.33573722892483882</v>
      </c>
      <c r="GH12" s="716"/>
      <c r="GI12" s="756">
        <f t="shared" si="57"/>
        <v>0</v>
      </c>
      <c r="GJ12" s="756">
        <f t="shared" si="58"/>
        <v>0</v>
      </c>
      <c r="GK12" s="756">
        <f t="shared" si="59"/>
        <v>0</v>
      </c>
      <c r="GL12" s="756">
        <f t="shared" si="60"/>
        <v>0</v>
      </c>
      <c r="GM12" s="716"/>
      <c r="GN12" s="720">
        <v>4.5392557011856738E-2</v>
      </c>
      <c r="GO12" s="721">
        <v>1.9292557011856726E-2</v>
      </c>
      <c r="GP12" s="721">
        <v>5.4777172396472729E-2</v>
      </c>
      <c r="GQ12" s="721">
        <v>1.1000249319549571E-2</v>
      </c>
      <c r="GR12" s="463">
        <v>-3.8710839709549916</v>
      </c>
      <c r="GS12" s="463">
        <v>-2.0710839709547457</v>
      </c>
      <c r="GT12" s="463">
        <v>-5.3510839709549174</v>
      </c>
      <c r="GU12" s="463">
        <v>-1.8810839709548333</v>
      </c>
    </row>
    <row r="13" spans="1:207" s="134" customFormat="1">
      <c r="A13" s="705">
        <v>41573</v>
      </c>
      <c r="B13" s="706">
        <v>0</v>
      </c>
      <c r="C13" s="497">
        <f t="shared" si="118"/>
        <v>5</v>
      </c>
      <c r="D13" s="270">
        <v>2.6504932343162024</v>
      </c>
      <c r="E13" s="270">
        <v>2.372024507120182</v>
      </c>
      <c r="F13" s="270">
        <v>5.0342961067394389</v>
      </c>
      <c r="G13" s="272">
        <v>0.23953170807214652</v>
      </c>
      <c r="H13" s="728"/>
      <c r="I13" s="705">
        <v>41573</v>
      </c>
      <c r="J13" s="270">
        <f t="shared" si="105"/>
        <v>2.6504932343162024</v>
      </c>
      <c r="K13" s="270">
        <f t="shared" si="106"/>
        <v>2.372024507120182</v>
      </c>
      <c r="L13" s="270">
        <f t="shared" si="107"/>
        <v>5.0342961067394389</v>
      </c>
      <c r="M13" s="270">
        <f t="shared" si="108"/>
        <v>0.23953170807214652</v>
      </c>
      <c r="N13" s="728"/>
      <c r="O13" s="705">
        <v>41573</v>
      </c>
      <c r="P13" s="270">
        <f t="shared" si="109"/>
        <v>2.6504932343162024</v>
      </c>
      <c r="Q13" s="270">
        <f t="shared" si="110"/>
        <v>2.372024507120182</v>
      </c>
      <c r="R13" s="270">
        <f t="shared" si="111"/>
        <v>5.0342961067394389</v>
      </c>
      <c r="S13" s="270">
        <f t="shared" si="112"/>
        <v>0.23953170807214652</v>
      </c>
      <c r="T13" s="705">
        <v>41573</v>
      </c>
      <c r="U13" s="291">
        <v>2.6504932343162024</v>
      </c>
      <c r="V13" s="291">
        <v>2.372024507120182</v>
      </c>
      <c r="W13" s="291">
        <v>5.0342961067394389</v>
      </c>
      <c r="X13" s="291">
        <v>0.23953170807214652</v>
      </c>
      <c r="Y13" s="728"/>
      <c r="Z13" s="705">
        <v>41573</v>
      </c>
      <c r="AA13" s="707">
        <v>41573</v>
      </c>
      <c r="AB13" s="497">
        <f t="shared" si="119"/>
        <v>5</v>
      </c>
      <c r="AC13" s="266">
        <v>2.9154341775812385</v>
      </c>
      <c r="AD13" s="291">
        <v>2.6504932343162024</v>
      </c>
      <c r="AE13" s="291">
        <f t="shared" si="82"/>
        <v>3753.6068404240818</v>
      </c>
      <c r="AF13" s="161">
        <v>3.3322341775812401</v>
      </c>
      <c r="AG13" s="291">
        <v>2.372024507120182</v>
      </c>
      <c r="AH13" s="291">
        <f t="shared" si="83"/>
        <v>11377.68975196156</v>
      </c>
      <c r="AI13" s="161">
        <v>3.8284341775812392</v>
      </c>
      <c r="AJ13" s="291">
        <f>0.78*AI13-0.57</f>
        <v>2.4161786585133669</v>
      </c>
      <c r="AK13" s="291">
        <f t="shared" si="84"/>
        <v>3206.2609022341981</v>
      </c>
      <c r="AL13" s="161">
        <v>3.1196341775812395</v>
      </c>
      <c r="AM13" s="291">
        <v>0.23953170807214652</v>
      </c>
      <c r="AN13" s="291">
        <f t="shared" si="85"/>
        <v>393.87430445171617</v>
      </c>
      <c r="AO13" s="705">
        <v>41573</v>
      </c>
      <c r="AP13" s="463">
        <v>14.161918211394607</v>
      </c>
      <c r="AQ13" s="463">
        <v>47.966155989572549</v>
      </c>
      <c r="AR13" s="463">
        <v>13.269966154766699</v>
      </c>
      <c r="AS13" s="463">
        <v>16.443514206189434</v>
      </c>
      <c r="AT13" s="463">
        <f t="shared" si="86"/>
        <v>0.50578279326409314</v>
      </c>
      <c r="AU13" s="463">
        <f t="shared" si="87"/>
        <v>0.81298569473851778</v>
      </c>
      <c r="AV13" s="463">
        <f t="shared" si="88"/>
        <v>0.66349830773833496</v>
      </c>
      <c r="AW13" s="463">
        <f t="shared" si="89"/>
        <v>0.86544811611523331</v>
      </c>
      <c r="AY13" s="266">
        <v>2.9154341775812385</v>
      </c>
      <c r="AZ13" s="161">
        <v>3.3322341775812401</v>
      </c>
      <c r="BA13" s="161">
        <v>3.8284341775812392</v>
      </c>
      <c r="BB13" s="161">
        <v>3.1196341775812395</v>
      </c>
      <c r="BE13" s="134">
        <v>-2.4903067656837977E-2</v>
      </c>
      <c r="BF13" s="134">
        <v>-7.5277549287981792E-3</v>
      </c>
      <c r="BG13" s="134">
        <v>-9.2730389326056064E-3</v>
      </c>
      <c r="BH13" s="134">
        <v>-2.4676682919278534E-2</v>
      </c>
      <c r="BJ13" s="508">
        <v>-13.266498291174871</v>
      </c>
      <c r="BK13" s="508">
        <v>-12.268036752714206</v>
      </c>
      <c r="BL13" s="508">
        <v>-19.897575214253276</v>
      </c>
      <c r="BM13" s="508">
        <v>-5.5843444450221069</v>
      </c>
      <c r="BO13" s="705">
        <v>41573</v>
      </c>
      <c r="BP13" s="324">
        <v>0</v>
      </c>
      <c r="BQ13" s="1">
        <v>5035950</v>
      </c>
      <c r="BR13" s="1">
        <v>11127132</v>
      </c>
      <c r="BS13" s="1">
        <v>6310099.7999999998</v>
      </c>
      <c r="BT13" s="1">
        <v>5970600</v>
      </c>
      <c r="BU13" s="708">
        <v>153402.67665978591</v>
      </c>
      <c r="BV13" s="708">
        <v>509866.00211189309</v>
      </c>
      <c r="BW13" s="708">
        <v>144414.10030668529</v>
      </c>
      <c r="BX13" s="708">
        <v>214415.58927759767</v>
      </c>
      <c r="BY13" s="709">
        <f t="shared" si="18"/>
        <v>0</v>
      </c>
      <c r="BZ13" s="709">
        <f t="shared" si="19"/>
        <v>0</v>
      </c>
      <c r="CA13" s="709">
        <f t="shared" si="20"/>
        <v>0</v>
      </c>
      <c r="CB13" s="709">
        <f t="shared" si="21"/>
        <v>0</v>
      </c>
      <c r="CC13" s="475">
        <f t="shared" si="22"/>
        <v>0</v>
      </c>
      <c r="CD13" s="475">
        <f t="shared" si="23"/>
        <v>0</v>
      </c>
      <c r="CE13" s="475">
        <f t="shared" si="24"/>
        <v>0</v>
      </c>
      <c r="CF13" s="475">
        <f t="shared" si="25"/>
        <v>0</v>
      </c>
      <c r="CG13" s="302">
        <f t="shared" si="90"/>
        <v>0</v>
      </c>
      <c r="CH13" s="302">
        <f t="shared" si="91"/>
        <v>0</v>
      </c>
      <c r="CI13" s="302">
        <f t="shared" si="92"/>
        <v>0</v>
      </c>
      <c r="CJ13" s="302">
        <f t="shared" si="93"/>
        <v>0</v>
      </c>
      <c r="CK13" s="302">
        <f t="shared" si="94"/>
        <v>0</v>
      </c>
      <c r="CL13" s="302">
        <f t="shared" si="94"/>
        <v>0</v>
      </c>
      <c r="CM13" s="302">
        <f t="shared" si="94"/>
        <v>0</v>
      </c>
      <c r="CN13" s="302">
        <f t="shared" si="94"/>
        <v>0</v>
      </c>
      <c r="CO13" s="710">
        <f t="shared" si="113"/>
        <v>0</v>
      </c>
      <c r="CP13" s="710">
        <f t="shared" si="114"/>
        <v>0</v>
      </c>
      <c r="CQ13" s="710">
        <f t="shared" si="115"/>
        <v>0</v>
      </c>
      <c r="CR13" s="710">
        <f t="shared" si="116"/>
        <v>0</v>
      </c>
      <c r="CS13" s="705">
        <v>41573</v>
      </c>
      <c r="CT13" s="711">
        <v>0.97299999999999998</v>
      </c>
      <c r="CU13" s="712">
        <v>0.88</v>
      </c>
      <c r="CV13" s="713">
        <v>0.98699999999999999</v>
      </c>
      <c r="CW13" s="714">
        <v>0.85799999999999998</v>
      </c>
      <c r="CY13" s="715">
        <v>3.8141501708825132E-2</v>
      </c>
      <c r="CZ13" s="715">
        <v>1.8979963247285792E-2</v>
      </c>
      <c r="DA13" s="715">
        <v>3.971842478574672E-2</v>
      </c>
      <c r="DB13" s="715">
        <v>2.1487655554977891E-2</v>
      </c>
      <c r="DC13" s="463">
        <f t="shared" si="12"/>
        <v>-3.7793239929435174</v>
      </c>
      <c r="DD13" s="463">
        <f t="shared" si="13"/>
        <v>-1.8993239929436356</v>
      </c>
      <c r="DE13" s="463">
        <f t="shared" si="14"/>
        <v>-3.9693239929434299</v>
      </c>
      <c r="DF13" s="463">
        <f t="shared" si="15"/>
        <v>-2.1693239929435393</v>
      </c>
      <c r="DG13" s="483">
        <f t="shared" si="30"/>
        <v>3.7793239929435174</v>
      </c>
      <c r="DH13" s="483">
        <f t="shared" si="31"/>
        <v>1.8993239929436356</v>
      </c>
      <c r="DI13" s="483">
        <f t="shared" si="32"/>
        <v>3.9693239929434299</v>
      </c>
      <c r="DJ13" s="483">
        <f t="shared" si="33"/>
        <v>2.1693239929435393</v>
      </c>
      <c r="DK13" s="483">
        <f t="shared" si="121"/>
        <v>0.20366880608867177</v>
      </c>
      <c r="DL13" s="483">
        <f t="shared" si="122"/>
        <v>0.85977967719263404</v>
      </c>
      <c r="DM13" s="483">
        <f t="shared" si="123"/>
        <v>0.32945025298507247</v>
      </c>
      <c r="DN13" s="483">
        <f t="shared" si="124"/>
        <v>0.3192217315950785</v>
      </c>
      <c r="DO13" s="483">
        <f t="shared" si="100"/>
        <v>19.243260136626951</v>
      </c>
      <c r="DP13" s="483">
        <f t="shared" si="101"/>
        <v>40.825004238432591</v>
      </c>
      <c r="DQ13" s="483">
        <f t="shared" si="102"/>
        <v>32.692369841373278</v>
      </c>
      <c r="DR13" s="483">
        <f t="shared" si="103"/>
        <v>17.312384035454659</v>
      </c>
      <c r="DS13" s="324">
        <v>5.1408000000000005</v>
      </c>
      <c r="DT13" s="324">
        <v>3.1247999999999996</v>
      </c>
      <c r="DU13" s="324">
        <v>5.9615999999999998</v>
      </c>
      <c r="DV13" s="324">
        <v>2.7071999999999998</v>
      </c>
      <c r="DW13" s="716"/>
      <c r="DX13" s="705">
        <v>41573</v>
      </c>
      <c r="DY13" s="716"/>
      <c r="DZ13" s="269"/>
      <c r="EA13" s="269"/>
      <c r="EB13" s="269"/>
      <c r="EC13" s="716"/>
      <c r="ED13" s="716"/>
      <c r="EE13" s="269">
        <f>-(EE$8-EE$14)/6+EE12</f>
        <v>0.37592333137304457</v>
      </c>
      <c r="EF13" s="269">
        <f>-(EF$10-EF$14)/4+EF12</f>
        <v>0.62087819899521413</v>
      </c>
      <c r="EG13" s="269">
        <f>AVERAGE(EG12,EG14)</f>
        <v>0.29459152116388321</v>
      </c>
      <c r="EH13" s="269">
        <f t="shared" si="126"/>
        <v>0.76679382984559685</v>
      </c>
      <c r="EI13" s="716"/>
      <c r="EJ13" s="717">
        <f t="shared" si="36"/>
        <v>532.37954726600492</v>
      </c>
      <c r="EK13" s="717">
        <f t="shared" si="37"/>
        <v>2978.1140543529305</v>
      </c>
      <c r="EL13" s="717">
        <f t="shared" si="38"/>
        <v>390.92195153259678</v>
      </c>
      <c r="EM13" s="717">
        <f t="shared" si="39"/>
        <v>1260.8785234284476</v>
      </c>
      <c r="EN13" s="716"/>
      <c r="EO13" s="269">
        <f t="shared" si="69"/>
        <v>2.4903067656837976</v>
      </c>
      <c r="EP13" s="269">
        <f t="shared" si="70"/>
        <v>0.75277549287981793</v>
      </c>
      <c r="EQ13" s="269">
        <f t="shared" si="71"/>
        <v>0.92730389326056062</v>
      </c>
      <c r="ER13" s="269">
        <f t="shared" si="72"/>
        <v>2.4676682919278532</v>
      </c>
      <c r="ES13" s="716"/>
      <c r="ET13" s="718">
        <f t="shared" si="40"/>
        <v>3526.7520736896581</v>
      </c>
      <c r="EU13" s="718">
        <f t="shared" si="41"/>
        <v>3610.7746716600709</v>
      </c>
      <c r="EV13" s="718">
        <f t="shared" si="42"/>
        <v>1230.5291278751033</v>
      </c>
      <c r="EW13" s="718">
        <f t="shared" si="43"/>
        <v>4057.7138614478868</v>
      </c>
      <c r="EX13" s="716"/>
      <c r="EY13" s="705">
        <v>41573</v>
      </c>
      <c r="EZ13" s="716"/>
      <c r="FA13" s="766">
        <f t="shared" si="44"/>
        <v>0.913093895886675</v>
      </c>
      <c r="FB13" s="766">
        <f t="shared" si="45"/>
        <v>0.52567030106860368</v>
      </c>
      <c r="FC13" s="766">
        <f t="shared" si="46"/>
        <v>2.7474285785189858</v>
      </c>
      <c r="FD13" s="766">
        <f t="shared" si="47"/>
        <v>-1.0651381288299109</v>
      </c>
      <c r="FE13" s="760"/>
      <c r="FF13" s="705">
        <v>41573</v>
      </c>
      <c r="FG13" s="760"/>
      <c r="FH13" s="766">
        <v>1293.1161072870752</v>
      </c>
      <c r="FI13" s="766">
        <f t="shared" si="73"/>
        <v>2521.4383660142207</v>
      </c>
      <c r="FJ13" s="766">
        <f t="shared" si="74"/>
        <v>3645.8284249585727</v>
      </c>
      <c r="FK13" s="766">
        <f t="shared" si="75"/>
        <v>-1751.4613952968668</v>
      </c>
      <c r="FL13" s="760"/>
      <c r="FM13" s="759">
        <f t="shared" si="95"/>
        <v>1293.1161072870752</v>
      </c>
      <c r="FN13" s="759">
        <f t="shared" si="96"/>
        <v>2521.4383660142207</v>
      </c>
      <c r="FO13" s="759">
        <f t="shared" si="97"/>
        <v>3645.8284249585727</v>
      </c>
      <c r="FP13" s="759">
        <f t="shared" si="49"/>
        <v>-1751.4613952968668</v>
      </c>
      <c r="FQ13" s="760"/>
      <c r="FR13" s="759">
        <f t="shared" si="50"/>
        <v>5352.247728242738</v>
      </c>
      <c r="FS13" s="759">
        <f t="shared" si="51"/>
        <v>9110.3270920272225</v>
      </c>
      <c r="FT13" s="759">
        <f t="shared" si="52"/>
        <v>5267.2795043662727</v>
      </c>
      <c r="FU13" s="759">
        <f t="shared" si="53"/>
        <v>5318.5923848763341</v>
      </c>
      <c r="FV13" s="761"/>
      <c r="FW13" s="754">
        <v>41573</v>
      </c>
      <c r="FX13" s="761"/>
      <c r="FY13" s="759">
        <f t="shared" si="76"/>
        <v>130775.60203313999</v>
      </c>
      <c r="FZ13" s="759">
        <f t="shared" si="77"/>
        <v>197927.77634865668</v>
      </c>
      <c r="GA13" s="759">
        <f t="shared" si="78"/>
        <v>99700.036651107526</v>
      </c>
      <c r="GB13" s="759">
        <f t="shared" si="79"/>
        <v>133958.74364062308</v>
      </c>
      <c r="GC13" s="760"/>
      <c r="GD13" s="759">
        <f t="shared" si="54"/>
        <v>0.34587021379786104</v>
      </c>
      <c r="GE13" s="759">
        <f t="shared" si="54"/>
        <v>0.2594821616977146</v>
      </c>
      <c r="GF13" s="759">
        <f t="shared" si="55"/>
        <v>0.26767559565023852</v>
      </c>
      <c r="GG13" s="759">
        <f t="shared" si="56"/>
        <v>0.34961819417284384</v>
      </c>
      <c r="GH13" s="716"/>
      <c r="GI13" s="756">
        <f t="shared" si="57"/>
        <v>0</v>
      </c>
      <c r="GJ13" s="756">
        <f t="shared" si="58"/>
        <v>0</v>
      </c>
      <c r="GK13" s="756">
        <f t="shared" si="59"/>
        <v>0</v>
      </c>
      <c r="GL13" s="756">
        <f t="shared" si="60"/>
        <v>0</v>
      </c>
      <c r="GM13" s="716"/>
      <c r="GN13" s="722">
        <v>3.8141501708825132E-2</v>
      </c>
      <c r="GO13" s="722">
        <v>1.8979963247285792E-2</v>
      </c>
      <c r="GP13" s="722">
        <v>3.971842478574672E-2</v>
      </c>
      <c r="GQ13" s="726">
        <v>2.1487655554977891E-2</v>
      </c>
      <c r="GR13" s="463">
        <v>-4.5488750446798676</v>
      </c>
      <c r="GS13" s="463">
        <v>-1.8888750446798497</v>
      </c>
      <c r="GT13" s="463">
        <v>-5.438875044679925</v>
      </c>
      <c r="GU13" s="463">
        <v>-1.008875044679769</v>
      </c>
    </row>
    <row r="14" spans="1:207" s="134" customFormat="1">
      <c r="A14" s="705">
        <v>41574</v>
      </c>
      <c r="B14" s="706">
        <v>0</v>
      </c>
      <c r="C14" s="497">
        <f t="shared" si="118"/>
        <v>6</v>
      </c>
      <c r="D14" s="270">
        <v>0.93359198423635414</v>
      </c>
      <c r="E14" s="270">
        <v>0.54089600162749185</v>
      </c>
      <c r="F14" s="270">
        <v>3.9255544551259103</v>
      </c>
      <c r="G14" s="272">
        <v>0.10653296367176025</v>
      </c>
      <c r="H14" s="728"/>
      <c r="I14" s="705">
        <v>41574</v>
      </c>
      <c r="J14" s="270">
        <f t="shared" si="105"/>
        <v>0.93359198423635414</v>
      </c>
      <c r="K14" s="270">
        <f t="shared" si="106"/>
        <v>0.54089600162749185</v>
      </c>
      <c r="L14" s="270">
        <f t="shared" si="107"/>
        <v>3.9255544551259103</v>
      </c>
      <c r="M14" s="270">
        <f t="shared" si="108"/>
        <v>0.10653296367176025</v>
      </c>
      <c r="N14" s="728"/>
      <c r="O14" s="705">
        <v>41574</v>
      </c>
      <c r="P14" s="270">
        <f t="shared" si="109"/>
        <v>0.93359198423635414</v>
      </c>
      <c r="Q14" s="270">
        <f t="shared" si="110"/>
        <v>0.54089600162749185</v>
      </c>
      <c r="R14" s="270">
        <f t="shared" si="111"/>
        <v>3.9255544551259103</v>
      </c>
      <c r="S14" s="270">
        <f t="shared" si="112"/>
        <v>0.10653296367176025</v>
      </c>
      <c r="T14" s="705">
        <v>41574</v>
      </c>
      <c r="U14" s="291">
        <v>0.93359198423635414</v>
      </c>
      <c r="V14" s="291">
        <v>0.54089600162749185</v>
      </c>
      <c r="W14" s="291">
        <v>3.9255544551259103</v>
      </c>
      <c r="X14" s="291">
        <v>0.10653296367176025</v>
      </c>
      <c r="Y14" s="728"/>
      <c r="Z14" s="705">
        <v>41574</v>
      </c>
      <c r="AA14" s="707">
        <v>41574</v>
      </c>
      <c r="AB14" s="497">
        <f t="shared" si="119"/>
        <v>6</v>
      </c>
      <c r="AC14" s="266">
        <v>2.8776409376518033</v>
      </c>
      <c r="AD14" s="291">
        <v>0.93359198423635414</v>
      </c>
      <c r="AE14" s="291">
        <f t="shared" si="82"/>
        <v>1299.83328655882</v>
      </c>
      <c r="AF14" s="161">
        <v>3.3132409376518037</v>
      </c>
      <c r="AG14" s="291">
        <v>0.54089600162749185</v>
      </c>
      <c r="AH14" s="291">
        <f t="shared" si="83"/>
        <v>2552.5258080288795</v>
      </c>
      <c r="AI14" s="161">
        <v>3.7887409376518049</v>
      </c>
      <c r="AJ14" s="291">
        <v>3.9255544551259103</v>
      </c>
      <c r="AK14" s="291">
        <f t="shared" si="84"/>
        <v>5079.1863755075692</v>
      </c>
      <c r="AL14" s="161">
        <v>3.0979409376518041</v>
      </c>
      <c r="AM14" s="291">
        <v>0.10653296367176025</v>
      </c>
      <c r="AN14" s="291">
        <f t="shared" si="85"/>
        <v>173.37220706032491</v>
      </c>
      <c r="AO14" s="705">
        <v>41574</v>
      </c>
      <c r="AP14" s="463">
        <v>13.922926808567647</v>
      </c>
      <c r="AQ14" s="463">
        <v>47.190694705611278</v>
      </c>
      <c r="AR14" s="463">
        <v>12.9387744675794</v>
      </c>
      <c r="AS14" s="463">
        <v>16.274043365066206</v>
      </c>
      <c r="AT14" s="463">
        <f t="shared" si="86"/>
        <v>0.49724738602027313</v>
      </c>
      <c r="AU14" s="463">
        <f t="shared" si="87"/>
        <v>0.79984228314595385</v>
      </c>
      <c r="AV14" s="463">
        <f t="shared" si="88"/>
        <v>0.64693872337896996</v>
      </c>
      <c r="AW14" s="463">
        <f t="shared" si="89"/>
        <v>0.85652859816137927</v>
      </c>
      <c r="AY14" s="266">
        <v>2.8776409376518033</v>
      </c>
      <c r="AZ14" s="161">
        <v>3.3132409376518037</v>
      </c>
      <c r="BA14" s="161">
        <v>3.7887409376518049</v>
      </c>
      <c r="BB14" s="161">
        <v>3.0979409376518041</v>
      </c>
      <c r="BE14" s="134">
        <v>-2.4792080157636457E-2</v>
      </c>
      <c r="BF14" s="134">
        <v>-7.4646399837250826E-3</v>
      </c>
      <c r="BG14" s="134">
        <v>-9.2724554487408975E-3</v>
      </c>
      <c r="BH14" s="134">
        <v>-2.4710670363282398E-2</v>
      </c>
      <c r="BJ14" s="508">
        <v>3.4544252011263143</v>
      </c>
      <c r="BK14" s="508">
        <v>7.8319021242035225</v>
      </c>
      <c r="BL14" s="508">
        <v>3.8159636626656916</v>
      </c>
      <c r="BM14" s="508">
        <v>-2.7397286450270073</v>
      </c>
      <c r="BO14" s="705">
        <v>41574</v>
      </c>
      <c r="BP14" s="324">
        <v>0</v>
      </c>
      <c r="BQ14" s="1">
        <v>5035950</v>
      </c>
      <c r="BR14" s="1">
        <v>11127132</v>
      </c>
      <c r="BS14" s="1">
        <v>6310099.7999999998</v>
      </c>
      <c r="BT14" s="1">
        <v>5970600</v>
      </c>
      <c r="BU14" s="708">
        <v>153402.67665978591</v>
      </c>
      <c r="BV14" s="708">
        <v>509866.00211189309</v>
      </c>
      <c r="BW14" s="708">
        <v>144414.10030668529</v>
      </c>
      <c r="BX14" s="708">
        <v>214415.58927759767</v>
      </c>
      <c r="BY14" s="709">
        <f t="shared" si="18"/>
        <v>0</v>
      </c>
      <c r="BZ14" s="709">
        <f t="shared" si="19"/>
        <v>0</v>
      </c>
      <c r="CA14" s="709">
        <f t="shared" si="20"/>
        <v>0</v>
      </c>
      <c r="CB14" s="709">
        <f t="shared" si="21"/>
        <v>0</v>
      </c>
      <c r="CC14" s="475">
        <f t="shared" si="22"/>
        <v>0</v>
      </c>
      <c r="CD14" s="475">
        <f t="shared" si="23"/>
        <v>0</v>
      </c>
      <c r="CE14" s="475">
        <f t="shared" si="24"/>
        <v>0</v>
      </c>
      <c r="CF14" s="475">
        <f t="shared" si="25"/>
        <v>0</v>
      </c>
      <c r="CG14" s="302">
        <f t="shared" si="90"/>
        <v>0</v>
      </c>
      <c r="CH14" s="302">
        <f t="shared" si="91"/>
        <v>0</v>
      </c>
      <c r="CI14" s="302">
        <f t="shared" si="92"/>
        <v>0</v>
      </c>
      <c r="CJ14" s="302">
        <f t="shared" si="93"/>
        <v>0</v>
      </c>
      <c r="CK14" s="302">
        <f t="shared" si="94"/>
        <v>0</v>
      </c>
      <c r="CL14" s="302">
        <f t="shared" si="94"/>
        <v>0</v>
      </c>
      <c r="CM14" s="302">
        <f t="shared" si="94"/>
        <v>0</v>
      </c>
      <c r="CN14" s="302">
        <f t="shared" si="94"/>
        <v>0</v>
      </c>
      <c r="CO14" s="710">
        <f t="shared" si="113"/>
        <v>0</v>
      </c>
      <c r="CP14" s="710">
        <f t="shared" si="114"/>
        <v>0</v>
      </c>
      <c r="CQ14" s="710">
        <f t="shared" si="115"/>
        <v>0</v>
      </c>
      <c r="CR14" s="710">
        <f t="shared" si="116"/>
        <v>0</v>
      </c>
      <c r="CS14" s="705">
        <v>41574</v>
      </c>
      <c r="CT14" s="711">
        <v>0.95099999999999996</v>
      </c>
      <c r="CU14" s="712">
        <v>0.57699999999999996</v>
      </c>
      <c r="CV14" s="713">
        <v>0.95199999999999996</v>
      </c>
      <c r="CW14" s="714">
        <v>0.82699999999999996</v>
      </c>
      <c r="CY14" s="725">
        <v>3.7582425201126313E-2</v>
      </c>
      <c r="CZ14" s="725">
        <v>2.0705502124203523E-2</v>
      </c>
      <c r="DA14" s="725">
        <v>5.2343963662665693E-2</v>
      </c>
      <c r="DB14" s="727">
        <v>2.3036271354972992E-2</v>
      </c>
      <c r="DC14" s="463">
        <f t="shared" si="12"/>
        <v>-3.7531079976476533</v>
      </c>
      <c r="DD14" s="463">
        <f t="shared" si="13"/>
        <v>-2.1031079976477685</v>
      </c>
      <c r="DE14" s="463">
        <f t="shared" si="14"/>
        <v>-5.2731079976478412</v>
      </c>
      <c r="DF14" s="463">
        <f t="shared" si="15"/>
        <v>-2.3931079976478031</v>
      </c>
      <c r="DG14" s="483">
        <f t="shared" si="30"/>
        <v>3.7531079976476533</v>
      </c>
      <c r="DH14" s="483">
        <f t="shared" si="31"/>
        <v>2.1031079976477685</v>
      </c>
      <c r="DI14" s="483">
        <f t="shared" si="32"/>
        <v>5.2731079976478412</v>
      </c>
      <c r="DJ14" s="483">
        <f t="shared" si="33"/>
        <v>2.3931079976478031</v>
      </c>
      <c r="DK14" s="483">
        <f t="shared" si="121"/>
        <v>0.23899140282695974</v>
      </c>
      <c r="DL14" s="483">
        <f t="shared" si="122"/>
        <v>0.77546128396127045</v>
      </c>
      <c r="DM14" s="483">
        <f t="shared" si="123"/>
        <v>0.33119168718729952</v>
      </c>
      <c r="DN14" s="483">
        <f t="shared" si="124"/>
        <v>0.16947084112322841</v>
      </c>
      <c r="DO14" s="483">
        <f t="shared" si="100"/>
        <v>22.424013632972365</v>
      </c>
      <c r="DP14" s="483">
        <f t="shared" si="101"/>
        <v>40.771970704128876</v>
      </c>
      <c r="DQ14" s="483">
        <f t="shared" si="102"/>
        <v>43.66023836154578</v>
      </c>
      <c r="DR14" s="483">
        <f t="shared" si="103"/>
        <v>10.139050631502453</v>
      </c>
      <c r="DS14" s="324">
        <v>3.4127999999999998</v>
      </c>
      <c r="DT14" s="324">
        <v>1.2873600000000001</v>
      </c>
      <c r="DU14" s="324">
        <v>4.8528000000000002</v>
      </c>
      <c r="DV14" s="324">
        <v>2.5775999999999999</v>
      </c>
      <c r="DW14" s="716"/>
      <c r="DX14" s="705">
        <v>41574</v>
      </c>
      <c r="DY14" s="716"/>
      <c r="DZ14" s="269">
        <f>-DC14-DS14</f>
        <v>0.34030799764765352</v>
      </c>
      <c r="EA14" s="269">
        <f>-DD14-DT14</f>
        <v>0.8157479976477684</v>
      </c>
      <c r="EB14" s="269">
        <f>-DE14-DU14</f>
        <v>0.42030799764784099</v>
      </c>
      <c r="EC14" s="716"/>
      <c r="ED14" s="716"/>
      <c r="EE14" s="269">
        <f t="shared" ref="EE14:EE16" si="127">DZ14</f>
        <v>0.34030799764765352</v>
      </c>
      <c r="EF14" s="269">
        <f t="shared" ref="EF14:EF17" si="128">EA14</f>
        <v>0.8157479976477684</v>
      </c>
      <c r="EG14" s="269">
        <f t="shared" si="125"/>
        <v>0.42030799764784099</v>
      </c>
      <c r="EH14" s="269">
        <f t="shared" si="126"/>
        <v>0.52096883878158118</v>
      </c>
      <c r="EI14" s="716"/>
      <c r="EJ14" s="717">
        <f t="shared" si="36"/>
        <v>473.80833436184912</v>
      </c>
      <c r="EK14" s="717">
        <f t="shared" si="37"/>
        <v>3849.5714713709544</v>
      </c>
      <c r="EL14" s="717">
        <f t="shared" si="38"/>
        <v>543.82703884853072</v>
      </c>
      <c r="EM14" s="717">
        <f t="shared" si="39"/>
        <v>847.82694741796377</v>
      </c>
      <c r="EN14" s="716"/>
      <c r="EO14" s="269">
        <f t="shared" si="69"/>
        <v>2.4792080157636458</v>
      </c>
      <c r="EP14" s="269">
        <f t="shared" si="70"/>
        <v>0.74646399837250832</v>
      </c>
      <c r="EQ14" s="269">
        <f t="shared" si="71"/>
        <v>0.92724554487408972</v>
      </c>
      <c r="ER14" s="269">
        <f t="shared" si="72"/>
        <v>2.4710670363282397</v>
      </c>
      <c r="ES14" s="716"/>
      <c r="ET14" s="718">
        <f t="shared" si="40"/>
        <v>3451.7831746691463</v>
      </c>
      <c r="EU14" s="718">
        <f t="shared" si="41"/>
        <v>3522.6154655926957</v>
      </c>
      <c r="EV14" s="718">
        <f t="shared" si="42"/>
        <v>1199.742098119362</v>
      </c>
      <c r="EW14" s="718">
        <f t="shared" si="43"/>
        <v>4021.4252107191401</v>
      </c>
      <c r="EX14" s="716"/>
      <c r="EY14" s="705">
        <v>41574</v>
      </c>
      <c r="EZ14" s="716"/>
      <c r="FA14" s="766">
        <f t="shared" si="44"/>
        <v>0.93359198423635403</v>
      </c>
      <c r="FB14" s="766">
        <f t="shared" si="45"/>
        <v>0.54089600162749174</v>
      </c>
      <c r="FC14" s="766">
        <f t="shared" si="46"/>
        <v>3.9255544551259103</v>
      </c>
      <c r="FD14" s="766">
        <f t="shared" si="47"/>
        <v>-0.59892787746201748</v>
      </c>
      <c r="FE14" s="760"/>
      <c r="FF14" s="705">
        <v>41574</v>
      </c>
      <c r="FG14" s="760"/>
      <c r="FH14" s="766">
        <v>1299.8332865588197</v>
      </c>
      <c r="FI14" s="766">
        <f t="shared" si="73"/>
        <v>2552.5258080288781</v>
      </c>
      <c r="FJ14" s="766">
        <f t="shared" si="74"/>
        <v>5079.1863755075692</v>
      </c>
      <c r="FK14" s="766">
        <f t="shared" si="75"/>
        <v>-974.69782503639317</v>
      </c>
      <c r="FL14" s="760"/>
      <c r="FM14" s="759">
        <f t="shared" si="95"/>
        <v>1299.8332865588197</v>
      </c>
      <c r="FN14" s="759">
        <f t="shared" si="96"/>
        <v>2552.5258080288781</v>
      </c>
      <c r="FO14" s="759">
        <f t="shared" si="97"/>
        <v>5079.1863755075692</v>
      </c>
      <c r="FP14" s="759">
        <f t="shared" si="49"/>
        <v>-974.69782503639317</v>
      </c>
      <c r="FQ14" s="760"/>
      <c r="FR14" s="759">
        <f t="shared" si="50"/>
        <v>5225.4247955898154</v>
      </c>
      <c r="FS14" s="759">
        <f t="shared" si="51"/>
        <v>9924.7127449925283</v>
      </c>
      <c r="FT14" s="759">
        <f t="shared" si="52"/>
        <v>6822.7555124754617</v>
      </c>
      <c r="FU14" s="759">
        <f t="shared" si="53"/>
        <v>4869.2521581371038</v>
      </c>
      <c r="FV14" s="761"/>
      <c r="FW14" s="754">
        <v>41574</v>
      </c>
      <c r="FX14" s="761"/>
      <c r="FY14" s="759">
        <f t="shared" si="76"/>
        <v>136001.02682872981</v>
      </c>
      <c r="FZ14" s="759">
        <f t="shared" si="77"/>
        <v>207852.4890936492</v>
      </c>
      <c r="GA14" s="759">
        <f t="shared" si="78"/>
        <v>106522.79216358298</v>
      </c>
      <c r="GB14" s="759">
        <f t="shared" si="79"/>
        <v>138827.99579876018</v>
      </c>
      <c r="GC14" s="760"/>
      <c r="GD14" s="759">
        <f t="shared" si="54"/>
        <v>0.35969021357715703</v>
      </c>
      <c r="GE14" s="759">
        <f t="shared" si="54"/>
        <v>0.27249340228662039</v>
      </c>
      <c r="GF14" s="759">
        <f t="shared" si="55"/>
        <v>0.28599339378875632</v>
      </c>
      <c r="GG14" s="759">
        <f t="shared" si="56"/>
        <v>0.36232642881460164</v>
      </c>
      <c r="GH14" s="716"/>
      <c r="GI14" s="756">
        <f t="shared" si="57"/>
        <v>0</v>
      </c>
      <c r="GJ14" s="756">
        <f t="shared" si="58"/>
        <v>0</v>
      </c>
      <c r="GK14" s="756">
        <f t="shared" si="59"/>
        <v>0</v>
      </c>
      <c r="GL14" s="756">
        <f t="shared" si="60"/>
        <v>0</v>
      </c>
      <c r="GM14" s="716"/>
      <c r="GN14" s="722">
        <v>3.7582425201126313E-2</v>
      </c>
      <c r="GO14" s="723">
        <v>2.0705502124203523E-2</v>
      </c>
      <c r="GP14" s="723">
        <v>5.2343963662665693E-2</v>
      </c>
      <c r="GQ14" s="726">
        <v>2.3036271354972992E-2</v>
      </c>
      <c r="GR14" s="463">
        <v>-3.7793239929435174</v>
      </c>
      <c r="GS14" s="463">
        <v>-1.8993239929436356</v>
      </c>
      <c r="GT14" s="463">
        <v>-3.9693239929434299</v>
      </c>
      <c r="GU14" s="463">
        <v>-2.1693239929435393</v>
      </c>
    </row>
    <row r="15" spans="1:207" s="134" customFormat="1">
      <c r="A15" s="705">
        <v>41575</v>
      </c>
      <c r="B15" s="706">
        <v>0</v>
      </c>
      <c r="C15" s="497">
        <f t="shared" si="118"/>
        <v>7</v>
      </c>
      <c r="D15" s="270">
        <v>2.5577823743381316</v>
      </c>
      <c r="E15" s="270">
        <v>0.55405076621011184</v>
      </c>
      <c r="F15" s="270">
        <v>3.4074644537712251</v>
      </c>
      <c r="G15" s="272">
        <v>-0.18437699289918197</v>
      </c>
      <c r="H15" s="728"/>
      <c r="I15" s="705">
        <v>41575</v>
      </c>
      <c r="J15" s="270">
        <f t="shared" si="105"/>
        <v>2.5577823743381316</v>
      </c>
      <c r="K15" s="270">
        <f t="shared" si="106"/>
        <v>0.55405076621011184</v>
      </c>
      <c r="L15" s="270">
        <f t="shared" si="107"/>
        <v>3.4074644537712251</v>
      </c>
      <c r="M15" s="270">
        <f t="shared" si="108"/>
        <v>-0.18437699289918197</v>
      </c>
      <c r="N15" s="728"/>
      <c r="O15" s="705">
        <v>41575</v>
      </c>
      <c r="P15" s="270">
        <f t="shared" si="109"/>
        <v>2.5577823743381316</v>
      </c>
      <c r="Q15" s="270">
        <f t="shared" si="110"/>
        <v>0.55405076621011184</v>
      </c>
      <c r="R15" s="270">
        <f t="shared" si="111"/>
        <v>3.4074644537712251</v>
      </c>
      <c r="S15" s="270">
        <f t="shared" si="112"/>
        <v>-0.18437699289918197</v>
      </c>
      <c r="T15" s="705">
        <v>41575</v>
      </c>
      <c r="U15" s="291">
        <v>2.5577823743381316</v>
      </c>
      <c r="V15" s="291">
        <v>0.55405076621011184</v>
      </c>
      <c r="W15" s="291">
        <v>3.4074644537712251</v>
      </c>
      <c r="X15" s="291">
        <v>-0.18437699289918197</v>
      </c>
      <c r="Y15" s="728"/>
      <c r="Z15" s="705">
        <v>41575</v>
      </c>
      <c r="AA15" s="707">
        <v>41575</v>
      </c>
      <c r="AB15" s="497">
        <f t="shared" si="119"/>
        <v>7</v>
      </c>
      <c r="AC15" s="266">
        <v>2.8401098576753268</v>
      </c>
      <c r="AD15" s="291">
        <v>2.5577823743381316</v>
      </c>
      <c r="AE15" s="291">
        <f t="shared" si="82"/>
        <v>3510.4661995176111</v>
      </c>
      <c r="AF15" s="161">
        <v>3.292209857675326</v>
      </c>
      <c r="AG15" s="291">
        <v>0.55405076621011184</v>
      </c>
      <c r="AH15" s="291">
        <f t="shared" si="83"/>
        <v>2571.8619555014516</v>
      </c>
      <c r="AI15" s="161">
        <v>3.7360098576753265</v>
      </c>
      <c r="AJ15" s="291">
        <v>3.4074644537712251</v>
      </c>
      <c r="AK15" s="291">
        <f t="shared" si="84"/>
        <v>4327.2775504922738</v>
      </c>
      <c r="AL15" s="161">
        <v>3.0740098576753261</v>
      </c>
      <c r="AM15" s="291">
        <v>-0.18437699289918197</v>
      </c>
      <c r="AN15" s="291">
        <f t="shared" si="85"/>
        <v>-293.41236952448713</v>
      </c>
      <c r="AO15" s="705">
        <v>41575</v>
      </c>
      <c r="AP15" s="463">
        <v>13.724647705518739</v>
      </c>
      <c r="AQ15" s="463">
        <v>46.419247338900497</v>
      </c>
      <c r="AR15" s="463">
        <v>12.699406286404667</v>
      </c>
      <c r="AS15" s="463">
        <v>15.91371921793551</v>
      </c>
      <c r="AT15" s="463">
        <f t="shared" si="86"/>
        <v>0.49016598948281215</v>
      </c>
      <c r="AU15" s="463">
        <f t="shared" si="87"/>
        <v>0.78676690404916094</v>
      </c>
      <c r="AV15" s="463">
        <f t="shared" si="88"/>
        <v>0.63497031432023332</v>
      </c>
      <c r="AW15" s="463">
        <f t="shared" si="89"/>
        <v>0.83756416936502687</v>
      </c>
      <c r="AY15" s="266">
        <v>2.8401098576753268</v>
      </c>
      <c r="AZ15" s="161">
        <v>3.292209857675326</v>
      </c>
      <c r="BA15" s="161">
        <v>3.7360098576753265</v>
      </c>
      <c r="BB15" s="161">
        <v>3.0740098576753261</v>
      </c>
      <c r="BE15" s="134">
        <v>-2.4678176256618684E-2</v>
      </c>
      <c r="BF15" s="134">
        <v>-7.3906923378988815E-3</v>
      </c>
      <c r="BG15" s="134">
        <v>-9.2693554622877497E-3</v>
      </c>
      <c r="BH15" s="134">
        <v>-2.4739769928991819E-2</v>
      </c>
      <c r="BJ15" s="508">
        <v>-9.3384028927151821</v>
      </c>
      <c r="BK15" s="508">
        <v>7.0325509534382746</v>
      </c>
      <c r="BL15" s="508">
        <v>3.8889817226686541</v>
      </c>
      <c r="BM15" s="508">
        <v>3.5754432611312668</v>
      </c>
      <c r="BO15" s="705">
        <v>41575</v>
      </c>
      <c r="BP15" s="324">
        <v>0</v>
      </c>
      <c r="BQ15" s="1">
        <v>5035950</v>
      </c>
      <c r="BR15" s="1">
        <v>11127132</v>
      </c>
      <c r="BS15" s="1">
        <v>6310099.7999999998</v>
      </c>
      <c r="BT15" s="1">
        <v>5970600</v>
      </c>
      <c r="BU15" s="708">
        <v>153402.67665978591</v>
      </c>
      <c r="BV15" s="708">
        <v>509866.00211189309</v>
      </c>
      <c r="BW15" s="708">
        <v>144414.10030668529</v>
      </c>
      <c r="BX15" s="708">
        <v>214415.58927759767</v>
      </c>
      <c r="BY15" s="709">
        <f t="shared" si="18"/>
        <v>0</v>
      </c>
      <c r="BZ15" s="709">
        <f t="shared" si="19"/>
        <v>0</v>
      </c>
      <c r="CA15" s="709">
        <f t="shared" si="20"/>
        <v>0</v>
      </c>
      <c r="CB15" s="709">
        <f t="shared" si="21"/>
        <v>0</v>
      </c>
      <c r="CC15" s="475">
        <f t="shared" si="22"/>
        <v>0</v>
      </c>
      <c r="CD15" s="475">
        <f t="shared" si="23"/>
        <v>0</v>
      </c>
      <c r="CE15" s="475">
        <f t="shared" si="24"/>
        <v>0</v>
      </c>
      <c r="CF15" s="475">
        <f t="shared" si="25"/>
        <v>0</v>
      </c>
      <c r="CG15" s="302">
        <f t="shared" si="90"/>
        <v>0</v>
      </c>
      <c r="CH15" s="302">
        <f t="shared" si="91"/>
        <v>0</v>
      </c>
      <c r="CI15" s="302">
        <f t="shared" si="92"/>
        <v>0</v>
      </c>
      <c r="CJ15" s="302">
        <f t="shared" si="93"/>
        <v>0</v>
      </c>
      <c r="CK15" s="302">
        <f t="shared" si="94"/>
        <v>0</v>
      </c>
      <c r="CL15" s="302">
        <f t="shared" si="94"/>
        <v>0</v>
      </c>
      <c r="CM15" s="302">
        <f t="shared" si="94"/>
        <v>0</v>
      </c>
      <c r="CN15" s="302">
        <f t="shared" si="94"/>
        <v>0</v>
      </c>
      <c r="CO15" s="710">
        <f t="shared" si="113"/>
        <v>0</v>
      </c>
      <c r="CP15" s="710">
        <f t="shared" si="114"/>
        <v>0</v>
      </c>
      <c r="CQ15" s="710">
        <f t="shared" si="115"/>
        <v>0</v>
      </c>
      <c r="CR15" s="710">
        <f t="shared" si="116"/>
        <v>0</v>
      </c>
      <c r="CS15" s="705">
        <v>41575</v>
      </c>
      <c r="CT15" s="711">
        <v>0.86</v>
      </c>
      <c r="CU15" s="712">
        <v>0.35</v>
      </c>
      <c r="CV15" s="713">
        <v>0.97399999999999998</v>
      </c>
      <c r="CW15" s="714">
        <v>0.56299999999999994</v>
      </c>
      <c r="CY15" s="725">
        <v>4.091759710728482E-2</v>
      </c>
      <c r="CZ15" s="725">
        <v>1.9963750953438275E-2</v>
      </c>
      <c r="DA15" s="725">
        <v>4.7232981722668654E-2</v>
      </c>
      <c r="DB15" s="727">
        <v>2.6471443261131267E-2</v>
      </c>
      <c r="DC15" s="463">
        <f t="shared" si="12"/>
        <v>-4.1147438477175058</v>
      </c>
      <c r="DD15" s="463">
        <f t="shared" si="13"/>
        <v>-1.9447438477174117</v>
      </c>
      <c r="DE15" s="463">
        <f t="shared" si="14"/>
        <v>-4.6947438477175751</v>
      </c>
      <c r="DF15" s="463">
        <f t="shared" si="15"/>
        <v>-2.5647438477175655</v>
      </c>
      <c r="DG15" s="483">
        <f t="shared" si="30"/>
        <v>4.1147438477175058</v>
      </c>
      <c r="DH15" s="483">
        <f t="shared" si="31"/>
        <v>1.9447438477174117</v>
      </c>
      <c r="DI15" s="483">
        <f t="shared" si="32"/>
        <v>4.6947438477175751</v>
      </c>
      <c r="DJ15" s="483">
        <f t="shared" si="33"/>
        <v>2.5647438477175655</v>
      </c>
      <c r="DK15" s="483">
        <f t="shared" si="121"/>
        <v>0.1982791030489075</v>
      </c>
      <c r="DL15" s="483">
        <f t="shared" si="122"/>
        <v>0.77144736671078107</v>
      </c>
      <c r="DM15" s="483">
        <f t="shared" si="123"/>
        <v>0.2393681811747328</v>
      </c>
      <c r="DN15" s="483">
        <f t="shared" si="124"/>
        <v>0.36032414713069549</v>
      </c>
      <c r="DO15" s="483">
        <f t="shared" si="100"/>
        <v>20.396692985035937</v>
      </c>
      <c r="DP15" s="483">
        <f t="shared" si="101"/>
        <v>37.506688006214738</v>
      </c>
      <c r="DQ15" s="483">
        <f t="shared" si="102"/>
        <v>28.09430739773557</v>
      </c>
      <c r="DR15" s="483">
        <f t="shared" si="103"/>
        <v>23.103478488438256</v>
      </c>
      <c r="DS15" s="324">
        <v>5.0255999999999998</v>
      </c>
      <c r="DT15" s="324">
        <v>1.29312</v>
      </c>
      <c r="DU15" s="324">
        <v>4.3344000000000005</v>
      </c>
      <c r="DV15" s="324">
        <v>2.2896000000000001</v>
      </c>
      <c r="DW15" s="716"/>
      <c r="DX15" s="705">
        <v>41575</v>
      </c>
      <c r="DY15" s="716"/>
      <c r="DZ15" s="269"/>
      <c r="EA15" s="269">
        <f>-DD15-DT15</f>
        <v>0.65162384771741166</v>
      </c>
      <c r="EB15" s="269">
        <f>-DE15-DU15</f>
        <v>0.36034384771757466</v>
      </c>
      <c r="EC15" s="716">
        <f>-DF15-DV15</f>
        <v>0.27514384771756539</v>
      </c>
      <c r="ED15" s="716"/>
      <c r="EE15" s="269">
        <f>AVERAGE(EE14,EE16)</f>
        <v>0.38962614640205739</v>
      </c>
      <c r="EF15" s="269">
        <f t="shared" si="128"/>
        <v>0.65162384771741166</v>
      </c>
      <c r="EG15" s="269">
        <f t="shared" si="125"/>
        <v>0.36034384771757466</v>
      </c>
      <c r="EH15" s="269">
        <f t="shared" ref="EH15:EH17" si="129">EC15</f>
        <v>0.27514384771756539</v>
      </c>
      <c r="EI15" s="716"/>
      <c r="EJ15" s="717">
        <f t="shared" si="36"/>
        <v>534.74815962271055</v>
      </c>
      <c r="EK15" s="717">
        <f t="shared" si="37"/>
        <v>3024.7888559120565</v>
      </c>
      <c r="EL15" s="717">
        <f t="shared" si="38"/>
        <v>457.61529249718137</v>
      </c>
      <c r="EM15" s="717">
        <f t="shared" si="39"/>
        <v>437.85619371197419</v>
      </c>
      <c r="EN15" s="716"/>
      <c r="EO15" s="269">
        <f t="shared" si="69"/>
        <v>2.4678176256618682</v>
      </c>
      <c r="EP15" s="269">
        <f t="shared" si="70"/>
        <v>0.7390692337898882</v>
      </c>
      <c r="EQ15" s="269">
        <f t="shared" si="71"/>
        <v>0.92693554622877494</v>
      </c>
      <c r="ER15" s="269">
        <f t="shared" si="72"/>
        <v>2.4739769928991819</v>
      </c>
      <c r="ES15" s="716"/>
      <c r="ET15" s="718">
        <f t="shared" si="40"/>
        <v>3386.9927513678858</v>
      </c>
      <c r="EU15" s="718">
        <f t="shared" si="41"/>
        <v>3430.7037563864501</v>
      </c>
      <c r="EV15" s="718">
        <f t="shared" si="42"/>
        <v>1177.1531102869649</v>
      </c>
      <c r="EW15" s="718">
        <f t="shared" si="43"/>
        <v>3937.0175216630014</v>
      </c>
      <c r="EX15" s="716"/>
      <c r="EY15" s="705">
        <v>41575</v>
      </c>
      <c r="EZ15" s="716"/>
      <c r="FA15" s="766">
        <f t="shared" si="44"/>
        <v>1.2573000756535802</v>
      </c>
      <c r="FB15" s="766">
        <f t="shared" si="45"/>
        <v>0.55405076621011196</v>
      </c>
      <c r="FC15" s="766">
        <f t="shared" si="46"/>
        <v>3.4074644537712255</v>
      </c>
      <c r="FD15" s="766">
        <f t="shared" si="47"/>
        <v>-0.18437699289918186</v>
      </c>
      <c r="FE15" s="760"/>
      <c r="FF15" s="705">
        <v>41575</v>
      </c>
      <c r="FG15" s="760"/>
      <c r="FH15" s="766">
        <v>1725.6000598467447</v>
      </c>
      <c r="FI15" s="766">
        <f t="shared" si="73"/>
        <v>2571.861955501452</v>
      </c>
      <c r="FJ15" s="766">
        <f t="shared" si="74"/>
        <v>4327.2775504922747</v>
      </c>
      <c r="FK15" s="766">
        <f t="shared" si="75"/>
        <v>-293.41236952448696</v>
      </c>
      <c r="FL15" s="760"/>
      <c r="FM15" s="759">
        <f t="shared" si="95"/>
        <v>1725.6000598467447</v>
      </c>
      <c r="FN15" s="759">
        <f t="shared" si="96"/>
        <v>2571.861955501452</v>
      </c>
      <c r="FO15" s="759">
        <f t="shared" si="97"/>
        <v>4327.2775504922747</v>
      </c>
      <c r="FP15" s="759">
        <f t="shared" si="49"/>
        <v>-293.41236952448696</v>
      </c>
      <c r="FQ15" s="760"/>
      <c r="FR15" s="759">
        <f t="shared" si="50"/>
        <v>5647.340970837341</v>
      </c>
      <c r="FS15" s="759">
        <f t="shared" si="51"/>
        <v>9027.3545677999591</v>
      </c>
      <c r="FT15" s="759">
        <f t="shared" si="52"/>
        <v>5962.0459532764207</v>
      </c>
      <c r="FU15" s="759">
        <f t="shared" si="53"/>
        <v>4374.8737153749753</v>
      </c>
      <c r="FV15" s="761"/>
      <c r="FW15" s="754">
        <v>41575</v>
      </c>
      <c r="FX15" s="761"/>
      <c r="FY15" s="759">
        <f t="shared" si="76"/>
        <v>141648.36779956715</v>
      </c>
      <c r="FZ15" s="759">
        <f t="shared" si="77"/>
        <v>216879.84366144915</v>
      </c>
      <c r="GA15" s="759">
        <f t="shared" si="78"/>
        <v>112484.83811685941</v>
      </c>
      <c r="GB15" s="759">
        <f t="shared" si="79"/>
        <v>143202.86951413515</v>
      </c>
      <c r="GC15" s="760"/>
      <c r="GD15" s="759">
        <f t="shared" si="54"/>
        <v>0.37462608080778886</v>
      </c>
      <c r="GE15" s="759">
        <f t="shared" si="54"/>
        <v>0.28432821153309112</v>
      </c>
      <c r="GF15" s="759">
        <f t="shared" si="55"/>
        <v>0.30200035081147109</v>
      </c>
      <c r="GG15" s="759">
        <f t="shared" si="56"/>
        <v>0.37374438785583441</v>
      </c>
      <c r="GH15" s="716"/>
      <c r="GI15" s="756">
        <f t="shared" si="57"/>
        <v>0</v>
      </c>
      <c r="GJ15" s="756">
        <f t="shared" si="58"/>
        <v>0</v>
      </c>
      <c r="GK15" s="756">
        <f t="shared" si="59"/>
        <v>0</v>
      </c>
      <c r="GL15" s="756">
        <f t="shared" si="60"/>
        <v>0</v>
      </c>
      <c r="GM15" s="716"/>
      <c r="GN15" s="722">
        <v>4.091759710728482E-2</v>
      </c>
      <c r="GO15" s="723">
        <v>1.9963750953438275E-2</v>
      </c>
      <c r="GP15" s="723">
        <v>4.7232981722668654E-2</v>
      </c>
      <c r="GQ15" s="726">
        <v>2.6471443261131267E-2</v>
      </c>
      <c r="GR15" s="463">
        <v>-3.7531079976476533</v>
      </c>
      <c r="GS15" s="463">
        <v>-2.1031079976477685</v>
      </c>
      <c r="GT15" s="463">
        <v>-5.2731079976478412</v>
      </c>
      <c r="GU15" s="463">
        <v>-2.3931079976478031</v>
      </c>
    </row>
    <row r="16" spans="1:207" s="134" customFormat="1">
      <c r="A16" s="705">
        <v>41576</v>
      </c>
      <c r="B16" s="706">
        <v>0</v>
      </c>
      <c r="C16" s="497">
        <f t="shared" si="118"/>
        <v>8</v>
      </c>
      <c r="D16" s="270">
        <v>0.92911168399625976</v>
      </c>
      <c r="E16" s="270">
        <v>0.88096372110154575</v>
      </c>
      <c r="F16" s="270">
        <v>3.1631793989667374</v>
      </c>
      <c r="G16" s="272">
        <v>-0.47444989878023047</v>
      </c>
      <c r="H16" s="728"/>
      <c r="I16" s="705">
        <v>41576</v>
      </c>
      <c r="J16" s="270">
        <f t="shared" si="105"/>
        <v>0.92911168399625976</v>
      </c>
      <c r="K16" s="270">
        <f t="shared" si="106"/>
        <v>0.88096372110154575</v>
      </c>
      <c r="L16" s="270">
        <f t="shared" si="107"/>
        <v>3.1631793989667374</v>
      </c>
      <c r="M16" s="270">
        <f t="shared" si="108"/>
        <v>-0.47444989878023047</v>
      </c>
      <c r="N16" s="728"/>
      <c r="O16" s="705">
        <v>41576</v>
      </c>
      <c r="P16" s="270">
        <f t="shared" si="109"/>
        <v>0.92911168399625976</v>
      </c>
      <c r="Q16" s="270">
        <f t="shared" si="110"/>
        <v>0.88096372110154575</v>
      </c>
      <c r="R16" s="270">
        <f t="shared" si="111"/>
        <v>3.1631793989667374</v>
      </c>
      <c r="S16" s="270">
        <f t="shared" si="112"/>
        <v>-0.47444989878023047</v>
      </c>
      <c r="T16" s="705">
        <v>41576</v>
      </c>
      <c r="U16" s="291">
        <v>0.92911168399625976</v>
      </c>
      <c r="V16" s="291">
        <v>0.88096372110154575</v>
      </c>
      <c r="W16" s="291">
        <v>3.1631793989667374</v>
      </c>
      <c r="X16" s="291">
        <v>-0.47444989878023047</v>
      </c>
      <c r="Y16" s="728"/>
      <c r="Z16" s="705">
        <v>41576</v>
      </c>
      <c r="AA16" s="707">
        <v>41576</v>
      </c>
      <c r="AB16" s="497">
        <f t="shared" si="119"/>
        <v>8</v>
      </c>
      <c r="AC16" s="266">
        <v>2.7989624191981517</v>
      </c>
      <c r="AD16" s="291">
        <v>0.92911168399625976</v>
      </c>
      <c r="AE16" s="291">
        <f t="shared" si="82"/>
        <v>1256.9022616710809</v>
      </c>
      <c r="AF16" s="161">
        <v>3.2727624191981519</v>
      </c>
      <c r="AG16" s="291">
        <v>0.88096372110154575</v>
      </c>
      <c r="AH16" s="291">
        <f t="shared" si="83"/>
        <v>4014.9651203682643</v>
      </c>
      <c r="AI16" s="161">
        <v>3.6890624191981507</v>
      </c>
      <c r="AJ16" s="291">
        <v>3.1631793989667374</v>
      </c>
      <c r="AK16" s="291">
        <f t="shared" si="84"/>
        <v>3917.4309264631083</v>
      </c>
      <c r="AL16" s="161">
        <v>3.0483624191981504</v>
      </c>
      <c r="AM16" s="291">
        <v>-0.47444989878023047</v>
      </c>
      <c r="AN16" s="291">
        <f t="shared" si="85"/>
        <v>-736.4713838488276</v>
      </c>
      <c r="AO16" s="705">
        <v>41576</v>
      </c>
      <c r="AP16" s="463">
        <v>13.527999736963169</v>
      </c>
      <c r="AQ16" s="463">
        <v>45.574693079846732</v>
      </c>
      <c r="AR16" s="463">
        <v>12.384472811572905</v>
      </c>
      <c r="AS16" s="463">
        <v>15.52263760077158</v>
      </c>
      <c r="AT16" s="463">
        <f t="shared" si="86"/>
        <v>0.4831428477486846</v>
      </c>
      <c r="AU16" s="463">
        <f t="shared" si="87"/>
        <v>0.77245242508214795</v>
      </c>
      <c r="AV16" s="463">
        <f t="shared" si="88"/>
        <v>0.61922364057864532</v>
      </c>
      <c r="AW16" s="463">
        <f t="shared" si="89"/>
        <v>0.81698092635639896</v>
      </c>
      <c r="AY16" s="266">
        <v>2.7989624191981517</v>
      </c>
      <c r="AZ16" s="161">
        <v>3.2727624191981519</v>
      </c>
      <c r="BA16" s="161">
        <v>3.6890624191981507</v>
      </c>
      <c r="BB16" s="161">
        <v>3.0483624191981504</v>
      </c>
      <c r="BE16" s="134">
        <v>-2.4548883160037397E-2</v>
      </c>
      <c r="BF16" s="134">
        <v>-7.3183627889845419E-3</v>
      </c>
      <c r="BG16" s="134">
        <v>-9.2642060103326294E-3</v>
      </c>
      <c r="BH16" s="134">
        <v>-2.4760498987802308E-2</v>
      </c>
      <c r="BJ16" s="508">
        <v>4.5569747274814967</v>
      </c>
      <c r="BK16" s="508">
        <v>3.2074362659432509</v>
      </c>
      <c r="BL16" s="508">
        <v>-13.452871426364378</v>
      </c>
      <c r="BM16" s="508">
        <v>-1.7113329648274744</v>
      </c>
      <c r="BO16" s="705">
        <v>41576</v>
      </c>
      <c r="BP16" s="324">
        <v>0</v>
      </c>
      <c r="BQ16" s="1">
        <v>5035950</v>
      </c>
      <c r="BR16" s="1">
        <v>11127132</v>
      </c>
      <c r="BS16" s="1">
        <v>6310099.7999999998</v>
      </c>
      <c r="BT16" s="1">
        <v>5970600</v>
      </c>
      <c r="BU16" s="708">
        <v>153402.67665978591</v>
      </c>
      <c r="BV16" s="708">
        <v>509866.00211189309</v>
      </c>
      <c r="BW16" s="708">
        <v>144414.10030668529</v>
      </c>
      <c r="BX16" s="708">
        <v>214415.58927759767</v>
      </c>
      <c r="BY16" s="709">
        <f t="shared" si="18"/>
        <v>0</v>
      </c>
      <c r="BZ16" s="709">
        <f t="shared" si="19"/>
        <v>0</v>
      </c>
      <c r="CA16" s="709">
        <f t="shared" si="20"/>
        <v>0</v>
      </c>
      <c r="CB16" s="709">
        <f t="shared" si="21"/>
        <v>0</v>
      </c>
      <c r="CC16" s="475">
        <f t="shared" si="22"/>
        <v>0</v>
      </c>
      <c r="CD16" s="475">
        <f t="shared" si="23"/>
        <v>0</v>
      </c>
      <c r="CE16" s="475">
        <f t="shared" si="24"/>
        <v>0</v>
      </c>
      <c r="CF16" s="475">
        <f t="shared" si="25"/>
        <v>0</v>
      </c>
      <c r="CG16" s="302">
        <f t="shared" si="90"/>
        <v>0</v>
      </c>
      <c r="CH16" s="302">
        <f t="shared" si="91"/>
        <v>0</v>
      </c>
      <c r="CI16" s="302">
        <f t="shared" si="92"/>
        <v>0</v>
      </c>
      <c r="CJ16" s="302">
        <f t="shared" si="93"/>
        <v>0</v>
      </c>
      <c r="CK16" s="302">
        <f t="shared" si="94"/>
        <v>0</v>
      </c>
      <c r="CL16" s="302">
        <f t="shared" si="94"/>
        <v>0</v>
      </c>
      <c r="CM16" s="302">
        <f t="shared" si="94"/>
        <v>0</v>
      </c>
      <c r="CN16" s="302">
        <f t="shared" si="94"/>
        <v>0</v>
      </c>
      <c r="CO16" s="710">
        <f t="shared" si="113"/>
        <v>0</v>
      </c>
      <c r="CP16" s="710">
        <f t="shared" si="114"/>
        <v>0</v>
      </c>
      <c r="CQ16" s="710">
        <f t="shared" si="115"/>
        <v>0</v>
      </c>
      <c r="CR16" s="710">
        <f t="shared" si="116"/>
        <v>0</v>
      </c>
      <c r="CS16" s="705">
        <v>41576</v>
      </c>
      <c r="CT16" s="711">
        <v>0.83799999999999997</v>
      </c>
      <c r="CU16" s="712">
        <v>0.47299999999999998</v>
      </c>
      <c r="CV16" s="713">
        <v>0.97199999999999998</v>
      </c>
      <c r="CW16" s="714">
        <v>0.56899999999999995</v>
      </c>
      <c r="CY16" s="725">
        <v>3.8396974727481492E-2</v>
      </c>
      <c r="CZ16" s="725">
        <v>1.9335436265943251E-2</v>
      </c>
      <c r="DA16" s="725">
        <v>2.7443128573635622E-2</v>
      </c>
      <c r="DB16" s="727">
        <v>1.8304667035172528E-2</v>
      </c>
      <c r="DC16" s="463">
        <f t="shared" si="12"/>
        <v>-3.8229442951564607</v>
      </c>
      <c r="DD16" s="463">
        <f t="shared" si="13"/>
        <v>-1.9329442951564246</v>
      </c>
      <c r="DE16" s="463">
        <f t="shared" si="14"/>
        <v>-2.7629442951562666</v>
      </c>
      <c r="DF16" s="463">
        <f t="shared" si="15"/>
        <v>-1.792944295156218</v>
      </c>
      <c r="DG16" s="483">
        <f t="shared" si="30"/>
        <v>3.8229442951564607</v>
      </c>
      <c r="DH16" s="483">
        <f t="shared" si="31"/>
        <v>1.9329442951564246</v>
      </c>
      <c r="DI16" s="483">
        <f t="shared" si="32"/>
        <v>2.7629442951562666</v>
      </c>
      <c r="DJ16" s="483">
        <f t="shared" si="33"/>
        <v>1.792944295156218</v>
      </c>
      <c r="DK16" s="483">
        <f t="shared" si="121"/>
        <v>0.19664796855557043</v>
      </c>
      <c r="DL16" s="483">
        <f t="shared" si="122"/>
        <v>0.84455425905376558</v>
      </c>
      <c r="DM16" s="483">
        <f t="shared" si="123"/>
        <v>0.31493347483176137</v>
      </c>
      <c r="DN16" s="483">
        <f t="shared" si="124"/>
        <v>0.39108161716393042</v>
      </c>
      <c r="DO16" s="483">
        <f t="shared" si="100"/>
        <v>18.794355738590625</v>
      </c>
      <c r="DP16" s="483">
        <f t="shared" si="101"/>
        <v>40.811908424700938</v>
      </c>
      <c r="DQ16" s="483">
        <f t="shared" si="102"/>
        <v>21.753591191003871</v>
      </c>
      <c r="DR16" s="483">
        <f t="shared" si="103"/>
        <v>17.529688860863427</v>
      </c>
      <c r="DS16" s="324">
        <v>3.3839999999999995</v>
      </c>
      <c r="DT16" s="324">
        <v>1.6128</v>
      </c>
      <c r="DU16" s="324">
        <v>4.0895999999999999</v>
      </c>
      <c r="DV16" s="324">
        <v>2.0016000000000003</v>
      </c>
      <c r="DW16" s="716"/>
      <c r="DX16" s="705">
        <v>41576</v>
      </c>
      <c r="DY16" s="716"/>
      <c r="DZ16" s="269">
        <f>-DC16-DS16</f>
        <v>0.43894429515646127</v>
      </c>
      <c r="EA16" s="269">
        <f>-DD16-DT16</f>
        <v>0.32014429515642462</v>
      </c>
      <c r="EB16" s="269"/>
      <c r="EC16" s="716"/>
      <c r="ED16" s="716"/>
      <c r="EE16" s="269">
        <f t="shared" si="127"/>
        <v>0.43894429515646127</v>
      </c>
      <c r="EF16" s="269">
        <f t="shared" si="128"/>
        <v>0.32014429515642462</v>
      </c>
      <c r="EG16" s="269">
        <f>AVERAGE(EG15,EG17)</f>
        <v>0.74748684555693989</v>
      </c>
      <c r="EH16" s="269">
        <f>AVERAGE(EH15,EH17)</f>
        <v>0.51748684555700319</v>
      </c>
      <c r="EI16" s="716"/>
      <c r="EJ16" s="717">
        <f t="shared" si="36"/>
        <v>593.80383094180922</v>
      </c>
      <c r="EK16" s="717">
        <f t="shared" si="37"/>
        <v>1459.0477993017914</v>
      </c>
      <c r="EL16" s="717">
        <f t="shared" si="38"/>
        <v>925.72305158083179</v>
      </c>
      <c r="EM16" s="717">
        <f t="shared" si="39"/>
        <v>803.27607667478139</v>
      </c>
      <c r="EN16" s="716"/>
      <c r="EO16" s="269">
        <f t="shared" si="69"/>
        <v>2.4548883160037396</v>
      </c>
      <c r="EP16" s="269">
        <f t="shared" si="70"/>
        <v>0.73183627889845415</v>
      </c>
      <c r="EQ16" s="269">
        <f t="shared" si="71"/>
        <v>0.92642060103326296</v>
      </c>
      <c r="ER16" s="269">
        <f t="shared" si="72"/>
        <v>2.4760498987802309</v>
      </c>
      <c r="ES16" s="716"/>
      <c r="ET16" s="718">
        <f t="shared" si="40"/>
        <v>3320.9728493172547</v>
      </c>
      <c r="EU16" s="718">
        <f t="shared" si="41"/>
        <v>3335.3213795494162</v>
      </c>
      <c r="EV16" s="718">
        <f t="shared" si="42"/>
        <v>1147.3230745577475</v>
      </c>
      <c r="EW16" s="718">
        <f t="shared" si="43"/>
        <v>3843.4825260192674</v>
      </c>
      <c r="EX16" s="716"/>
      <c r="EY16" s="705">
        <v>41576</v>
      </c>
      <c r="EZ16" s="716"/>
      <c r="FA16" s="766">
        <f t="shared" si="44"/>
        <v>0.92911168399625987</v>
      </c>
      <c r="FB16" s="766">
        <f t="shared" si="45"/>
        <v>0.88096372110154597</v>
      </c>
      <c r="FC16" s="766">
        <f t="shared" si="46"/>
        <v>1.0890368485660638</v>
      </c>
      <c r="FD16" s="766">
        <f t="shared" si="47"/>
        <v>-1.2005924491810163</v>
      </c>
      <c r="FE16" s="760"/>
      <c r="FF16" s="705">
        <v>41576</v>
      </c>
      <c r="FG16" s="760"/>
      <c r="FH16" s="766">
        <v>1256.9022616710809</v>
      </c>
      <c r="FI16" s="766">
        <f t="shared" si="73"/>
        <v>4014.9651203682652</v>
      </c>
      <c r="FJ16" s="766">
        <f t="shared" si="74"/>
        <v>1348.7147241867456</v>
      </c>
      <c r="FK16" s="766">
        <f t="shared" si="75"/>
        <v>-1863.6361494859684</v>
      </c>
      <c r="FL16" s="760"/>
      <c r="FM16" s="759">
        <f t="shared" si="95"/>
        <v>1256.9022616710809</v>
      </c>
      <c r="FN16" s="759">
        <f t="shared" si="96"/>
        <v>4014.9651203682652</v>
      </c>
      <c r="FO16" s="759">
        <f t="shared" si="97"/>
        <v>1348.7147241867456</v>
      </c>
      <c r="FP16" s="759">
        <f t="shared" si="49"/>
        <v>-1863.6361494859684</v>
      </c>
      <c r="FQ16" s="760"/>
      <c r="FR16" s="759">
        <f t="shared" si="50"/>
        <v>5171.6789419301449</v>
      </c>
      <c r="FS16" s="759">
        <f t="shared" si="51"/>
        <v>8809.3342992194739</v>
      </c>
      <c r="FT16" s="759">
        <f t="shared" si="52"/>
        <v>3421.760850325325</v>
      </c>
      <c r="FU16" s="759">
        <f t="shared" si="53"/>
        <v>4646.7586026940489</v>
      </c>
      <c r="FV16" s="761"/>
      <c r="FW16" s="754">
        <v>41576</v>
      </c>
      <c r="FX16" s="761"/>
      <c r="FY16" s="759">
        <f t="shared" si="76"/>
        <v>146820.0467414973</v>
      </c>
      <c r="FZ16" s="759">
        <f t="shared" si="77"/>
        <v>225689.17796066863</v>
      </c>
      <c r="GA16" s="759">
        <f t="shared" si="78"/>
        <v>115906.59896718473</v>
      </c>
      <c r="GB16" s="759">
        <f t="shared" si="79"/>
        <v>147849.6281168292</v>
      </c>
      <c r="GC16" s="760"/>
      <c r="GD16" s="759">
        <f t="shared" si="54"/>
        <v>0.38830393564867882</v>
      </c>
      <c r="GE16" s="759">
        <f t="shared" si="54"/>
        <v>0.29587719747760383</v>
      </c>
      <c r="GF16" s="759">
        <f t="shared" si="55"/>
        <v>0.31118712650934466</v>
      </c>
      <c r="GG16" s="759">
        <f t="shared" si="56"/>
        <v>0.38587193778112622</v>
      </c>
      <c r="GH16" s="716"/>
      <c r="GI16" s="756">
        <f t="shared" si="57"/>
        <v>0</v>
      </c>
      <c r="GJ16" s="756">
        <f t="shared" si="58"/>
        <v>0</v>
      </c>
      <c r="GK16" s="756">
        <f t="shared" si="59"/>
        <v>0</v>
      </c>
      <c r="GL16" s="756">
        <f t="shared" si="60"/>
        <v>0</v>
      </c>
      <c r="GM16" s="716"/>
      <c r="GN16" s="722">
        <v>3.8396974727481492E-2</v>
      </c>
      <c r="GO16" s="723">
        <v>1.9335436265943251E-2</v>
      </c>
      <c r="GP16" s="723">
        <v>2.7443128573635622E-2</v>
      </c>
      <c r="GQ16" s="726">
        <v>1.8304667035172528E-2</v>
      </c>
      <c r="GR16" s="463">
        <v>-4.1147438477175058</v>
      </c>
      <c r="GS16" s="463">
        <v>-1.9447438477174117</v>
      </c>
      <c r="GT16" s="463">
        <v>-4.6947438477175751</v>
      </c>
      <c r="GU16" s="463">
        <v>-2.5647438477175655</v>
      </c>
    </row>
    <row r="17" spans="1:203" s="134" customFormat="1">
      <c r="A17" s="705">
        <v>41577</v>
      </c>
      <c r="B17" s="706">
        <v>0</v>
      </c>
      <c r="C17" s="497">
        <f t="shared" si="118"/>
        <v>9</v>
      </c>
      <c r="D17" s="273">
        <v>0.10635699537308238</v>
      </c>
      <c r="E17" s="273">
        <v>0.58902411285490686</v>
      </c>
      <c r="F17" s="273">
        <v>2.4579943980309591</v>
      </c>
      <c r="G17" s="274">
        <v>-1.3680144254648863</v>
      </c>
      <c r="H17" s="729"/>
      <c r="I17" s="705">
        <v>41577</v>
      </c>
      <c r="J17" s="270">
        <f t="shared" si="105"/>
        <v>0.10635699537308238</v>
      </c>
      <c r="K17" s="270">
        <f t="shared" si="106"/>
        <v>0.58902411285490686</v>
      </c>
      <c r="L17" s="270">
        <f t="shared" si="107"/>
        <v>2.4579943980309591</v>
      </c>
      <c r="M17" s="270">
        <f t="shared" si="108"/>
        <v>-1.3680144254648863</v>
      </c>
      <c r="N17" s="729"/>
      <c r="O17" s="705">
        <v>41577</v>
      </c>
      <c r="P17" s="270">
        <f t="shared" si="109"/>
        <v>0.10635699537308238</v>
      </c>
      <c r="Q17" s="270">
        <f t="shared" si="110"/>
        <v>0.58902411285490686</v>
      </c>
      <c r="R17" s="270">
        <f t="shared" si="111"/>
        <v>2.4579943980309591</v>
      </c>
      <c r="S17" s="270">
        <f t="shared" si="112"/>
        <v>-1.3680144254648863</v>
      </c>
      <c r="T17" s="705">
        <v>41577</v>
      </c>
      <c r="U17" s="291">
        <v>0.10635699537308238</v>
      </c>
      <c r="V17" s="291">
        <v>0.58902411285490686</v>
      </c>
      <c r="W17" s="291">
        <v>2.4579943980309591</v>
      </c>
      <c r="X17" s="291">
        <v>-1.3680144254648863</v>
      </c>
      <c r="Y17" s="729"/>
      <c r="Z17" s="705">
        <v>41577</v>
      </c>
      <c r="AA17" s="707">
        <v>41577</v>
      </c>
      <c r="AB17" s="497">
        <f t="shared" si="119"/>
        <v>9</v>
      </c>
      <c r="AC17" s="266">
        <v>2.7607329762465871</v>
      </c>
      <c r="AD17" s="291">
        <v>0.10635699537308238</v>
      </c>
      <c r="AE17" s="291">
        <f t="shared" si="82"/>
        <v>141.58987671169419</v>
      </c>
      <c r="AF17" s="161">
        <v>3.2534329762465877</v>
      </c>
      <c r="AG17" s="291">
        <v>0.58902411285490686</v>
      </c>
      <c r="AH17" s="291">
        <f t="shared" si="83"/>
        <v>2638.9884556841671</v>
      </c>
      <c r="AI17" s="161">
        <v>3.661432976246588</v>
      </c>
      <c r="AJ17" s="291">
        <v>2.4579943980309591</v>
      </c>
      <c r="AK17" s="291">
        <f t="shared" si="84"/>
        <v>2975.9003103643217</v>
      </c>
      <c r="AL17" s="161">
        <v>3.0304329762465883</v>
      </c>
      <c r="AM17" s="291">
        <v>-1.3680144254648863</v>
      </c>
      <c r="AN17" s="291">
        <f t="shared" si="85"/>
        <v>-2067.1938329192867</v>
      </c>
      <c r="AO17" s="705">
        <v>41577</v>
      </c>
      <c r="AP17" s="463">
        <v>13.312699951236945</v>
      </c>
      <c r="AQ17" s="463">
        <v>44.802723659196346</v>
      </c>
      <c r="AR17" s="463">
        <v>12.107026414495675</v>
      </c>
      <c r="AS17" s="463">
        <v>15.110906686651358</v>
      </c>
      <c r="AT17" s="463">
        <f t="shared" si="86"/>
        <v>0.47545356968703378</v>
      </c>
      <c r="AU17" s="463">
        <f t="shared" si="87"/>
        <v>0.75936819761349739</v>
      </c>
      <c r="AV17" s="463">
        <f t="shared" si="88"/>
        <v>0.6053513207247837</v>
      </c>
      <c r="AW17" s="463">
        <f t="shared" si="89"/>
        <v>0.79531087824480828</v>
      </c>
      <c r="AY17" s="266">
        <v>2.7607329762465871</v>
      </c>
      <c r="AZ17" s="161">
        <v>3.2534329762465877</v>
      </c>
      <c r="BA17" s="161">
        <v>3.661432976246588</v>
      </c>
      <c r="BB17" s="161">
        <v>3.0304329762465883</v>
      </c>
      <c r="BE17" s="134">
        <v>-2.4424430046269176E-2</v>
      </c>
      <c r="BF17" s="134">
        <v>-7.2425588714509328E-3</v>
      </c>
      <c r="BG17" s="134">
        <v>-9.260056019690403E-3</v>
      </c>
      <c r="BH17" s="134">
        <v>-2.4768144254648863E-2</v>
      </c>
      <c r="BJ17" s="508">
        <v>12.51934605914613</v>
      </c>
      <c r="BK17" s="508">
        <v>6.7668537514539695</v>
      </c>
      <c r="BL17" s="508">
        <v>11.705807597607629</v>
      </c>
      <c r="BM17" s="508">
        <v>7.4501152899166678</v>
      </c>
      <c r="BO17" s="705">
        <v>41577</v>
      </c>
      <c r="BP17" s="324">
        <v>0</v>
      </c>
      <c r="BQ17" s="1">
        <v>5035950</v>
      </c>
      <c r="BR17" s="1">
        <v>11127132</v>
      </c>
      <c r="BS17" s="1">
        <v>6310099.7999999998</v>
      </c>
      <c r="BT17" s="1">
        <v>5970600</v>
      </c>
      <c r="BU17" s="708">
        <v>153402.67665978591</v>
      </c>
      <c r="BV17" s="708">
        <v>509866.00211189309</v>
      </c>
      <c r="BW17" s="708">
        <v>144414.10030668529</v>
      </c>
      <c r="BX17" s="708">
        <v>214415.58927759767</v>
      </c>
      <c r="BY17" s="709">
        <f t="shared" si="18"/>
        <v>0</v>
      </c>
      <c r="BZ17" s="709">
        <f t="shared" si="19"/>
        <v>0</v>
      </c>
      <c r="CA17" s="709">
        <f t="shared" si="20"/>
        <v>0</v>
      </c>
      <c r="CB17" s="709">
        <f t="shared" si="21"/>
        <v>0</v>
      </c>
      <c r="CC17" s="475">
        <f t="shared" si="22"/>
        <v>0</v>
      </c>
      <c r="CD17" s="475">
        <f t="shared" si="23"/>
        <v>0</v>
      </c>
      <c r="CE17" s="475">
        <f t="shared" si="24"/>
        <v>0</v>
      </c>
      <c r="CF17" s="475">
        <f t="shared" si="25"/>
        <v>0</v>
      </c>
      <c r="CG17" s="302">
        <f t="shared" si="90"/>
        <v>0</v>
      </c>
      <c r="CH17" s="302">
        <f t="shared" si="91"/>
        <v>0</v>
      </c>
      <c r="CI17" s="302">
        <f t="shared" si="92"/>
        <v>0</v>
      </c>
      <c r="CJ17" s="302">
        <f t="shared" si="93"/>
        <v>0</v>
      </c>
      <c r="CK17" s="302">
        <f t="shared" si="94"/>
        <v>0</v>
      </c>
      <c r="CL17" s="302">
        <f t="shared" si="94"/>
        <v>0</v>
      </c>
      <c r="CM17" s="302">
        <f t="shared" si="94"/>
        <v>0</v>
      </c>
      <c r="CN17" s="302">
        <f t="shared" si="94"/>
        <v>0</v>
      </c>
      <c r="CO17" s="710">
        <f t="shared" si="113"/>
        <v>0</v>
      </c>
      <c r="CP17" s="710">
        <f t="shared" si="114"/>
        <v>0</v>
      </c>
      <c r="CQ17" s="710">
        <f t="shared" si="115"/>
        <v>0</v>
      </c>
      <c r="CR17" s="710">
        <f t="shared" si="116"/>
        <v>0</v>
      </c>
      <c r="CS17" s="705">
        <v>41577</v>
      </c>
      <c r="CT17" s="711">
        <v>0.63300000000000001</v>
      </c>
      <c r="CU17" s="712">
        <v>0.34100000000000003</v>
      </c>
      <c r="CV17" s="713">
        <v>0.90800000000000003</v>
      </c>
      <c r="CW17" s="714">
        <v>0.27500000000000002</v>
      </c>
      <c r="CY17" s="725">
        <v>3.800734605914613E-2</v>
      </c>
      <c r="CZ17" s="725">
        <v>1.9899653751453972E-2</v>
      </c>
      <c r="DA17" s="725">
        <v>4.5545807597607624E-2</v>
      </c>
      <c r="DB17" s="727">
        <v>1.8538115289916668E-2</v>
      </c>
      <c r="DC17" s="463">
        <f t="shared" si="12"/>
        <v>-3.7886298433962295</v>
      </c>
      <c r="DD17" s="463">
        <f t="shared" si="13"/>
        <v>-1.9986298433963157</v>
      </c>
      <c r="DE17" s="463">
        <f t="shared" si="14"/>
        <v>-4.5186298433963046</v>
      </c>
      <c r="DF17" s="463">
        <f t="shared" si="15"/>
        <v>-1.868629843396441</v>
      </c>
      <c r="DG17" s="483">
        <f t="shared" si="30"/>
        <v>3.7886298433962295</v>
      </c>
      <c r="DH17" s="483">
        <f t="shared" si="31"/>
        <v>1.9986298433963157</v>
      </c>
      <c r="DI17" s="483">
        <f t="shared" si="32"/>
        <v>4.5186298433963046</v>
      </c>
      <c r="DJ17" s="483">
        <f t="shared" si="33"/>
        <v>1.868629843396441</v>
      </c>
      <c r="DK17" s="483">
        <f t="shared" si="121"/>
        <v>0.21529978572622355</v>
      </c>
      <c r="DL17" s="483">
        <f t="shared" si="122"/>
        <v>0.77196942065038598</v>
      </c>
      <c r="DM17" s="483">
        <f t="shared" si="123"/>
        <v>0.27744639707723096</v>
      </c>
      <c r="DN17" s="483">
        <f t="shared" si="124"/>
        <v>0.41173091412022167</v>
      </c>
      <c r="DO17" s="483">
        <f t="shared" si="100"/>
        <v>20.392279836979601</v>
      </c>
      <c r="DP17" s="483">
        <f t="shared" si="101"/>
        <v>38.572028057530638</v>
      </c>
      <c r="DQ17" s="483">
        <f t="shared" si="102"/>
        <v>31.341939244398926</v>
      </c>
      <c r="DR17" s="483">
        <f t="shared" si="103"/>
        <v>19.234316839348583</v>
      </c>
      <c r="DS17" s="324">
        <v>2.5488</v>
      </c>
      <c r="DT17" s="324">
        <v>1.3132800000000002</v>
      </c>
      <c r="DU17" s="324">
        <v>3.3839999999999995</v>
      </c>
      <c r="DV17" s="324">
        <v>1.1088</v>
      </c>
      <c r="DW17" s="716"/>
      <c r="DX17" s="705">
        <v>41577</v>
      </c>
      <c r="DY17" s="716"/>
      <c r="DZ17" s="269"/>
      <c r="EA17" s="269">
        <f>-DD17-DT17</f>
        <v>0.68534984339631544</v>
      </c>
      <c r="EB17" s="269">
        <f>-DE17-DU17</f>
        <v>1.1346298433963051</v>
      </c>
      <c r="EC17" s="716">
        <f>-DF17-DV17</f>
        <v>0.759829843396441</v>
      </c>
      <c r="ED17" s="716"/>
      <c r="EE17" s="269">
        <f t="shared" ref="EE17:EE28" si="130">-(EE$16-EE$29)/12+EE16</f>
        <v>0.42736775901404106</v>
      </c>
      <c r="EF17" s="269">
        <f t="shared" si="128"/>
        <v>0.68534984339631544</v>
      </c>
      <c r="EG17" s="269">
        <f t="shared" si="125"/>
        <v>1.1346298433963051</v>
      </c>
      <c r="EH17" s="269">
        <f t="shared" si="129"/>
        <v>0.759829843396441</v>
      </c>
      <c r="EI17" s="716"/>
      <c r="EJ17" s="717">
        <f t="shared" si="36"/>
        <v>568.94187445864668</v>
      </c>
      <c r="EK17" s="717">
        <f t="shared" si="37"/>
        <v>3070.5539643558609</v>
      </c>
      <c r="EL17" s="717">
        <f t="shared" si="38"/>
        <v>1373.6993484674156</v>
      </c>
      <c r="EM17" s="717">
        <f t="shared" si="39"/>
        <v>1148.1717861296536</v>
      </c>
      <c r="EN17" s="716"/>
      <c r="EO17" s="269">
        <f t="shared" si="69"/>
        <v>2.4424430046269174</v>
      </c>
      <c r="EP17" s="269">
        <f t="shared" si="70"/>
        <v>0.72425588714509326</v>
      </c>
      <c r="EQ17" s="269">
        <f t="shared" si="71"/>
        <v>0.92600560196904025</v>
      </c>
      <c r="ER17" s="269">
        <f t="shared" si="72"/>
        <v>2.4768144254648865</v>
      </c>
      <c r="ES17" s="716"/>
      <c r="ET17" s="718">
        <f t="shared" si="40"/>
        <v>3251.5510868595784</v>
      </c>
      <c r="EU17" s="718">
        <f t="shared" si="41"/>
        <v>3244.8636370307709</v>
      </c>
      <c r="EV17" s="718">
        <f t="shared" si="42"/>
        <v>1121.1174283010139</v>
      </c>
      <c r="EW17" s="718">
        <f t="shared" si="43"/>
        <v>3742.6911663351893</v>
      </c>
      <c r="EX17" s="716"/>
      <c r="EY17" s="705">
        <v>41577</v>
      </c>
      <c r="EZ17" s="716"/>
      <c r="FA17" s="766">
        <f t="shared" si="44"/>
        <v>0.91881907975527088</v>
      </c>
      <c r="FB17" s="766">
        <f t="shared" si="45"/>
        <v>0.58902411285490697</v>
      </c>
      <c r="FC17" s="766">
        <f t="shared" si="46"/>
        <v>2.4579943980309591</v>
      </c>
      <c r="FD17" s="766">
        <f t="shared" si="47"/>
        <v>-1.3680144254648865</v>
      </c>
      <c r="FE17" s="760"/>
      <c r="FF17" s="705">
        <v>41577</v>
      </c>
      <c r="FG17" s="760"/>
      <c r="FH17" s="766">
        <v>1223.1962718253569</v>
      </c>
      <c r="FI17" s="766">
        <f t="shared" si="73"/>
        <v>2638.988455684168</v>
      </c>
      <c r="FJ17" s="766">
        <f t="shared" si="74"/>
        <v>2975.9003103643217</v>
      </c>
      <c r="FK17" s="766">
        <f t="shared" si="75"/>
        <v>-2067.1938329192867</v>
      </c>
      <c r="FL17" s="760"/>
      <c r="FM17" s="759">
        <f t="shared" si="95"/>
        <v>1223.1962718253569</v>
      </c>
      <c r="FN17" s="759">
        <f t="shared" si="96"/>
        <v>2638.988455684168</v>
      </c>
      <c r="FO17" s="759">
        <f t="shared" si="97"/>
        <v>2975.9003103643217</v>
      </c>
      <c r="FP17" s="759">
        <f t="shared" si="49"/>
        <v>-2067.1938329192867</v>
      </c>
      <c r="FQ17" s="760"/>
      <c r="FR17" s="759">
        <f t="shared" si="50"/>
        <v>5043.689233143582</v>
      </c>
      <c r="FS17" s="759">
        <f t="shared" si="51"/>
        <v>8954.4060570707989</v>
      </c>
      <c r="FT17" s="759">
        <f t="shared" si="52"/>
        <v>5470.7170871327517</v>
      </c>
      <c r="FU17" s="759">
        <f t="shared" si="53"/>
        <v>4890.8629524648431</v>
      </c>
      <c r="FV17" s="761"/>
      <c r="FW17" s="754">
        <v>41577</v>
      </c>
      <c r="FX17" s="761"/>
      <c r="FY17" s="759">
        <f t="shared" si="76"/>
        <v>151863.73597464088</v>
      </c>
      <c r="FZ17" s="759">
        <f t="shared" si="77"/>
        <v>234643.58401773943</v>
      </c>
      <c r="GA17" s="759">
        <f t="shared" si="78"/>
        <v>121377.31605431749</v>
      </c>
      <c r="GB17" s="759">
        <f t="shared" si="79"/>
        <v>152740.49106929405</v>
      </c>
      <c r="GC17" s="760"/>
      <c r="GD17" s="759">
        <f t="shared" si="54"/>
        <v>0.40164328829761764</v>
      </c>
      <c r="GE17" s="759">
        <f t="shared" si="54"/>
        <v>0.30761637165149491</v>
      </c>
      <c r="GF17" s="759">
        <f t="shared" si="55"/>
        <v>0.32587495917340548</v>
      </c>
      <c r="GG17" s="759">
        <f t="shared" si="56"/>
        <v>0.39863657431709537</v>
      </c>
      <c r="GH17" s="716"/>
      <c r="GI17" s="756">
        <f t="shared" si="57"/>
        <v>0</v>
      </c>
      <c r="GJ17" s="756">
        <f t="shared" si="58"/>
        <v>0</v>
      </c>
      <c r="GK17" s="756">
        <f t="shared" si="59"/>
        <v>0</v>
      </c>
      <c r="GL17" s="756">
        <f t="shared" si="60"/>
        <v>0</v>
      </c>
      <c r="GM17" s="716"/>
      <c r="GN17" s="722">
        <v>3.800734605914613E-2</v>
      </c>
      <c r="GO17" s="723">
        <v>1.9899653751453972E-2</v>
      </c>
      <c r="GP17" s="723">
        <v>4.5545807597607624E-2</v>
      </c>
      <c r="GQ17" s="726">
        <v>1.8538115289916668E-2</v>
      </c>
      <c r="GR17" s="463">
        <v>-3.8229442951564607</v>
      </c>
      <c r="GS17" s="463">
        <v>-1.9329442951564246</v>
      </c>
      <c r="GT17" s="463">
        <v>-2.7629442951562666</v>
      </c>
      <c r="GU17" s="463">
        <v>-1.792944295156218</v>
      </c>
    </row>
    <row r="18" spans="1:203" s="472" customFormat="1">
      <c r="A18" s="464">
        <v>41578</v>
      </c>
      <c r="B18" s="465">
        <v>2.0666666666666664</v>
      </c>
      <c r="C18" s="466">
        <v>0</v>
      </c>
      <c r="D18" s="485">
        <v>0.50792134692317736</v>
      </c>
      <c r="E18" s="486">
        <v>0.911208677765174</v>
      </c>
      <c r="F18" s="486">
        <v>3.7836626571571248</v>
      </c>
      <c r="G18" s="485">
        <v>-0.56177583778610352</v>
      </c>
      <c r="H18" s="487"/>
      <c r="I18" s="464">
        <v>41578</v>
      </c>
      <c r="J18" s="467"/>
      <c r="K18" s="467"/>
      <c r="L18" s="467"/>
      <c r="M18" s="467"/>
      <c r="N18" s="487"/>
      <c r="O18" s="464">
        <v>41578</v>
      </c>
      <c r="P18" s="467">
        <f t="shared" ref="P18:S24" si="131">D18+CO18</f>
        <v>0.71458801358984403</v>
      </c>
      <c r="Q18" s="467">
        <f t="shared" si="131"/>
        <v>1.1178753444318406</v>
      </c>
      <c r="R18" s="467">
        <f t="shared" si="131"/>
        <v>3.9903293238237914</v>
      </c>
      <c r="S18" s="467">
        <f t="shared" si="131"/>
        <v>-0.35510917111943685</v>
      </c>
      <c r="T18" s="464">
        <v>41578</v>
      </c>
      <c r="U18" s="468">
        <v>0.74969166322419867</v>
      </c>
      <c r="V18" s="468">
        <v>1.1504522115011855</v>
      </c>
      <c r="W18" s="468">
        <v>4.0335201005823755</v>
      </c>
      <c r="X18" s="468">
        <v>-0.26292365532306733</v>
      </c>
      <c r="Y18" s="487"/>
      <c r="Z18" s="464">
        <v>41578</v>
      </c>
      <c r="AA18" s="469">
        <v>41578</v>
      </c>
      <c r="AB18" s="466">
        <v>0</v>
      </c>
      <c r="AC18" s="470">
        <v>2.7228466778126248</v>
      </c>
      <c r="AD18" s="468">
        <v>0.74969166322419867</v>
      </c>
      <c r="AE18" s="468">
        <f t="shared" si="82"/>
        <v>983.06690322088525</v>
      </c>
      <c r="AF18" s="471">
        <v>3.2334466778126245</v>
      </c>
      <c r="AG18" s="468">
        <v>1.1504522115011855</v>
      </c>
      <c r="AH18" s="468">
        <f t="shared" si="83"/>
        <v>5067.0461953440281</v>
      </c>
      <c r="AI18" s="471">
        <v>3.616246677812625</v>
      </c>
      <c r="AJ18" s="468">
        <v>4.0335201005823755</v>
      </c>
      <c r="AK18" s="468">
        <f t="shared" si="84"/>
        <v>4818.0573745531919</v>
      </c>
      <c r="AL18" s="471">
        <v>3.0117466778126238</v>
      </c>
      <c r="AM18" s="468">
        <v>-0.26292365532306733</v>
      </c>
      <c r="AN18" s="468">
        <f t="shared" si="85"/>
        <v>-389.85222969234638</v>
      </c>
      <c r="AO18" s="464">
        <v>41578</v>
      </c>
      <c r="AP18" s="483">
        <v>13.112949649099869</v>
      </c>
      <c r="AQ18" s="483">
        <v>44.043951975477661</v>
      </c>
      <c r="AR18" s="483">
        <v>11.94504367006264</v>
      </c>
      <c r="AS18" s="483">
        <v>14.827582904752926</v>
      </c>
      <c r="AT18" s="483">
        <f t="shared" si="86"/>
        <v>0.46831963032499535</v>
      </c>
      <c r="AU18" s="483">
        <f t="shared" si="87"/>
        <v>0.74650766060131624</v>
      </c>
      <c r="AV18" s="483">
        <f t="shared" si="88"/>
        <v>0.59725218350313203</v>
      </c>
      <c r="AW18" s="483">
        <f t="shared" si="89"/>
        <v>0.78039910025015402</v>
      </c>
      <c r="AY18" s="470">
        <v>2.7228466778126248</v>
      </c>
      <c r="AZ18" s="471">
        <v>3.2334466778126245</v>
      </c>
      <c r="BA18" s="471">
        <v>3.616246677812625</v>
      </c>
      <c r="BB18" s="471">
        <v>3.0117466778126238</v>
      </c>
      <c r="BD18" s="232"/>
      <c r="BE18" s="472">
        <v>-2.4296786530768229E-2</v>
      </c>
      <c r="BF18" s="472">
        <v>-7.1599132223482609E-3</v>
      </c>
      <c r="BG18" s="472">
        <v>-9.2513734284287597E-3</v>
      </c>
      <c r="BH18" s="472">
        <v>-2.4769758377861033E-2</v>
      </c>
      <c r="BI18" s="232"/>
      <c r="BJ18" s="507">
        <v>-3.0259761744283913</v>
      </c>
      <c r="BK18" s="507">
        <v>3.2934084409566644</v>
      </c>
      <c r="BL18" s="507">
        <v>3.7543315178800856</v>
      </c>
      <c r="BM18" s="507">
        <v>-1.6173607898130571</v>
      </c>
      <c r="BN18" s="232"/>
      <c r="BO18" s="464">
        <v>41578</v>
      </c>
      <c r="BP18" s="473">
        <v>0</v>
      </c>
      <c r="BQ18" s="1">
        <v>5035950</v>
      </c>
      <c r="BR18" s="1">
        <v>11127132</v>
      </c>
      <c r="BS18" s="1">
        <v>6310099.7999999998</v>
      </c>
      <c r="BT18" s="1">
        <v>5970600</v>
      </c>
      <c r="BU18" s="474">
        <v>153402.67665978591</v>
      </c>
      <c r="BV18" s="474">
        <v>509866.00211189309</v>
      </c>
      <c r="BW18" s="474">
        <v>144414.10030668529</v>
      </c>
      <c r="BX18" s="474">
        <v>214415.58927759767</v>
      </c>
      <c r="BY18" s="556">
        <f t="shared" si="18"/>
        <v>10407.629999999997</v>
      </c>
      <c r="BZ18" s="556">
        <f t="shared" si="19"/>
        <v>22996.072799999994</v>
      </c>
      <c r="CA18" s="556">
        <f t="shared" si="20"/>
        <v>13040.872919999998</v>
      </c>
      <c r="CB18" s="556">
        <f t="shared" si="21"/>
        <v>12339.239999999998</v>
      </c>
      <c r="CC18" s="475">
        <f t="shared" si="22"/>
        <v>0</v>
      </c>
      <c r="CD18" s="475">
        <f t="shared" si="23"/>
        <v>0</v>
      </c>
      <c r="CE18" s="475">
        <f t="shared" si="24"/>
        <v>0</v>
      </c>
      <c r="CF18" s="475">
        <f t="shared" si="25"/>
        <v>0</v>
      </c>
      <c r="CG18" s="476">
        <f t="shared" si="90"/>
        <v>317.03219843022418</v>
      </c>
      <c r="CH18" s="476">
        <f t="shared" si="91"/>
        <v>1053.7230710312456</v>
      </c>
      <c r="CI18" s="476">
        <f t="shared" si="92"/>
        <v>298.45580730048289</v>
      </c>
      <c r="CJ18" s="476">
        <f t="shared" si="93"/>
        <v>443.12555117370175</v>
      </c>
      <c r="CK18" s="476">
        <f t="shared" si="94"/>
        <v>317.03219843022418</v>
      </c>
      <c r="CL18" s="476">
        <f t="shared" si="94"/>
        <v>1053.7230710312456</v>
      </c>
      <c r="CM18" s="476">
        <f t="shared" si="94"/>
        <v>298.45580730048289</v>
      </c>
      <c r="CN18" s="476">
        <f t="shared" si="94"/>
        <v>443.12555117370175</v>
      </c>
      <c r="CO18" s="477">
        <f t="shared" ref="CO18:CO24" si="132">CK18/BU18*100</f>
        <v>0.20666666666666664</v>
      </c>
      <c r="CP18" s="477">
        <f t="shared" ref="CP18:CP24" si="133">CL18/BV18*100</f>
        <v>0.20666666666666664</v>
      </c>
      <c r="CQ18" s="477">
        <f t="shared" ref="CQ18:CQ24" si="134">CM18/BW18*100</f>
        <v>0.20666666666666664</v>
      </c>
      <c r="CR18" s="477">
        <f t="shared" ref="CR18:CR24" si="135">CN18/BX18*100</f>
        <v>0.20666666666666664</v>
      </c>
      <c r="CS18" s="464">
        <v>41578</v>
      </c>
      <c r="CT18" s="478">
        <v>0.754</v>
      </c>
      <c r="CU18" s="479">
        <v>0.46600000000000003</v>
      </c>
      <c r="CV18" s="480">
        <v>0.94299999999999995</v>
      </c>
      <c r="CW18" s="481">
        <v>0.56299999999999994</v>
      </c>
      <c r="CY18" s="519">
        <v>2.6350023825571611E-2</v>
      </c>
      <c r="CZ18" s="519">
        <v>1.9565408440956666E-2</v>
      </c>
      <c r="DA18" s="519">
        <v>5.0842331517880091E-2</v>
      </c>
      <c r="DB18" s="521">
        <v>1.7534639210186942E-2</v>
      </c>
      <c r="DC18" s="483">
        <f t="shared" si="12"/>
        <v>-2.6794273937333912</v>
      </c>
      <c r="DD18" s="483">
        <f t="shared" si="13"/>
        <v>-1.9694273937332696</v>
      </c>
      <c r="DE18" s="483">
        <f t="shared" si="14"/>
        <v>-5.1094273937334123</v>
      </c>
      <c r="DF18" s="483">
        <f t="shared" si="15"/>
        <v>-1.7994273937333105</v>
      </c>
      <c r="DG18" s="483">
        <f t="shared" si="30"/>
        <v>2.6794273937333912</v>
      </c>
      <c r="DH18" s="483">
        <f t="shared" si="31"/>
        <v>1.9694273937332696</v>
      </c>
      <c r="DI18" s="483">
        <f t="shared" si="32"/>
        <v>5.1094273937334123</v>
      </c>
      <c r="DJ18" s="483">
        <f t="shared" si="33"/>
        <v>1.7994273937333105</v>
      </c>
      <c r="DK18" s="483">
        <f t="shared" si="121"/>
        <v>0.19975030213707612</v>
      </c>
      <c r="DL18" s="483">
        <f t="shared" si="122"/>
        <v>0.75877168371868464</v>
      </c>
      <c r="DM18" s="483">
        <f t="shared" si="123"/>
        <v>0.1619827444330344</v>
      </c>
      <c r="DN18" s="483">
        <f t="shared" si="124"/>
        <v>0.28332378189843155</v>
      </c>
      <c r="DO18" s="483">
        <f t="shared" si="100"/>
        <v>13.380410786315084</v>
      </c>
      <c r="DP18" s="483">
        <f t="shared" si="101"/>
        <v>37.358643487617343</v>
      </c>
      <c r="DQ18" s="483">
        <f t="shared" si="102"/>
        <v>20.690976792956608</v>
      </c>
      <c r="DR18" s="483">
        <f t="shared" si="103"/>
        <v>12.745514361103989</v>
      </c>
      <c r="DS18" s="473">
        <v>2.9376000000000002</v>
      </c>
      <c r="DT18" s="473">
        <v>1.6272000000000002</v>
      </c>
      <c r="DU18" s="473">
        <v>4.7088000000000001</v>
      </c>
      <c r="DV18" s="473">
        <v>1.9151999999999998</v>
      </c>
      <c r="DW18" s="552"/>
      <c r="DX18" s="532">
        <v>41578</v>
      </c>
      <c r="DY18" s="552"/>
      <c r="DZ18" s="473"/>
      <c r="EA18" s="473"/>
      <c r="EB18" s="473"/>
      <c r="EC18" s="545"/>
      <c r="ED18" s="552"/>
      <c r="EE18" s="527">
        <f t="shared" si="130"/>
        <v>0.41579122287162085</v>
      </c>
      <c r="EF18" s="473">
        <f t="shared" ref="EF18:EF25" si="136">-(EF$17-EF$26)/8+EF17</f>
        <v>0.61124834872722256</v>
      </c>
      <c r="EG18" s="473">
        <f>-(EG17-EG25)/8+EG17</f>
        <v>1.055804846208799</v>
      </c>
      <c r="EH18" s="473">
        <f>-(EH17-EH25)/8+EH17</f>
        <v>0.81947484620890143</v>
      </c>
      <c r="EI18" s="552"/>
      <c r="EJ18" s="503">
        <f t="shared" si="36"/>
        <v>545.22493700532266</v>
      </c>
      <c r="EK18" s="503">
        <f t="shared" si="37"/>
        <v>2692.1792916431814</v>
      </c>
      <c r="EL18" s="503">
        <f t="shared" si="38"/>
        <v>1261.1634995027873</v>
      </c>
      <c r="EM18" s="503">
        <f t="shared" si="39"/>
        <v>1215.0831220522141</v>
      </c>
      <c r="EN18" s="552"/>
      <c r="EO18" s="503">
        <f t="shared" si="69"/>
        <v>2.4296786530768228</v>
      </c>
      <c r="EP18" s="503">
        <f t="shared" si="70"/>
        <v>0.71599132223482609</v>
      </c>
      <c r="EQ18" s="503">
        <f t="shared" si="71"/>
        <v>0.92513734284287596</v>
      </c>
      <c r="ER18" s="503">
        <f t="shared" si="72"/>
        <v>2.4769758377861035</v>
      </c>
      <c r="ES18" s="552"/>
      <c r="ET18" s="554">
        <f t="shared" si="40"/>
        <v>3186.0253841289164</v>
      </c>
      <c r="EU18" s="554">
        <f t="shared" si="41"/>
        <v>3153.5087411369432</v>
      </c>
      <c r="EV18" s="554">
        <f t="shared" si="42"/>
        <v>1105.0805961063866</v>
      </c>
      <c r="EW18" s="554">
        <f t="shared" si="43"/>
        <v>3672.7564587843285</v>
      </c>
      <c r="EX18" s="552"/>
      <c r="EY18" s="532">
        <v>41578</v>
      </c>
      <c r="EZ18" s="552"/>
      <c r="FA18" s="745">
        <f t="shared" si="44"/>
        <v>4.0624184451614198E-2</v>
      </c>
      <c r="FB18" s="745">
        <f t="shared" si="45"/>
        <v>0.84885438943788749</v>
      </c>
      <c r="FC18" s="745">
        <f t="shared" si="46"/>
        <v>3.3351518713484039</v>
      </c>
      <c r="FD18" s="745">
        <f t="shared" si="47"/>
        <v>-1.2903566235950277</v>
      </c>
      <c r="FE18" s="761"/>
      <c r="FF18" s="532">
        <v>41578</v>
      </c>
      <c r="FG18" s="761"/>
      <c r="FH18" s="745">
        <v>53.270288524976273</v>
      </c>
      <c r="FI18" s="745">
        <f t="shared" si="73"/>
        <v>3738.6901962575726</v>
      </c>
      <c r="FJ18" s="745">
        <f t="shared" si="74"/>
        <v>3983.8534749547821</v>
      </c>
      <c r="FK18" s="745">
        <f t="shared" si="75"/>
        <v>-1913.2869813052339</v>
      </c>
      <c r="FL18" s="761"/>
      <c r="FM18" s="756">
        <f t="shared" si="95"/>
        <v>53.270288524976273</v>
      </c>
      <c r="FN18" s="756">
        <f t="shared" si="96"/>
        <v>3738.6901962575726</v>
      </c>
      <c r="FO18" s="756">
        <f t="shared" si="97"/>
        <v>3983.8534749547821</v>
      </c>
      <c r="FP18" s="756">
        <f t="shared" si="49"/>
        <v>-1913.2869813052339</v>
      </c>
      <c r="FQ18" s="761"/>
      <c r="FR18" s="756">
        <f t="shared" si="50"/>
        <v>3784.5206096592156</v>
      </c>
      <c r="FS18" s="756">
        <f t="shared" si="51"/>
        <v>9584.3782290376985</v>
      </c>
      <c r="FT18" s="756">
        <f t="shared" si="52"/>
        <v>6350.0975705639557</v>
      </c>
      <c r="FU18" s="756">
        <f t="shared" si="53"/>
        <v>4887.8395808365422</v>
      </c>
      <c r="FV18" s="761"/>
      <c r="FW18" s="755">
        <v>41578</v>
      </c>
      <c r="FX18" s="761"/>
      <c r="FY18" s="756">
        <f t="shared" si="76"/>
        <v>155648.25658430008</v>
      </c>
      <c r="FZ18" s="756">
        <f t="shared" si="77"/>
        <v>244227.96224677714</v>
      </c>
      <c r="GA18" s="756">
        <f t="shared" si="78"/>
        <v>127727.41362488145</v>
      </c>
      <c r="GB18" s="756">
        <f t="shared" si="79"/>
        <v>157628.33065013058</v>
      </c>
      <c r="GC18" s="761"/>
      <c r="GD18" s="756">
        <f t="shared" si="54"/>
        <v>0.41165244086151515</v>
      </c>
      <c r="GE18" s="756">
        <f t="shared" si="54"/>
        <v>0.32018143567271812</v>
      </c>
      <c r="GF18" s="756">
        <f t="shared" si="55"/>
        <v>0.34292376082616749</v>
      </c>
      <c r="GG18" s="756">
        <f t="shared" si="56"/>
        <v>0.41139332017194674</v>
      </c>
      <c r="GH18" s="552"/>
      <c r="GI18" s="756">
        <f t="shared" si="57"/>
        <v>0</v>
      </c>
      <c r="GJ18" s="756">
        <f t="shared" si="58"/>
        <v>0</v>
      </c>
      <c r="GK18" s="756">
        <f t="shared" si="59"/>
        <v>0</v>
      </c>
      <c r="GL18" s="756">
        <f t="shared" si="60"/>
        <v>0</v>
      </c>
      <c r="GM18" s="552"/>
      <c r="GN18" s="515">
        <v>2.6350023825571611E-2</v>
      </c>
      <c r="GO18" s="514">
        <v>1.9565408440956666E-2</v>
      </c>
      <c r="GP18" s="514">
        <v>5.0842331517880091E-2</v>
      </c>
      <c r="GQ18" s="515">
        <v>1.7534639210186942E-2</v>
      </c>
    </row>
    <row r="19" spans="1:203" s="472" customFormat="1">
      <c r="A19" s="464">
        <v>41579</v>
      </c>
      <c r="B19" s="465">
        <v>0.1</v>
      </c>
      <c r="C19" s="466">
        <v>0</v>
      </c>
      <c r="D19" s="485">
        <v>0.28681832222722142</v>
      </c>
      <c r="E19" s="485">
        <v>0.57275372908752198</v>
      </c>
      <c r="F19" s="486">
        <v>4.7209456837530226</v>
      </c>
      <c r="G19" s="485">
        <v>-1.4180863639916126</v>
      </c>
      <c r="H19" s="487"/>
      <c r="I19" s="464">
        <v>41579</v>
      </c>
      <c r="J19" s="467"/>
      <c r="K19" s="467"/>
      <c r="L19" s="467"/>
      <c r="M19" s="467"/>
      <c r="N19" s="487"/>
      <c r="O19" s="464">
        <v>41579</v>
      </c>
      <c r="P19" s="484">
        <f t="shared" si="131"/>
        <v>0.29681832222722143</v>
      </c>
      <c r="Q19" s="467">
        <f t="shared" si="131"/>
        <v>0.58275372908752199</v>
      </c>
      <c r="R19" s="467">
        <f t="shared" si="131"/>
        <v>4.7309456837530224</v>
      </c>
      <c r="S19" s="467">
        <f t="shared" si="131"/>
        <v>-1.4080863639916126</v>
      </c>
      <c r="T19" s="464">
        <v>41579</v>
      </c>
      <c r="U19" s="468">
        <v>0.29869594916039588</v>
      </c>
      <c r="V19" s="468">
        <v>0.5845375594932577</v>
      </c>
      <c r="W19" s="468">
        <v>4.7333075650382384</v>
      </c>
      <c r="X19" s="468">
        <v>-1.4033359205361855</v>
      </c>
      <c r="Y19" s="487"/>
      <c r="Z19" s="464">
        <v>41579</v>
      </c>
      <c r="AA19" s="469">
        <v>41579</v>
      </c>
      <c r="AB19" s="466">
        <v>0</v>
      </c>
      <c r="AC19" s="470">
        <v>2.6960524038752909</v>
      </c>
      <c r="AD19" s="468">
        <v>0.29869594916039588</v>
      </c>
      <c r="AE19" s="468">
        <f t="shared" si="82"/>
        <v>385.7736765638079</v>
      </c>
      <c r="AF19" s="471">
        <v>3.2137524038752918</v>
      </c>
      <c r="AG19" s="468">
        <v>0.5845375594932577</v>
      </c>
      <c r="AH19" s="468">
        <f t="shared" si="83"/>
        <v>2529.1931255052846</v>
      </c>
      <c r="AI19" s="471">
        <v>3.5651524038752909</v>
      </c>
      <c r="AJ19" s="468">
        <f>0.78*AI19-0.57</f>
        <v>2.2108188750227273</v>
      </c>
      <c r="AK19" s="468">
        <f t="shared" si="84"/>
        <v>2582.7251646501732</v>
      </c>
      <c r="AL19" s="471">
        <v>2.9937524038752907</v>
      </c>
      <c r="AM19" s="468">
        <v>-1.4033359205361855</v>
      </c>
      <c r="AN19" s="468">
        <f t="shared" si="85"/>
        <v>-2039.9189981334418</v>
      </c>
      <c r="AO19" s="464">
        <v>41579</v>
      </c>
      <c r="AP19" s="483">
        <v>12.915263084356473</v>
      </c>
      <c r="AQ19" s="483">
        <v>43.26827394458401</v>
      </c>
      <c r="AR19" s="483">
        <v>11.682210577398035</v>
      </c>
      <c r="AS19" s="483">
        <v>14.53621309254331</v>
      </c>
      <c r="AT19" s="483">
        <f t="shared" si="86"/>
        <v>0.46125939586987402</v>
      </c>
      <c r="AU19" s="483">
        <f t="shared" si="87"/>
        <v>0.73336057533193233</v>
      </c>
      <c r="AV19" s="483">
        <f t="shared" si="88"/>
        <v>0.58411052886990178</v>
      </c>
      <c r="AW19" s="483">
        <f t="shared" si="89"/>
        <v>0.76506384697596364</v>
      </c>
      <c r="AY19" s="470">
        <v>2.6960524038752909</v>
      </c>
      <c r="AZ19" s="471">
        <v>3.2137524038752918</v>
      </c>
      <c r="BA19" s="471">
        <v>3.5651524038752909</v>
      </c>
      <c r="BB19" s="471">
        <v>2.9937524038752907</v>
      </c>
      <c r="BD19" s="232"/>
      <c r="BE19" s="472">
        <v>-2.4203816777727784E-2</v>
      </c>
      <c r="BF19" s="472">
        <v>-7.0740627091247805E-3</v>
      </c>
      <c r="BG19" s="472">
        <v>-9.2385431624697721E-3</v>
      </c>
      <c r="BH19" s="472">
        <v>-2.4764863639916125E-2</v>
      </c>
      <c r="BI19" s="232"/>
      <c r="BJ19" s="507">
        <v>10.668478688050417</v>
      </c>
      <c r="BK19" s="507">
        <v>6.7081094572806998</v>
      </c>
      <c r="BL19" s="507">
        <v>-5.8459828504115467</v>
      </c>
      <c r="BM19" s="507">
        <v>10.033401764973398</v>
      </c>
      <c r="BN19" s="232"/>
      <c r="BO19" s="464">
        <v>41579</v>
      </c>
      <c r="BP19" s="473">
        <v>0</v>
      </c>
      <c r="BQ19" s="1">
        <v>5035950</v>
      </c>
      <c r="BR19" s="1">
        <v>11127132</v>
      </c>
      <c r="BS19" s="1">
        <v>6310099.7999999998</v>
      </c>
      <c r="BT19" s="1">
        <v>5970600</v>
      </c>
      <c r="BU19" s="474">
        <v>153402.67665978591</v>
      </c>
      <c r="BV19" s="474">
        <v>509866.00211189309</v>
      </c>
      <c r="BW19" s="474">
        <v>144414.10030668529</v>
      </c>
      <c r="BX19" s="474">
        <v>214415.58927759767</v>
      </c>
      <c r="BY19" s="556">
        <f t="shared" si="18"/>
        <v>503.59500000000003</v>
      </c>
      <c r="BZ19" s="556">
        <f t="shared" si="19"/>
        <v>1112.7132000000001</v>
      </c>
      <c r="CA19" s="556">
        <f t="shared" si="20"/>
        <v>631.00998000000004</v>
      </c>
      <c r="CB19" s="556">
        <f t="shared" si="21"/>
        <v>597.06000000000006</v>
      </c>
      <c r="CC19" s="475">
        <f t="shared" si="22"/>
        <v>0</v>
      </c>
      <c r="CD19" s="475">
        <f t="shared" si="23"/>
        <v>0</v>
      </c>
      <c r="CE19" s="475">
        <f t="shared" si="24"/>
        <v>0</v>
      </c>
      <c r="CF19" s="475">
        <f t="shared" si="25"/>
        <v>0</v>
      </c>
      <c r="CG19" s="476">
        <f t="shared" si="90"/>
        <v>15.340267665978592</v>
      </c>
      <c r="CH19" s="476">
        <f t="shared" si="91"/>
        <v>50.986600211189312</v>
      </c>
      <c r="CI19" s="476">
        <f t="shared" si="92"/>
        <v>14.441410030668528</v>
      </c>
      <c r="CJ19" s="476">
        <f t="shared" si="93"/>
        <v>21.441558927759768</v>
      </c>
      <c r="CK19" s="476">
        <f t="shared" si="94"/>
        <v>15.340267665978592</v>
      </c>
      <c r="CL19" s="476">
        <f t="shared" si="94"/>
        <v>50.986600211189312</v>
      </c>
      <c r="CM19" s="476">
        <f t="shared" si="94"/>
        <v>14.441410030668528</v>
      </c>
      <c r="CN19" s="476">
        <f t="shared" si="94"/>
        <v>21.441558927759768</v>
      </c>
      <c r="CO19" s="477">
        <f t="shared" si="132"/>
        <v>0.01</v>
      </c>
      <c r="CP19" s="477">
        <f t="shared" si="133"/>
        <v>0.01</v>
      </c>
      <c r="CQ19" s="477">
        <f t="shared" si="134"/>
        <v>0.01</v>
      </c>
      <c r="CR19" s="477">
        <f t="shared" si="135"/>
        <v>0.01</v>
      </c>
      <c r="CS19" s="464">
        <v>41579</v>
      </c>
      <c r="CT19" s="478">
        <v>-0.85699999999999998</v>
      </c>
      <c r="CU19" s="479">
        <v>0.39100000000000001</v>
      </c>
      <c r="CV19" s="480">
        <v>0.98399999999999999</v>
      </c>
      <c r="CW19" s="481">
        <v>0.29199999999999998</v>
      </c>
      <c r="CY19" s="521">
        <v>3.7740478688050416E-2</v>
      </c>
      <c r="CZ19" s="519">
        <v>1.9509709457280699E-2</v>
      </c>
      <c r="DA19" s="519">
        <v>5.0602017149588452E-2</v>
      </c>
      <c r="DB19" s="521">
        <v>2.0617401764973398E-2</v>
      </c>
      <c r="DC19" s="483">
        <f t="shared" si="12"/>
        <v>-3.7181394408294821</v>
      </c>
      <c r="DD19" s="483">
        <f t="shared" si="13"/>
        <v>-1.9181394408294139</v>
      </c>
      <c r="DE19" s="483">
        <f t="shared" si="14"/>
        <v>-5.0681394408293556</v>
      </c>
      <c r="DF19" s="483">
        <f t="shared" si="15"/>
        <v>-2.0381394408293119</v>
      </c>
      <c r="DG19" s="483">
        <f t="shared" si="30"/>
        <v>3.7181394408294821</v>
      </c>
      <c r="DH19" s="483">
        <f t="shared" si="31"/>
        <v>1.9181394408294139</v>
      </c>
      <c r="DI19" s="483">
        <f t="shared" si="32"/>
        <v>5.0681394408293556</v>
      </c>
      <c r="DJ19" s="483">
        <f t="shared" si="33"/>
        <v>2.0381394408293119</v>
      </c>
      <c r="DK19" s="483">
        <f t="shared" si="121"/>
        <v>0.19768656474339608</v>
      </c>
      <c r="DL19" s="483">
        <f t="shared" si="122"/>
        <v>0.77567803089365128</v>
      </c>
      <c r="DM19" s="483">
        <f t="shared" si="123"/>
        <v>0.26283309266460542</v>
      </c>
      <c r="DN19" s="483">
        <f t="shared" si="124"/>
        <v>0.29136981220961644</v>
      </c>
      <c r="DO19" s="483">
        <f t="shared" si="100"/>
        <v>18.375655332362797</v>
      </c>
      <c r="DP19" s="483">
        <f t="shared" si="101"/>
        <v>37.196465611050229</v>
      </c>
      <c r="DQ19" s="483">
        <f t="shared" si="102"/>
        <v>33.301869082216086</v>
      </c>
      <c r="DR19" s="483">
        <f t="shared" si="103"/>
        <v>14.84630765328623</v>
      </c>
      <c r="DS19" s="473">
        <v>2.7071999999999998</v>
      </c>
      <c r="DT19" s="473">
        <v>1.28016</v>
      </c>
      <c r="DU19" s="473">
        <v>5.6448</v>
      </c>
      <c r="DV19" s="473">
        <v>1.0584</v>
      </c>
      <c r="DW19" s="552"/>
      <c r="DX19" s="532">
        <v>41579</v>
      </c>
      <c r="DY19" s="552"/>
      <c r="DZ19" s="473"/>
      <c r="EA19" s="473"/>
      <c r="EB19" s="473"/>
      <c r="EC19" s="545"/>
      <c r="ED19" s="552"/>
      <c r="EE19" s="527">
        <f t="shared" si="130"/>
        <v>0.40421468672920063</v>
      </c>
      <c r="EF19" s="473">
        <f t="shared" si="136"/>
        <v>0.53714685405812967</v>
      </c>
      <c r="EG19" s="473">
        <f t="shared" ref="EG19:EH24" si="137">-(EG18-EG26)/8+EG18</f>
        <v>0.99459647618814029</v>
      </c>
      <c r="EH19" s="473">
        <f t="shared" si="137"/>
        <v>0.78205772618823854</v>
      </c>
      <c r="EI19" s="552"/>
      <c r="EJ19" s="503">
        <f t="shared" si="36"/>
        <v>522.05390216683611</v>
      </c>
      <c r="EK19" s="503">
        <f t="shared" si="37"/>
        <v>2324.1417229858639</v>
      </c>
      <c r="EL19" s="503">
        <f t="shared" si="38"/>
        <v>1161.9085474367905</v>
      </c>
      <c r="EM19" s="503">
        <f t="shared" si="39"/>
        <v>1136.8157758542125</v>
      </c>
      <c r="EN19" s="552"/>
      <c r="EO19" s="503">
        <f t="shared" si="69"/>
        <v>2.4203816777727782</v>
      </c>
      <c r="EP19" s="503">
        <f t="shared" si="70"/>
        <v>0.7074062709124781</v>
      </c>
      <c r="EQ19" s="503">
        <f t="shared" si="71"/>
        <v>0.92385431624697723</v>
      </c>
      <c r="ER19" s="503">
        <f t="shared" si="72"/>
        <v>2.4764863639916124</v>
      </c>
      <c r="ES19" s="552"/>
      <c r="ET19" s="554">
        <f t="shared" si="40"/>
        <v>3125.9866132991547</v>
      </c>
      <c r="EU19" s="554">
        <f t="shared" si="41"/>
        <v>3060.8248319957715</v>
      </c>
      <c r="EV19" s="554">
        <f t="shared" si="42"/>
        <v>1079.2660665235267</v>
      </c>
      <c r="EW19" s="554">
        <f t="shared" si="43"/>
        <v>3599.8733507759857</v>
      </c>
      <c r="EX19" s="552"/>
      <c r="EY19" s="532">
        <v>41579</v>
      </c>
      <c r="EZ19" s="552"/>
      <c r="FA19" s="745">
        <f t="shared" si="44"/>
        <v>0.90354307632750341</v>
      </c>
      <c r="FB19" s="745">
        <f t="shared" si="45"/>
        <v>0.68358631585880625</v>
      </c>
      <c r="FC19" s="745">
        <f t="shared" si="46"/>
        <v>3.1596886483942379</v>
      </c>
      <c r="FD19" s="745">
        <f t="shared" si="47"/>
        <v>-1.2104046493505392</v>
      </c>
      <c r="FE19" s="761"/>
      <c r="FF19" s="532">
        <v>41579</v>
      </c>
      <c r="FG19" s="761"/>
      <c r="FH19" s="745">
        <v>1166.9496538818489</v>
      </c>
      <c r="FI19" s="745">
        <f t="shared" si="73"/>
        <v>2957.7599979347756</v>
      </c>
      <c r="FJ19" s="745">
        <f t="shared" si="74"/>
        <v>3691.2148149555665</v>
      </c>
      <c r="FK19" s="745">
        <f t="shared" si="75"/>
        <v>-1759.4699911164603</v>
      </c>
      <c r="FL19" s="761"/>
      <c r="FM19" s="756">
        <f t="shared" si="95"/>
        <v>1166.9496538818489</v>
      </c>
      <c r="FN19" s="756">
        <f t="shared" si="96"/>
        <v>2957.7599979347756</v>
      </c>
      <c r="FO19" s="756">
        <f t="shared" si="97"/>
        <v>3691.2148149555665</v>
      </c>
      <c r="FP19" s="756">
        <f t="shared" si="49"/>
        <v>-1759.4699911164603</v>
      </c>
      <c r="FQ19" s="761"/>
      <c r="FR19" s="756">
        <f t="shared" si="50"/>
        <v>4814.9901693478396</v>
      </c>
      <c r="FS19" s="756">
        <f t="shared" si="51"/>
        <v>8342.7265529164106</v>
      </c>
      <c r="FT19" s="756">
        <f t="shared" si="52"/>
        <v>5932.3894289158834</v>
      </c>
      <c r="FU19" s="756">
        <f t="shared" si="53"/>
        <v>4736.6891266301982</v>
      </c>
      <c r="FV19" s="761"/>
      <c r="FW19" s="755">
        <v>41579</v>
      </c>
      <c r="FX19" s="761"/>
      <c r="FY19" s="756">
        <f t="shared" si="76"/>
        <v>160463.24675364792</v>
      </c>
      <c r="FZ19" s="756">
        <f t="shared" si="77"/>
        <v>252570.68879969354</v>
      </c>
      <c r="GA19" s="756">
        <f t="shared" si="78"/>
        <v>133659.80305379734</v>
      </c>
      <c r="GB19" s="756">
        <f t="shared" si="79"/>
        <v>162365.01977676078</v>
      </c>
      <c r="GC19" s="761"/>
      <c r="GD19" s="756">
        <f t="shared" si="54"/>
        <v>0.42438693914266179</v>
      </c>
      <c r="GE19" s="756">
        <f t="shared" si="54"/>
        <v>0.33111870158020912</v>
      </c>
      <c r="GF19" s="756">
        <f t="shared" si="55"/>
        <v>0.35885109573348722</v>
      </c>
      <c r="GG19" s="756">
        <f t="shared" si="56"/>
        <v>0.4237555792810147</v>
      </c>
      <c r="GH19" s="552"/>
      <c r="GI19" s="756">
        <f t="shared" si="57"/>
        <v>0</v>
      </c>
      <c r="GJ19" s="756">
        <f t="shared" si="58"/>
        <v>0</v>
      </c>
      <c r="GK19" s="756">
        <f t="shared" si="59"/>
        <v>0</v>
      </c>
      <c r="GL19" s="756">
        <f t="shared" si="60"/>
        <v>0</v>
      </c>
      <c r="GM19" s="552"/>
      <c r="GN19" s="515">
        <v>3.7740478688050416E-2</v>
      </c>
      <c r="GO19" s="515">
        <v>1.9509709457280699E-2</v>
      </c>
      <c r="GP19" s="514">
        <v>5.0602017149588452E-2</v>
      </c>
      <c r="GQ19" s="515">
        <v>2.0617401764973398E-2</v>
      </c>
    </row>
    <row r="20" spans="1:203" s="472" customFormat="1">
      <c r="A20" s="464">
        <v>41580</v>
      </c>
      <c r="B20" s="465">
        <v>2.1</v>
      </c>
      <c r="C20" s="466">
        <v>0</v>
      </c>
      <c r="D20" s="467">
        <v>-2.4070950262100053</v>
      </c>
      <c r="E20" s="467">
        <v>-0.69860689636154272</v>
      </c>
      <c r="F20" s="467">
        <v>-0.92224204962452416</v>
      </c>
      <c r="G20" s="467">
        <v>-2.4751261824847273</v>
      </c>
      <c r="H20" s="468"/>
      <c r="I20" s="464">
        <v>41580</v>
      </c>
      <c r="J20" s="467"/>
      <c r="K20" s="467"/>
      <c r="L20" s="467"/>
      <c r="M20" s="467"/>
      <c r="N20" s="468"/>
      <c r="O20" s="464">
        <v>41580</v>
      </c>
      <c r="P20" s="467">
        <f t="shared" si="131"/>
        <v>-2.1970950262100053</v>
      </c>
      <c r="Q20" s="467">
        <f t="shared" si="131"/>
        <v>-0.4886068963615427</v>
      </c>
      <c r="R20" s="467">
        <f t="shared" si="131"/>
        <v>-0.71224204962452409</v>
      </c>
      <c r="S20" s="467">
        <f t="shared" si="131"/>
        <v>-2.2651261824847273</v>
      </c>
      <c r="T20" s="464">
        <v>41580</v>
      </c>
      <c r="U20" s="468">
        <v>-2.154938442393628</v>
      </c>
      <c r="V20" s="468">
        <v>-0.44674844017861903</v>
      </c>
      <c r="W20" s="468">
        <v>-0.65593879402388233</v>
      </c>
      <c r="X20" s="468">
        <v>-2.1593532157819788</v>
      </c>
      <c r="Y20" s="468"/>
      <c r="Z20" s="464">
        <v>41580</v>
      </c>
      <c r="AA20" s="469">
        <v>41580</v>
      </c>
      <c r="AB20" s="466">
        <v>0</v>
      </c>
      <c r="AC20" s="470">
        <v>2.6588710094669961</v>
      </c>
      <c r="AD20" s="468">
        <v>-2.154938442393628</v>
      </c>
      <c r="AE20" s="468">
        <f t="shared" si="82"/>
        <v>-2753.0670514479043</v>
      </c>
      <c r="AF20" s="471">
        <v>3.1945710094669977</v>
      </c>
      <c r="AG20" s="468">
        <v>-0.44674844017861903</v>
      </c>
      <c r="AH20" s="468">
        <f t="shared" si="83"/>
        <v>-1899.2487830312734</v>
      </c>
      <c r="AI20" s="471">
        <v>3.5144710094669973</v>
      </c>
      <c r="AJ20" s="468">
        <v>-0.65593879402388233</v>
      </c>
      <c r="AK20" s="468">
        <f t="shared" si="84"/>
        <v>-746.99162885286182</v>
      </c>
      <c r="AL20" s="471">
        <v>2.9733710094669976</v>
      </c>
      <c r="AM20" s="468">
        <v>-2.1593532157819788</v>
      </c>
      <c r="AN20" s="468">
        <f t="shared" si="85"/>
        <v>-3079.1042495352121</v>
      </c>
      <c r="AO20" s="464">
        <v>41580</v>
      </c>
      <c r="AP20" s="483">
        <v>12.775618074685683</v>
      </c>
      <c r="AQ20" s="483">
        <v>42.512712126581029</v>
      </c>
      <c r="AR20" s="483">
        <v>11.388130045951577</v>
      </c>
      <c r="AS20" s="483">
        <v>14.259382054918509</v>
      </c>
      <c r="AT20" s="483">
        <f t="shared" si="86"/>
        <v>0.45627207409591725</v>
      </c>
      <c r="AU20" s="483">
        <f t="shared" si="87"/>
        <v>0.7205544428234073</v>
      </c>
      <c r="AV20" s="483">
        <f t="shared" si="88"/>
        <v>0.56940650229757883</v>
      </c>
      <c r="AW20" s="483">
        <f t="shared" si="89"/>
        <v>0.75049379236413205</v>
      </c>
      <c r="AY20" s="470">
        <v>2.6588710094669961</v>
      </c>
      <c r="AZ20" s="471">
        <v>3.1945710094669977</v>
      </c>
      <c r="BA20" s="471">
        <v>3.5144710094669973</v>
      </c>
      <c r="BB20" s="471">
        <v>2.9733710094669976</v>
      </c>
      <c r="BD20" s="232"/>
      <c r="BE20" s="472">
        <v>-2.4070950262100054E-2</v>
      </c>
      <c r="BF20" s="472">
        <v>-6.9860689636154268E-3</v>
      </c>
      <c r="BG20" s="472">
        <v>-9.2224204962452414E-3</v>
      </c>
      <c r="BH20" s="472">
        <v>-2.475126182484727E-2</v>
      </c>
      <c r="BI20" s="232"/>
      <c r="BJ20" s="507">
        <v>33.261334262694845</v>
      </c>
      <c r="BK20" s="507">
        <v>16.122872724233961</v>
      </c>
      <c r="BL20" s="507">
        <v>32.361334262694719</v>
      </c>
      <c r="BM20" s="507">
        <v>17.315180416540787</v>
      </c>
      <c r="BN20" s="232"/>
      <c r="BO20" s="464">
        <v>41580</v>
      </c>
      <c r="BP20" s="473">
        <v>0</v>
      </c>
      <c r="BQ20" s="1">
        <v>5035950</v>
      </c>
      <c r="BR20" s="1">
        <v>11127132</v>
      </c>
      <c r="BS20" s="1">
        <v>6310099.7999999998</v>
      </c>
      <c r="BT20" s="1">
        <v>5970600</v>
      </c>
      <c r="BU20" s="474">
        <v>153402.67665978591</v>
      </c>
      <c r="BV20" s="474">
        <v>509866.00211189309</v>
      </c>
      <c r="BW20" s="474">
        <v>144414.10030668529</v>
      </c>
      <c r="BX20" s="474">
        <v>214415.58927759767</v>
      </c>
      <c r="BY20" s="556">
        <f t="shared" si="18"/>
        <v>10575.495000000001</v>
      </c>
      <c r="BZ20" s="556">
        <f t="shared" si="19"/>
        <v>23366.977200000005</v>
      </c>
      <c r="CA20" s="556">
        <f t="shared" si="20"/>
        <v>13251.209580000001</v>
      </c>
      <c r="CB20" s="556">
        <f t="shared" si="21"/>
        <v>12538.260000000002</v>
      </c>
      <c r="CC20" s="475">
        <f t="shared" si="22"/>
        <v>0</v>
      </c>
      <c r="CD20" s="475">
        <f t="shared" si="23"/>
        <v>0</v>
      </c>
      <c r="CE20" s="475">
        <f t="shared" si="24"/>
        <v>0</v>
      </c>
      <c r="CF20" s="475">
        <f t="shared" si="25"/>
        <v>0</v>
      </c>
      <c r="CG20" s="476">
        <f t="shared" si="90"/>
        <v>322.14562098555047</v>
      </c>
      <c r="CH20" s="476">
        <f t="shared" si="91"/>
        <v>1070.7186044349755</v>
      </c>
      <c r="CI20" s="476">
        <f t="shared" si="92"/>
        <v>303.26961064403912</v>
      </c>
      <c r="CJ20" s="476">
        <f t="shared" si="93"/>
        <v>450.27273748295516</v>
      </c>
      <c r="CK20" s="476">
        <f t="shared" si="94"/>
        <v>322.14562098555047</v>
      </c>
      <c r="CL20" s="476">
        <f t="shared" si="94"/>
        <v>1070.7186044349755</v>
      </c>
      <c r="CM20" s="476">
        <f t="shared" si="94"/>
        <v>303.26961064403912</v>
      </c>
      <c r="CN20" s="476">
        <f t="shared" si="94"/>
        <v>450.27273748295516</v>
      </c>
      <c r="CO20" s="477">
        <f t="shared" si="132"/>
        <v>0.21000000000000002</v>
      </c>
      <c r="CP20" s="477">
        <f t="shared" si="133"/>
        <v>0.21000000000000002</v>
      </c>
      <c r="CQ20" s="477">
        <f t="shared" si="134"/>
        <v>0.21000000000000002</v>
      </c>
      <c r="CR20" s="477">
        <f t="shared" si="135"/>
        <v>0.21000000000000002</v>
      </c>
      <c r="CS20" s="464">
        <v>41580</v>
      </c>
      <c r="CT20" s="478">
        <v>0.94</v>
      </c>
      <c r="CU20" s="479">
        <v>0.59899999999999998</v>
      </c>
      <c r="CV20" s="480">
        <v>0.97</v>
      </c>
      <c r="CW20" s="481">
        <v>0.57099999999999995</v>
      </c>
      <c r="CY20" s="521">
        <v>3.3261334262694842E-2</v>
      </c>
      <c r="CZ20" s="521">
        <v>1.6122872724233961E-2</v>
      </c>
      <c r="DA20" s="519">
        <v>3.2361334262694719E-2</v>
      </c>
      <c r="DB20" s="521">
        <v>1.7315180416540787E-2</v>
      </c>
      <c r="DC20" s="483">
        <f t="shared" si="12"/>
        <v>-3.4190797315366339</v>
      </c>
      <c r="DD20" s="483">
        <f t="shared" si="13"/>
        <v>-1.6890797315367578</v>
      </c>
      <c r="DE20" s="483">
        <f t="shared" si="14"/>
        <v>-3.2790797315366049</v>
      </c>
      <c r="DF20" s="483">
        <f t="shared" si="15"/>
        <v>-1.7790797315367257</v>
      </c>
      <c r="DG20" s="483">
        <f t="shared" si="30"/>
        <v>3.4190797315366339</v>
      </c>
      <c r="DH20" s="483">
        <f t="shared" si="31"/>
        <v>1.6890797315367578</v>
      </c>
      <c r="DI20" s="483">
        <f t="shared" si="32"/>
        <v>3.2790797315366049</v>
      </c>
      <c r="DJ20" s="483">
        <f t="shared" si="33"/>
        <v>1.7790797315367257</v>
      </c>
      <c r="DK20" s="483">
        <f t="shared" si="121"/>
        <v>0.13964500967079019</v>
      </c>
      <c r="DL20" s="483">
        <f t="shared" si="122"/>
        <v>0.75556181800298106</v>
      </c>
      <c r="DM20" s="483">
        <f t="shared" si="123"/>
        <v>0.29408053144645763</v>
      </c>
      <c r="DN20" s="483">
        <f t="shared" si="124"/>
        <v>0.27683103762480066</v>
      </c>
      <c r="DO20" s="483">
        <f t="shared" si="100"/>
        <v>11.936435554390899</v>
      </c>
      <c r="DP20" s="483">
        <f t="shared" si="101"/>
        <v>31.905103817797499</v>
      </c>
      <c r="DQ20" s="483">
        <f t="shared" si="102"/>
        <v>24.10783775263981</v>
      </c>
      <c r="DR20" s="483">
        <f t="shared" si="103"/>
        <v>12.312612202464088</v>
      </c>
      <c r="DS20" s="473">
        <v>0</v>
      </c>
      <c r="DT20" s="473">
        <v>0</v>
      </c>
      <c r="DU20" s="473">
        <v>0</v>
      </c>
      <c r="DV20" s="473">
        <v>0</v>
      </c>
      <c r="DW20" s="552"/>
      <c r="DX20" s="532">
        <v>41580</v>
      </c>
      <c r="DY20" s="552"/>
      <c r="DZ20" s="473"/>
      <c r="EA20" s="473"/>
      <c r="EB20" s="473"/>
      <c r="EC20" s="545"/>
      <c r="ED20" s="552"/>
      <c r="EE20" s="527">
        <f t="shared" si="130"/>
        <v>0.39263815058678042</v>
      </c>
      <c r="EF20" s="473">
        <f t="shared" si="136"/>
        <v>0.46304535938903679</v>
      </c>
      <c r="EG20" s="473">
        <f t="shared" si="137"/>
        <v>0.94763311075074907</v>
      </c>
      <c r="EH20" s="473">
        <f t="shared" si="137"/>
        <v>0.77086307847864743</v>
      </c>
      <c r="EI20" s="552"/>
      <c r="EJ20" s="503">
        <f t="shared" si="36"/>
        <v>501.61950534476307</v>
      </c>
      <c r="EK20" s="503">
        <f t="shared" si="37"/>
        <v>1968.5314065255375</v>
      </c>
      <c r="EL20" s="503">
        <f t="shared" si="38"/>
        <v>1079.1769101079162</v>
      </c>
      <c r="EM20" s="503">
        <f t="shared" si="39"/>
        <v>1099.2031148057665</v>
      </c>
      <c r="EN20" s="552"/>
      <c r="EO20" s="503">
        <f t="shared" si="69"/>
        <v>2.4070950262100053</v>
      </c>
      <c r="EP20" s="503">
        <f t="shared" si="70"/>
        <v>0.69860689636154272</v>
      </c>
      <c r="EQ20" s="503">
        <f t="shared" si="71"/>
        <v>0.92224204962452416</v>
      </c>
      <c r="ER20" s="503">
        <f t="shared" si="72"/>
        <v>2.4751261824847273</v>
      </c>
      <c r="ES20" s="552"/>
      <c r="ET20" s="554">
        <f t="shared" si="40"/>
        <v>3075.2126724334557</v>
      </c>
      <c r="EU20" s="554">
        <f t="shared" si="41"/>
        <v>2969.967387466249</v>
      </c>
      <c r="EV20" s="554">
        <f t="shared" si="42"/>
        <v>1050.261239496901</v>
      </c>
      <c r="EW20" s="554">
        <f t="shared" si="43"/>
        <v>3529.3769870181677</v>
      </c>
      <c r="EX20" s="552"/>
      <c r="EY20" s="532">
        <v>41580</v>
      </c>
      <c r="EZ20" s="552"/>
      <c r="FA20" s="745">
        <f t="shared" si="44"/>
        <v>0.82934655473984842</v>
      </c>
      <c r="FB20" s="745">
        <f t="shared" si="45"/>
        <v>0.73742747578617829</v>
      </c>
      <c r="FC20" s="745">
        <f t="shared" si="46"/>
        <v>1.6192045711613319</v>
      </c>
      <c r="FD20" s="745">
        <f t="shared" si="47"/>
        <v>-1.256909529426649</v>
      </c>
      <c r="FE20" s="761"/>
      <c r="FF20" s="532">
        <v>41580</v>
      </c>
      <c r="FG20" s="761"/>
      <c r="FH20" s="745">
        <v>1059.5414834912708</v>
      </c>
      <c r="FI20" s="745">
        <f t="shared" si="73"/>
        <v>3135.0041992329097</v>
      </c>
      <c r="FJ20" s="745">
        <f t="shared" si="74"/>
        <v>1843.9712227384503</v>
      </c>
      <c r="FK20" s="745">
        <f t="shared" si="75"/>
        <v>-1792.2753188562426</v>
      </c>
      <c r="FL20" s="761"/>
      <c r="FM20" s="756">
        <f t="shared" si="95"/>
        <v>1059.5414834912708</v>
      </c>
      <c r="FN20" s="756">
        <f t="shared" si="96"/>
        <v>3135.0041992329097</v>
      </c>
      <c r="FO20" s="756">
        <f t="shared" si="97"/>
        <v>1843.9712227384503</v>
      </c>
      <c r="FP20" s="756">
        <f t="shared" si="49"/>
        <v>-1792.2753188562426</v>
      </c>
      <c r="FQ20" s="761"/>
      <c r="FR20" s="756">
        <f t="shared" si="50"/>
        <v>4636.3736612694893</v>
      </c>
      <c r="FS20" s="756">
        <f t="shared" si="51"/>
        <v>8073.5029932246962</v>
      </c>
      <c r="FT20" s="756">
        <f t="shared" si="52"/>
        <v>3973.4093723432675</v>
      </c>
      <c r="FU20" s="756">
        <f t="shared" si="53"/>
        <v>4628.5801018239345</v>
      </c>
      <c r="FV20" s="761"/>
      <c r="FW20" s="755">
        <v>41580</v>
      </c>
      <c r="FX20" s="761"/>
      <c r="FY20" s="756">
        <f t="shared" si="76"/>
        <v>165099.62041491742</v>
      </c>
      <c r="FZ20" s="756">
        <f t="shared" si="77"/>
        <v>260644.19179291822</v>
      </c>
      <c r="GA20" s="756">
        <f t="shared" si="78"/>
        <v>137633.21242614061</v>
      </c>
      <c r="GB20" s="756">
        <f t="shared" si="79"/>
        <v>166993.5998785847</v>
      </c>
      <c r="GC20" s="761"/>
      <c r="GD20" s="756">
        <f t="shared" si="54"/>
        <v>0.43664903944684302</v>
      </c>
      <c r="GE20" s="756">
        <f t="shared" si="54"/>
        <v>0.34170301696939742</v>
      </c>
      <c r="GF20" s="756">
        <f t="shared" si="55"/>
        <v>0.36951894256915246</v>
      </c>
      <c r="GG20" s="756">
        <f t="shared" si="56"/>
        <v>0.4358356852360642</v>
      </c>
      <c r="GH20" s="552"/>
      <c r="GI20" s="756">
        <f t="shared" si="57"/>
        <v>0</v>
      </c>
      <c r="GJ20" s="756">
        <f t="shared" si="58"/>
        <v>0</v>
      </c>
      <c r="GK20" s="756">
        <f t="shared" si="59"/>
        <v>0</v>
      </c>
      <c r="GL20" s="756">
        <f t="shared" si="60"/>
        <v>0</v>
      </c>
      <c r="GM20" s="552"/>
    </row>
    <row r="21" spans="1:203" s="472" customFormat="1">
      <c r="A21" s="464">
        <v>41581</v>
      </c>
      <c r="B21" s="465">
        <v>0.4</v>
      </c>
      <c r="C21" s="466">
        <v>0</v>
      </c>
      <c r="D21" s="485">
        <v>1.4935346505020091</v>
      </c>
      <c r="E21" s="485">
        <v>1.6999130614841298</v>
      </c>
      <c r="F21" s="485">
        <v>2.8229936699320426</v>
      </c>
      <c r="G21" s="485">
        <v>-0.58680197640125353</v>
      </c>
      <c r="H21" s="487"/>
      <c r="I21" s="464">
        <v>41581</v>
      </c>
      <c r="J21" s="467"/>
      <c r="K21" s="467"/>
      <c r="L21" s="467"/>
      <c r="M21" s="467"/>
      <c r="N21" s="487"/>
      <c r="O21" s="464">
        <v>41581</v>
      </c>
      <c r="P21" s="467">
        <f t="shared" si="131"/>
        <v>1.5335346505020091</v>
      </c>
      <c r="Q21" s="467">
        <f t="shared" si="131"/>
        <v>1.7399130614841298</v>
      </c>
      <c r="R21" s="467">
        <f t="shared" si="131"/>
        <v>2.8629936699320426</v>
      </c>
      <c r="S21" s="467">
        <f t="shared" si="131"/>
        <v>-0.5468019764012535</v>
      </c>
      <c r="T21" s="464">
        <v>41581</v>
      </c>
      <c r="U21" s="468">
        <v>1.5423033251960923</v>
      </c>
      <c r="V21" s="468">
        <v>1.7487213921147433</v>
      </c>
      <c r="W21" s="468">
        <v>2.8750361763326175</v>
      </c>
      <c r="X21" s="468">
        <v>-0.52532183695556334</v>
      </c>
      <c r="Y21" s="487"/>
      <c r="Z21" s="464">
        <v>41581</v>
      </c>
      <c r="AA21" s="469">
        <v>41581</v>
      </c>
      <c r="AB21" s="466">
        <v>0</v>
      </c>
      <c r="AC21" s="470">
        <v>2.6246802121516297</v>
      </c>
      <c r="AD21" s="468">
        <v>1.5423033251960923</v>
      </c>
      <c r="AE21" s="468">
        <f t="shared" si="82"/>
        <v>1940.5362954025331</v>
      </c>
      <c r="AF21" s="471">
        <v>3.1776802121516301</v>
      </c>
      <c r="AG21" s="468">
        <v>1.7487213921147433</v>
      </c>
      <c r="AH21" s="468">
        <f t="shared" si="83"/>
        <v>7307.0606880855057</v>
      </c>
      <c r="AI21" s="471">
        <v>3.4816802121516313</v>
      </c>
      <c r="AJ21" s="468">
        <v>2.8750361763326175</v>
      </c>
      <c r="AK21" s="468">
        <f t="shared" si="84"/>
        <v>3191.2049704789806</v>
      </c>
      <c r="AL21" s="471">
        <v>2.9555802121516304</v>
      </c>
      <c r="AM21" s="468">
        <v>-0.52532183695556334</v>
      </c>
      <c r="AN21" s="468">
        <f t="shared" si="85"/>
        <v>-732.83627686445152</v>
      </c>
      <c r="AO21" s="464">
        <v>41581</v>
      </c>
      <c r="AP21" s="483">
        <v>12.582066469679749</v>
      </c>
      <c r="AQ21" s="483">
        <v>41.785162124934132</v>
      </c>
      <c r="AR21" s="483">
        <v>11.099703707205753</v>
      </c>
      <c r="AS21" s="483">
        <v>13.950234414611661</v>
      </c>
      <c r="AT21" s="483">
        <f t="shared" si="86"/>
        <v>0.44935951677427671</v>
      </c>
      <c r="AU21" s="483">
        <f t="shared" si="87"/>
        <v>0.70822308686329039</v>
      </c>
      <c r="AV21" s="483">
        <f t="shared" si="88"/>
        <v>0.55498518536028763</v>
      </c>
      <c r="AW21" s="483">
        <f t="shared" si="89"/>
        <v>0.73422286392692948</v>
      </c>
      <c r="AY21" s="470">
        <v>2.6246802121516297</v>
      </c>
      <c r="AZ21" s="471">
        <v>3.1776802121516301</v>
      </c>
      <c r="BA21" s="471">
        <v>3.4816802121516313</v>
      </c>
      <c r="BB21" s="471">
        <v>2.9555802121516304</v>
      </c>
      <c r="BD21" s="232"/>
      <c r="BE21" s="472">
        <v>-2.3944653494979908E-2</v>
      </c>
      <c r="BF21" s="472">
        <v>-6.9048693851587054E-3</v>
      </c>
      <c r="BG21" s="472">
        <v>-9.2100633006795777E-3</v>
      </c>
      <c r="BH21" s="472">
        <v>-2.4732019764012535E-2</v>
      </c>
      <c r="BI21" s="232"/>
      <c r="BJ21" s="507">
        <v>-3.4611894864682027</v>
      </c>
      <c r="BK21" s="507">
        <v>-5.315958717237633</v>
      </c>
      <c r="BL21" s="507">
        <v>-3.0134971787750544</v>
      </c>
      <c r="BM21" s="507">
        <v>0.10865666737846363</v>
      </c>
      <c r="BN21" s="232"/>
      <c r="BO21" s="464">
        <v>41581</v>
      </c>
      <c r="BP21" s="473">
        <v>0</v>
      </c>
      <c r="BQ21" s="1">
        <v>5035950</v>
      </c>
      <c r="BR21" s="1">
        <v>11127132</v>
      </c>
      <c r="BS21" s="1">
        <v>6310099.7999999998</v>
      </c>
      <c r="BT21" s="1">
        <v>5970600</v>
      </c>
      <c r="BU21" s="474">
        <v>153402.67665978591</v>
      </c>
      <c r="BV21" s="474">
        <v>509866.00211189309</v>
      </c>
      <c r="BW21" s="474">
        <v>144414.10030668529</v>
      </c>
      <c r="BX21" s="474">
        <v>214415.58927759767</v>
      </c>
      <c r="BY21" s="556">
        <f t="shared" si="18"/>
        <v>2014.38</v>
      </c>
      <c r="BZ21" s="556">
        <f t="shared" si="19"/>
        <v>4450.8528000000006</v>
      </c>
      <c r="CA21" s="556">
        <f t="shared" si="20"/>
        <v>2524.0399200000002</v>
      </c>
      <c r="CB21" s="556">
        <f t="shared" si="21"/>
        <v>2388.2400000000002</v>
      </c>
      <c r="CC21" s="475">
        <f t="shared" si="22"/>
        <v>0</v>
      </c>
      <c r="CD21" s="475">
        <f t="shared" si="23"/>
        <v>0</v>
      </c>
      <c r="CE21" s="475">
        <f t="shared" si="24"/>
        <v>0</v>
      </c>
      <c r="CF21" s="475">
        <f t="shared" si="25"/>
        <v>0</v>
      </c>
      <c r="CG21" s="476">
        <f t="shared" si="90"/>
        <v>61.361070663914369</v>
      </c>
      <c r="CH21" s="476">
        <f t="shared" si="91"/>
        <v>203.94640084475725</v>
      </c>
      <c r="CI21" s="476">
        <f t="shared" si="92"/>
        <v>57.765640122674114</v>
      </c>
      <c r="CJ21" s="476">
        <f t="shared" si="93"/>
        <v>85.766235711039073</v>
      </c>
      <c r="CK21" s="476">
        <f t="shared" si="94"/>
        <v>61.361070663914369</v>
      </c>
      <c r="CL21" s="476">
        <f t="shared" si="94"/>
        <v>203.94640084475725</v>
      </c>
      <c r="CM21" s="476">
        <f t="shared" si="94"/>
        <v>57.765640122674114</v>
      </c>
      <c r="CN21" s="476">
        <f t="shared" si="94"/>
        <v>85.766235711039073</v>
      </c>
      <c r="CO21" s="477">
        <f t="shared" si="132"/>
        <v>0.04</v>
      </c>
      <c r="CP21" s="477">
        <f t="shared" si="133"/>
        <v>0.04</v>
      </c>
      <c r="CQ21" s="477">
        <f t="shared" si="134"/>
        <v>0.04</v>
      </c>
      <c r="CR21" s="477">
        <f t="shared" si="135"/>
        <v>0.04</v>
      </c>
      <c r="CS21" s="464">
        <v>41581</v>
      </c>
      <c r="CT21" s="478">
        <v>0.80900000000000005</v>
      </c>
      <c r="CU21" s="479">
        <v>0.628</v>
      </c>
      <c r="CV21" s="480">
        <v>0.95199999999999996</v>
      </c>
      <c r="CW21" s="481">
        <v>0.48199999999999998</v>
      </c>
      <c r="CY21" s="522">
        <v>3.5418810513531795E-2</v>
      </c>
      <c r="CZ21" s="522">
        <v>1.8588041282762369E-2</v>
      </c>
      <c r="DA21" s="522">
        <v>3.4426502821224947E-2</v>
      </c>
      <c r="DB21" s="522">
        <v>1.8972656667378462E-2</v>
      </c>
      <c r="DC21" s="483">
        <f t="shared" si="12"/>
        <v>-3.4403064428619956</v>
      </c>
      <c r="DD21" s="483">
        <f t="shared" si="13"/>
        <v>-1.8003064428620874</v>
      </c>
      <c r="DE21" s="483">
        <f t="shared" si="14"/>
        <v>-3.4203064428622199</v>
      </c>
      <c r="DF21" s="483">
        <f t="shared" si="15"/>
        <v>-1.8703064428621019</v>
      </c>
      <c r="DG21" s="483">
        <f t="shared" si="30"/>
        <v>3.4403064428619956</v>
      </c>
      <c r="DH21" s="483">
        <f t="shared" si="31"/>
        <v>1.8003064428620874</v>
      </c>
      <c r="DI21" s="483">
        <f t="shared" si="32"/>
        <v>3.4203064428622199</v>
      </c>
      <c r="DJ21" s="483">
        <f t="shared" si="33"/>
        <v>1.8703064428621019</v>
      </c>
      <c r="DK21" s="483">
        <f t="shared" si="121"/>
        <v>0.19355160500593449</v>
      </c>
      <c r="DL21" s="483">
        <f t="shared" si="122"/>
        <v>0.72755000164689676</v>
      </c>
      <c r="DM21" s="483">
        <f t="shared" si="123"/>
        <v>0.28842633874582368</v>
      </c>
      <c r="DN21" s="483">
        <f t="shared" si="124"/>
        <v>0.30914764030684871</v>
      </c>
      <c r="DO21" s="483">
        <f t="shared" si="100"/>
        <v>16.646920843204914</v>
      </c>
      <c r="DP21" s="483">
        <f t="shared" si="101"/>
        <v>32.745323886730759</v>
      </c>
      <c r="DQ21" s="483">
        <f t="shared" si="102"/>
        <v>24.662661617587549</v>
      </c>
      <c r="DR21" s="483">
        <f t="shared" si="103"/>
        <v>14.455020586537872</v>
      </c>
      <c r="DS21" s="473">
        <v>3.8879999999999999</v>
      </c>
      <c r="DT21" s="473">
        <v>2.3904000000000001</v>
      </c>
      <c r="DU21" s="473">
        <v>3.7440000000000002</v>
      </c>
      <c r="DV21" s="473">
        <v>1.8863999999999999</v>
      </c>
      <c r="DW21" s="552"/>
      <c r="DX21" s="532">
        <v>41581</v>
      </c>
      <c r="DY21" s="552"/>
      <c r="DZ21" s="473"/>
      <c r="EA21" s="473"/>
      <c r="EB21" s="473"/>
      <c r="EC21" s="545"/>
      <c r="ED21" s="552"/>
      <c r="EE21" s="527">
        <f t="shared" si="130"/>
        <v>0.38106161444436021</v>
      </c>
      <c r="EF21" s="473">
        <f t="shared" si="136"/>
        <v>0.38894386471994391</v>
      </c>
      <c r="EG21" s="473">
        <f t="shared" si="137"/>
        <v>0.92360388660591441</v>
      </c>
      <c r="EH21" s="473">
        <f t="shared" si="137"/>
        <v>0.78261309404124402</v>
      </c>
      <c r="EI21" s="552"/>
      <c r="EJ21" s="503">
        <f t="shared" si="36"/>
        <v>479.45425619824169</v>
      </c>
      <c r="EK21" s="503">
        <f t="shared" si="37"/>
        <v>1625.2082444821306</v>
      </c>
      <c r="EL21" s="503">
        <f t="shared" si="38"/>
        <v>1025.1729484149312</v>
      </c>
      <c r="EM21" s="503">
        <f t="shared" si="39"/>
        <v>1091.7636117819873</v>
      </c>
      <c r="EN21" s="552"/>
      <c r="EO21" s="503">
        <f t="shared" si="69"/>
        <v>2.3944653494979908</v>
      </c>
      <c r="EP21" s="503">
        <f t="shared" si="70"/>
        <v>0.69048693851587051</v>
      </c>
      <c r="EQ21" s="503">
        <f t="shared" si="71"/>
        <v>0.92100633006795773</v>
      </c>
      <c r="ER21" s="503">
        <f t="shared" si="72"/>
        <v>2.4732019764012536</v>
      </c>
      <c r="ES21" s="552"/>
      <c r="ET21" s="554">
        <f t="shared" si="40"/>
        <v>3012.732218672867</v>
      </c>
      <c r="EU21" s="554">
        <f t="shared" si="41"/>
        <v>2885.2108671035076</v>
      </c>
      <c r="EV21" s="554">
        <f t="shared" si="42"/>
        <v>1022.2897376215277</v>
      </c>
      <c r="EW21" s="554">
        <f t="shared" si="43"/>
        <v>3450.1747325478345</v>
      </c>
      <c r="EX21" s="552"/>
      <c r="EY21" s="532">
        <v>41581</v>
      </c>
      <c r="EZ21" s="552"/>
      <c r="FA21" s="745">
        <f t="shared" si="44"/>
        <v>0.70477947891964465</v>
      </c>
      <c r="FB21" s="745">
        <f t="shared" si="45"/>
        <v>0.76087563962627303</v>
      </c>
      <c r="FC21" s="745">
        <f t="shared" si="46"/>
        <v>1.6156962261883479</v>
      </c>
      <c r="FD21" s="745">
        <f t="shared" si="47"/>
        <v>-1.3455086275803958</v>
      </c>
      <c r="FE21" s="761"/>
      <c r="FF21" s="532">
        <v>41581</v>
      </c>
      <c r="FG21" s="761"/>
      <c r="FH21" s="745">
        <v>886.75822502332255</v>
      </c>
      <c r="FI21" s="745">
        <f t="shared" si="73"/>
        <v>3179.3311958696772</v>
      </c>
      <c r="FJ21" s="745">
        <f t="shared" si="74"/>
        <v>1793.3749391541148</v>
      </c>
      <c r="FK21" s="745">
        <f t="shared" si="75"/>
        <v>-1877.016076162894</v>
      </c>
      <c r="FL21" s="761"/>
      <c r="FM21" s="756">
        <f t="shared" si="95"/>
        <v>886.75822502332255</v>
      </c>
      <c r="FN21" s="756">
        <f t="shared" si="96"/>
        <v>3179.3311958696772</v>
      </c>
      <c r="FO21" s="756">
        <f t="shared" si="97"/>
        <v>1793.3749391541148</v>
      </c>
      <c r="FP21" s="756">
        <f t="shared" si="49"/>
        <v>-1877.016076162894</v>
      </c>
      <c r="FQ21" s="761"/>
      <c r="FR21" s="756">
        <f t="shared" si="50"/>
        <v>4378.9446998944313</v>
      </c>
      <c r="FS21" s="756">
        <f t="shared" si="51"/>
        <v>7689.750307455316</v>
      </c>
      <c r="FT21" s="756">
        <f t="shared" si="52"/>
        <v>3840.8376251905738</v>
      </c>
      <c r="FU21" s="756">
        <f t="shared" si="53"/>
        <v>4541.938344329822</v>
      </c>
      <c r="FV21" s="761"/>
      <c r="FW21" s="755">
        <v>41581</v>
      </c>
      <c r="FX21" s="761"/>
      <c r="FY21" s="756">
        <f t="shared" si="76"/>
        <v>169478.56511481185</v>
      </c>
      <c r="FZ21" s="756">
        <f t="shared" si="77"/>
        <v>268333.94210037356</v>
      </c>
      <c r="GA21" s="756">
        <f t="shared" si="78"/>
        <v>141474.0500513312</v>
      </c>
      <c r="GB21" s="756">
        <f t="shared" si="79"/>
        <v>171535.53822291453</v>
      </c>
      <c r="GC21" s="761"/>
      <c r="GD21" s="756">
        <f t="shared" si="54"/>
        <v>0.44823030167018718</v>
      </c>
      <c r="GE21" s="756">
        <f t="shared" si="54"/>
        <v>0.35178423482322352</v>
      </c>
      <c r="GF21" s="756">
        <f t="shared" si="55"/>
        <v>0.37983085953179602</v>
      </c>
      <c r="GG21" s="756">
        <f t="shared" si="56"/>
        <v>0.44768966534093169</v>
      </c>
      <c r="GH21" s="552"/>
      <c r="GI21" s="756">
        <f t="shared" si="57"/>
        <v>0</v>
      </c>
      <c r="GJ21" s="756">
        <f t="shared" si="58"/>
        <v>0</v>
      </c>
      <c r="GK21" s="756">
        <f t="shared" si="59"/>
        <v>0</v>
      </c>
      <c r="GL21" s="756">
        <f t="shared" si="60"/>
        <v>0</v>
      </c>
      <c r="GM21" s="552"/>
    </row>
    <row r="22" spans="1:203" s="472" customFormat="1">
      <c r="A22" s="464">
        <v>41582</v>
      </c>
      <c r="B22" s="465">
        <v>22.5</v>
      </c>
      <c r="C22" s="466">
        <v>0</v>
      </c>
      <c r="D22" s="467">
        <v>-2.3813414128631907</v>
      </c>
      <c r="E22" s="467">
        <v>-0.68143523884425483</v>
      </c>
      <c r="F22" s="467">
        <v>-0.91954648392301075</v>
      </c>
      <c r="G22" s="467">
        <v>-2.4703986193876206</v>
      </c>
      <c r="H22" s="468"/>
      <c r="I22" s="464">
        <v>41582</v>
      </c>
      <c r="J22" s="467"/>
      <c r="K22" s="467"/>
      <c r="L22" s="467"/>
      <c r="M22" s="467"/>
      <c r="N22" s="468"/>
      <c r="O22" s="464">
        <v>41582</v>
      </c>
      <c r="P22" s="467">
        <f t="shared" si="131"/>
        <v>1.2536027435948971</v>
      </c>
      <c r="Q22" s="467">
        <f t="shared" si="131"/>
        <v>2.6733865283783773</v>
      </c>
      <c r="R22" s="467">
        <f t="shared" si="131"/>
        <v>3.1738146196476809</v>
      </c>
      <c r="S22" s="467">
        <f t="shared" si="131"/>
        <v>1.1893012350789807</v>
      </c>
      <c r="T22" s="464">
        <v>41582</v>
      </c>
      <c r="U22" s="468">
        <v>3.141594661762821</v>
      </c>
      <c r="V22" s="468">
        <v>2.7876186765111797</v>
      </c>
      <c r="W22" s="468">
        <v>3.2549124248734582</v>
      </c>
      <c r="X22" s="468">
        <v>2.5276564337949594</v>
      </c>
      <c r="Y22" s="468"/>
      <c r="Z22" s="464">
        <v>41582</v>
      </c>
      <c r="AA22" s="469">
        <v>41582</v>
      </c>
      <c r="AB22" s="466">
        <v>0</v>
      </c>
      <c r="AC22" s="470">
        <v>2.5902771477230098</v>
      </c>
      <c r="AD22" s="468">
        <v>3.141594661762821</v>
      </c>
      <c r="AE22" s="468">
        <f t="shared" si="82"/>
        <v>3896.9344550116743</v>
      </c>
      <c r="AF22" s="471">
        <v>3.1596771477230092</v>
      </c>
      <c r="AG22" s="468">
        <v>2.7876186765111797</v>
      </c>
      <c r="AH22" s="468">
        <f t="shared" si="83"/>
        <v>11471.40497461536</v>
      </c>
      <c r="AI22" s="471">
        <v>3.4474771477230091</v>
      </c>
      <c r="AJ22" s="468">
        <v>3.2549124248734582</v>
      </c>
      <c r="AK22" s="468">
        <f t="shared" si="84"/>
        <v>3552.6835850449629</v>
      </c>
      <c r="AL22" s="471">
        <v>2.9368771477230093</v>
      </c>
      <c r="AM22" s="468">
        <v>2.5276564337949594</v>
      </c>
      <c r="AN22" s="468">
        <f t="shared" si="85"/>
        <v>3458.8904399302382</v>
      </c>
      <c r="AO22" s="464">
        <v>41582</v>
      </c>
      <c r="AP22" s="483">
        <v>12.404319699298872</v>
      </c>
      <c r="AQ22" s="483">
        <v>41.151270334335322</v>
      </c>
      <c r="AR22" s="483">
        <v>10.91483616547097</v>
      </c>
      <c r="AS22" s="483">
        <v>13.684179517772311</v>
      </c>
      <c r="AT22" s="483">
        <f t="shared" si="86"/>
        <v>0.44301141783210257</v>
      </c>
      <c r="AU22" s="483">
        <f t="shared" si="87"/>
        <v>0.69747915820907325</v>
      </c>
      <c r="AV22" s="483">
        <f t="shared" si="88"/>
        <v>0.54574180827354846</v>
      </c>
      <c r="AW22" s="483">
        <f t="shared" si="89"/>
        <v>0.7202199746195953</v>
      </c>
      <c r="AY22" s="470">
        <v>2.5902771477230098</v>
      </c>
      <c r="AZ22" s="471">
        <v>3.1596771477230092</v>
      </c>
      <c r="BA22" s="471">
        <v>3.4474771477230091</v>
      </c>
      <c r="BB22" s="471">
        <v>2.9368771477230093</v>
      </c>
      <c r="BD22" s="232"/>
      <c r="BE22" s="472">
        <v>-2.3813414128631905E-2</v>
      </c>
      <c r="BF22" s="472">
        <v>-6.8143523884425482E-3</v>
      </c>
      <c r="BG22" s="472">
        <v>-9.1954648392301077E-3</v>
      </c>
      <c r="BH22" s="472">
        <v>-2.4703986193876204E-2</v>
      </c>
      <c r="BI22" s="232"/>
      <c r="BJ22" s="507">
        <v>-20.412999089584272</v>
      </c>
      <c r="BK22" s="507">
        <v>-8.5514606280452377</v>
      </c>
      <c r="BL22" s="507">
        <v>2.6100778334918751</v>
      </c>
      <c r="BM22" s="507">
        <v>-12.451460628045918</v>
      </c>
      <c r="BN22" s="232"/>
      <c r="BO22" s="464">
        <v>41582</v>
      </c>
      <c r="BP22" s="473">
        <v>0.33749999999999997</v>
      </c>
      <c r="BQ22" s="1">
        <v>5035950</v>
      </c>
      <c r="BR22" s="1">
        <v>11127132</v>
      </c>
      <c r="BS22" s="1">
        <v>6310099.7999999998</v>
      </c>
      <c r="BT22" s="1">
        <v>5970600</v>
      </c>
      <c r="BU22" s="474">
        <v>153402.67665978591</v>
      </c>
      <c r="BV22" s="474">
        <v>509866.00211189309</v>
      </c>
      <c r="BW22" s="474">
        <v>144414.10030668529</v>
      </c>
      <c r="BX22" s="474">
        <v>214415.58927759767</v>
      </c>
      <c r="BY22" s="556">
        <f t="shared" si="18"/>
        <v>113308.875</v>
      </c>
      <c r="BZ22" s="556">
        <f t="shared" si="19"/>
        <v>250360.47</v>
      </c>
      <c r="CA22" s="556">
        <f t="shared" si="20"/>
        <v>141977.24549999999</v>
      </c>
      <c r="CB22" s="556">
        <f t="shared" si="21"/>
        <v>134338.5</v>
      </c>
      <c r="CC22" s="475">
        <f t="shared" si="22"/>
        <v>2124.5414062499999</v>
      </c>
      <c r="CD22" s="475">
        <f t="shared" si="23"/>
        <v>5633.1105749999997</v>
      </c>
      <c r="CE22" s="475">
        <f t="shared" si="24"/>
        <v>2662.0733531249994</v>
      </c>
      <c r="CF22" s="475">
        <f t="shared" si="25"/>
        <v>3022.61625</v>
      </c>
      <c r="CG22" s="476">
        <f t="shared" si="90"/>
        <v>3451.5602248451828</v>
      </c>
      <c r="CH22" s="476">
        <f t="shared" si="91"/>
        <v>11471.985047517594</v>
      </c>
      <c r="CI22" s="476">
        <f t="shared" si="92"/>
        <v>3249.3172569004187</v>
      </c>
      <c r="CJ22" s="476">
        <f t="shared" si="93"/>
        <v>4824.3507587459471</v>
      </c>
      <c r="CK22" s="476">
        <f t="shared" si="94"/>
        <v>5576.1016310951827</v>
      </c>
      <c r="CL22" s="476">
        <f t="shared" si="94"/>
        <v>17105.095622517594</v>
      </c>
      <c r="CM22" s="476">
        <f t="shared" si="94"/>
        <v>5911.390610025418</v>
      </c>
      <c r="CN22" s="476">
        <f t="shared" si="94"/>
        <v>7846.9670087459472</v>
      </c>
      <c r="CO22" s="477">
        <f t="shared" si="132"/>
        <v>3.6349441564580878</v>
      </c>
      <c r="CP22" s="477">
        <f t="shared" si="133"/>
        <v>3.3548217672226324</v>
      </c>
      <c r="CQ22" s="477">
        <f t="shared" si="134"/>
        <v>4.0933611035706914</v>
      </c>
      <c r="CR22" s="477">
        <f t="shared" si="135"/>
        <v>3.6596998544666013</v>
      </c>
      <c r="CS22" s="464">
        <v>41582</v>
      </c>
      <c r="CT22" s="478">
        <v>0.85399999999999998</v>
      </c>
      <c r="CU22" s="479">
        <v>0.47799999999999998</v>
      </c>
      <c r="CV22" s="480">
        <v>0.98599999999999999</v>
      </c>
      <c r="CW22" s="481">
        <v>0.42699999999999999</v>
      </c>
      <c r="CY22" s="521">
        <v>-2.0412999089584272E-2</v>
      </c>
      <c r="CZ22" s="521">
        <v>-8.5514606280452377E-3</v>
      </c>
      <c r="DA22" s="521">
        <v>2.6100778334918751E-3</v>
      </c>
      <c r="DB22" s="521">
        <v>-1.2451460628045918E-2</v>
      </c>
      <c r="DC22" s="483">
        <f t="shared" si="12"/>
        <v>1.9942336578754549</v>
      </c>
      <c r="DD22" s="483">
        <f t="shared" si="13"/>
        <v>0.83423365787549386</v>
      </c>
      <c r="DE22" s="483">
        <f t="shared" si="14"/>
        <v>-0.29576634212453712</v>
      </c>
      <c r="DF22" s="483">
        <f t="shared" si="15"/>
        <v>1.2642336578753799</v>
      </c>
      <c r="DG22" s="483">
        <f t="shared" si="30"/>
        <v>0</v>
      </c>
      <c r="DH22" s="483">
        <f t="shared" si="31"/>
        <v>0</v>
      </c>
      <c r="DI22" s="483">
        <f t="shared" si="32"/>
        <v>0.29576634212453712</v>
      </c>
      <c r="DJ22" s="483">
        <f t="shared" si="33"/>
        <v>0</v>
      </c>
      <c r="DK22" s="483">
        <f t="shared" si="121"/>
        <v>0</v>
      </c>
      <c r="DL22" s="483">
        <f t="shared" si="122"/>
        <v>0</v>
      </c>
      <c r="DM22" s="483">
        <f t="shared" si="123"/>
        <v>0.18486754173478381</v>
      </c>
      <c r="DN22" s="483">
        <f t="shared" si="124"/>
        <v>0</v>
      </c>
      <c r="DO22" s="483">
        <f t="shared" si="100"/>
        <v>0</v>
      </c>
      <c r="DP22" s="483">
        <f t="shared" si="101"/>
        <v>0</v>
      </c>
      <c r="DQ22" s="483">
        <f t="shared" si="102"/>
        <v>1.3669399149113053</v>
      </c>
      <c r="DR22" s="483">
        <f t="shared" si="103"/>
        <v>0</v>
      </c>
      <c r="DS22" s="473">
        <v>0</v>
      </c>
      <c r="DT22" s="473">
        <v>0</v>
      </c>
      <c r="DU22" s="473">
        <v>0</v>
      </c>
      <c r="DV22" s="473">
        <v>0</v>
      </c>
      <c r="DW22" s="552"/>
      <c r="DX22" s="532">
        <v>41582</v>
      </c>
      <c r="DY22" s="552"/>
      <c r="DZ22" s="473"/>
      <c r="EA22" s="473"/>
      <c r="EB22" s="473"/>
      <c r="EC22" s="545"/>
      <c r="ED22" s="552"/>
      <c r="EE22" s="527">
        <f t="shared" si="130"/>
        <v>0.36948507830194</v>
      </c>
      <c r="EF22" s="473">
        <f t="shared" si="136"/>
        <v>0.31484237005085103</v>
      </c>
      <c r="EG22" s="473">
        <f t="shared" si="137"/>
        <v>0.90620663346109875</v>
      </c>
      <c r="EH22" s="473">
        <f t="shared" si="137"/>
        <v>0.81443968996700489</v>
      </c>
      <c r="EI22" s="552"/>
      <c r="EJ22" s="503">
        <f t="shared" si="36"/>
        <v>458.32110353777404</v>
      </c>
      <c r="EK22" s="503">
        <f t="shared" si="37"/>
        <v>1295.6163482665409</v>
      </c>
      <c r="EL22" s="503">
        <f t="shared" si="38"/>
        <v>989.10969362908952</v>
      </c>
      <c r="EM22" s="503">
        <f t="shared" si="39"/>
        <v>1114.4938923907318</v>
      </c>
      <c r="EN22" s="552"/>
      <c r="EO22" s="503">
        <f t="shared" si="69"/>
        <v>2.3813414128631907</v>
      </c>
      <c r="EP22" s="503">
        <f t="shared" si="70"/>
        <v>0.68143523884425483</v>
      </c>
      <c r="EQ22" s="503">
        <f t="shared" si="71"/>
        <v>0.91954648392301075</v>
      </c>
      <c r="ER22" s="503">
        <f t="shared" si="72"/>
        <v>2.4703986193876206</v>
      </c>
      <c r="ES22" s="552"/>
      <c r="ET22" s="554">
        <f t="shared" si="40"/>
        <v>2953.8920198335081</v>
      </c>
      <c r="EU22" s="554">
        <f t="shared" si="41"/>
        <v>2804.1925729022287</v>
      </c>
      <c r="EV22" s="554">
        <f t="shared" si="42"/>
        <v>1003.6699218554547</v>
      </c>
      <c r="EW22" s="554">
        <f t="shared" si="43"/>
        <v>3380.5378188157074</v>
      </c>
      <c r="EX22" s="552"/>
      <c r="EY22" s="532">
        <v>41582</v>
      </c>
      <c r="EZ22" s="552"/>
      <c r="FA22" s="745">
        <f t="shared" si="44"/>
        <v>-1.1101159925824979</v>
      </c>
      <c r="FB22" s="745">
        <f t="shared" si="45"/>
        <v>1.5243105004520325</v>
      </c>
      <c r="FC22" s="745">
        <f t="shared" si="46"/>
        <v>2.5633743283111192</v>
      </c>
      <c r="FD22" s="745">
        <f t="shared" si="47"/>
        <v>-0.88937211276340422</v>
      </c>
      <c r="FE22" s="761"/>
      <c r="FF22" s="532">
        <v>41582</v>
      </c>
      <c r="FG22" s="761"/>
      <c r="FH22" s="745">
        <v>-1033.4375658821423</v>
      </c>
      <c r="FI22" s="745">
        <f t="shared" si="73"/>
        <v>6272.7313477567559</v>
      </c>
      <c r="FJ22" s="745">
        <f t="shared" si="74"/>
        <v>2797.8810824290058</v>
      </c>
      <c r="FK22" s="745">
        <f t="shared" si="75"/>
        <v>-1217.0327649154863</v>
      </c>
      <c r="FL22" s="761"/>
      <c r="FM22" s="756">
        <f t="shared" si="95"/>
        <v>-1033.4375658821423</v>
      </c>
      <c r="FN22" s="756">
        <f t="shared" si="96"/>
        <v>6272.7313477567559</v>
      </c>
      <c r="FO22" s="756">
        <f t="shared" si="97"/>
        <v>2797.8810824290058</v>
      </c>
      <c r="FP22" s="756">
        <f t="shared" si="49"/>
        <v>-1217.0327649154863</v>
      </c>
      <c r="FQ22" s="761"/>
      <c r="FR22" s="756">
        <f t="shared" si="50"/>
        <v>3412.2131233712821</v>
      </c>
      <c r="FS22" s="756">
        <f t="shared" si="51"/>
        <v>10372.540268925526</v>
      </c>
      <c r="FT22" s="756">
        <f t="shared" si="52"/>
        <v>4790.6606979135504</v>
      </c>
      <c r="FU22" s="756">
        <f t="shared" si="53"/>
        <v>4495.0317112064395</v>
      </c>
      <c r="FV22" s="761"/>
      <c r="FW22" s="755">
        <v>41582</v>
      </c>
      <c r="FX22" s="761"/>
      <c r="FY22" s="756">
        <f t="shared" si="76"/>
        <v>172890.77823818312</v>
      </c>
      <c r="FZ22" s="756">
        <f t="shared" si="77"/>
        <v>278706.4823692991</v>
      </c>
      <c r="GA22" s="756">
        <f t="shared" si="78"/>
        <v>146264.71074924475</v>
      </c>
      <c r="GB22" s="756">
        <f t="shared" si="79"/>
        <v>176030.56993412098</v>
      </c>
      <c r="GC22" s="761"/>
      <c r="GD22" s="756">
        <f t="shared" si="54"/>
        <v>0.45725478990924895</v>
      </c>
      <c r="GE22" s="756">
        <f t="shared" si="54"/>
        <v>0.3653825746870345</v>
      </c>
      <c r="GF22" s="756">
        <f t="shared" si="55"/>
        <v>0.39269287040908041</v>
      </c>
      <c r="GG22" s="756">
        <f t="shared" si="56"/>
        <v>0.45942122407992464</v>
      </c>
      <c r="GH22" s="552"/>
      <c r="GI22" s="756">
        <f t="shared" si="57"/>
        <v>1751.4065283726777</v>
      </c>
      <c r="GJ22" s="756">
        <f t="shared" si="58"/>
        <v>88368.453578537185</v>
      </c>
      <c r="GK22" s="756">
        <f t="shared" si="59"/>
        <v>2178.3984413535059</v>
      </c>
      <c r="GL22" s="756">
        <f t="shared" si="60"/>
        <v>2087.442761381189</v>
      </c>
      <c r="GM22" s="552"/>
    </row>
    <row r="23" spans="1:203" s="472" customFormat="1">
      <c r="A23" s="464">
        <v>41583</v>
      </c>
      <c r="B23" s="465">
        <v>4.75</v>
      </c>
      <c r="C23" s="466">
        <v>0</v>
      </c>
      <c r="D23" s="467">
        <v>-2.3890007803817759</v>
      </c>
      <c r="E23" s="467">
        <v>-0.68568150311010689</v>
      </c>
      <c r="F23" s="467">
        <v>-0.91941175854233448</v>
      </c>
      <c r="G23" s="467">
        <v>-2.4723830948889263</v>
      </c>
      <c r="H23" s="468"/>
      <c r="I23" s="464">
        <v>41583</v>
      </c>
      <c r="J23" s="467"/>
      <c r="K23" s="467"/>
      <c r="L23" s="467"/>
      <c r="M23" s="467"/>
      <c r="N23" s="468"/>
      <c r="O23" s="464">
        <v>41583</v>
      </c>
      <c r="P23" s="467">
        <f t="shared" si="131"/>
        <v>-0.54957431513047417</v>
      </c>
      <c r="Q23" s="467">
        <f t="shared" si="131"/>
        <v>0.87777253422774559</v>
      </c>
      <c r="R23" s="467">
        <f t="shared" si="131"/>
        <v>1.3716402916421253</v>
      </c>
      <c r="S23" s="467">
        <f t="shared" si="131"/>
        <v>-0.60856768271071915</v>
      </c>
      <c r="T23" s="464">
        <v>41583</v>
      </c>
      <c r="U23" s="468">
        <v>0.94624301992055493</v>
      </c>
      <c r="V23" s="468">
        <v>0.59485447298956218</v>
      </c>
      <c r="W23" s="468">
        <v>0.92107433639617486</v>
      </c>
      <c r="X23" s="468">
        <v>-0.23219958135409469</v>
      </c>
      <c r="Y23" s="468"/>
      <c r="Z23" s="464">
        <v>41583</v>
      </c>
      <c r="AA23" s="469">
        <v>41583</v>
      </c>
      <c r="AB23" s="466">
        <v>0</v>
      </c>
      <c r="AC23" s="470">
        <v>2.6102194843017643</v>
      </c>
      <c r="AD23" s="468">
        <v>0.94624301992055493</v>
      </c>
      <c r="AE23" s="468">
        <f t="shared" si="82"/>
        <v>1156.8484568738957</v>
      </c>
      <c r="AF23" s="471">
        <v>3.1680194843017642</v>
      </c>
      <c r="AG23" s="468">
        <v>0.59485447298956218</v>
      </c>
      <c r="AH23" s="468">
        <f t="shared" si="83"/>
        <v>2408.1248438827511</v>
      </c>
      <c r="AI23" s="471">
        <v>3.4445194843017637</v>
      </c>
      <c r="AJ23" s="468">
        <v>0.92107433639617486</v>
      </c>
      <c r="AK23" s="468">
        <f t="shared" si="84"/>
        <v>987.71129340807033</v>
      </c>
      <c r="AL23" s="471">
        <v>2.9495194843017631</v>
      </c>
      <c r="AM23" s="468">
        <v>-0.23219958135409469</v>
      </c>
      <c r="AN23" s="468">
        <f t="shared" si="85"/>
        <v>-311.33946901836413</v>
      </c>
      <c r="AO23" s="464">
        <v>41583</v>
      </c>
      <c r="AP23" s="483">
        <v>12.225701352819732</v>
      </c>
      <c r="AQ23" s="483">
        <v>40.482587813120574</v>
      </c>
      <c r="AR23" s="483">
        <v>10.72346991310844</v>
      </c>
      <c r="AS23" s="483">
        <v>13.408270040917277</v>
      </c>
      <c r="AT23" s="483">
        <f t="shared" si="86"/>
        <v>0.43663219117213325</v>
      </c>
      <c r="AU23" s="483">
        <f t="shared" si="87"/>
        <v>0.68614555615458606</v>
      </c>
      <c r="AV23" s="483">
        <f t="shared" si="88"/>
        <v>0.53617349565542205</v>
      </c>
      <c r="AW23" s="483">
        <f t="shared" si="89"/>
        <v>0.70569842320617249</v>
      </c>
      <c r="AY23" s="470">
        <v>2.6102194843017643</v>
      </c>
      <c r="AZ23" s="471">
        <v>3.1680194843017642</v>
      </c>
      <c r="BA23" s="471">
        <v>3.4445194843017637</v>
      </c>
      <c r="BB23" s="471">
        <v>2.9495194843017631</v>
      </c>
      <c r="BD23" s="232"/>
      <c r="BE23" s="472">
        <v>-2.389000780381776E-2</v>
      </c>
      <c r="BF23" s="472">
        <v>-6.8568150311010692E-3</v>
      </c>
      <c r="BG23" s="472">
        <v>-9.1941175854233451E-3</v>
      </c>
      <c r="BH23" s="472">
        <v>-2.4723830948889264E-2</v>
      </c>
      <c r="BI23" s="232"/>
      <c r="BJ23" s="507">
        <v>9.8375349428017067</v>
      </c>
      <c r="BK23" s="507">
        <v>-0.82400351873701538</v>
      </c>
      <c r="BL23" s="507">
        <v>24.28368878895526</v>
      </c>
      <c r="BM23" s="507">
        <v>9.0067657120322941</v>
      </c>
      <c r="BN23" s="232"/>
      <c r="BO23" s="464">
        <v>41583</v>
      </c>
      <c r="BP23" s="473">
        <v>0.33250000000000002</v>
      </c>
      <c r="BQ23" s="1">
        <v>5035950</v>
      </c>
      <c r="BR23" s="1">
        <v>11127132</v>
      </c>
      <c r="BS23" s="1">
        <v>6310099.7999999998</v>
      </c>
      <c r="BT23" s="1">
        <v>5970600</v>
      </c>
      <c r="BU23" s="474">
        <v>153402.67665978591</v>
      </c>
      <c r="BV23" s="474">
        <v>509866.00211189309</v>
      </c>
      <c r="BW23" s="474">
        <v>144414.10030668529</v>
      </c>
      <c r="BX23" s="474">
        <v>214415.58927759767</v>
      </c>
      <c r="BY23" s="556">
        <f t="shared" si="18"/>
        <v>23920.762500000001</v>
      </c>
      <c r="BZ23" s="556">
        <f t="shared" si="19"/>
        <v>52853.877</v>
      </c>
      <c r="CA23" s="556">
        <f t="shared" si="20"/>
        <v>29972.974049999997</v>
      </c>
      <c r="CB23" s="556">
        <f t="shared" si="21"/>
        <v>28360.35</v>
      </c>
      <c r="CC23" s="475">
        <f t="shared" si="22"/>
        <v>2093.0667187500003</v>
      </c>
      <c r="CD23" s="475">
        <f t="shared" si="23"/>
        <v>5549.6570849999998</v>
      </c>
      <c r="CE23" s="475">
        <f t="shared" si="24"/>
        <v>2622.6352293750001</v>
      </c>
      <c r="CF23" s="475">
        <f t="shared" si="25"/>
        <v>2977.8367499999999</v>
      </c>
      <c r="CG23" s="476">
        <f t="shared" si="90"/>
        <v>728.66271413398306</v>
      </c>
      <c r="CH23" s="476">
        <f t="shared" si="91"/>
        <v>2421.8635100314923</v>
      </c>
      <c r="CI23" s="476">
        <f t="shared" si="92"/>
        <v>685.96697645675511</v>
      </c>
      <c r="CJ23" s="476">
        <f t="shared" si="93"/>
        <v>1018.4740490685889</v>
      </c>
      <c r="CK23" s="476">
        <f t="shared" si="94"/>
        <v>2821.7294328839835</v>
      </c>
      <c r="CL23" s="476">
        <f t="shared" si="94"/>
        <v>7971.5205950314921</v>
      </c>
      <c r="CM23" s="476">
        <f t="shared" si="94"/>
        <v>3308.6022058317553</v>
      </c>
      <c r="CN23" s="476">
        <f t="shared" si="94"/>
        <v>3996.3107990685889</v>
      </c>
      <c r="CO23" s="477">
        <f t="shared" si="132"/>
        <v>1.8394264652513017</v>
      </c>
      <c r="CP23" s="477">
        <f t="shared" si="133"/>
        <v>1.5634540373378525</v>
      </c>
      <c r="CQ23" s="477">
        <f t="shared" si="134"/>
        <v>2.2910520501844598</v>
      </c>
      <c r="CR23" s="477">
        <f t="shared" si="135"/>
        <v>1.8638154121782071</v>
      </c>
      <c r="CS23" s="464">
        <v>41583</v>
      </c>
      <c r="CT23" s="478">
        <v>0.68</v>
      </c>
      <c r="CU23" s="479">
        <v>0.312</v>
      </c>
      <c r="CV23" s="480">
        <v>0.98599999999999999</v>
      </c>
      <c r="CW23" s="481">
        <v>5.0999999999999997E-2</v>
      </c>
      <c r="CY23" s="522">
        <v>9.8375349428017067E-3</v>
      </c>
      <c r="CZ23" s="522">
        <v>-8.2400351873701538E-4</v>
      </c>
      <c r="DA23" s="522">
        <v>2.428368878895526E-2</v>
      </c>
      <c r="DB23" s="522">
        <v>9.0067657120322941E-3</v>
      </c>
      <c r="DC23" s="483">
        <f t="shared" si="12"/>
        <v>-0.88905947432351695</v>
      </c>
      <c r="DD23" s="483">
        <f t="shared" si="13"/>
        <v>0.11094052567663937</v>
      </c>
      <c r="DE23" s="483">
        <f t="shared" si="14"/>
        <v>-2.3990594743233729</v>
      </c>
      <c r="DF23" s="483">
        <f t="shared" si="15"/>
        <v>-0.9090594743232927</v>
      </c>
      <c r="DG23" s="483">
        <f t="shared" si="30"/>
        <v>0.88905947432351695</v>
      </c>
      <c r="DH23" s="483">
        <f t="shared" si="31"/>
        <v>0</v>
      </c>
      <c r="DI23" s="483">
        <f t="shared" si="32"/>
        <v>2.3990594743233729</v>
      </c>
      <c r="DJ23" s="483">
        <f t="shared" si="33"/>
        <v>0.9090594743232927</v>
      </c>
      <c r="DK23" s="483">
        <f t="shared" si="121"/>
        <v>0.17861834647914065</v>
      </c>
      <c r="DL23" s="483">
        <f t="shared" si="122"/>
        <v>0</v>
      </c>
      <c r="DM23" s="483">
        <f t="shared" si="123"/>
        <v>0.19136625236252947</v>
      </c>
      <c r="DN23" s="483">
        <f t="shared" si="124"/>
        <v>0.27590947685503409</v>
      </c>
      <c r="DO23" s="483">
        <f t="shared" si="100"/>
        <v>3.9700583306320154</v>
      </c>
      <c r="DP23" s="483">
        <f t="shared" si="101"/>
        <v>0</v>
      </c>
      <c r="DQ23" s="483">
        <f t="shared" si="102"/>
        <v>11.477475519902095</v>
      </c>
      <c r="DR23" s="483">
        <f t="shared" si="103"/>
        <v>6.2704530997662991</v>
      </c>
      <c r="DS23" s="473">
        <v>0</v>
      </c>
      <c r="DT23" s="473">
        <v>0</v>
      </c>
      <c r="DU23" s="473">
        <v>0</v>
      </c>
      <c r="DV23" s="473">
        <v>0</v>
      </c>
      <c r="DW23" s="552"/>
      <c r="DX23" s="532">
        <v>41583</v>
      </c>
      <c r="DY23" s="552"/>
      <c r="DZ23" s="473"/>
      <c r="EA23" s="473"/>
      <c r="EB23" s="473"/>
      <c r="EC23" s="545"/>
      <c r="ED23" s="552"/>
      <c r="EE23" s="527">
        <f t="shared" si="130"/>
        <v>0.35790854215951978</v>
      </c>
      <c r="EF23" s="473">
        <f t="shared" si="136"/>
        <v>0.24074087538175815</v>
      </c>
      <c r="EG23" s="473">
        <f t="shared" si="137"/>
        <v>0.86988704217098112</v>
      </c>
      <c r="EH23" s="473">
        <f t="shared" si="137"/>
        <v>0.83636461094086267</v>
      </c>
      <c r="EI23" s="552"/>
      <c r="EJ23" s="503">
        <f t="shared" si="36"/>
        <v>437.56829480653784</v>
      </c>
      <c r="EK23" s="503">
        <f t="shared" si="37"/>
        <v>974.58136278495408</v>
      </c>
      <c r="EL23" s="503">
        <f t="shared" si="38"/>
        <v>932.8207524523408</v>
      </c>
      <c r="EM23" s="503">
        <f t="shared" si="39"/>
        <v>1121.4202556161804</v>
      </c>
      <c r="EN23" s="552"/>
      <c r="EO23" s="503">
        <f t="shared" si="69"/>
        <v>2.3890007803817759</v>
      </c>
      <c r="EP23" s="503">
        <f t="shared" si="70"/>
        <v>0.68568150311010689</v>
      </c>
      <c r="EQ23" s="503">
        <f t="shared" si="71"/>
        <v>0.91941175854233448</v>
      </c>
      <c r="ER23" s="503">
        <f t="shared" si="72"/>
        <v>2.4723830948889263</v>
      </c>
      <c r="ES23" s="552"/>
      <c r="ET23" s="554">
        <f t="shared" si="40"/>
        <v>2920.7210072600874</v>
      </c>
      <c r="EU23" s="554">
        <f t="shared" si="41"/>
        <v>2775.8161661487411</v>
      </c>
      <c r="EV23" s="554">
        <f t="shared" si="42"/>
        <v>985.92843304868461</v>
      </c>
      <c r="EW23" s="554">
        <f t="shared" si="43"/>
        <v>3315.0380180869524</v>
      </c>
      <c r="EX23" s="552"/>
      <c r="EY23" s="532">
        <v>41583</v>
      </c>
      <c r="EZ23" s="552"/>
      <c r="FA23" s="745">
        <f t="shared" si="44"/>
        <v>-1.8423382966477053E-2</v>
      </c>
      <c r="FB23" s="745">
        <f t="shared" si="45"/>
        <v>0.52609113316934808</v>
      </c>
      <c r="FC23" s="745">
        <f t="shared" si="46"/>
        <v>2.9008127237945169</v>
      </c>
      <c r="FD23" s="745">
        <f t="shared" si="47"/>
        <v>-0.53587281932828912</v>
      </c>
      <c r="FE23" s="761"/>
      <c r="FF23" s="532">
        <v>41583</v>
      </c>
      <c r="FG23" s="761"/>
      <c r="FH23" s="745">
        <v>311.0975318352402</v>
      </c>
      <c r="FI23" s="745">
        <f t="shared" si="73"/>
        <v>2129.7530496232243</v>
      </c>
      <c r="FJ23" s="745">
        <f t="shared" si="74"/>
        <v>3110.6777967172643</v>
      </c>
      <c r="FK23" s="745">
        <f t="shared" si="75"/>
        <v>-718.51274691413767</v>
      </c>
      <c r="FL23" s="761"/>
      <c r="FM23" s="756">
        <f t="shared" si="95"/>
        <v>311.0975318352402</v>
      </c>
      <c r="FN23" s="756">
        <f t="shared" si="96"/>
        <v>2129.7530496232243</v>
      </c>
      <c r="FO23" s="756">
        <f t="shared" si="97"/>
        <v>3110.6777967172643</v>
      </c>
      <c r="FP23" s="756">
        <f t="shared" si="49"/>
        <v>-718.51274691413767</v>
      </c>
      <c r="FQ23" s="761"/>
      <c r="FR23" s="756">
        <f t="shared" si="50"/>
        <v>3669.3868339018654</v>
      </c>
      <c r="FS23" s="756">
        <f t="shared" si="51"/>
        <v>5880.1505785569198</v>
      </c>
      <c r="FT23" s="756">
        <f t="shared" si="52"/>
        <v>5029.4269822182896</v>
      </c>
      <c r="FU23" s="756">
        <f t="shared" si="53"/>
        <v>4436.4582737031324</v>
      </c>
      <c r="FV23" s="761"/>
      <c r="FW23" s="755">
        <v>41583</v>
      </c>
      <c r="FX23" s="761"/>
      <c r="FY23" s="756">
        <f t="shared" si="76"/>
        <v>176560.16507208499</v>
      </c>
      <c r="FZ23" s="756">
        <f t="shared" si="77"/>
        <v>284586.63294785604</v>
      </c>
      <c r="GA23" s="756">
        <f t="shared" si="78"/>
        <v>151294.13773146304</v>
      </c>
      <c r="GB23" s="756">
        <f t="shared" si="79"/>
        <v>180467.02820782413</v>
      </c>
      <c r="GC23" s="761"/>
      <c r="GD23" s="756">
        <f t="shared" si="54"/>
        <v>0.46695944115166554</v>
      </c>
      <c r="GE23" s="756">
        <f t="shared" si="54"/>
        <v>0.37309141783871158</v>
      </c>
      <c r="GF23" s="756">
        <f t="shared" si="55"/>
        <v>0.40619592325103443</v>
      </c>
      <c r="GG23" s="756">
        <f t="shared" si="56"/>
        <v>0.47099991232394389</v>
      </c>
      <c r="GH23" s="552"/>
      <c r="GI23" s="756">
        <f t="shared" si="57"/>
        <v>1725.459764989379</v>
      </c>
      <c r="GJ23" s="756">
        <f t="shared" si="58"/>
        <v>18379.183719585471</v>
      </c>
      <c r="GK23" s="756">
        <f t="shared" si="59"/>
        <v>2146.125871851973</v>
      </c>
      <c r="GL23" s="756">
        <f t="shared" si="60"/>
        <v>2056.5176834348013</v>
      </c>
      <c r="GM23" s="552"/>
    </row>
    <row r="24" spans="1:203" s="472" customFormat="1">
      <c r="A24" s="464">
        <v>41584</v>
      </c>
      <c r="B24" s="465">
        <v>0.3</v>
      </c>
      <c r="C24" s="466">
        <v>0</v>
      </c>
      <c r="D24" s="467">
        <v>-2.3856039568693066</v>
      </c>
      <c r="E24" s="467">
        <v>-0.68623940763702063</v>
      </c>
      <c r="F24" s="467">
        <v>-0.91826748716674744</v>
      </c>
      <c r="G24" s="467">
        <v>-2.4709944001749742</v>
      </c>
      <c r="H24" s="468"/>
      <c r="I24" s="464">
        <v>41584</v>
      </c>
      <c r="J24" s="467"/>
      <c r="K24" s="467"/>
      <c r="L24" s="467"/>
      <c r="M24" s="467"/>
      <c r="N24" s="468"/>
      <c r="O24" s="464">
        <v>41584</v>
      </c>
      <c r="P24" s="467">
        <f t="shared" si="131"/>
        <v>-2.2694296538008034</v>
      </c>
      <c r="Q24" s="467">
        <f t="shared" si="131"/>
        <v>-0.58749494212094577</v>
      </c>
      <c r="R24" s="467">
        <f t="shared" si="131"/>
        <v>-0.77356946294457107</v>
      </c>
      <c r="S24" s="467">
        <f t="shared" si="131"/>
        <v>-2.3532797425637191</v>
      </c>
      <c r="T24" s="464">
        <v>41584</v>
      </c>
      <c r="U24" s="468">
        <v>-2.1767254810551031</v>
      </c>
      <c r="V24" s="468">
        <v>-0.60597602973553355</v>
      </c>
      <c r="W24" s="468">
        <v>-0.80184736719235794</v>
      </c>
      <c r="X24" s="468">
        <v>-2.3314457524622174</v>
      </c>
      <c r="Y24" s="468"/>
      <c r="Z24" s="464">
        <v>41584</v>
      </c>
      <c r="AA24" s="469">
        <v>41584</v>
      </c>
      <c r="AB24" s="466">
        <v>0</v>
      </c>
      <c r="AC24" s="470">
        <v>2.6013288895585291</v>
      </c>
      <c r="AD24" s="468">
        <v>-2.1767254810551031</v>
      </c>
      <c r="AE24" s="468">
        <f t="shared" si="82"/>
        <v>-2683.731012420199</v>
      </c>
      <c r="AF24" s="471">
        <v>3.1691288895585306</v>
      </c>
      <c r="AG24" s="468">
        <v>-0.60597602973553355</v>
      </c>
      <c r="AH24" s="468">
        <f t="shared" si="83"/>
        <v>-2471.8704637606202</v>
      </c>
      <c r="AI24" s="471">
        <v>3.42052888955853</v>
      </c>
      <c r="AJ24" s="468">
        <v>-0.80184736719235794</v>
      </c>
      <c r="AK24" s="468">
        <f t="shared" si="84"/>
        <v>-858.53733988885142</v>
      </c>
      <c r="AL24" s="471">
        <v>2.9404288895585302</v>
      </c>
      <c r="AM24" s="468">
        <v>-2.3314457524622174</v>
      </c>
      <c r="AN24" s="468">
        <f t="shared" si="85"/>
        <v>-3169.4483029169342</v>
      </c>
      <c r="AO24" s="464">
        <v>41584</v>
      </c>
      <c r="AP24" s="483">
        <v>12.329212093016617</v>
      </c>
      <c r="AQ24" s="483">
        <v>40.791555151767639</v>
      </c>
      <c r="AR24" s="483">
        <v>10.706992066270562</v>
      </c>
      <c r="AS24" s="483">
        <v>13.594347196668462</v>
      </c>
      <c r="AT24" s="483">
        <f t="shared" si="86"/>
        <v>0.44032900332202202</v>
      </c>
      <c r="AU24" s="483">
        <f t="shared" si="87"/>
        <v>0.69138229070792612</v>
      </c>
      <c r="AV24" s="483">
        <f t="shared" si="88"/>
        <v>0.5353496033135281</v>
      </c>
      <c r="AW24" s="483">
        <f t="shared" si="89"/>
        <v>0.71549195771939278</v>
      </c>
      <c r="AY24" s="470">
        <v>2.6013288895585291</v>
      </c>
      <c r="AZ24" s="471">
        <v>3.1691288895585306</v>
      </c>
      <c r="BA24" s="471">
        <v>3.42052888955853</v>
      </c>
      <c r="BB24" s="471">
        <v>2.9404288895585302</v>
      </c>
      <c r="BD24" s="232"/>
      <c r="BE24" s="472">
        <v>-2.3856039568693067E-2</v>
      </c>
      <c r="BF24" s="472">
        <v>-6.8623940763702061E-3</v>
      </c>
      <c r="BG24" s="472">
        <v>-9.1826748716674744E-3</v>
      </c>
      <c r="BH24" s="472">
        <v>-2.4709944001749744E-2</v>
      </c>
      <c r="BI24" s="232"/>
      <c r="BJ24" s="507">
        <v>34.415795905000657</v>
      </c>
      <c r="BK24" s="507">
        <v>21.100411289615817</v>
      </c>
      <c r="BL24" s="507">
        <v>34.346565135770831</v>
      </c>
      <c r="BM24" s="507">
        <v>21.36194975115524</v>
      </c>
      <c r="BN24" s="232"/>
      <c r="BO24" s="464">
        <v>41584</v>
      </c>
      <c r="BP24" s="473">
        <v>2.1000000000000001E-2</v>
      </c>
      <c r="BQ24" s="1">
        <v>5035950</v>
      </c>
      <c r="BR24" s="1">
        <v>11127132</v>
      </c>
      <c r="BS24" s="1">
        <v>6310099.7999999998</v>
      </c>
      <c r="BT24" s="1">
        <v>5970600</v>
      </c>
      <c r="BU24" s="474">
        <v>153402.67665978591</v>
      </c>
      <c r="BV24" s="474">
        <v>509866.00211189309</v>
      </c>
      <c r="BW24" s="474">
        <v>144414.10030668529</v>
      </c>
      <c r="BX24" s="474">
        <v>214415.58927759767</v>
      </c>
      <c r="BY24" s="556">
        <f t="shared" si="18"/>
        <v>1510.7849999999999</v>
      </c>
      <c r="BZ24" s="556">
        <f t="shared" si="19"/>
        <v>3338.1395999999995</v>
      </c>
      <c r="CA24" s="556">
        <f t="shared" si="20"/>
        <v>1893.0299399999997</v>
      </c>
      <c r="CB24" s="556">
        <f t="shared" si="21"/>
        <v>1791.1799999999998</v>
      </c>
      <c r="CC24" s="475">
        <f t="shared" si="22"/>
        <v>132.19368750000001</v>
      </c>
      <c r="CD24" s="475">
        <f t="shared" si="23"/>
        <v>350.50465800000006</v>
      </c>
      <c r="CE24" s="475">
        <f t="shared" si="24"/>
        <v>165.64011975</v>
      </c>
      <c r="CF24" s="475">
        <f t="shared" si="25"/>
        <v>188.07390000000001</v>
      </c>
      <c r="CG24" s="476">
        <f t="shared" si="90"/>
        <v>46.020802997935768</v>
      </c>
      <c r="CH24" s="476">
        <f t="shared" si="91"/>
        <v>152.95980063356791</v>
      </c>
      <c r="CI24" s="476">
        <f t="shared" si="92"/>
        <v>43.324230092005585</v>
      </c>
      <c r="CJ24" s="476">
        <f t="shared" si="93"/>
        <v>64.324676783279301</v>
      </c>
      <c r="CK24" s="476">
        <f t="shared" si="94"/>
        <v>178.21449049793577</v>
      </c>
      <c r="CL24" s="476">
        <f t="shared" si="94"/>
        <v>503.46445863356797</v>
      </c>
      <c r="CM24" s="476">
        <f t="shared" si="94"/>
        <v>208.96434984200559</v>
      </c>
      <c r="CN24" s="476">
        <f t="shared" si="94"/>
        <v>252.39857678327931</v>
      </c>
      <c r="CO24" s="477">
        <f t="shared" si="132"/>
        <v>0.11617430306850324</v>
      </c>
      <c r="CP24" s="477">
        <f t="shared" si="133"/>
        <v>9.8744465516074881E-2</v>
      </c>
      <c r="CQ24" s="477">
        <f t="shared" si="134"/>
        <v>0.1446980242221764</v>
      </c>
      <c r="CR24" s="477">
        <f t="shared" si="135"/>
        <v>0.1177146576112552</v>
      </c>
      <c r="CS24" s="464">
        <v>41584</v>
      </c>
      <c r="CT24" s="478">
        <v>0.74399999999999999</v>
      </c>
      <c r="CU24" s="479">
        <v>0.151</v>
      </c>
      <c r="CV24" s="480">
        <v>0.98399999999999999</v>
      </c>
      <c r="CW24" s="481">
        <v>0.246</v>
      </c>
      <c r="CY24" s="522">
        <v>3.4415795905000657E-2</v>
      </c>
      <c r="CZ24" s="522">
        <v>2.1100411289615817E-2</v>
      </c>
      <c r="DA24" s="522">
        <v>3.4346565135770835E-2</v>
      </c>
      <c r="DB24" s="522">
        <v>2.136194975115524E-2</v>
      </c>
      <c r="DC24" s="483">
        <f t="shared" si="12"/>
        <v>-3.5475870917759167</v>
      </c>
      <c r="DD24" s="483">
        <f t="shared" si="13"/>
        <v>-2.1675870917761131</v>
      </c>
      <c r="DE24" s="483">
        <f t="shared" si="14"/>
        <v>-3.4075870917760653</v>
      </c>
      <c r="DF24" s="483">
        <f t="shared" si="15"/>
        <v>-2.1475870917761597</v>
      </c>
      <c r="DG24" s="483">
        <f t="shared" si="30"/>
        <v>3.5475870917759167</v>
      </c>
      <c r="DH24" s="483">
        <f t="shared" si="31"/>
        <v>2.1675870917761131</v>
      </c>
      <c r="DI24" s="483">
        <f t="shared" si="32"/>
        <v>3.4075870917760653</v>
      </c>
      <c r="DJ24" s="483">
        <f t="shared" si="33"/>
        <v>2.1475870917761597</v>
      </c>
      <c r="DK24" s="483" t="s">
        <v>106</v>
      </c>
      <c r="DL24" s="483" t="s">
        <v>106</v>
      </c>
      <c r="DM24" s="483">
        <f t="shared" si="123"/>
        <v>1.6477846837878118E-2</v>
      </c>
      <c r="DN24" s="483" t="s">
        <v>106</v>
      </c>
      <c r="DO24" s="483" t="s">
        <v>106</v>
      </c>
      <c r="DP24" s="483" t="s">
        <v>106</v>
      </c>
      <c r="DQ24" s="483">
        <f t="shared" si="102"/>
        <v>1.4037424546254131</v>
      </c>
      <c r="DR24" s="483" t="s">
        <v>106</v>
      </c>
      <c r="DS24" s="473">
        <v>0</v>
      </c>
      <c r="DT24" s="473">
        <v>0</v>
      </c>
      <c r="DU24" s="473">
        <v>0</v>
      </c>
      <c r="DV24" s="473">
        <v>0</v>
      </c>
      <c r="DW24" s="552"/>
      <c r="DX24" s="532">
        <v>41584</v>
      </c>
      <c r="DY24" s="552"/>
      <c r="DZ24" s="473"/>
      <c r="EA24" s="473"/>
      <c r="EB24" s="473"/>
      <c r="EC24" s="545"/>
      <c r="ED24" s="552"/>
      <c r="EE24" s="527">
        <f t="shared" si="130"/>
        <v>0.34633200601709957</v>
      </c>
      <c r="EF24" s="473">
        <f t="shared" si="136"/>
        <v>0.16663938071266526</v>
      </c>
      <c r="EG24" s="473">
        <f t="shared" si="137"/>
        <v>0.81701040500372413</v>
      </c>
      <c r="EH24" s="473">
        <f t="shared" si="137"/>
        <v>0.8496255663318053</v>
      </c>
      <c r="EI24" s="552"/>
      <c r="EJ24" s="503">
        <f t="shared" si="36"/>
        <v>427.00007567847274</v>
      </c>
      <c r="EK24" s="503">
        <f t="shared" si="37"/>
        <v>679.74794887970893</v>
      </c>
      <c r="EL24" s="503">
        <f t="shared" si="38"/>
        <v>874.77239244353734</v>
      </c>
      <c r="EM24" s="503">
        <f t="shared" si="39"/>
        <v>1155.0104935880631</v>
      </c>
      <c r="EN24" s="552"/>
      <c r="EO24" s="503">
        <f t="shared" si="69"/>
        <v>2.3856039568693066</v>
      </c>
      <c r="EP24" s="503">
        <f t="shared" si="70"/>
        <v>0.68623940763702063</v>
      </c>
      <c r="EQ24" s="503">
        <f t="shared" si="71"/>
        <v>0.91826748716674744</v>
      </c>
      <c r="ER24" s="503">
        <f t="shared" si="72"/>
        <v>2.4709944001749742</v>
      </c>
      <c r="ES24" s="552"/>
      <c r="ET24" s="554">
        <f t="shared" si="40"/>
        <v>2941.2617154181348</v>
      </c>
      <c r="EU24" s="554">
        <f t="shared" si="41"/>
        <v>2799.277264394188</v>
      </c>
      <c r="EV24" s="554">
        <f t="shared" si="42"/>
        <v>983.18826998085694</v>
      </c>
      <c r="EW24" s="554">
        <f t="shared" si="43"/>
        <v>3359.1555797002125</v>
      </c>
      <c r="EX24" s="552"/>
      <c r="EY24" s="532">
        <v>41584</v>
      </c>
      <c r="EZ24" s="552"/>
      <c r="FA24" s="745">
        <f t="shared" si="44"/>
        <v>0.93182543195801371</v>
      </c>
      <c r="FB24" s="745">
        <f t="shared" si="45"/>
        <v>1.413452768942502</v>
      </c>
      <c r="FC24" s="745">
        <f t="shared" si="46"/>
        <v>1.8170072238277701</v>
      </c>
      <c r="FD24" s="745">
        <f t="shared" si="47"/>
        <v>-1.0553182171193645</v>
      </c>
      <c r="FE24" s="761"/>
      <c r="FF24" s="532">
        <v>41584</v>
      </c>
      <c r="FG24" s="761"/>
      <c r="FH24" s="745">
        <v>1170.1165636177072</v>
      </c>
      <c r="FI24" s="745">
        <f t="shared" si="73"/>
        <v>5765.693657873675</v>
      </c>
      <c r="FJ24" s="745">
        <f t="shared" si="74"/>
        <v>1945.4681929880235</v>
      </c>
      <c r="FK24" s="745">
        <f t="shared" si="75"/>
        <v>-1434.6362246489791</v>
      </c>
      <c r="FL24" s="761"/>
      <c r="FM24" s="756">
        <f t="shared" si="95"/>
        <v>1170.1165636177072</v>
      </c>
      <c r="FN24" s="756">
        <f t="shared" si="96"/>
        <v>5765.693657873675</v>
      </c>
      <c r="FO24" s="756">
        <f t="shared" si="97"/>
        <v>1945.4681929880235</v>
      </c>
      <c r="FP24" s="756">
        <f t="shared" si="49"/>
        <v>-1434.6362246489791</v>
      </c>
      <c r="FQ24" s="761"/>
      <c r="FR24" s="756">
        <f t="shared" si="50"/>
        <v>4538.3783547143148</v>
      </c>
      <c r="FS24" s="756">
        <f t="shared" si="51"/>
        <v>9244.7188711475719</v>
      </c>
      <c r="FT24" s="756">
        <f t="shared" si="52"/>
        <v>3803.4288554124178</v>
      </c>
      <c r="FU24" s="756">
        <f t="shared" si="53"/>
        <v>4514.1660732882756</v>
      </c>
      <c r="FV24" s="761"/>
      <c r="FW24" s="755">
        <v>41584</v>
      </c>
      <c r="FX24" s="761"/>
      <c r="FY24" s="756">
        <f t="shared" si="76"/>
        <v>181098.5434267993</v>
      </c>
      <c r="FZ24" s="756">
        <f t="shared" si="77"/>
        <v>293831.35181900358</v>
      </c>
      <c r="GA24" s="756">
        <f t="shared" si="78"/>
        <v>155097.56658687544</v>
      </c>
      <c r="GB24" s="756">
        <f t="shared" si="79"/>
        <v>184981.1942811124</v>
      </c>
      <c r="GC24" s="761"/>
      <c r="GD24" s="756">
        <f t="shared" si="54"/>
        <v>0.478962367289546</v>
      </c>
      <c r="GE24" s="756">
        <f t="shared" si="54"/>
        <v>0.38521119042054153</v>
      </c>
      <c r="GF24" s="756">
        <f t="shared" si="55"/>
        <v>0.41640740479690919</v>
      </c>
      <c r="GG24" s="756">
        <f t="shared" si="56"/>
        <v>0.4827814097301405</v>
      </c>
      <c r="GH24" s="552"/>
      <c r="GI24" s="756">
        <f t="shared" si="57"/>
        <v>108.97640620985551</v>
      </c>
      <c r="GJ24" s="756">
        <f t="shared" si="58"/>
        <v>73.313087413304913</v>
      </c>
      <c r="GK24" s="756">
        <f t="shared" si="59"/>
        <v>135.54479190644039</v>
      </c>
      <c r="GL24" s="756">
        <f t="shared" si="60"/>
        <v>129.88532737482956</v>
      </c>
      <c r="GM24" s="552"/>
    </row>
    <row r="25" spans="1:203" s="134" customFormat="1">
      <c r="A25" s="705">
        <v>41585</v>
      </c>
      <c r="B25" s="706">
        <v>0</v>
      </c>
      <c r="C25" s="497">
        <f>C24+1</f>
        <v>1</v>
      </c>
      <c r="D25" s="274">
        <v>0.34551898676532106</v>
      </c>
      <c r="E25" s="274">
        <v>1.124951927920494</v>
      </c>
      <c r="F25" s="274">
        <v>2.4099202472238552</v>
      </c>
      <c r="G25" s="274">
        <v>-1.4934827979861893</v>
      </c>
      <c r="H25" s="729"/>
      <c r="I25" s="705">
        <v>41585</v>
      </c>
      <c r="J25" s="270">
        <f t="shared" ref="J25:M30" si="138">D25</f>
        <v>0.34551898676532106</v>
      </c>
      <c r="K25" s="270">
        <f t="shared" si="138"/>
        <v>1.124951927920494</v>
      </c>
      <c r="L25" s="270">
        <f t="shared" si="138"/>
        <v>2.4099202472238552</v>
      </c>
      <c r="M25" s="270">
        <f t="shared" si="138"/>
        <v>-1.4934827979861893</v>
      </c>
      <c r="N25" s="729"/>
      <c r="O25" s="705">
        <v>41585</v>
      </c>
      <c r="P25" s="270">
        <f t="shared" ref="P25:S30" si="139">J25</f>
        <v>0.34551898676532106</v>
      </c>
      <c r="Q25" s="270">
        <f t="shared" si="139"/>
        <v>1.124951927920494</v>
      </c>
      <c r="R25" s="270">
        <f t="shared" si="139"/>
        <v>2.4099202472238552</v>
      </c>
      <c r="S25" s="270">
        <f t="shared" si="139"/>
        <v>-1.4934827979861893</v>
      </c>
      <c r="T25" s="705">
        <v>41585</v>
      </c>
      <c r="U25" s="291">
        <v>0.34551898676532106</v>
      </c>
      <c r="V25" s="291">
        <v>1.124951927920494</v>
      </c>
      <c r="W25" s="291">
        <v>2.4099202472238552</v>
      </c>
      <c r="X25" s="291">
        <v>-1.4934827979861893</v>
      </c>
      <c r="Y25" s="729"/>
      <c r="Z25" s="705">
        <v>41585</v>
      </c>
      <c r="AA25" s="707">
        <v>41585</v>
      </c>
      <c r="AB25" s="497">
        <f>AB24+1</f>
        <v>1</v>
      </c>
      <c r="AC25" s="266">
        <v>2.56585301864077</v>
      </c>
      <c r="AD25" s="291">
        <v>0.34551898676532106</v>
      </c>
      <c r="AE25" s="291">
        <f t="shared" si="82"/>
        <v>424.40289616642423</v>
      </c>
      <c r="AF25" s="161">
        <v>3.1474530186407694</v>
      </c>
      <c r="AG25" s="291">
        <v>1.124951927920494</v>
      </c>
      <c r="AH25" s="291">
        <f t="shared" si="83"/>
        <v>4593.4890749366577</v>
      </c>
      <c r="AI25" s="161">
        <v>3.3864530186407693</v>
      </c>
      <c r="AJ25" s="291">
        <v>2.4099202472238552</v>
      </c>
      <c r="AK25" s="291">
        <f t="shared" si="84"/>
        <v>2548.1891122179095</v>
      </c>
      <c r="AL25" s="161">
        <v>2.9189530186407686</v>
      </c>
      <c r="AM25" s="291">
        <v>-1.4934827979861893</v>
      </c>
      <c r="AN25" s="291">
        <f t="shared" si="85"/>
        <v>-2010.2828621834265</v>
      </c>
      <c r="AO25" s="705">
        <v>41585</v>
      </c>
      <c r="AP25" s="463">
        <v>12.283055705262347</v>
      </c>
      <c r="AQ25" s="463">
        <v>40.832758813328624</v>
      </c>
      <c r="AR25" s="463">
        <v>10.573748717009765</v>
      </c>
      <c r="AS25" s="463">
        <v>13.460368374474015</v>
      </c>
      <c r="AT25" s="463">
        <f t="shared" si="86"/>
        <v>0.43868056090222668</v>
      </c>
      <c r="AU25" s="463">
        <f t="shared" si="87"/>
        <v>0.69208065785302753</v>
      </c>
      <c r="AV25" s="463">
        <f t="shared" si="88"/>
        <v>0.52868743585048827</v>
      </c>
      <c r="AW25" s="463">
        <f t="shared" si="89"/>
        <v>0.70844044076179025</v>
      </c>
      <c r="AY25" s="266">
        <v>2.56585301864077</v>
      </c>
      <c r="AZ25" s="161">
        <v>3.1474530186407694</v>
      </c>
      <c r="BA25" s="161">
        <v>3.3864530186407693</v>
      </c>
      <c r="BB25" s="161">
        <v>2.9189530186407686</v>
      </c>
      <c r="BE25" s="134">
        <v>-2.371761013234679E-2</v>
      </c>
      <c r="BF25" s="134">
        <v>-6.7504807207950631E-3</v>
      </c>
      <c r="BG25" s="134">
        <v>-9.1647975277614514E-3</v>
      </c>
      <c r="BH25" s="134">
        <v>-2.4669227979861891E-2</v>
      </c>
      <c r="BJ25" s="508">
        <v>7.4135968089257229</v>
      </c>
      <c r="BK25" s="508">
        <v>-0.5674493449207979</v>
      </c>
      <c r="BL25" s="508">
        <v>5.0300891166176882</v>
      </c>
      <c r="BM25" s="508">
        <v>12.421227578155813</v>
      </c>
      <c r="BO25" s="705">
        <v>41585</v>
      </c>
      <c r="BP25" s="324">
        <v>0</v>
      </c>
      <c r="BQ25" s="1">
        <v>5035950</v>
      </c>
      <c r="BR25" s="1">
        <v>11127132</v>
      </c>
      <c r="BS25" s="1">
        <v>6310099.7999999998</v>
      </c>
      <c r="BT25" s="1">
        <v>5970600</v>
      </c>
      <c r="BU25" s="708">
        <v>153402.67665978591</v>
      </c>
      <c r="BV25" s="708">
        <v>509866.00211189309</v>
      </c>
      <c r="BW25" s="708">
        <v>144414.10030668529</v>
      </c>
      <c r="BX25" s="708">
        <v>214415.58927759767</v>
      </c>
      <c r="BY25" s="709">
        <f t="shared" si="18"/>
        <v>0</v>
      </c>
      <c r="BZ25" s="709">
        <f t="shared" si="19"/>
        <v>0</v>
      </c>
      <c r="CA25" s="709">
        <f t="shared" si="20"/>
        <v>0</v>
      </c>
      <c r="CB25" s="709">
        <f t="shared" si="21"/>
        <v>0</v>
      </c>
      <c r="CC25" s="475">
        <f t="shared" si="22"/>
        <v>0</v>
      </c>
      <c r="CD25" s="475">
        <f t="shared" si="23"/>
        <v>0</v>
      </c>
      <c r="CE25" s="475">
        <f t="shared" si="24"/>
        <v>0</v>
      </c>
      <c r="CF25" s="475">
        <f t="shared" si="25"/>
        <v>0</v>
      </c>
      <c r="CG25" s="302">
        <f t="shared" si="90"/>
        <v>0</v>
      </c>
      <c r="CH25" s="302">
        <f t="shared" si="91"/>
        <v>0</v>
      </c>
      <c r="CI25" s="302">
        <f t="shared" si="92"/>
        <v>0</v>
      </c>
      <c r="CJ25" s="302">
        <f t="shared" si="93"/>
        <v>0</v>
      </c>
      <c r="CK25" s="302">
        <f t="shared" si="94"/>
        <v>0</v>
      </c>
      <c r="CL25" s="302">
        <f t="shared" si="94"/>
        <v>0</v>
      </c>
      <c r="CM25" s="302">
        <f t="shared" si="94"/>
        <v>0</v>
      </c>
      <c r="CN25" s="302">
        <f t="shared" si="94"/>
        <v>0</v>
      </c>
      <c r="CO25" s="710">
        <f t="shared" ref="CO25:CR30" si="140">CK25/AP25/10000*100</f>
        <v>0</v>
      </c>
      <c r="CP25" s="710">
        <f t="shared" si="140"/>
        <v>0</v>
      </c>
      <c r="CQ25" s="710">
        <f t="shared" si="140"/>
        <v>0</v>
      </c>
      <c r="CR25" s="710">
        <f t="shared" si="140"/>
        <v>0</v>
      </c>
      <c r="CS25" s="705">
        <v>41585</v>
      </c>
      <c r="CT25" s="711">
        <v>0.81899999999999995</v>
      </c>
      <c r="CU25" s="711">
        <v>0.56100000000000005</v>
      </c>
      <c r="CV25" s="713">
        <v>0.99</v>
      </c>
      <c r="CW25" s="714">
        <v>0.25800000000000001</v>
      </c>
      <c r="CY25" s="715">
        <v>3.4586396808925723E-2</v>
      </c>
      <c r="CZ25" s="715">
        <v>1.7432550655079204E-2</v>
      </c>
      <c r="DA25" s="715">
        <v>3.8294089116617691E-2</v>
      </c>
      <c r="DB25" s="715">
        <v>2.2155627578155812E-2</v>
      </c>
      <c r="DC25" s="463">
        <f t="shared" si="12"/>
        <v>-3.3904298658963938</v>
      </c>
      <c r="DD25" s="463">
        <f t="shared" si="13"/>
        <v>-1.6804298658962935</v>
      </c>
      <c r="DE25" s="463">
        <f t="shared" si="14"/>
        <v>-3.8304298658962566</v>
      </c>
      <c r="DF25" s="463">
        <f t="shared" si="15"/>
        <v>-2.2104298658961241</v>
      </c>
      <c r="DG25" s="483">
        <f t="shared" si="30"/>
        <v>3.3904298658963938</v>
      </c>
      <c r="DH25" s="483">
        <f t="shared" si="31"/>
        <v>1.6804298658962935</v>
      </c>
      <c r="DI25" s="483">
        <f t="shared" si="32"/>
        <v>3.8304298658962566</v>
      </c>
      <c r="DJ25" s="483">
        <f t="shared" si="33"/>
        <v>2.2104298658961241</v>
      </c>
      <c r="DK25" s="483">
        <f t="shared" si="121"/>
        <v>4.6156387754269446E-2</v>
      </c>
      <c r="DL25" s="483">
        <f t="shared" si="122"/>
        <v>-4.1203661560984983E-2</v>
      </c>
      <c r="DM25" s="483">
        <f t="shared" si="123"/>
        <v>0.13324334926079651</v>
      </c>
      <c r="DN25" s="483">
        <f t="shared" si="124"/>
        <v>0.13397882219444668</v>
      </c>
      <c r="DO25" s="483">
        <f t="shared" si="100"/>
        <v>3.9122498885992427</v>
      </c>
      <c r="DP25" s="483">
        <f t="shared" si="101"/>
        <v>0</v>
      </c>
      <c r="DQ25" s="483">
        <f t="shared" si="102"/>
        <v>12.759482611015022</v>
      </c>
      <c r="DR25" s="483">
        <f t="shared" si="103"/>
        <v>7.4037697494047858</v>
      </c>
      <c r="DS25" s="324">
        <v>2.7172800000000001</v>
      </c>
      <c r="DT25" s="324">
        <v>1.8000000000000003</v>
      </c>
      <c r="DU25" s="324">
        <v>3.3264</v>
      </c>
      <c r="DV25" s="324">
        <v>0.97343999999999986</v>
      </c>
      <c r="DW25" s="716"/>
      <c r="DX25" s="705">
        <v>41585</v>
      </c>
      <c r="DY25" s="716"/>
      <c r="DZ25" s="269"/>
      <c r="EA25" s="269"/>
      <c r="EB25" s="269">
        <f>-DE25-DU25</f>
        <v>0.50402986589625653</v>
      </c>
      <c r="EC25" s="716">
        <f>-DF25-DV25</f>
        <v>1.2369898658961243</v>
      </c>
      <c r="ED25" s="716"/>
      <c r="EE25" s="269">
        <f t="shared" si="130"/>
        <v>0.33475546987467936</v>
      </c>
      <c r="EF25" s="324">
        <f t="shared" si="136"/>
        <v>9.2537886043572382E-2</v>
      </c>
      <c r="EG25" s="269">
        <f t="shared" ref="EG25" si="141">EB25</f>
        <v>0.50402986589625653</v>
      </c>
      <c r="EH25" s="269">
        <f t="shared" ref="EH25" si="142">EC25</f>
        <v>1.2369898658961243</v>
      </c>
      <c r="EI25" s="716"/>
      <c r="EJ25" s="717">
        <f t="shared" si="36"/>
        <v>411.1820084111958</v>
      </c>
      <c r="EK25" s="717">
        <f t="shared" si="37"/>
        <v>377.85771819124801</v>
      </c>
      <c r="EL25" s="717">
        <f t="shared" si="38"/>
        <v>532.9485147855147</v>
      </c>
      <c r="EM25" s="717">
        <f t="shared" si="39"/>
        <v>1665.0339270453044</v>
      </c>
      <c r="EN25" s="716"/>
      <c r="EO25" s="269">
        <f t="shared" si="69"/>
        <v>2.3717610132346789</v>
      </c>
      <c r="EP25" s="269">
        <f t="shared" si="70"/>
        <v>0.67504807207950634</v>
      </c>
      <c r="EQ25" s="269">
        <f t="shared" si="71"/>
        <v>0.91647975277614513</v>
      </c>
      <c r="ER25" s="269">
        <f t="shared" si="72"/>
        <v>2.466922797986189</v>
      </c>
      <c r="ES25" s="716"/>
      <c r="ET25" s="718">
        <f t="shared" si="40"/>
        <v>2913.2472645131029</v>
      </c>
      <c r="EU25" s="718">
        <f t="shared" si="41"/>
        <v>2756.4075114624957</v>
      </c>
      <c r="EV25" s="718">
        <f t="shared" si="42"/>
        <v>969.06266100821915</v>
      </c>
      <c r="EW25" s="718">
        <f t="shared" si="43"/>
        <v>3320.5689612282245</v>
      </c>
      <c r="EX25" s="716"/>
      <c r="EY25" s="705">
        <v>41585</v>
      </c>
      <c r="EZ25" s="716"/>
      <c r="FA25" s="766">
        <f t="shared" si="44"/>
        <v>0.6839133827870354</v>
      </c>
      <c r="FB25" s="766">
        <f t="shared" si="45"/>
        <v>0.91284390777321478</v>
      </c>
      <c r="FC25" s="766">
        <f t="shared" si="46"/>
        <v>2.4099202472238548</v>
      </c>
      <c r="FD25" s="766">
        <f t="shared" si="47"/>
        <v>-1.4934827979861893</v>
      </c>
      <c r="FE25" s="760"/>
      <c r="FF25" s="705">
        <v>41585</v>
      </c>
      <c r="FG25" s="760"/>
      <c r="FH25" s="766">
        <v>840.05461783475664</v>
      </c>
      <c r="FI25" s="766">
        <f t="shared" si="73"/>
        <v>3727.3935120320079</v>
      </c>
      <c r="FJ25" s="766">
        <f t="shared" si="74"/>
        <v>2548.189112217909</v>
      </c>
      <c r="FK25" s="766">
        <f t="shared" si="75"/>
        <v>-2010.2828621834265</v>
      </c>
      <c r="FL25" s="760"/>
      <c r="FM25" s="759">
        <f t="shared" si="95"/>
        <v>840.05461783475664</v>
      </c>
      <c r="FN25" s="759">
        <f t="shared" si="96"/>
        <v>3727.3935120320079</v>
      </c>
      <c r="FO25" s="759">
        <f t="shared" si="97"/>
        <v>2548.189112217909</v>
      </c>
      <c r="FP25" s="759">
        <f t="shared" si="49"/>
        <v>-2010.2828621834265</v>
      </c>
      <c r="FQ25" s="760"/>
      <c r="FR25" s="759">
        <f t="shared" si="50"/>
        <v>4164.4838907590556</v>
      </c>
      <c r="FS25" s="759">
        <f t="shared" si="51"/>
        <v>6861.658741685751</v>
      </c>
      <c r="FT25" s="759">
        <f t="shared" si="52"/>
        <v>4050.2002880116429</v>
      </c>
      <c r="FU25" s="759">
        <f t="shared" si="53"/>
        <v>4985.6028882735291</v>
      </c>
      <c r="FV25" s="761"/>
      <c r="FW25" s="754">
        <v>41585</v>
      </c>
      <c r="FX25" s="761"/>
      <c r="FY25" s="759">
        <f t="shared" si="76"/>
        <v>185263.02731755836</v>
      </c>
      <c r="FZ25" s="759">
        <f t="shared" si="77"/>
        <v>300693.01056068932</v>
      </c>
      <c r="GA25" s="759">
        <f t="shared" si="78"/>
        <v>159147.76687488708</v>
      </c>
      <c r="GB25" s="759">
        <f t="shared" si="79"/>
        <v>189966.79716938594</v>
      </c>
      <c r="GC25" s="760"/>
      <c r="GD25" s="759">
        <f t="shared" si="54"/>
        <v>0.48997643192592655</v>
      </c>
      <c r="GE25" s="759">
        <f t="shared" si="54"/>
        <v>0.3942067850559719</v>
      </c>
      <c r="GF25" s="759">
        <f t="shared" si="55"/>
        <v>0.42728142060484864</v>
      </c>
      <c r="GG25" s="759">
        <f t="shared" si="56"/>
        <v>0.49579330750769274</v>
      </c>
      <c r="GH25" s="716"/>
      <c r="GI25" s="756">
        <f t="shared" si="57"/>
        <v>0</v>
      </c>
      <c r="GJ25" s="756">
        <f t="shared" si="58"/>
        <v>0</v>
      </c>
      <c r="GK25" s="756">
        <f t="shared" si="59"/>
        <v>0</v>
      </c>
      <c r="GL25" s="756">
        <f t="shared" si="60"/>
        <v>0</v>
      </c>
      <c r="GM25" s="716"/>
    </row>
    <row r="26" spans="1:203" s="134" customFormat="1">
      <c r="A26" s="705">
        <v>41586</v>
      </c>
      <c r="B26" s="706">
        <v>0</v>
      </c>
      <c r="C26" s="497">
        <f t="shared" ref="C26:C30" si="143">C25+1</f>
        <v>2</v>
      </c>
      <c r="D26" s="274">
        <v>1.1396746723523268</v>
      </c>
      <c r="E26" s="274">
        <v>1.3068606978510799</v>
      </c>
      <c r="F26" s="274">
        <v>2.5849687140150812</v>
      </c>
      <c r="G26" s="274">
        <v>-0.54631381358665609</v>
      </c>
      <c r="H26" s="729"/>
      <c r="I26" s="705">
        <v>41586</v>
      </c>
      <c r="J26" s="270">
        <f t="shared" si="138"/>
        <v>1.1396746723523268</v>
      </c>
      <c r="K26" s="270">
        <f t="shared" si="138"/>
        <v>1.3068606978510799</v>
      </c>
      <c r="L26" s="270">
        <f t="shared" si="138"/>
        <v>2.5849687140150812</v>
      </c>
      <c r="M26" s="270">
        <f t="shared" si="138"/>
        <v>-0.54631381358665609</v>
      </c>
      <c r="N26" s="729"/>
      <c r="O26" s="705">
        <v>41586</v>
      </c>
      <c r="P26" s="270">
        <f t="shared" si="139"/>
        <v>1.1396746723523268</v>
      </c>
      <c r="Q26" s="270">
        <f t="shared" si="139"/>
        <v>1.3068606978510799</v>
      </c>
      <c r="R26" s="270">
        <f t="shared" si="139"/>
        <v>2.5849687140150812</v>
      </c>
      <c r="S26" s="270">
        <f t="shared" si="139"/>
        <v>-0.54631381358665609</v>
      </c>
      <c r="T26" s="705">
        <v>41586</v>
      </c>
      <c r="U26" s="291">
        <v>1.1396746723523268</v>
      </c>
      <c r="V26" s="291">
        <v>1.3068606978510799</v>
      </c>
      <c r="W26" s="291">
        <v>2.5849687140150812</v>
      </c>
      <c r="X26" s="291">
        <v>-0.54631381358665609</v>
      </c>
      <c r="Y26" s="729"/>
      <c r="Z26" s="705">
        <v>41586</v>
      </c>
      <c r="AA26" s="707">
        <v>41586</v>
      </c>
      <c r="AB26" s="497">
        <f t="shared" ref="AB26:AB30" si="144">AB25+1</f>
        <v>2</v>
      </c>
      <c r="AC26" s="266">
        <v>2.531948719981806</v>
      </c>
      <c r="AD26" s="291">
        <v>1.1396746723523268</v>
      </c>
      <c r="AE26" s="291">
        <f t="shared" si="82"/>
        <v>1378.8964529536306</v>
      </c>
      <c r="AF26" s="161">
        <v>3.1306487199818065</v>
      </c>
      <c r="AG26" s="291">
        <v>1.3068606978510799</v>
      </c>
      <c r="AH26" s="291">
        <f t="shared" si="83"/>
        <v>5231.7059621496746</v>
      </c>
      <c r="AI26" s="161">
        <v>3.3481487199818067</v>
      </c>
      <c r="AJ26" s="291">
        <v>2.5849687140150812</v>
      </c>
      <c r="AK26" s="291">
        <f t="shared" si="84"/>
        <v>2684.6865826294174</v>
      </c>
      <c r="AL26" s="161">
        <v>2.8968487199818074</v>
      </c>
      <c r="AM26" s="291">
        <v>-0.54631381358665609</v>
      </c>
      <c r="AN26" s="291">
        <f t="shared" si="85"/>
        <v>-718.26433974451629</v>
      </c>
      <c r="AO26" s="705">
        <v>41586</v>
      </c>
      <c r="AP26" s="463">
        <v>12.099035684521638</v>
      </c>
      <c r="AQ26" s="463">
        <v>40.032621462657531</v>
      </c>
      <c r="AR26" s="463">
        <v>10.385760446823554</v>
      </c>
      <c r="AS26" s="463">
        <v>13.14746802810955</v>
      </c>
      <c r="AT26" s="463">
        <f t="shared" si="86"/>
        <v>0.43210841730434424</v>
      </c>
      <c r="AU26" s="463">
        <f t="shared" si="87"/>
        <v>0.67851900784165309</v>
      </c>
      <c r="AV26" s="463">
        <f t="shared" si="88"/>
        <v>0.51928802234117766</v>
      </c>
      <c r="AW26" s="463">
        <f t="shared" si="89"/>
        <v>0.69197200147945004</v>
      </c>
      <c r="AY26" s="266">
        <v>2.531948719981806</v>
      </c>
      <c r="AZ26" s="161">
        <v>3.1306487199818065</v>
      </c>
      <c r="BA26" s="161">
        <v>3.3481487199818067</v>
      </c>
      <c r="BB26" s="161">
        <v>2.8968487199818074</v>
      </c>
      <c r="BE26" s="134">
        <v>-2.3580853276476729E-2</v>
      </c>
      <c r="BF26" s="134">
        <v>-6.6593930214891989E-3</v>
      </c>
      <c r="BG26" s="134">
        <v>-9.1423128598491898E-3</v>
      </c>
      <c r="BH26" s="134">
        <v>-2.4615138135866559E-2</v>
      </c>
      <c r="BJ26" s="508">
        <v>-3.0010654003996273</v>
      </c>
      <c r="BK26" s="508">
        <v>0.45622690729337989</v>
      </c>
      <c r="BL26" s="508">
        <v>5.4460730611384447</v>
      </c>
      <c r="BM26" s="508">
        <v>5.2553038303698205</v>
      </c>
      <c r="BO26" s="705">
        <v>41586</v>
      </c>
      <c r="BP26" s="324">
        <v>0</v>
      </c>
      <c r="BQ26" s="1">
        <v>5035950</v>
      </c>
      <c r="BR26" s="1">
        <v>11127132</v>
      </c>
      <c r="BS26" s="1">
        <v>6310099.7999999998</v>
      </c>
      <c r="BT26" s="1">
        <v>5970600</v>
      </c>
      <c r="BU26" s="708">
        <v>153402.67665978591</v>
      </c>
      <c r="BV26" s="708">
        <v>509866.00211189309</v>
      </c>
      <c r="BW26" s="708">
        <v>144414.10030668529</v>
      </c>
      <c r="BX26" s="708">
        <v>214415.58927759767</v>
      </c>
      <c r="BY26" s="709">
        <f t="shared" si="18"/>
        <v>0</v>
      </c>
      <c r="BZ26" s="709">
        <f t="shared" si="19"/>
        <v>0</v>
      </c>
      <c r="CA26" s="709">
        <f t="shared" si="20"/>
        <v>0</v>
      </c>
      <c r="CB26" s="709">
        <f t="shared" si="21"/>
        <v>0</v>
      </c>
      <c r="CC26" s="475">
        <f t="shared" si="22"/>
        <v>0</v>
      </c>
      <c r="CD26" s="475">
        <f t="shared" si="23"/>
        <v>0</v>
      </c>
      <c r="CE26" s="475">
        <f t="shared" si="24"/>
        <v>0</v>
      </c>
      <c r="CF26" s="475">
        <f t="shared" si="25"/>
        <v>0</v>
      </c>
      <c r="CG26" s="302">
        <f t="shared" si="90"/>
        <v>0</v>
      </c>
      <c r="CH26" s="302">
        <f t="shared" si="91"/>
        <v>0</v>
      </c>
      <c r="CI26" s="302">
        <f t="shared" si="92"/>
        <v>0</v>
      </c>
      <c r="CJ26" s="302">
        <f t="shared" si="93"/>
        <v>0</v>
      </c>
      <c r="CK26" s="302">
        <f t="shared" si="94"/>
        <v>0</v>
      </c>
      <c r="CL26" s="302">
        <f t="shared" si="94"/>
        <v>0</v>
      </c>
      <c r="CM26" s="302">
        <f t="shared" si="94"/>
        <v>0</v>
      </c>
      <c r="CN26" s="302">
        <f t="shared" si="94"/>
        <v>0</v>
      </c>
      <c r="CO26" s="710">
        <f t="shared" si="140"/>
        <v>0</v>
      </c>
      <c r="CP26" s="710">
        <f t="shared" si="140"/>
        <v>0</v>
      </c>
      <c r="CQ26" s="710">
        <f t="shared" si="140"/>
        <v>0</v>
      </c>
      <c r="CR26" s="710">
        <f t="shared" si="140"/>
        <v>0</v>
      </c>
      <c r="CS26" s="705">
        <v>41586</v>
      </c>
      <c r="CT26" s="711">
        <v>0.94299999999999995</v>
      </c>
      <c r="CU26" s="711">
        <v>0.71899999999999997</v>
      </c>
      <c r="CV26" s="713">
        <v>0.98699999999999999</v>
      </c>
      <c r="CW26" s="714">
        <v>0.76600000000000001</v>
      </c>
      <c r="CY26" s="727">
        <v>3.197653459960037E-2</v>
      </c>
      <c r="CZ26" s="727">
        <v>2.0184226907293379E-2</v>
      </c>
      <c r="DA26" s="727">
        <v>4.0438073061138446E-2</v>
      </c>
      <c r="DB26" s="727">
        <v>2.440730383036982E-2</v>
      </c>
      <c r="DC26" s="463">
        <f t="shared" si="12"/>
        <v>-3.2553378860434634</v>
      </c>
      <c r="DD26" s="463">
        <f t="shared" si="13"/>
        <v>-2.0653378860435723</v>
      </c>
      <c r="DE26" s="463">
        <f t="shared" si="14"/>
        <v>-4.0653378860435296</v>
      </c>
      <c r="DF26" s="463">
        <f t="shared" si="15"/>
        <v>-2.4353378860435981</v>
      </c>
      <c r="DG26" s="483">
        <f t="shared" si="30"/>
        <v>3.2553378860434634</v>
      </c>
      <c r="DH26" s="483">
        <f t="shared" si="31"/>
        <v>2.0653378860435723</v>
      </c>
      <c r="DI26" s="483">
        <f t="shared" si="32"/>
        <v>4.0653378860435296</v>
      </c>
      <c r="DJ26" s="483">
        <f t="shared" si="33"/>
        <v>2.4353378860435981</v>
      </c>
      <c r="DK26" s="483">
        <f t="shared" si="121"/>
        <v>0.184020020740709</v>
      </c>
      <c r="DL26" s="483">
        <f t="shared" si="122"/>
        <v>0.80013735067109337</v>
      </c>
      <c r="DM26" s="483">
        <f t="shared" si="123"/>
        <v>0.18798827018621189</v>
      </c>
      <c r="DN26" s="483">
        <f t="shared" si="124"/>
        <v>0.31290034636446507</v>
      </c>
      <c r="DO26" s="483">
        <f t="shared" si="100"/>
        <v>14.976183632693349</v>
      </c>
      <c r="DP26" s="483">
        <f t="shared" si="101"/>
        <v>41.313849609488514</v>
      </c>
      <c r="DQ26" s="483">
        <f t="shared" si="102"/>
        <v>19.105895922994865</v>
      </c>
      <c r="DR26" s="483">
        <f t="shared" si="103"/>
        <v>19.05045170143865</v>
      </c>
      <c r="DS26" s="324">
        <v>3.4977599999999995</v>
      </c>
      <c r="DT26" s="324">
        <v>1.9727999999999999</v>
      </c>
      <c r="DU26" s="324">
        <v>3.4992000000000001</v>
      </c>
      <c r="DV26" s="324">
        <v>1.9151999999999998</v>
      </c>
      <c r="DW26" s="716"/>
      <c r="DX26" s="705">
        <v>41586</v>
      </c>
      <c r="DY26" s="716"/>
      <c r="DZ26" s="269"/>
      <c r="EA26" s="269">
        <f>-DD26-DT26</f>
        <v>9.2537886043572382E-2</v>
      </c>
      <c r="EB26" s="269">
        <f>-DE26-DU26</f>
        <v>0.56613788604352955</v>
      </c>
      <c r="EC26" s="716">
        <f>-DF26-DV26</f>
        <v>0.52013788604359834</v>
      </c>
      <c r="ED26" s="716"/>
      <c r="EE26" s="269">
        <f t="shared" si="130"/>
        <v>0.32317893373225914</v>
      </c>
      <c r="EF26" s="269">
        <f t="shared" ref="EF26:EF30" si="145">EA26</f>
        <v>9.2537886043572382E-2</v>
      </c>
      <c r="EG26" s="269">
        <f t="shared" ref="EG26:EG29" si="146">EB26</f>
        <v>0.56613788604352955</v>
      </c>
      <c r="EH26" s="269">
        <f t="shared" ref="EH26:EH29" si="147">EC26</f>
        <v>0.52013788604359834</v>
      </c>
      <c r="EI26" s="716"/>
      <c r="EJ26" s="717">
        <f t="shared" si="36"/>
        <v>391.01534517122576</v>
      </c>
      <c r="EK26" s="717">
        <f t="shared" si="37"/>
        <v>370.45341629368727</v>
      </c>
      <c r="EL26" s="717">
        <f t="shared" si="38"/>
        <v>587.97724643191896</v>
      </c>
      <c r="EM26" s="717">
        <f t="shared" si="39"/>
        <v>683.84962269666971</v>
      </c>
      <c r="EN26" s="716"/>
      <c r="EO26" s="269">
        <f t="shared" si="69"/>
        <v>2.358085327647673</v>
      </c>
      <c r="EP26" s="269">
        <f t="shared" si="70"/>
        <v>0.66593930214891994</v>
      </c>
      <c r="EQ26" s="269">
        <f t="shared" si="71"/>
        <v>0.91423128598491898</v>
      </c>
      <c r="ER26" s="269">
        <f t="shared" si="72"/>
        <v>2.4615138135866559</v>
      </c>
      <c r="ES26" s="716"/>
      <c r="ET26" s="718">
        <f t="shared" si="40"/>
        <v>2853.0558526356094</v>
      </c>
      <c r="EU26" s="718">
        <f t="shared" si="41"/>
        <v>2665.9296000034033</v>
      </c>
      <c r="EV26" s="718">
        <f t="shared" si="42"/>
        <v>949.49871292308046</v>
      </c>
      <c r="EW26" s="718">
        <f t="shared" si="43"/>
        <v>3236.2674164880573</v>
      </c>
      <c r="EX26" s="716"/>
      <c r="EY26" s="705">
        <v>41586</v>
      </c>
      <c r="EZ26" s="716"/>
      <c r="FA26" s="766">
        <f t="shared" si="44"/>
        <v>0.5740736246635314</v>
      </c>
      <c r="FB26" s="766">
        <f t="shared" si="45"/>
        <v>1.3068606978510799</v>
      </c>
      <c r="FC26" s="766">
        <f t="shared" si="46"/>
        <v>2.5849687140150812</v>
      </c>
      <c r="FD26" s="766">
        <f t="shared" si="47"/>
        <v>-0.54631381358665632</v>
      </c>
      <c r="FE26" s="760"/>
      <c r="FF26" s="705">
        <v>41586</v>
      </c>
      <c r="FG26" s="760"/>
      <c r="FH26" s="766">
        <v>694.57372703467479</v>
      </c>
      <c r="FI26" s="766">
        <f t="shared" si="73"/>
        <v>5231.7059621496746</v>
      </c>
      <c r="FJ26" s="766">
        <f t="shared" si="74"/>
        <v>2684.6865826294174</v>
      </c>
      <c r="FK26" s="766">
        <f t="shared" si="75"/>
        <v>-718.26433974451641</v>
      </c>
      <c r="FL26" s="760"/>
      <c r="FM26" s="759">
        <f t="shared" si="95"/>
        <v>694.57372703467479</v>
      </c>
      <c r="FN26" s="759">
        <f t="shared" si="96"/>
        <v>5231.7059621496746</v>
      </c>
      <c r="FO26" s="759">
        <f t="shared" si="97"/>
        <v>2684.6865826294174</v>
      </c>
      <c r="FP26" s="759">
        <f t="shared" si="49"/>
        <v>-718.26433974451641</v>
      </c>
      <c r="FQ26" s="760"/>
      <c r="FR26" s="759">
        <f t="shared" si="50"/>
        <v>3938.6449248415101</v>
      </c>
      <c r="FS26" s="759">
        <f t="shared" si="51"/>
        <v>8268.0889784467654</v>
      </c>
      <c r="FT26" s="759">
        <f t="shared" si="52"/>
        <v>4222.1625419844167</v>
      </c>
      <c r="FU26" s="759">
        <f t="shared" si="53"/>
        <v>3920.1170391847272</v>
      </c>
      <c r="FV26" s="761"/>
      <c r="FW26" s="754">
        <v>41586</v>
      </c>
      <c r="FX26" s="761"/>
      <c r="FY26" s="759">
        <f t="shared" si="76"/>
        <v>189201.67224239986</v>
      </c>
      <c r="FZ26" s="759">
        <f t="shared" si="77"/>
        <v>308961.09953913611</v>
      </c>
      <c r="GA26" s="759">
        <f t="shared" si="78"/>
        <v>163369.92941687148</v>
      </c>
      <c r="GB26" s="759">
        <f t="shared" si="79"/>
        <v>193886.91420857067</v>
      </c>
      <c r="GC26" s="760"/>
      <c r="GD26" s="759">
        <f t="shared" si="54"/>
        <v>0.50039320646987839</v>
      </c>
      <c r="GE26" s="759">
        <f t="shared" si="54"/>
        <v>0.40504620153815973</v>
      </c>
      <c r="GF26" s="759">
        <f t="shared" si="55"/>
        <v>0.43861712228881833</v>
      </c>
      <c r="GG26" s="759">
        <f t="shared" si="56"/>
        <v>0.50602439958080725</v>
      </c>
      <c r="GH26" s="716"/>
      <c r="GI26" s="756">
        <f t="shared" si="57"/>
        <v>0</v>
      </c>
      <c r="GJ26" s="756">
        <f t="shared" si="58"/>
        <v>0</v>
      </c>
      <c r="GK26" s="756">
        <f t="shared" si="59"/>
        <v>0</v>
      </c>
      <c r="GL26" s="756">
        <f t="shared" si="60"/>
        <v>0</v>
      </c>
      <c r="GM26" s="716"/>
    </row>
    <row r="27" spans="1:203" s="134" customFormat="1">
      <c r="A27" s="705">
        <v>41587</v>
      </c>
      <c r="B27" s="706">
        <v>0</v>
      </c>
      <c r="C27" s="497">
        <f t="shared" si="143"/>
        <v>3</v>
      </c>
      <c r="D27" s="274">
        <v>1.3562738121871754</v>
      </c>
      <c r="E27" s="274">
        <v>0.91539453249542757</v>
      </c>
      <c r="F27" s="274">
        <v>2.357247889535663</v>
      </c>
      <c r="G27" s="274">
        <v>-6.363185087767502E-2</v>
      </c>
      <c r="H27" s="729"/>
      <c r="I27" s="705">
        <v>41587</v>
      </c>
      <c r="J27" s="270">
        <f t="shared" si="138"/>
        <v>1.3562738121871754</v>
      </c>
      <c r="K27" s="270">
        <f t="shared" si="138"/>
        <v>0.91539453249542757</v>
      </c>
      <c r="L27" s="270">
        <f t="shared" si="138"/>
        <v>2.357247889535663</v>
      </c>
      <c r="M27" s="270">
        <f t="shared" si="138"/>
        <v>-6.363185087767502E-2</v>
      </c>
      <c r="N27" s="729"/>
      <c r="O27" s="705">
        <v>41587</v>
      </c>
      <c r="P27" s="270">
        <f t="shared" si="139"/>
        <v>1.3562738121871754</v>
      </c>
      <c r="Q27" s="270">
        <f t="shared" si="139"/>
        <v>0.91539453249542757</v>
      </c>
      <c r="R27" s="270">
        <f t="shared" si="139"/>
        <v>2.357247889535663</v>
      </c>
      <c r="S27" s="270">
        <f t="shared" si="139"/>
        <v>-6.363185087767502E-2</v>
      </c>
      <c r="T27" s="705">
        <v>41587</v>
      </c>
      <c r="U27" s="291">
        <v>1.3562738121871754</v>
      </c>
      <c r="V27" s="291">
        <v>0.91539453249542757</v>
      </c>
      <c r="W27" s="291">
        <v>2.357247889535663</v>
      </c>
      <c r="X27" s="291">
        <v>-6.363185087767502E-2</v>
      </c>
      <c r="Y27" s="729"/>
      <c r="Z27" s="705">
        <v>41587</v>
      </c>
      <c r="AA27" s="707">
        <v>41587</v>
      </c>
      <c r="AB27" s="497">
        <f t="shared" si="144"/>
        <v>3</v>
      </c>
      <c r="AC27" s="266">
        <v>2.4993953411213714</v>
      </c>
      <c r="AD27" s="291">
        <v>1.3562738121871754</v>
      </c>
      <c r="AE27" s="291">
        <f t="shared" si="82"/>
        <v>1617.1400073545615</v>
      </c>
      <c r="AF27" s="161">
        <v>3.1099953411213708</v>
      </c>
      <c r="AG27" s="291">
        <v>0.91539453249542757</v>
      </c>
      <c r="AH27" s="291">
        <f t="shared" si="83"/>
        <v>3608.4313474399551</v>
      </c>
      <c r="AI27" s="161">
        <v>3.3074953411213714</v>
      </c>
      <c r="AJ27" s="291">
        <v>2.357247889535663</v>
      </c>
      <c r="AK27" s="291">
        <f t="shared" si="84"/>
        <v>2398.7887060696576</v>
      </c>
      <c r="AL27" s="161">
        <v>2.8724953411213714</v>
      </c>
      <c r="AM27" s="291">
        <v>-6.363185087767502E-2</v>
      </c>
      <c r="AN27" s="291">
        <f t="shared" si="85"/>
        <v>-81.643979191263881</v>
      </c>
      <c r="AO27" s="705">
        <v>41587</v>
      </c>
      <c r="AP27" s="463">
        <v>11.923403613807922</v>
      </c>
      <c r="AQ27" s="463">
        <v>39.41941118659652</v>
      </c>
      <c r="AR27" s="463">
        <v>10.176225914628679</v>
      </c>
      <c r="AS27" s="463">
        <v>12.830678043330082</v>
      </c>
      <c r="AT27" s="463">
        <f t="shared" si="86"/>
        <v>0.42583584335028296</v>
      </c>
      <c r="AU27" s="463">
        <f t="shared" si="87"/>
        <v>0.66812561333214437</v>
      </c>
      <c r="AV27" s="463">
        <f t="shared" si="88"/>
        <v>0.50881129573143391</v>
      </c>
      <c r="AW27" s="463">
        <f t="shared" si="89"/>
        <v>0.6752988443857938</v>
      </c>
      <c r="AY27" s="266">
        <v>2.4993953411213714</v>
      </c>
      <c r="AZ27" s="161">
        <v>3.1099953411213708</v>
      </c>
      <c r="BA27" s="161">
        <v>3.3074953411213714</v>
      </c>
      <c r="BB27" s="161">
        <v>2.8724953411213714</v>
      </c>
      <c r="BE27" s="134">
        <v>-2.3445261878128246E-2</v>
      </c>
      <c r="BF27" s="134">
        <v>-6.5420546750457271E-3</v>
      </c>
      <c r="BG27" s="134">
        <v>-9.1155211046433735E-3</v>
      </c>
      <c r="BH27" s="134">
        <v>-2.4540318508776752E-2</v>
      </c>
      <c r="BJ27" s="508">
        <v>-0.42003030350142023</v>
      </c>
      <c r="BK27" s="508">
        <v>2.2842773888058083</v>
      </c>
      <c r="BL27" s="508">
        <v>6.4615081580370815</v>
      </c>
      <c r="BM27" s="508">
        <v>-0.5698764573481494</v>
      </c>
      <c r="BO27" s="705">
        <v>41587</v>
      </c>
      <c r="BP27" s="324">
        <v>0</v>
      </c>
      <c r="BQ27" s="1">
        <v>5035950</v>
      </c>
      <c r="BR27" s="1">
        <v>11127132</v>
      </c>
      <c r="BS27" s="1">
        <v>6310099.7999999998</v>
      </c>
      <c r="BT27" s="1">
        <v>5970600</v>
      </c>
      <c r="BU27" s="708">
        <v>153402.67665978591</v>
      </c>
      <c r="BV27" s="708">
        <v>509866.00211189309</v>
      </c>
      <c r="BW27" s="708">
        <v>144414.10030668529</v>
      </c>
      <c r="BX27" s="708">
        <v>214415.58927759767</v>
      </c>
      <c r="BY27" s="709">
        <f t="shared" si="18"/>
        <v>0</v>
      </c>
      <c r="BZ27" s="709">
        <f t="shared" si="19"/>
        <v>0</v>
      </c>
      <c r="CA27" s="709">
        <f t="shared" si="20"/>
        <v>0</v>
      </c>
      <c r="CB27" s="709">
        <f t="shared" si="21"/>
        <v>0</v>
      </c>
      <c r="CC27" s="475">
        <f t="shared" si="22"/>
        <v>0</v>
      </c>
      <c r="CD27" s="475">
        <f t="shared" si="23"/>
        <v>0</v>
      </c>
      <c r="CE27" s="475">
        <f t="shared" si="24"/>
        <v>0</v>
      </c>
      <c r="CF27" s="475">
        <f t="shared" si="25"/>
        <v>0</v>
      </c>
      <c r="CG27" s="302">
        <f t="shared" si="90"/>
        <v>0</v>
      </c>
      <c r="CH27" s="302">
        <f t="shared" si="91"/>
        <v>0</v>
      </c>
      <c r="CI27" s="302">
        <f t="shared" si="92"/>
        <v>0</v>
      </c>
      <c r="CJ27" s="302">
        <f t="shared" si="93"/>
        <v>0</v>
      </c>
      <c r="CK27" s="302">
        <f t="shared" si="94"/>
        <v>0</v>
      </c>
      <c r="CL27" s="302">
        <f t="shared" si="94"/>
        <v>0</v>
      </c>
      <c r="CM27" s="302">
        <f t="shared" si="94"/>
        <v>0</v>
      </c>
      <c r="CN27" s="302">
        <f t="shared" si="94"/>
        <v>0</v>
      </c>
      <c r="CO27" s="710">
        <f t="shared" si="140"/>
        <v>0</v>
      </c>
      <c r="CP27" s="710">
        <f t="shared" si="140"/>
        <v>0</v>
      </c>
      <c r="CQ27" s="710">
        <f t="shared" si="140"/>
        <v>0</v>
      </c>
      <c r="CR27" s="710">
        <f t="shared" si="140"/>
        <v>0</v>
      </c>
      <c r="CS27" s="705">
        <v>41587</v>
      </c>
      <c r="CT27" s="711">
        <v>0.97099999999999997</v>
      </c>
      <c r="CU27" s="711">
        <v>0.77200000000000002</v>
      </c>
      <c r="CV27" s="713">
        <v>0.98299999999999998</v>
      </c>
      <c r="CW27" s="714">
        <v>0.81499999999999995</v>
      </c>
      <c r="CY27" s="727">
        <v>3.6587969696498579E-2</v>
      </c>
      <c r="CZ27" s="727">
        <v>1.798027738880581E-2</v>
      </c>
      <c r="DA27" s="727">
        <v>3.9149508158037083E-2</v>
      </c>
      <c r="DB27" s="727">
        <v>2.3334123542651852E-2</v>
      </c>
      <c r="DC27" s="463">
        <f t="shared" si="12"/>
        <v>-3.6176895526891073</v>
      </c>
      <c r="DD27" s="463">
        <f t="shared" si="13"/>
        <v>-1.8076895526888848</v>
      </c>
      <c r="DE27" s="463">
        <f t="shared" si="14"/>
        <v>-3.887689552689011</v>
      </c>
      <c r="DF27" s="463">
        <f t="shared" si="15"/>
        <v>-2.3376895526890706</v>
      </c>
      <c r="DG27" s="483">
        <f t="shared" si="30"/>
        <v>3.6176895526891073</v>
      </c>
      <c r="DH27" s="483">
        <f t="shared" si="31"/>
        <v>1.8076895526888848</v>
      </c>
      <c r="DI27" s="483">
        <f t="shared" si="32"/>
        <v>3.887689552689011</v>
      </c>
      <c r="DJ27" s="483">
        <f t="shared" si="33"/>
        <v>2.3376895526890706</v>
      </c>
      <c r="DK27" s="483">
        <f t="shared" si="121"/>
        <v>0.175632070713716</v>
      </c>
      <c r="DL27" s="483">
        <f t="shared" si="122"/>
        <v>0.61321027606101097</v>
      </c>
      <c r="DM27" s="483">
        <f t="shared" si="123"/>
        <v>0.2095345321948745</v>
      </c>
      <c r="DN27" s="483">
        <f t="shared" si="124"/>
        <v>0.31678998477946863</v>
      </c>
      <c r="DO27" s="483">
        <f t="shared" si="100"/>
        <v>15.884557683454123</v>
      </c>
      <c r="DP27" s="483">
        <f t="shared" si="101"/>
        <v>27.712345240923909</v>
      </c>
      <c r="DQ27" s="483">
        <f t="shared" si="102"/>
        <v>20.365130293539821</v>
      </c>
      <c r="DR27" s="483">
        <f t="shared" si="103"/>
        <v>18.513915945387335</v>
      </c>
      <c r="DS27" s="324">
        <v>3.7008000000000001</v>
      </c>
      <c r="DT27" s="324">
        <v>1.5696000000000001</v>
      </c>
      <c r="DU27" s="324">
        <v>3.2688000000000001</v>
      </c>
      <c r="DV27" s="324">
        <v>2.3904000000000001</v>
      </c>
      <c r="DW27" s="716"/>
      <c r="DX27" s="705">
        <v>41587</v>
      </c>
      <c r="DY27" s="716"/>
      <c r="DZ27" s="269"/>
      <c r="EA27" s="269">
        <f>-DD27-DT27</f>
        <v>0.23808955268888465</v>
      </c>
      <c r="EB27" s="269">
        <f>-DE27-DU27</f>
        <v>0.6188895526890108</v>
      </c>
      <c r="EC27" s="716"/>
      <c r="ED27" s="716"/>
      <c r="EE27" s="269">
        <f t="shared" si="130"/>
        <v>0.31160239758983893</v>
      </c>
      <c r="EF27" s="269">
        <f t="shared" si="145"/>
        <v>0.23808955268888465</v>
      </c>
      <c r="EG27" s="269">
        <f t="shared" si="146"/>
        <v>0.6188895526890108</v>
      </c>
      <c r="EH27" s="269">
        <f>-(EH$26-EH$29)/3+EH26</f>
        <v>0.69250054451150922</v>
      </c>
      <c r="EI27" s="716"/>
      <c r="EJ27" s="717">
        <f t="shared" si="36"/>
        <v>371.53611534938983</v>
      </c>
      <c r="EK27" s="717">
        <f t="shared" si="37"/>
        <v>938.53499766759796</v>
      </c>
      <c r="EL27" s="717">
        <f t="shared" si="38"/>
        <v>629.79599043668622</v>
      </c>
      <c r="EM27" s="717">
        <f t="shared" si="39"/>
        <v>888.52515314579466</v>
      </c>
      <c r="EN27" s="716"/>
      <c r="EO27" s="269">
        <f t="shared" si="69"/>
        <v>2.3445261878128245</v>
      </c>
      <c r="EP27" s="269">
        <f t="shared" si="70"/>
        <v>0.65420546750457276</v>
      </c>
      <c r="EQ27" s="269">
        <f t="shared" si="71"/>
        <v>0.91155211046433737</v>
      </c>
      <c r="ER27" s="269">
        <f t="shared" si="72"/>
        <v>2.4540318508776751</v>
      </c>
      <c r="ES27" s="716"/>
      <c r="ET27" s="718">
        <f t="shared" si="40"/>
        <v>2795.473202043474</v>
      </c>
      <c r="EU27" s="718">
        <f t="shared" si="41"/>
        <v>2578.8394324082365</v>
      </c>
      <c r="EV27" s="718">
        <f t="shared" si="42"/>
        <v>927.61602090416545</v>
      </c>
      <c r="EW27" s="718">
        <f t="shared" si="43"/>
        <v>3148.6892586688869</v>
      </c>
      <c r="EX27" s="716"/>
      <c r="EY27" s="705">
        <v>41587</v>
      </c>
      <c r="EZ27" s="716"/>
      <c r="FA27" s="766">
        <f t="shared" si="44"/>
        <v>0.9615609672864438</v>
      </c>
      <c r="FB27" s="766">
        <f t="shared" si="45"/>
        <v>0.91539453249542735</v>
      </c>
      <c r="FC27" s="766">
        <f t="shared" si="46"/>
        <v>2.357247889535663</v>
      </c>
      <c r="FD27" s="766">
        <f t="shared" si="47"/>
        <v>-0.80884284270011353</v>
      </c>
      <c r="FE27" s="760"/>
      <c r="FF27" s="705">
        <v>41587</v>
      </c>
      <c r="FG27" s="760"/>
      <c r="FH27" s="766">
        <v>1146.5079512239827</v>
      </c>
      <c r="FI27" s="766">
        <f t="shared" si="73"/>
        <v>3608.4313474399542</v>
      </c>
      <c r="FJ27" s="766">
        <f t="shared" si="74"/>
        <v>2398.7887060696576</v>
      </c>
      <c r="FK27" s="766">
        <f t="shared" si="75"/>
        <v>-1037.8002102337034</v>
      </c>
      <c r="FL27" s="760"/>
      <c r="FM27" s="759">
        <f t="shared" si="95"/>
        <v>1146.5079512239827</v>
      </c>
      <c r="FN27" s="759">
        <f t="shared" si="96"/>
        <v>3608.4313474399542</v>
      </c>
      <c r="FO27" s="759">
        <f t="shared" si="97"/>
        <v>2398.7887060696576</v>
      </c>
      <c r="FP27" s="759">
        <f t="shared" si="49"/>
        <v>-1037.8002102337034</v>
      </c>
      <c r="FQ27" s="760"/>
      <c r="FR27" s="759">
        <f t="shared" si="50"/>
        <v>4313.5172686168462</v>
      </c>
      <c r="FS27" s="759">
        <f t="shared" si="51"/>
        <v>7125.8057775157886</v>
      </c>
      <c r="FT27" s="759">
        <f t="shared" si="52"/>
        <v>3956.2007174105092</v>
      </c>
      <c r="FU27" s="759">
        <f t="shared" si="53"/>
        <v>4037.2144118146816</v>
      </c>
      <c r="FV27" s="761"/>
      <c r="FW27" s="754">
        <v>41587</v>
      </c>
      <c r="FX27" s="761"/>
      <c r="FY27" s="759">
        <f t="shared" si="76"/>
        <v>193515.18951101671</v>
      </c>
      <c r="FZ27" s="759">
        <f t="shared" si="77"/>
        <v>316086.90531665192</v>
      </c>
      <c r="GA27" s="759">
        <f t="shared" si="78"/>
        <v>167326.13013428199</v>
      </c>
      <c r="GB27" s="759">
        <f t="shared" si="79"/>
        <v>197924.12862038534</v>
      </c>
      <c r="GC27" s="760"/>
      <c r="GD27" s="759">
        <f t="shared" si="54"/>
        <v>0.51180142877375434</v>
      </c>
      <c r="GE27" s="759">
        <f t="shared" si="54"/>
        <v>0.41438809139868521</v>
      </c>
      <c r="GF27" s="759">
        <f t="shared" si="55"/>
        <v>0.4492387671659468</v>
      </c>
      <c r="GG27" s="759">
        <f t="shared" si="56"/>
        <v>0.51656110344788642</v>
      </c>
      <c r="GH27" s="716"/>
      <c r="GI27" s="756">
        <f t="shared" si="57"/>
        <v>0</v>
      </c>
      <c r="GJ27" s="756">
        <f t="shared" si="58"/>
        <v>0</v>
      </c>
      <c r="GK27" s="756">
        <f t="shared" si="59"/>
        <v>0</v>
      </c>
      <c r="GL27" s="756">
        <f t="shared" si="60"/>
        <v>0</v>
      </c>
      <c r="GM27" s="716"/>
    </row>
    <row r="28" spans="1:203" s="134" customFormat="1">
      <c r="A28" s="705">
        <v>41588</v>
      </c>
      <c r="B28" s="706">
        <v>0</v>
      </c>
      <c r="C28" s="497">
        <f t="shared" si="143"/>
        <v>4</v>
      </c>
      <c r="D28" s="274">
        <v>1.5734568335988315</v>
      </c>
      <c r="E28" s="274">
        <v>1.4157707347119952</v>
      </c>
      <c r="F28" s="274">
        <v>2.4177093906381546</v>
      </c>
      <c r="G28" s="274">
        <v>0.72275058579618356</v>
      </c>
      <c r="H28" s="729"/>
      <c r="I28" s="705">
        <v>41588</v>
      </c>
      <c r="J28" s="270">
        <f t="shared" si="138"/>
        <v>1.5734568335988315</v>
      </c>
      <c r="K28" s="270">
        <f t="shared" si="138"/>
        <v>1.4157707347119952</v>
      </c>
      <c r="L28" s="270">
        <f t="shared" si="138"/>
        <v>2.4177093906381546</v>
      </c>
      <c r="M28" s="270">
        <f t="shared" si="138"/>
        <v>0.72275058579618356</v>
      </c>
      <c r="N28" s="729"/>
      <c r="O28" s="705">
        <v>41588</v>
      </c>
      <c r="P28" s="270">
        <f t="shared" si="139"/>
        <v>1.5734568335988315</v>
      </c>
      <c r="Q28" s="270">
        <f t="shared" si="139"/>
        <v>1.4157707347119952</v>
      </c>
      <c r="R28" s="270">
        <f t="shared" si="139"/>
        <v>2.4177093906381546</v>
      </c>
      <c r="S28" s="270">
        <f t="shared" si="139"/>
        <v>0.72275058579618356</v>
      </c>
      <c r="T28" s="705">
        <v>41588</v>
      </c>
      <c r="U28" s="291">
        <v>1.5734568335988315</v>
      </c>
      <c r="V28" s="291">
        <v>1.4157707347119952</v>
      </c>
      <c r="W28" s="291">
        <v>2.4177093906381546</v>
      </c>
      <c r="X28" s="291">
        <v>0.72275058579618356</v>
      </c>
      <c r="Y28" s="729"/>
      <c r="Z28" s="705">
        <v>41588</v>
      </c>
      <c r="AA28" s="707">
        <v>41588</v>
      </c>
      <c r="AB28" s="497">
        <f t="shared" si="144"/>
        <v>4</v>
      </c>
      <c r="AC28" s="266">
        <v>2.4632184455944803</v>
      </c>
      <c r="AD28" s="291">
        <v>1.5734568335988315</v>
      </c>
      <c r="AE28" s="291">
        <f t="shared" si="82"/>
        <v>1849.5968095707858</v>
      </c>
      <c r="AF28" s="161">
        <v>3.0919184455944819</v>
      </c>
      <c r="AG28" s="291">
        <v>1.4157707347119952</v>
      </c>
      <c r="AH28" s="291">
        <f t="shared" si="83"/>
        <v>5475.3785635885724</v>
      </c>
      <c r="AI28" s="161">
        <v>3.2686184455944813</v>
      </c>
      <c r="AJ28" s="291">
        <v>2.4177093906381546</v>
      </c>
      <c r="AK28" s="291">
        <f t="shared" si="84"/>
        <v>2407.0492368172859</v>
      </c>
      <c r="AL28" s="161">
        <v>2.8491184455944807</v>
      </c>
      <c r="AM28" s="291">
        <v>0.72275058579618356</v>
      </c>
      <c r="AN28" s="291">
        <f t="shared" si="85"/>
        <v>902.55522048879641</v>
      </c>
      <c r="AO28" s="705">
        <v>41588</v>
      </c>
      <c r="AP28" s="463">
        <v>11.754989206410977</v>
      </c>
      <c r="AQ28" s="463">
        <v>38.674189466858891</v>
      </c>
      <c r="AR28" s="463">
        <v>9.9559080431165672</v>
      </c>
      <c r="AS28" s="463">
        <v>12.487782621366398</v>
      </c>
      <c r="AT28" s="463">
        <f t="shared" si="86"/>
        <v>0.41982104308610635</v>
      </c>
      <c r="AU28" s="463">
        <f t="shared" si="87"/>
        <v>0.65549473672642189</v>
      </c>
      <c r="AV28" s="463">
        <f t="shared" si="88"/>
        <v>0.49779540215582835</v>
      </c>
      <c r="AW28" s="463">
        <f t="shared" si="89"/>
        <v>0.65725171691402096</v>
      </c>
      <c r="AY28" s="266">
        <v>2.4632184455944803</v>
      </c>
      <c r="AZ28" s="161">
        <v>3.0919184455944819</v>
      </c>
      <c r="BA28" s="161">
        <v>3.2686184455944813</v>
      </c>
      <c r="BB28" s="161">
        <v>2.8491184455944807</v>
      </c>
      <c r="BE28" s="134">
        <v>-2.3289431664011689E-2</v>
      </c>
      <c r="BF28" s="134">
        <v>-6.4342926528800455E-3</v>
      </c>
      <c r="BG28" s="134">
        <v>-9.0869060936184555E-3</v>
      </c>
      <c r="BH28" s="134">
        <v>-2.4452494142038164E-2</v>
      </c>
      <c r="BJ28" s="508">
        <v>-1.0820326628305232</v>
      </c>
      <c r="BK28" s="508">
        <v>0.40381349101598074</v>
      </c>
      <c r="BL28" s="508">
        <v>7.2779673371691906</v>
      </c>
      <c r="BM28" s="508">
        <v>-4.5688018935997192</v>
      </c>
      <c r="BO28" s="705">
        <v>41588</v>
      </c>
      <c r="BP28" s="324">
        <v>0</v>
      </c>
      <c r="BQ28" s="1">
        <v>5035950</v>
      </c>
      <c r="BR28" s="1">
        <v>11127132</v>
      </c>
      <c r="BS28" s="1">
        <v>6310099.7999999998</v>
      </c>
      <c r="BT28" s="1">
        <v>5970600</v>
      </c>
      <c r="BU28" s="708">
        <v>153402.67665978591</v>
      </c>
      <c r="BV28" s="708">
        <v>509866.00211189309</v>
      </c>
      <c r="BW28" s="708">
        <v>144414.10030668529</v>
      </c>
      <c r="BX28" s="708">
        <v>214415.58927759767</v>
      </c>
      <c r="BY28" s="709">
        <f t="shared" si="18"/>
        <v>0</v>
      </c>
      <c r="BZ28" s="709">
        <f t="shared" si="19"/>
        <v>0</v>
      </c>
      <c r="CA28" s="709">
        <f t="shared" si="20"/>
        <v>0</v>
      </c>
      <c r="CB28" s="709">
        <f t="shared" si="21"/>
        <v>0</v>
      </c>
      <c r="CC28" s="475">
        <f t="shared" si="22"/>
        <v>0</v>
      </c>
      <c r="CD28" s="475">
        <f t="shared" si="23"/>
        <v>0</v>
      </c>
      <c r="CE28" s="475">
        <f t="shared" si="24"/>
        <v>0</v>
      </c>
      <c r="CF28" s="475">
        <f t="shared" si="25"/>
        <v>0</v>
      </c>
      <c r="CG28" s="302">
        <f t="shared" si="90"/>
        <v>0</v>
      </c>
      <c r="CH28" s="302">
        <f t="shared" si="91"/>
        <v>0</v>
      </c>
      <c r="CI28" s="302">
        <f t="shared" si="92"/>
        <v>0</v>
      </c>
      <c r="CJ28" s="302">
        <f t="shared" si="93"/>
        <v>0</v>
      </c>
      <c r="CK28" s="302">
        <f t="shared" si="94"/>
        <v>0</v>
      </c>
      <c r="CL28" s="302">
        <f t="shared" si="94"/>
        <v>0</v>
      </c>
      <c r="CM28" s="302">
        <f t="shared" si="94"/>
        <v>0</v>
      </c>
      <c r="CN28" s="302">
        <f t="shared" si="94"/>
        <v>0</v>
      </c>
      <c r="CO28" s="710">
        <f t="shared" si="140"/>
        <v>0</v>
      </c>
      <c r="CP28" s="710">
        <f t="shared" si="140"/>
        <v>0</v>
      </c>
      <c r="CQ28" s="710">
        <f t="shared" si="140"/>
        <v>0</v>
      </c>
      <c r="CR28" s="710">
        <f t="shared" si="140"/>
        <v>0</v>
      </c>
      <c r="CS28" s="705">
        <v>41588</v>
      </c>
      <c r="CT28" s="711">
        <v>0.98099999999999998</v>
      </c>
      <c r="CU28" s="711">
        <v>0.76</v>
      </c>
      <c r="CV28" s="713">
        <v>0.98599999999999999</v>
      </c>
      <c r="CW28" s="714">
        <v>0.93200000000000005</v>
      </c>
      <c r="CY28" s="727">
        <v>3.794196733716948E-2</v>
      </c>
      <c r="CZ28" s="727">
        <v>2.099581349101598E-2</v>
      </c>
      <c r="DA28" s="727">
        <v>4.0541967337169194E-2</v>
      </c>
      <c r="DB28" s="727">
        <v>2.711119810640028E-2</v>
      </c>
      <c r="DC28" s="463">
        <f t="shared" si="12"/>
        <v>-3.8417993175919207</v>
      </c>
      <c r="DD28" s="463">
        <f t="shared" si="13"/>
        <v>-2.101799317592068</v>
      </c>
      <c r="DE28" s="463">
        <f t="shared" si="14"/>
        <v>-4.0817993175920719</v>
      </c>
      <c r="DF28" s="463">
        <f t="shared" si="15"/>
        <v>-2.7417993175919975</v>
      </c>
      <c r="DG28" s="483">
        <f t="shared" si="30"/>
        <v>3.8417993175919207</v>
      </c>
      <c r="DH28" s="483">
        <f t="shared" si="31"/>
        <v>2.101799317592068</v>
      </c>
      <c r="DI28" s="483">
        <f t="shared" si="32"/>
        <v>4.0817993175920719</v>
      </c>
      <c r="DJ28" s="483">
        <f t="shared" si="33"/>
        <v>2.7417993175919975</v>
      </c>
      <c r="DK28" s="483">
        <f t="shared" si="121"/>
        <v>0.16841440739694491</v>
      </c>
      <c r="DL28" s="483">
        <f t="shared" si="122"/>
        <v>0.74522171973762852</v>
      </c>
      <c r="DM28" s="483">
        <f t="shared" si="123"/>
        <v>0.22031787151211191</v>
      </c>
      <c r="DN28" s="483">
        <f t="shared" si="124"/>
        <v>0.34289542196368394</v>
      </c>
      <c r="DO28" s="483">
        <f t="shared" si="100"/>
        <v>16.175358885255765</v>
      </c>
      <c r="DP28" s="483">
        <f t="shared" si="101"/>
        <v>39.157662549983371</v>
      </c>
      <c r="DQ28" s="483">
        <f t="shared" si="102"/>
        <v>22.482333439786906</v>
      </c>
      <c r="DR28" s="483">
        <f t="shared" si="103"/>
        <v>23.503760848636215</v>
      </c>
      <c r="DS28" s="324">
        <v>3.9024000000000001</v>
      </c>
      <c r="DT28" s="324">
        <v>2.0591999999999997</v>
      </c>
      <c r="DU28" s="324">
        <v>3.3264</v>
      </c>
      <c r="DV28" s="324">
        <v>3.1680000000000001</v>
      </c>
      <c r="DW28" s="716"/>
      <c r="DX28" s="705">
        <v>41588</v>
      </c>
      <c r="DY28" s="716"/>
      <c r="DZ28" s="269"/>
      <c r="EA28" s="269">
        <f>-DD28-DT28</f>
        <v>4.2599317592068253E-2</v>
      </c>
      <c r="EB28" s="269">
        <f>-DE28-DU28</f>
        <v>0.75539931759207191</v>
      </c>
      <c r="EC28" s="716"/>
      <c r="ED28" s="716"/>
      <c r="EE28" s="269">
        <f t="shared" si="130"/>
        <v>0.30002586144741872</v>
      </c>
      <c r="EF28" s="269">
        <f t="shared" si="145"/>
        <v>4.2599317592068253E-2</v>
      </c>
      <c r="EG28" s="269">
        <f t="shared" si="146"/>
        <v>0.75539931759207191</v>
      </c>
      <c r="EH28" s="269">
        <f>-(EH$26-EH$29)/3+EH27</f>
        <v>0.8648632029794201</v>
      </c>
      <c r="EI28" s="716"/>
      <c r="EJ28" s="717">
        <f t="shared" si="36"/>
        <v>352.68007629585622</v>
      </c>
      <c r="EK28" s="717">
        <f t="shared" si="37"/>
        <v>164.74940797145427</v>
      </c>
      <c r="EL28" s="717">
        <f t="shared" si="38"/>
        <v>752.06861417796756</v>
      </c>
      <c r="EM28" s="717">
        <f t="shared" si="39"/>
        <v>1080.0223676025682</v>
      </c>
      <c r="EN28" s="716"/>
      <c r="EO28" s="269">
        <f t="shared" si="69"/>
        <v>2.3289431664011691</v>
      </c>
      <c r="EP28" s="269">
        <f t="shared" si="70"/>
        <v>0.64342926528800459</v>
      </c>
      <c r="EQ28" s="269">
        <f t="shared" si="71"/>
        <v>0.90869060936184554</v>
      </c>
      <c r="ER28" s="269">
        <f t="shared" si="72"/>
        <v>2.4452494142038166</v>
      </c>
      <c r="ES28" s="716"/>
      <c r="ET28" s="718">
        <f t="shared" si="40"/>
        <v>2737.6701783390349</v>
      </c>
      <c r="EU28" s="718">
        <f t="shared" si="41"/>
        <v>2488.4105314270105</v>
      </c>
      <c r="EV28" s="718">
        <f t="shared" si="42"/>
        <v>904.68401464500926</v>
      </c>
      <c r="EW28" s="718">
        <f t="shared" si="43"/>
        <v>3053.5743139600786</v>
      </c>
      <c r="EX28" s="716"/>
      <c r="EY28" s="705">
        <v>41588</v>
      </c>
      <c r="EZ28" s="716"/>
      <c r="FA28" s="766">
        <f t="shared" si="44"/>
        <v>1.2128302897433327</v>
      </c>
      <c r="FB28" s="766">
        <f t="shared" si="45"/>
        <v>1.415770734711995</v>
      </c>
      <c r="FC28" s="766">
        <f t="shared" si="46"/>
        <v>2.4177093906381546</v>
      </c>
      <c r="FD28" s="766">
        <f t="shared" si="47"/>
        <v>-0.56831329959123922</v>
      </c>
      <c r="FE28" s="760"/>
      <c r="FF28" s="705">
        <v>41588</v>
      </c>
      <c r="FG28" s="760"/>
      <c r="FH28" s="766">
        <v>1425.6806965141175</v>
      </c>
      <c r="FI28" s="766">
        <f t="shared" si="73"/>
        <v>5475.3785635885706</v>
      </c>
      <c r="FJ28" s="766">
        <f t="shared" si="74"/>
        <v>2407.0492368172859</v>
      </c>
      <c r="FK28" s="766">
        <f t="shared" si="75"/>
        <v>-709.6972946126873</v>
      </c>
      <c r="FL28" s="760"/>
      <c r="FM28" s="759">
        <f t="shared" si="95"/>
        <v>1425.6806965141175</v>
      </c>
      <c r="FN28" s="759">
        <f t="shared" si="96"/>
        <v>5475.3785635885706</v>
      </c>
      <c r="FO28" s="759">
        <f t="shared" si="97"/>
        <v>2407.0492368172859</v>
      </c>
      <c r="FP28" s="759">
        <f t="shared" si="49"/>
        <v>-709.6972946126873</v>
      </c>
      <c r="FQ28" s="760"/>
      <c r="FR28" s="759">
        <f t="shared" si="50"/>
        <v>4516.0309511490086</v>
      </c>
      <c r="FS28" s="759">
        <f t="shared" si="51"/>
        <v>8128.5385029870358</v>
      </c>
      <c r="FT28" s="759">
        <f t="shared" si="52"/>
        <v>4063.8018656402623</v>
      </c>
      <c r="FU28" s="759">
        <f t="shared" si="53"/>
        <v>4133.5966815626471</v>
      </c>
      <c r="FV28" s="761"/>
      <c r="FW28" s="754">
        <v>41588</v>
      </c>
      <c r="FX28" s="761"/>
      <c r="FY28" s="759">
        <f t="shared" si="76"/>
        <v>198031.22046216571</v>
      </c>
      <c r="FZ28" s="759">
        <f t="shared" si="77"/>
        <v>324215.44381963892</v>
      </c>
      <c r="GA28" s="759">
        <f t="shared" si="78"/>
        <v>171389.93199992226</v>
      </c>
      <c r="GB28" s="759">
        <f t="shared" si="79"/>
        <v>202057.725301948</v>
      </c>
      <c r="GC28" s="760"/>
      <c r="GD28" s="759">
        <f t="shared" si="54"/>
        <v>0.52374525136992822</v>
      </c>
      <c r="GE28" s="759">
        <f t="shared" si="54"/>
        <v>0.42504455802054392</v>
      </c>
      <c r="GF28" s="759">
        <f t="shared" si="55"/>
        <v>0.46014930061736781</v>
      </c>
      <c r="GG28" s="759">
        <f t="shared" si="56"/>
        <v>0.52734935487493662</v>
      </c>
      <c r="GH28" s="716"/>
      <c r="GI28" s="756">
        <f t="shared" si="57"/>
        <v>0</v>
      </c>
      <c r="GJ28" s="756">
        <f t="shared" si="58"/>
        <v>0</v>
      </c>
      <c r="GK28" s="756">
        <f t="shared" si="59"/>
        <v>0</v>
      </c>
      <c r="GL28" s="756">
        <f t="shared" si="60"/>
        <v>0</v>
      </c>
      <c r="GM28" s="716"/>
    </row>
    <row r="29" spans="1:203" s="134" customFormat="1">
      <c r="A29" s="705">
        <v>41589</v>
      </c>
      <c r="B29" s="706">
        <v>0</v>
      </c>
      <c r="C29" s="497">
        <f t="shared" si="143"/>
        <v>5</v>
      </c>
      <c r="D29" s="274">
        <v>1.0866267822689588</v>
      </c>
      <c r="E29" s="274">
        <v>1.0833188185458038</v>
      </c>
      <c r="F29" s="274">
        <v>2.4786486742017049</v>
      </c>
      <c r="G29" s="274">
        <v>0.4183905468843514</v>
      </c>
      <c r="H29" s="729"/>
      <c r="I29" s="705">
        <v>41589</v>
      </c>
      <c r="J29" s="270">
        <f t="shared" si="138"/>
        <v>1.0866267822689588</v>
      </c>
      <c r="K29" s="270">
        <f t="shared" si="138"/>
        <v>1.0833188185458038</v>
      </c>
      <c r="L29" s="270">
        <f t="shared" si="138"/>
        <v>2.4786486742017049</v>
      </c>
      <c r="M29" s="270">
        <f t="shared" si="138"/>
        <v>0.4183905468843514</v>
      </c>
      <c r="N29" s="729"/>
      <c r="O29" s="705">
        <v>41589</v>
      </c>
      <c r="P29" s="270">
        <f t="shared" si="139"/>
        <v>1.0866267822689588</v>
      </c>
      <c r="Q29" s="270">
        <f t="shared" si="139"/>
        <v>1.0833188185458038</v>
      </c>
      <c r="R29" s="270">
        <f t="shared" si="139"/>
        <v>2.4786486742017049</v>
      </c>
      <c r="S29" s="270">
        <f t="shared" si="139"/>
        <v>0.4183905468843514</v>
      </c>
      <c r="T29" s="705">
        <v>41589</v>
      </c>
      <c r="U29" s="291">
        <v>1.0866267822689588</v>
      </c>
      <c r="V29" s="291">
        <v>1.0833188185458038</v>
      </c>
      <c r="W29" s="291">
        <v>2.4786486742017049</v>
      </c>
      <c r="X29" s="291">
        <v>0.4183905468843514</v>
      </c>
      <c r="Y29" s="729"/>
      <c r="Z29" s="705">
        <v>41589</v>
      </c>
      <c r="AA29" s="707">
        <v>41589</v>
      </c>
      <c r="AB29" s="497">
        <f t="shared" si="144"/>
        <v>5</v>
      </c>
      <c r="AC29" s="266">
        <v>2.4248004524185611</v>
      </c>
      <c r="AD29" s="291">
        <v>1.0866267822689588</v>
      </c>
      <c r="AE29" s="291">
        <f t="shared" si="82"/>
        <v>1257.0189978161839</v>
      </c>
      <c r="AF29" s="161">
        <v>3.0709004524185612</v>
      </c>
      <c r="AG29" s="291">
        <v>1.0833188185458038</v>
      </c>
      <c r="AH29" s="291">
        <f t="shared" si="83"/>
        <v>4119.8113255483304</v>
      </c>
      <c r="AI29" s="161">
        <v>3.2278004524185606</v>
      </c>
      <c r="AJ29" s="291">
        <v>2.4786486742017049</v>
      </c>
      <c r="AK29" s="291">
        <f t="shared" si="84"/>
        <v>2415.9917450443368</v>
      </c>
      <c r="AL29" s="161">
        <v>2.8217004524185607</v>
      </c>
      <c r="AM29" s="291">
        <v>0.4183905468843514</v>
      </c>
      <c r="AN29" s="291">
        <f t="shared" si="85"/>
        <v>508.95621545744035</v>
      </c>
      <c r="AO29" s="705">
        <v>41589</v>
      </c>
      <c r="AP29" s="463">
        <v>11.56808407751034</v>
      </c>
      <c r="AQ29" s="463">
        <v>38.029537150278358</v>
      </c>
      <c r="AR29" s="463">
        <v>9.7472133513332704</v>
      </c>
      <c r="AS29" s="463">
        <v>12.164620334936068</v>
      </c>
      <c r="AT29" s="463">
        <f t="shared" si="86"/>
        <v>0.4131458599110836</v>
      </c>
      <c r="AU29" s="463">
        <f t="shared" si="87"/>
        <v>0.64456842627590438</v>
      </c>
      <c r="AV29" s="463">
        <f t="shared" si="88"/>
        <v>0.48736066756666352</v>
      </c>
      <c r="AW29" s="463">
        <f t="shared" si="89"/>
        <v>0.64024317552295096</v>
      </c>
      <c r="AY29" s="266">
        <v>2.4248004524185611</v>
      </c>
      <c r="AZ29" s="161">
        <v>3.0709004524185612</v>
      </c>
      <c r="BA29" s="161">
        <v>3.2278004524185606</v>
      </c>
      <c r="BB29" s="161">
        <v>2.8217004524185607</v>
      </c>
      <c r="BE29" s="134">
        <v>-2.3117732177310411E-2</v>
      </c>
      <c r="BF29" s="134">
        <v>-6.3028118145419601E-3</v>
      </c>
      <c r="BG29" s="134">
        <v>-9.0535132579829484E-3</v>
      </c>
      <c r="BH29" s="134">
        <v>-2.4328094531156485E-2</v>
      </c>
      <c r="BJ29" s="508">
        <v>3.1495739989899767</v>
      </c>
      <c r="BK29" s="508">
        <v>3.9514201528352695</v>
      </c>
      <c r="BL29" s="508">
        <v>7.9089586143746704</v>
      </c>
      <c r="BM29" s="508">
        <v>10.398497075913763</v>
      </c>
      <c r="BO29" s="705">
        <v>41589</v>
      </c>
      <c r="BP29" s="324">
        <v>0</v>
      </c>
      <c r="BQ29" s="1">
        <v>5035950</v>
      </c>
      <c r="BR29" s="1">
        <v>11127132</v>
      </c>
      <c r="BS29" s="1">
        <v>6310099.7999999998</v>
      </c>
      <c r="BT29" s="1">
        <v>5970600</v>
      </c>
      <c r="BU29" s="708">
        <v>153402.67665978591</v>
      </c>
      <c r="BV29" s="708">
        <v>509866.00211189309</v>
      </c>
      <c r="BW29" s="708">
        <v>144414.10030668529</v>
      </c>
      <c r="BX29" s="708">
        <v>214415.58927759767</v>
      </c>
      <c r="BY29" s="709">
        <f t="shared" si="18"/>
        <v>0</v>
      </c>
      <c r="BZ29" s="709">
        <f t="shared" si="19"/>
        <v>0</v>
      </c>
      <c r="CA29" s="709">
        <f t="shared" si="20"/>
        <v>0</v>
      </c>
      <c r="CB29" s="709">
        <f t="shared" si="21"/>
        <v>0</v>
      </c>
      <c r="CC29" s="475">
        <f t="shared" si="22"/>
        <v>0</v>
      </c>
      <c r="CD29" s="475">
        <f t="shared" si="23"/>
        <v>0</v>
      </c>
      <c r="CE29" s="475">
        <f t="shared" si="24"/>
        <v>0</v>
      </c>
      <c r="CF29" s="475">
        <f t="shared" si="25"/>
        <v>0</v>
      </c>
      <c r="CG29" s="302">
        <f t="shared" si="90"/>
        <v>0</v>
      </c>
      <c r="CH29" s="302">
        <f t="shared" si="91"/>
        <v>0</v>
      </c>
      <c r="CI29" s="302">
        <f t="shared" si="92"/>
        <v>0</v>
      </c>
      <c r="CJ29" s="302">
        <f t="shared" si="93"/>
        <v>0</v>
      </c>
      <c r="CK29" s="302">
        <f t="shared" si="94"/>
        <v>0</v>
      </c>
      <c r="CL29" s="302">
        <f t="shared" si="94"/>
        <v>0</v>
      </c>
      <c r="CM29" s="302">
        <f t="shared" si="94"/>
        <v>0</v>
      </c>
      <c r="CN29" s="302">
        <f t="shared" si="94"/>
        <v>0</v>
      </c>
      <c r="CO29" s="710">
        <f t="shared" si="140"/>
        <v>0</v>
      </c>
      <c r="CP29" s="710">
        <f t="shared" si="140"/>
        <v>0</v>
      </c>
      <c r="CQ29" s="710">
        <f t="shared" si="140"/>
        <v>0</v>
      </c>
      <c r="CR29" s="710">
        <f t="shared" si="140"/>
        <v>0</v>
      </c>
      <c r="CS29" s="705">
        <v>41589</v>
      </c>
      <c r="CT29" s="711">
        <v>0.97599999999999998</v>
      </c>
      <c r="CU29" s="711">
        <v>0.64600000000000002</v>
      </c>
      <c r="CV29" s="713">
        <v>0.98599999999999999</v>
      </c>
      <c r="CW29" s="714">
        <v>0.86199999999999999</v>
      </c>
      <c r="CY29" s="727">
        <v>3.7133573998989977E-2</v>
      </c>
      <c r="CZ29" s="727">
        <v>2.1087420152835268E-2</v>
      </c>
      <c r="DA29" s="727">
        <v>4.1748958614374665E-2</v>
      </c>
      <c r="DB29" s="727">
        <v>3.8910497075913764E-2</v>
      </c>
      <c r="DC29" s="463">
        <f t="shared" si="12"/>
        <v>-3.6984258614474186</v>
      </c>
      <c r="DD29" s="463">
        <f t="shared" si="13"/>
        <v>-2.0784258614472861</v>
      </c>
      <c r="DE29" s="463">
        <f t="shared" si="14"/>
        <v>-4.168425861447389</v>
      </c>
      <c r="DF29" s="463">
        <f t="shared" si="15"/>
        <v>-3.888425861447331</v>
      </c>
      <c r="DG29" s="483">
        <f t="shared" si="30"/>
        <v>3.6984258614474186</v>
      </c>
      <c r="DH29" s="483">
        <f t="shared" si="31"/>
        <v>2.0784258614472861</v>
      </c>
      <c r="DI29" s="483">
        <f t="shared" si="32"/>
        <v>4.168425861447389</v>
      </c>
      <c r="DJ29" s="483">
        <f t="shared" si="33"/>
        <v>3.888425861447331</v>
      </c>
      <c r="DK29" s="483">
        <f t="shared" si="121"/>
        <v>0.18690512890063715</v>
      </c>
      <c r="DL29" s="483">
        <f t="shared" si="122"/>
        <v>0.64465231658053312</v>
      </c>
      <c r="DM29" s="483">
        <f t="shared" si="123"/>
        <v>0.2086946917832968</v>
      </c>
      <c r="DN29" s="483">
        <f t="shared" si="124"/>
        <v>0.32316228643033007</v>
      </c>
      <c r="DO29" s="483">
        <f t="shared" si="100"/>
        <v>17.281369059081996</v>
      </c>
      <c r="DP29" s="483">
        <f t="shared" si="101"/>
        <v>33.496551160572075</v>
      </c>
      <c r="DQ29" s="483">
        <f t="shared" si="102"/>
        <v>21.748208759407163</v>
      </c>
      <c r="DR29" s="483">
        <f t="shared" si="103"/>
        <v>31.414814800003633</v>
      </c>
      <c r="DS29" s="324">
        <v>3.3984000000000001</v>
      </c>
      <c r="DT29" s="324">
        <v>1.7135999999999998</v>
      </c>
      <c r="DU29" s="324">
        <v>3.3839999999999995</v>
      </c>
      <c r="DV29" s="324">
        <v>2.8512</v>
      </c>
      <c r="DW29" s="716"/>
      <c r="DX29" s="705">
        <v>41589</v>
      </c>
      <c r="DY29" s="716"/>
      <c r="DZ29" s="269">
        <f>-DC29-DS29</f>
        <v>0.3000258614474185</v>
      </c>
      <c r="EA29" s="269">
        <f>-DD29-DT29</f>
        <v>0.36482586144728635</v>
      </c>
      <c r="EB29" s="269">
        <f>-DE29-DU29</f>
        <v>0.78442586144738957</v>
      </c>
      <c r="EC29" s="716">
        <f>-DF29-DV29</f>
        <v>1.0372258614473311</v>
      </c>
      <c r="ED29" s="716"/>
      <c r="EE29" s="269">
        <f t="shared" ref="EE29:EE32" si="148">DZ29</f>
        <v>0.3000258614474185</v>
      </c>
      <c r="EF29" s="269">
        <f t="shared" si="145"/>
        <v>0.36482586144728635</v>
      </c>
      <c r="EG29" s="269">
        <f t="shared" si="146"/>
        <v>0.78442586144738957</v>
      </c>
      <c r="EH29" s="269">
        <f t="shared" si="147"/>
        <v>1.0372258614473311</v>
      </c>
      <c r="EI29" s="716"/>
      <c r="EJ29" s="717">
        <f t="shared" si="36"/>
        <v>347.07243906512053</v>
      </c>
      <c r="EK29" s="717">
        <f t="shared" si="37"/>
        <v>1387.4158651291882</v>
      </c>
      <c r="EL29" s="717">
        <f t="shared" si="38"/>
        <v>764.59662298310968</v>
      </c>
      <c r="EM29" s="717">
        <f t="shared" si="39"/>
        <v>1261.7458806083785</v>
      </c>
      <c r="EN29" s="716"/>
      <c r="EO29" s="269">
        <f t="shared" si="69"/>
        <v>2.3117732177310413</v>
      </c>
      <c r="EP29" s="269">
        <f t="shared" si="70"/>
        <v>0.63028118145419598</v>
      </c>
      <c r="EQ29" s="269">
        <f t="shared" si="71"/>
        <v>0.9053513257982948</v>
      </c>
      <c r="ER29" s="269">
        <f t="shared" si="72"/>
        <v>2.4328094531156483</v>
      </c>
      <c r="ES29" s="716"/>
      <c r="ET29" s="718">
        <f t="shared" si="40"/>
        <v>2674.27869508493</v>
      </c>
      <c r="EU29" s="718">
        <f t="shared" si="41"/>
        <v>2396.9301605233682</v>
      </c>
      <c r="EV29" s="718">
        <f t="shared" si="42"/>
        <v>882.46525304684178</v>
      </c>
      <c r="EW29" s="718">
        <f t="shared" si="43"/>
        <v>2959.420334439531</v>
      </c>
      <c r="EX29" s="716"/>
      <c r="EY29" s="705">
        <v>41589</v>
      </c>
      <c r="EZ29" s="716"/>
      <c r="FA29" s="766">
        <f t="shared" si="44"/>
        <v>1.0866267822689588</v>
      </c>
      <c r="FB29" s="766">
        <f t="shared" si="45"/>
        <v>1.0833188185458038</v>
      </c>
      <c r="FC29" s="766">
        <f t="shared" si="46"/>
        <v>2.4786486742017049</v>
      </c>
      <c r="FD29" s="766">
        <f t="shared" si="47"/>
        <v>0.41839054688435162</v>
      </c>
      <c r="FE29" s="760"/>
      <c r="FF29" s="705">
        <v>41589</v>
      </c>
      <c r="FG29" s="760"/>
      <c r="FH29" s="766">
        <v>1257.0189978161839</v>
      </c>
      <c r="FI29" s="766">
        <f t="shared" si="73"/>
        <v>4119.8113255483304</v>
      </c>
      <c r="FJ29" s="766">
        <f t="shared" si="74"/>
        <v>2415.9917450443368</v>
      </c>
      <c r="FK29" s="766">
        <f t="shared" si="75"/>
        <v>508.95621545744058</v>
      </c>
      <c r="FL29" s="760"/>
      <c r="FM29" s="759">
        <f t="shared" si="95"/>
        <v>1257.0189978161839</v>
      </c>
      <c r="FN29" s="759">
        <f t="shared" si="96"/>
        <v>4119.8113255483304</v>
      </c>
      <c r="FO29" s="759">
        <f t="shared" si="97"/>
        <v>2415.9917450443368</v>
      </c>
      <c r="FP29" s="759">
        <f t="shared" si="49"/>
        <v>508.95621545744058</v>
      </c>
      <c r="FQ29" s="760"/>
      <c r="FR29" s="759">
        <f t="shared" si="50"/>
        <v>4278.3701319662341</v>
      </c>
      <c r="FS29" s="759">
        <f t="shared" si="51"/>
        <v>7904.1573512008863</v>
      </c>
      <c r="FT29" s="759">
        <f t="shared" si="52"/>
        <v>4063.053621074288</v>
      </c>
      <c r="FU29" s="759">
        <f t="shared" si="53"/>
        <v>4730.1224305053502</v>
      </c>
      <c r="FV29" s="761"/>
      <c r="FW29" s="754">
        <v>41589</v>
      </c>
      <c r="FX29" s="761"/>
      <c r="FY29" s="759">
        <f t="shared" si="76"/>
        <v>202309.59059413194</v>
      </c>
      <c r="FZ29" s="759">
        <f t="shared" si="77"/>
        <v>332119.6011708398</v>
      </c>
      <c r="GA29" s="759">
        <f t="shared" si="78"/>
        <v>175452.98562099657</v>
      </c>
      <c r="GB29" s="759">
        <f t="shared" si="79"/>
        <v>206787.84773245335</v>
      </c>
      <c r="GC29" s="760"/>
      <c r="GD29" s="759">
        <f t="shared" si="54"/>
        <v>0.53506051789704812</v>
      </c>
      <c r="GE29" s="759">
        <f t="shared" si="54"/>
        <v>0.43540686225961944</v>
      </c>
      <c r="GF29" s="759">
        <f t="shared" si="55"/>
        <v>0.47105782517474409</v>
      </c>
      <c r="GG29" s="759">
        <f t="shared" si="56"/>
        <v>0.53969447559961503</v>
      </c>
      <c r="GH29" s="716"/>
      <c r="GI29" s="756">
        <f t="shared" si="57"/>
        <v>0</v>
      </c>
      <c r="GJ29" s="756">
        <f t="shared" si="58"/>
        <v>0</v>
      </c>
      <c r="GK29" s="756">
        <f t="shared" si="59"/>
        <v>0</v>
      </c>
      <c r="GL29" s="756">
        <f t="shared" si="60"/>
        <v>0</v>
      </c>
      <c r="GM29" s="716"/>
    </row>
    <row r="30" spans="1:203" s="134" customFormat="1">
      <c r="A30" s="705">
        <v>41590</v>
      </c>
      <c r="B30" s="730">
        <v>0</v>
      </c>
      <c r="C30" s="497">
        <f t="shared" si="143"/>
        <v>6</v>
      </c>
      <c r="D30" s="274">
        <v>1.1469914943837571</v>
      </c>
      <c r="E30" s="275">
        <v>1.5434019704100923</v>
      </c>
      <c r="F30" s="275">
        <v>2.5400356092888066</v>
      </c>
      <c r="G30" s="274">
        <v>1.0451309710629426</v>
      </c>
      <c r="H30" s="729"/>
      <c r="I30" s="705">
        <v>41590</v>
      </c>
      <c r="J30" s="270">
        <f t="shared" si="138"/>
        <v>1.1469914943837571</v>
      </c>
      <c r="K30" s="270">
        <f t="shared" si="138"/>
        <v>1.5434019704100923</v>
      </c>
      <c r="L30" s="270">
        <f t="shared" si="138"/>
        <v>2.5400356092888066</v>
      </c>
      <c r="M30" s="270">
        <f t="shared" si="138"/>
        <v>1.0451309710629426</v>
      </c>
      <c r="N30" s="729"/>
      <c r="O30" s="705">
        <v>41590</v>
      </c>
      <c r="P30" s="270">
        <f t="shared" si="139"/>
        <v>1.1469914943837571</v>
      </c>
      <c r="Q30" s="270">
        <f t="shared" si="139"/>
        <v>1.5434019704100923</v>
      </c>
      <c r="R30" s="270">
        <f t="shared" si="139"/>
        <v>2.5400356092888066</v>
      </c>
      <c r="S30" s="270">
        <f t="shared" si="139"/>
        <v>1.0451309710629426</v>
      </c>
      <c r="T30" s="705">
        <v>41590</v>
      </c>
      <c r="U30" s="291">
        <v>1.1469914943837571</v>
      </c>
      <c r="V30" s="291">
        <v>1.5434019704100923</v>
      </c>
      <c r="W30" s="291">
        <v>2.5400356092888066</v>
      </c>
      <c r="X30" s="291">
        <v>1.0451309710629426</v>
      </c>
      <c r="Y30" s="729"/>
      <c r="Z30" s="705">
        <v>41590</v>
      </c>
      <c r="AA30" s="707">
        <v>41590</v>
      </c>
      <c r="AB30" s="497">
        <f t="shared" si="144"/>
        <v>6</v>
      </c>
      <c r="AC30" s="266">
        <v>2.3878161938040869</v>
      </c>
      <c r="AD30" s="291">
        <v>1.1469914943837571</v>
      </c>
      <c r="AE30" s="291">
        <f t="shared" si="82"/>
        <v>1304.1177216846293</v>
      </c>
      <c r="AF30" s="161">
        <v>3.0501161938040884</v>
      </c>
      <c r="AG30" s="291">
        <v>1.5434019704100923</v>
      </c>
      <c r="AH30" s="291">
        <f t="shared" si="83"/>
        <v>5755.1721885459365</v>
      </c>
      <c r="AI30" s="161">
        <v>3.1861161938040867</v>
      </c>
      <c r="AJ30" s="291">
        <v>2.5400356092888066</v>
      </c>
      <c r="AK30" s="291">
        <f t="shared" si="84"/>
        <v>2420.7056656160985</v>
      </c>
      <c r="AL30" s="161">
        <v>2.7828161938040874</v>
      </c>
      <c r="AM30" s="291">
        <v>1.0451309710629426</v>
      </c>
      <c r="AN30" s="291">
        <f t="shared" si="85"/>
        <v>1232.5213497064196</v>
      </c>
      <c r="AO30" s="705">
        <v>41590</v>
      </c>
      <c r="AP30" s="463">
        <v>11.369898801083011</v>
      </c>
      <c r="AQ30" s="463">
        <v>37.288874181084189</v>
      </c>
      <c r="AR30" s="463">
        <v>9.530203658419893</v>
      </c>
      <c r="AS30" s="463">
        <v>11.792984648162259</v>
      </c>
      <c r="AT30" s="463">
        <f t="shared" si="86"/>
        <v>0.40606781432439326</v>
      </c>
      <c r="AU30" s="463">
        <f t="shared" si="87"/>
        <v>0.63201481662854553</v>
      </c>
      <c r="AV30" s="463">
        <f t="shared" si="88"/>
        <v>0.47651018292099467</v>
      </c>
      <c r="AW30" s="463">
        <f t="shared" si="89"/>
        <v>0.62068340253485577</v>
      </c>
      <c r="AY30" s="266">
        <v>2.3878161938040869</v>
      </c>
      <c r="AZ30" s="161">
        <v>3.0501161938040884</v>
      </c>
      <c r="BA30" s="161">
        <v>3.1861161938040867</v>
      </c>
      <c r="BB30" s="161">
        <v>2.7828161938040874</v>
      </c>
      <c r="BE30" s="134">
        <v>-2.294608505616243E-2</v>
      </c>
      <c r="BF30" s="134">
        <v>-6.1659802958990784E-3</v>
      </c>
      <c r="BG30" s="134">
        <v>-9.0156439071119344E-3</v>
      </c>
      <c r="BH30" s="134">
        <v>-2.4108690289370575E-2</v>
      </c>
      <c r="BJ30" s="508">
        <v>0.66601788791254002</v>
      </c>
      <c r="BK30" s="508">
        <v>1.4358640417591675</v>
      </c>
      <c r="BL30" s="508">
        <v>0.19678711868142962</v>
      </c>
      <c r="BM30" s="508">
        <v>-11.739520573626002</v>
      </c>
      <c r="BO30" s="705">
        <v>41590</v>
      </c>
      <c r="BP30" s="324">
        <v>0</v>
      </c>
      <c r="BQ30" s="1">
        <v>5035950</v>
      </c>
      <c r="BR30" s="1">
        <v>11127132</v>
      </c>
      <c r="BS30" s="1">
        <v>6310099.7999999998</v>
      </c>
      <c r="BT30" s="1">
        <v>5970600</v>
      </c>
      <c r="BU30" s="708">
        <v>153402.67665978591</v>
      </c>
      <c r="BV30" s="708">
        <v>509866.00211189309</v>
      </c>
      <c r="BW30" s="708">
        <v>144414.10030668529</v>
      </c>
      <c r="BX30" s="708">
        <v>214415.58927759767</v>
      </c>
      <c r="BY30" s="709">
        <f t="shared" si="18"/>
        <v>0</v>
      </c>
      <c r="BZ30" s="709">
        <f t="shared" si="19"/>
        <v>0</v>
      </c>
      <c r="CA30" s="709">
        <f t="shared" si="20"/>
        <v>0</v>
      </c>
      <c r="CB30" s="709">
        <f t="shared" si="21"/>
        <v>0</v>
      </c>
      <c r="CC30" s="475">
        <f t="shared" si="22"/>
        <v>0</v>
      </c>
      <c r="CD30" s="475">
        <f t="shared" si="23"/>
        <v>0</v>
      </c>
      <c r="CE30" s="475">
        <f t="shared" si="24"/>
        <v>0</v>
      </c>
      <c r="CF30" s="475">
        <f t="shared" si="25"/>
        <v>0</v>
      </c>
      <c r="CG30" s="302">
        <f t="shared" si="90"/>
        <v>0</v>
      </c>
      <c r="CH30" s="302">
        <f t="shared" si="91"/>
        <v>0</v>
      </c>
      <c r="CI30" s="302">
        <f t="shared" si="92"/>
        <v>0</v>
      </c>
      <c r="CJ30" s="302">
        <f t="shared" si="93"/>
        <v>0</v>
      </c>
      <c r="CK30" s="302">
        <f t="shared" si="94"/>
        <v>0</v>
      </c>
      <c r="CL30" s="302">
        <f t="shared" si="94"/>
        <v>0</v>
      </c>
      <c r="CM30" s="302">
        <f t="shared" si="94"/>
        <v>0</v>
      </c>
      <c r="CN30" s="302">
        <f t="shared" si="94"/>
        <v>0</v>
      </c>
      <c r="CO30" s="710">
        <f t="shared" si="140"/>
        <v>0</v>
      </c>
      <c r="CP30" s="710">
        <f t="shared" si="140"/>
        <v>0</v>
      </c>
      <c r="CQ30" s="710">
        <f t="shared" si="140"/>
        <v>0</v>
      </c>
      <c r="CR30" s="710">
        <f t="shared" si="140"/>
        <v>0</v>
      </c>
      <c r="CS30" s="705">
        <v>41590</v>
      </c>
      <c r="CT30" s="711">
        <v>0.97499999999999998</v>
      </c>
      <c r="CU30" s="711">
        <v>0.79400000000000004</v>
      </c>
      <c r="CV30" s="713">
        <v>0.98599999999999999</v>
      </c>
      <c r="CW30" s="714">
        <v>0.95399999999999996</v>
      </c>
      <c r="CY30" s="727">
        <v>3.5082017887912542E-2</v>
      </c>
      <c r="CZ30" s="727">
        <v>2.3035864041759169E-2</v>
      </c>
      <c r="DA30" s="727">
        <v>3.4612787118681432E-2</v>
      </c>
      <c r="DB30" s="727">
        <v>2.2820479426373996E-2</v>
      </c>
      <c r="DC30" s="463">
        <f t="shared" si="12"/>
        <v>-3.4920652460273871</v>
      </c>
      <c r="DD30" s="463">
        <f t="shared" si="13"/>
        <v>-2.322065246027627</v>
      </c>
      <c r="DE30" s="463">
        <f t="shared" si="14"/>
        <v>-3.442065246027326</v>
      </c>
      <c r="DF30" s="463">
        <f t="shared" si="15"/>
        <v>-2.2320652460274815</v>
      </c>
      <c r="DG30" s="483">
        <f t="shared" si="30"/>
        <v>3.4920652460273871</v>
      </c>
      <c r="DH30" s="483">
        <f t="shared" si="31"/>
        <v>2.322065246027627</v>
      </c>
      <c r="DI30" s="483">
        <f t="shared" si="32"/>
        <v>3.442065246027326</v>
      </c>
      <c r="DJ30" s="483">
        <f t="shared" si="33"/>
        <v>2.2320652460274815</v>
      </c>
      <c r="DK30" s="483">
        <f t="shared" si="121"/>
        <v>0.19818527642732953</v>
      </c>
      <c r="DL30" s="483">
        <f t="shared" si="122"/>
        <v>0.74066296919416885</v>
      </c>
      <c r="DM30" s="483">
        <f t="shared" si="123"/>
        <v>0.21700969291337735</v>
      </c>
      <c r="DN30" s="483">
        <f t="shared" si="124"/>
        <v>0.37163568677380887</v>
      </c>
      <c r="DO30" s="483">
        <f t="shared" si="100"/>
        <v>17.301897902155204</v>
      </c>
      <c r="DP30" s="483">
        <f t="shared" si="101"/>
        <v>42.996693494635252</v>
      </c>
      <c r="DQ30" s="483">
        <f t="shared" si="102"/>
        <v>18.674038050704965</v>
      </c>
      <c r="DR30" s="483">
        <f t="shared" si="103"/>
        <v>20.737877515784344</v>
      </c>
      <c r="DS30" s="324">
        <v>3.4416000000000002</v>
      </c>
      <c r="DT30" s="324">
        <v>2.16</v>
      </c>
      <c r="DU30" s="324">
        <v>3.4416000000000002</v>
      </c>
      <c r="DV30" s="324">
        <v>3.456</v>
      </c>
      <c r="DW30" s="716"/>
      <c r="DX30" s="705">
        <v>41590</v>
      </c>
      <c r="DY30" s="716"/>
      <c r="DZ30" s="269">
        <f>-DC30-DS30</f>
        <v>5.046524602738689E-2</v>
      </c>
      <c r="EA30" s="269">
        <f>-DD30-DT30</f>
        <v>0.16206524602762684</v>
      </c>
      <c r="EB30" s="269">
        <f>-DE30-DU30</f>
        <v>4.6524602732578302E-4</v>
      </c>
      <c r="EC30" s="716"/>
      <c r="ED30" s="716"/>
      <c r="EE30" s="269">
        <f t="shared" si="148"/>
        <v>5.046524602738689E-2</v>
      </c>
      <c r="EF30" s="269">
        <f t="shared" si="145"/>
        <v>0.16206524602762684</v>
      </c>
      <c r="EG30" s="269">
        <f>-(EG$29-EG$32)/3+EG29</f>
        <v>0.61564990314015755</v>
      </c>
      <c r="EH30" s="269">
        <f>-(EH$29-EH$37)/8+EH29</f>
        <v>0.98983905775786729</v>
      </c>
      <c r="EI30" s="716"/>
      <c r="EJ30" s="717">
        <f t="shared" si="36"/>
        <v>57.378474030314536</v>
      </c>
      <c r="EK30" s="717">
        <f t="shared" si="37"/>
        <v>604.32305682506319</v>
      </c>
      <c r="EL30" s="717">
        <f t="shared" si="38"/>
        <v>586.72689592121822</v>
      </c>
      <c r="EM30" s="717">
        <f t="shared" si="39"/>
        <v>1167.3156812289924</v>
      </c>
      <c r="EN30" s="716"/>
      <c r="EO30" s="269">
        <f t="shared" si="69"/>
        <v>2.2946085056162429</v>
      </c>
      <c r="EP30" s="269">
        <f t="shared" si="70"/>
        <v>0.61659802958990784</v>
      </c>
      <c r="EQ30" s="269">
        <f t="shared" si="71"/>
        <v>0.90156439071119343</v>
      </c>
      <c r="ER30" s="269">
        <f t="shared" si="72"/>
        <v>2.4108690289370576</v>
      </c>
      <c r="ES30" s="716"/>
      <c r="ET30" s="718">
        <f t="shared" si="40"/>
        <v>2608.9466496960995</v>
      </c>
      <c r="EU30" s="718">
        <f t="shared" si="41"/>
        <v>2299.2246345682497</v>
      </c>
      <c r="EV30" s="718">
        <f t="shared" si="42"/>
        <v>859.2092254656917</v>
      </c>
      <c r="EW30" s="718">
        <f t="shared" si="43"/>
        <v>2843.134144698457</v>
      </c>
      <c r="EX30" s="716"/>
      <c r="EY30" s="705">
        <v>41590</v>
      </c>
      <c r="EZ30" s="716"/>
      <c r="FA30" s="766">
        <f t="shared" si="44"/>
        <v>1.1469914943837574</v>
      </c>
      <c r="FB30" s="766">
        <f t="shared" si="45"/>
        <v>1.5434019704100923</v>
      </c>
      <c r="FC30" s="766">
        <f t="shared" si="46"/>
        <v>1.9248509521759751</v>
      </c>
      <c r="FD30" s="766">
        <f t="shared" si="47"/>
        <v>-1.1686428406674434</v>
      </c>
      <c r="FE30" s="760"/>
      <c r="FF30" s="705">
        <v>41590</v>
      </c>
      <c r="FG30" s="760"/>
      <c r="FH30" s="766">
        <v>1304.1177216846295</v>
      </c>
      <c r="FI30" s="766">
        <f t="shared" si="73"/>
        <v>5755.1721885459365</v>
      </c>
      <c r="FJ30" s="766">
        <f t="shared" si="74"/>
        <v>1834.4221586340493</v>
      </c>
      <c r="FK30" s="766">
        <f t="shared" si="75"/>
        <v>-1378.1787079175892</v>
      </c>
      <c r="FL30" s="760"/>
      <c r="FM30" s="759">
        <f t="shared" si="95"/>
        <v>1304.1177216846295</v>
      </c>
      <c r="FN30" s="759">
        <f t="shared" si="96"/>
        <v>5755.1721885459365</v>
      </c>
      <c r="FO30" s="759">
        <f t="shared" si="97"/>
        <v>1834.4221586340493</v>
      </c>
      <c r="FP30" s="759">
        <f t="shared" si="49"/>
        <v>-1378.1787079175892</v>
      </c>
      <c r="FQ30" s="760"/>
      <c r="FR30" s="759">
        <f t="shared" si="50"/>
        <v>3970.4428454110434</v>
      </c>
      <c r="FS30" s="759">
        <f t="shared" si="51"/>
        <v>8658.7198799392499</v>
      </c>
      <c r="FT30" s="759">
        <f t="shared" si="52"/>
        <v>3280.3582800209592</v>
      </c>
      <c r="FU30" s="759">
        <f t="shared" si="53"/>
        <v>4010.4498259274496</v>
      </c>
      <c r="FV30" s="761"/>
      <c r="FW30" s="754">
        <v>41590</v>
      </c>
      <c r="FX30" s="761"/>
      <c r="FY30" s="759">
        <f t="shared" si="76"/>
        <v>206280.03343954298</v>
      </c>
      <c r="FZ30" s="759">
        <f t="shared" si="77"/>
        <v>340778.32105077908</v>
      </c>
      <c r="GA30" s="759">
        <f t="shared" si="78"/>
        <v>178733.34390101754</v>
      </c>
      <c r="GB30" s="759">
        <f t="shared" si="79"/>
        <v>210798.29755838079</v>
      </c>
      <c r="GC30" s="760"/>
      <c r="GD30" s="759">
        <f t="shared" si="54"/>
        <v>0.54556139034163842</v>
      </c>
      <c r="GE30" s="759">
        <f t="shared" si="54"/>
        <v>0.44675839357791119</v>
      </c>
      <c r="GF30" s="759">
        <f t="shared" si="55"/>
        <v>0.47986496192258254</v>
      </c>
      <c r="GG30" s="759">
        <f t="shared" si="56"/>
        <v>0.55016132672000995</v>
      </c>
      <c r="GH30" s="716"/>
      <c r="GI30" s="756">
        <f t="shared" si="57"/>
        <v>0</v>
      </c>
      <c r="GJ30" s="756">
        <f t="shared" si="58"/>
        <v>0</v>
      </c>
      <c r="GK30" s="756">
        <f t="shared" si="59"/>
        <v>0</v>
      </c>
      <c r="GL30" s="756">
        <f t="shared" si="60"/>
        <v>0</v>
      </c>
      <c r="GM30" s="716"/>
    </row>
    <row r="31" spans="1:203" s="472" customFormat="1">
      <c r="A31" s="464">
        <v>41591</v>
      </c>
      <c r="B31" s="465">
        <v>4</v>
      </c>
      <c r="C31" s="466">
        <v>0</v>
      </c>
      <c r="D31" s="467">
        <v>-2.277800199429036</v>
      </c>
      <c r="E31" s="488">
        <v>1.5595267156022468</v>
      </c>
      <c r="F31" s="488">
        <v>0.27978746483055589</v>
      </c>
      <c r="G31" s="467">
        <v>-2.3958063946914669</v>
      </c>
      <c r="H31" s="468"/>
      <c r="I31" s="464">
        <v>41591</v>
      </c>
      <c r="J31" s="467"/>
      <c r="K31" s="467"/>
      <c r="L31" s="467"/>
      <c r="M31" s="467"/>
      <c r="N31" s="468"/>
      <c r="O31" s="464">
        <v>41591</v>
      </c>
      <c r="P31" s="484">
        <f>D31+CO31</f>
        <v>-1.8778001994290361</v>
      </c>
      <c r="Q31" s="467">
        <f>E31+CP31</f>
        <v>1.9595267156022467</v>
      </c>
      <c r="R31" s="467">
        <f>F31+CQ31</f>
        <v>0.67978746483055597</v>
      </c>
      <c r="S31" s="467">
        <f>G31+CR31</f>
        <v>-1.995806394691467</v>
      </c>
      <c r="T31" s="464">
        <v>41591</v>
      </c>
      <c r="U31" s="468">
        <v>-1.7289241514120932</v>
      </c>
      <c r="V31" s="468">
        <v>2.1172788453851186</v>
      </c>
      <c r="W31" s="468">
        <v>0.90020159063837024</v>
      </c>
      <c r="X31" s="468">
        <v>-1.6354295593622028</v>
      </c>
      <c r="Y31" s="468"/>
      <c r="Z31" s="464">
        <v>41591</v>
      </c>
      <c r="AA31" s="469">
        <v>41591</v>
      </c>
      <c r="AB31" s="466">
        <v>0</v>
      </c>
      <c r="AC31" s="470">
        <v>2.3528955413438131</v>
      </c>
      <c r="AD31" s="468">
        <v>-1.7289241514120932</v>
      </c>
      <c r="AE31" s="468">
        <f t="shared" si="82"/>
        <v>-1932.8341510007172</v>
      </c>
      <c r="AF31" s="471">
        <v>3.0268955413438121</v>
      </c>
      <c r="AG31" s="468">
        <v>2.1172788453851186</v>
      </c>
      <c r="AH31" s="468">
        <f t="shared" si="83"/>
        <v>7741.9946431964081</v>
      </c>
      <c r="AI31" s="471">
        <v>3.1516955413438135</v>
      </c>
      <c r="AJ31" s="468">
        <v>0.90020159063837024</v>
      </c>
      <c r="AK31" s="468">
        <f t="shared" si="84"/>
        <v>838.16146279659608</v>
      </c>
      <c r="AL31" s="471">
        <v>2.7604955413438126</v>
      </c>
      <c r="AM31" s="468">
        <v>-1.6354295593622028</v>
      </c>
      <c r="AN31" s="468">
        <f t="shared" si="85"/>
        <v>-1844.6726749154714</v>
      </c>
      <c r="AO31" s="464">
        <v>41591</v>
      </c>
      <c r="AP31" s="483">
        <v>11.179403962990978</v>
      </c>
      <c r="AQ31" s="483">
        <v>36.565777153401783</v>
      </c>
      <c r="AR31" s="483">
        <v>9.310819615439927</v>
      </c>
      <c r="AS31" s="483">
        <v>11.279438263515738</v>
      </c>
      <c r="AT31" s="483">
        <f t="shared" si="86"/>
        <v>0.39926442724967781</v>
      </c>
      <c r="AU31" s="483">
        <f t="shared" si="87"/>
        <v>0.61975893480342004</v>
      </c>
      <c r="AV31" s="483">
        <f t="shared" si="88"/>
        <v>0.46554098077199635</v>
      </c>
      <c r="AW31" s="483">
        <f t="shared" si="89"/>
        <v>0.59365464544819668</v>
      </c>
      <c r="AY31" s="470">
        <v>2.3528955413438131</v>
      </c>
      <c r="AZ31" s="471">
        <v>3.0268955413438121</v>
      </c>
      <c r="BA31" s="471">
        <v>3.1516955413438135</v>
      </c>
      <c r="BB31" s="471">
        <v>2.7604955413438126</v>
      </c>
      <c r="BD31" s="232"/>
      <c r="BE31" s="472">
        <v>-2.2778001994290361E-2</v>
      </c>
      <c r="BF31" s="472">
        <v>-6.0047328439775333E-3</v>
      </c>
      <c r="BG31" s="472">
        <v>-8.981325351694441E-3</v>
      </c>
      <c r="BH31" s="472">
        <v>-2.395806394691467E-2</v>
      </c>
      <c r="BI31" s="232"/>
      <c r="BJ31" s="507">
        <v>30.386483073934656</v>
      </c>
      <c r="BK31" s="507">
        <v>-0.78274769529611965</v>
      </c>
      <c r="BL31" s="507">
        <v>19.52266768931953</v>
      </c>
      <c r="BM31" s="507">
        <v>19.032636920088386</v>
      </c>
      <c r="BN31" s="232"/>
      <c r="BO31" s="464">
        <v>41591</v>
      </c>
      <c r="BP31" s="473">
        <v>0</v>
      </c>
      <c r="BQ31" s="1">
        <v>5035950</v>
      </c>
      <c r="BR31" s="1">
        <v>11127132</v>
      </c>
      <c r="BS31" s="1">
        <v>6310099.7999999998</v>
      </c>
      <c r="BT31" s="1">
        <v>5970600</v>
      </c>
      <c r="BU31" s="474">
        <v>153402.67665978591</v>
      </c>
      <c r="BV31" s="474">
        <v>509866.00211189309</v>
      </c>
      <c r="BW31" s="474">
        <v>144414.10030668529</v>
      </c>
      <c r="BX31" s="474">
        <v>214415.58927759767</v>
      </c>
      <c r="BY31" s="556">
        <f t="shared" si="18"/>
        <v>20143.8</v>
      </c>
      <c r="BZ31" s="556">
        <f t="shared" si="19"/>
        <v>44508.527999999998</v>
      </c>
      <c r="CA31" s="556">
        <f t="shared" si="20"/>
        <v>25240.3992</v>
      </c>
      <c r="CB31" s="556">
        <f t="shared" si="21"/>
        <v>23882.400000000001</v>
      </c>
      <c r="CC31" s="475">
        <f t="shared" si="22"/>
        <v>0</v>
      </c>
      <c r="CD31" s="475">
        <f t="shared" si="23"/>
        <v>0</v>
      </c>
      <c r="CE31" s="475">
        <f t="shared" si="24"/>
        <v>0</v>
      </c>
      <c r="CF31" s="475">
        <f t="shared" si="25"/>
        <v>0</v>
      </c>
      <c r="CG31" s="476">
        <f t="shared" si="90"/>
        <v>613.6107066391437</v>
      </c>
      <c r="CH31" s="476">
        <f t="shared" si="91"/>
        <v>2039.4640084475725</v>
      </c>
      <c r="CI31" s="476">
        <f t="shared" si="92"/>
        <v>577.6564012267412</v>
      </c>
      <c r="CJ31" s="476">
        <f t="shared" si="93"/>
        <v>857.66235711039064</v>
      </c>
      <c r="CK31" s="476">
        <f t="shared" si="94"/>
        <v>613.6107066391437</v>
      </c>
      <c r="CL31" s="476">
        <f t="shared" si="94"/>
        <v>2039.4640084475725</v>
      </c>
      <c r="CM31" s="476">
        <f t="shared" si="94"/>
        <v>577.6564012267412</v>
      </c>
      <c r="CN31" s="476">
        <f t="shared" si="94"/>
        <v>857.66235711039064</v>
      </c>
      <c r="CO31" s="477">
        <f>CK31/BU31*100</f>
        <v>0.4</v>
      </c>
      <c r="CP31" s="477">
        <f t="shared" ref="CP31" si="149">CL31/BV31*100</f>
        <v>0.4</v>
      </c>
      <c r="CQ31" s="477">
        <f t="shared" ref="CQ31" si="150">CM31/BW31*100</f>
        <v>0.4</v>
      </c>
      <c r="CR31" s="477">
        <f t="shared" ref="CR31" si="151">CN31/BX31*100</f>
        <v>0.4</v>
      </c>
      <c r="CS31" s="464">
        <v>41591</v>
      </c>
      <c r="CT31" s="478">
        <v>1E-3</v>
      </c>
      <c r="CU31" s="478">
        <v>0.495</v>
      </c>
      <c r="CV31" s="480">
        <v>0.32100000000000001</v>
      </c>
      <c r="CW31" s="481">
        <v>5.8000000000000003E-2</v>
      </c>
      <c r="CY31" s="521">
        <v>3.0386483073934656E-2</v>
      </c>
      <c r="CZ31" s="521">
        <v>2.0817252304703882E-2</v>
      </c>
      <c r="DA31" s="521">
        <v>3.1301867689319529E-2</v>
      </c>
      <c r="DB31" s="521">
        <v>1.9032636920088386E-2</v>
      </c>
      <c r="DC31" s="483">
        <f t="shared" si="12"/>
        <v>-2.9620650110583568</v>
      </c>
      <c r="DD31" s="483">
        <f t="shared" si="13"/>
        <v>-2.0420650110581917</v>
      </c>
      <c r="DE31" s="483">
        <f t="shared" si="14"/>
        <v>-3.1120650110583625</v>
      </c>
      <c r="DF31" s="483">
        <f t="shared" si="15"/>
        <v>-1.9020650110583404</v>
      </c>
      <c r="DG31" s="483">
        <f t="shared" si="30"/>
        <v>2.9620650110583568</v>
      </c>
      <c r="DH31" s="483">
        <f t="shared" si="31"/>
        <v>2.0420650110581917</v>
      </c>
      <c r="DI31" s="483">
        <f t="shared" si="32"/>
        <v>3.1120650110583625</v>
      </c>
      <c r="DJ31" s="483">
        <f t="shared" si="33"/>
        <v>1.9020650110583404</v>
      </c>
      <c r="DK31" s="483">
        <f t="shared" si="121"/>
        <v>0.19049483809203238</v>
      </c>
      <c r="DL31" s="483">
        <f t="shared" si="122"/>
        <v>0.72309702768240669</v>
      </c>
      <c r="DM31" s="483">
        <f t="shared" si="123"/>
        <v>0.21938404297996605</v>
      </c>
      <c r="DN31" s="483">
        <f t="shared" si="124"/>
        <v>0.51354638464652069</v>
      </c>
      <c r="DO31" s="483">
        <f t="shared" si="100"/>
        <v>14.106452367490895</v>
      </c>
      <c r="DP31" s="483">
        <f t="shared" si="101"/>
        <v>36.915278495760482</v>
      </c>
      <c r="DQ31" s="483">
        <f t="shared" si="102"/>
        <v>17.068435103561907</v>
      </c>
      <c r="DR31" s="483">
        <f t="shared" si="103"/>
        <v>24.419965244791378</v>
      </c>
      <c r="DS31" s="473">
        <v>0</v>
      </c>
      <c r="DT31" s="473">
        <v>2.16</v>
      </c>
      <c r="DU31" s="473">
        <v>1.1779200000000001</v>
      </c>
      <c r="DV31" s="473">
        <v>0</v>
      </c>
      <c r="DW31" s="552"/>
      <c r="DX31" s="532">
        <v>41591</v>
      </c>
      <c r="DY31" s="552"/>
      <c r="DZ31" s="473"/>
      <c r="EA31" s="473"/>
      <c r="EB31" s="473"/>
      <c r="EC31" s="545"/>
      <c r="ED31" s="552"/>
      <c r="EE31" s="527">
        <f>AVERAGE(EE30,EE32)</f>
        <v>0.30928161627658368</v>
      </c>
      <c r="EF31" s="473">
        <f>-(EF$30-EF$36)/5+EF30</f>
        <v>0.21548434890013893</v>
      </c>
      <c r="EG31" s="527">
        <f>-(EG$29-EG$32)/3+EG30</f>
        <v>0.44687394483292553</v>
      </c>
      <c r="EH31" s="527">
        <f t="shared" ref="EH31:EH36" si="152">-(EH$29-EH$37)/8+EH30</f>
        <v>0.94245225406840349</v>
      </c>
      <c r="EI31" s="552"/>
      <c r="EJ31" s="503">
        <f t="shared" si="36"/>
        <v>345.75841266826944</v>
      </c>
      <c r="EK31" s="503">
        <f t="shared" si="37"/>
        <v>787.93526819283591</v>
      </c>
      <c r="EL31" s="503">
        <f t="shared" si="38"/>
        <v>416.07626911794227</v>
      </c>
      <c r="EM31" s="503">
        <f t="shared" si="39"/>
        <v>1063.0332016075806</v>
      </c>
      <c r="EN31" s="552"/>
      <c r="EO31" s="503">
        <f t="shared" si="69"/>
        <v>2.277800199429036</v>
      </c>
      <c r="EP31" s="503">
        <f t="shared" si="70"/>
        <v>0.60047328439775338</v>
      </c>
      <c r="EQ31" s="503">
        <f t="shared" si="71"/>
        <v>0.89813253516944414</v>
      </c>
      <c r="ER31" s="503">
        <f t="shared" si="72"/>
        <v>2.3958063946914669</v>
      </c>
      <c r="ES31" s="552"/>
      <c r="ET31" s="554">
        <f t="shared" si="40"/>
        <v>2546.4448576398609</v>
      </c>
      <c r="EU31" s="554">
        <f t="shared" si="41"/>
        <v>2195.6772303859502</v>
      </c>
      <c r="EV31" s="554">
        <f t="shared" si="42"/>
        <v>836.235002572045</v>
      </c>
      <c r="EW31" s="554">
        <f t="shared" si="43"/>
        <v>2702.3350320258619</v>
      </c>
      <c r="EX31" s="552"/>
      <c r="EY31" s="532">
        <v>41591</v>
      </c>
      <c r="EZ31" s="552"/>
      <c r="FA31" s="745">
        <f t="shared" si="44"/>
        <v>0.7749831953527373</v>
      </c>
      <c r="FB31" s="745">
        <f t="shared" si="45"/>
        <v>1.6261073777602995</v>
      </c>
      <c r="FC31" s="745">
        <f t="shared" si="46"/>
        <v>2.1670585310559929</v>
      </c>
      <c r="FD31" s="745">
        <f t="shared" si="47"/>
        <v>-1.0361936377015302</v>
      </c>
      <c r="FE31" s="761"/>
      <c r="FF31" s="532">
        <v>41591</v>
      </c>
      <c r="FG31" s="761"/>
      <c r="FH31" s="745">
        <v>866.38502053778029</v>
      </c>
      <c r="FI31" s="745">
        <f t="shared" si="73"/>
        <v>5945.9880002685641</v>
      </c>
      <c r="FJ31" s="745">
        <f t="shared" si="74"/>
        <v>2017.7091078762571</v>
      </c>
      <c r="FK31" s="745">
        <f t="shared" si="75"/>
        <v>-1168.7682165502204</v>
      </c>
      <c r="FL31" s="761"/>
      <c r="FM31" s="756">
        <f t="shared" si="95"/>
        <v>866.38502053778029</v>
      </c>
      <c r="FN31" s="756">
        <f t="shared" si="96"/>
        <v>5945.9880002685641</v>
      </c>
      <c r="FO31" s="756">
        <f t="shared" si="97"/>
        <v>2017.7091078762571</v>
      </c>
      <c r="FP31" s="756">
        <f t="shared" si="49"/>
        <v>-1168.7682165502204</v>
      </c>
      <c r="FQ31" s="761"/>
      <c r="FR31" s="756">
        <f t="shared" si="50"/>
        <v>3758.5882908459107</v>
      </c>
      <c r="FS31" s="756">
        <f t="shared" si="51"/>
        <v>8929.6004988473505</v>
      </c>
      <c r="FT31" s="756">
        <f t="shared" si="52"/>
        <v>3270.0203795662446</v>
      </c>
      <c r="FU31" s="756">
        <f t="shared" si="53"/>
        <v>3765.3682336334423</v>
      </c>
      <c r="FV31" s="761"/>
      <c r="FW31" s="755">
        <v>41591</v>
      </c>
      <c r="FX31" s="761"/>
      <c r="FY31" s="756">
        <f t="shared" si="76"/>
        <v>210038.6217303889</v>
      </c>
      <c r="FZ31" s="756">
        <f t="shared" si="77"/>
        <v>349707.92154962645</v>
      </c>
      <c r="GA31" s="756">
        <f t="shared" si="78"/>
        <v>182003.36428058377</v>
      </c>
      <c r="GB31" s="756">
        <f t="shared" si="79"/>
        <v>214563.66579201422</v>
      </c>
      <c r="GC31" s="761"/>
      <c r="GD31" s="756">
        <f t="shared" si="54"/>
        <v>0.55550195811974423</v>
      </c>
      <c r="GE31" s="756">
        <f t="shared" si="54"/>
        <v>0.45846504780948455</v>
      </c>
      <c r="GF31" s="756">
        <f t="shared" si="55"/>
        <v>0.48864434337809665</v>
      </c>
      <c r="GG31" s="756">
        <f t="shared" si="56"/>
        <v>0.55998854072979776</v>
      </c>
      <c r="GH31" s="552"/>
      <c r="GI31" s="756">
        <f t="shared" si="57"/>
        <v>0</v>
      </c>
      <c r="GJ31" s="756">
        <f t="shared" si="58"/>
        <v>0</v>
      </c>
      <c r="GK31" s="756">
        <f t="shared" si="59"/>
        <v>0</v>
      </c>
      <c r="GL31" s="756">
        <f t="shared" si="60"/>
        <v>0</v>
      </c>
      <c r="GM31" s="552"/>
    </row>
    <row r="32" spans="1:203" s="134" customFormat="1">
      <c r="A32" s="705">
        <v>41592</v>
      </c>
      <c r="B32" s="706">
        <v>0</v>
      </c>
      <c r="C32" s="497">
        <f t="shared" ref="C32" si="153">C31+1</f>
        <v>1</v>
      </c>
      <c r="D32" s="274">
        <v>1.293736566702564</v>
      </c>
      <c r="E32" s="275">
        <v>1.8192705629589592</v>
      </c>
      <c r="F32" s="275">
        <v>2.5324211692552661</v>
      </c>
      <c r="G32" s="274">
        <v>0.42655682172897669</v>
      </c>
      <c r="H32" s="729"/>
      <c r="I32" s="705">
        <v>41592</v>
      </c>
      <c r="J32" s="270">
        <f>D32</f>
        <v>1.293736566702564</v>
      </c>
      <c r="K32" s="270">
        <f>E32</f>
        <v>1.8192705629589592</v>
      </c>
      <c r="L32" s="270">
        <f>F32</f>
        <v>2.5324211692552661</v>
      </c>
      <c r="M32" s="270">
        <f>G32</f>
        <v>0.42655682172897669</v>
      </c>
      <c r="N32" s="729"/>
      <c r="O32" s="705">
        <v>41592</v>
      </c>
      <c r="P32" s="270">
        <f>J32</f>
        <v>1.293736566702564</v>
      </c>
      <c r="Q32" s="270">
        <f>K32</f>
        <v>1.8192705629589592</v>
      </c>
      <c r="R32" s="270">
        <f>L32</f>
        <v>2.5324211692552661</v>
      </c>
      <c r="S32" s="270">
        <f>M32</f>
        <v>0.42655682172897669</v>
      </c>
      <c r="T32" s="705">
        <v>41592</v>
      </c>
      <c r="U32" s="291">
        <v>1.293736566702564</v>
      </c>
      <c r="V32" s="291">
        <v>1.8192705629589592</v>
      </c>
      <c r="W32" s="291">
        <v>2.5324211692552661</v>
      </c>
      <c r="X32" s="291">
        <v>0.42655682172897669</v>
      </c>
      <c r="Y32" s="729"/>
      <c r="Z32" s="705">
        <v>41592</v>
      </c>
      <c r="AA32" s="707">
        <v>41592</v>
      </c>
      <c r="AB32" s="497">
        <f t="shared" ref="AB32" si="154">AB31+1</f>
        <v>1</v>
      </c>
      <c r="AC32" s="266">
        <v>2.3232748912332295</v>
      </c>
      <c r="AD32" s="291">
        <v>1.293736566702564</v>
      </c>
      <c r="AE32" s="291">
        <f t="shared" si="82"/>
        <v>1423.0852279797316</v>
      </c>
      <c r="AF32" s="161">
        <v>3.0064748912332302</v>
      </c>
      <c r="AG32" s="291">
        <v>1.8192705629589592</v>
      </c>
      <c r="AH32" s="291">
        <f t="shared" si="83"/>
        <v>6507.3161518518909</v>
      </c>
      <c r="AI32" s="161">
        <v>3.1205748912332298</v>
      </c>
      <c r="AJ32" s="291">
        <v>2.5324211692552661</v>
      </c>
      <c r="AK32" s="291">
        <f t="shared" si="84"/>
        <v>2312.4468918601374</v>
      </c>
      <c r="AL32" s="161">
        <v>2.7414748912332292</v>
      </c>
      <c r="AM32" s="291">
        <v>0.42655682172897669</v>
      </c>
      <c r="AN32" s="291">
        <f t="shared" si="85"/>
        <v>468.85912738309241</v>
      </c>
      <c r="AO32" s="705">
        <v>41592</v>
      </c>
      <c r="AP32" s="463">
        <v>10.999806796887928</v>
      </c>
      <c r="AQ32" s="463">
        <v>35.768820121335018</v>
      </c>
      <c r="AR32" s="463">
        <v>9.1313677200865495</v>
      </c>
      <c r="AS32" s="463">
        <v>10.991715605031246</v>
      </c>
      <c r="AT32" s="463">
        <f t="shared" si="86"/>
        <v>0.39285024274599739</v>
      </c>
      <c r="AU32" s="463">
        <f t="shared" si="87"/>
        <v>0.60625118849720372</v>
      </c>
      <c r="AV32" s="463">
        <f t="shared" si="88"/>
        <v>0.45656838600432748</v>
      </c>
      <c r="AW32" s="463">
        <f t="shared" si="89"/>
        <v>0.57851134763322343</v>
      </c>
      <c r="AY32" s="266">
        <v>2.3232748912332295</v>
      </c>
      <c r="AZ32" s="161">
        <v>3.0064748912332302</v>
      </c>
      <c r="BA32" s="161">
        <v>3.1205748912332298</v>
      </c>
      <c r="BB32" s="161">
        <v>2.7414748912332292</v>
      </c>
      <c r="BE32" s="134">
        <v>-2.2630634332974364E-2</v>
      </c>
      <c r="BF32" s="134">
        <v>-5.8552943704104094E-3</v>
      </c>
      <c r="BG32" s="134">
        <v>-8.9477883074473366E-3</v>
      </c>
      <c r="BH32" s="134">
        <v>-2.3814431782710234E-2</v>
      </c>
      <c r="BJ32" s="508">
        <v>6.0792056438252899</v>
      </c>
      <c r="BK32" s="508">
        <v>2.1607441053631131</v>
      </c>
      <c r="BL32" s="508">
        <v>1.9521287207485416</v>
      </c>
      <c r="BM32" s="508">
        <v>-4.4251020484819055</v>
      </c>
      <c r="BO32" s="705">
        <v>41592</v>
      </c>
      <c r="BP32" s="324">
        <v>0</v>
      </c>
      <c r="BQ32" s="1">
        <v>5035950</v>
      </c>
      <c r="BR32" s="1">
        <v>11127132</v>
      </c>
      <c r="BS32" s="1">
        <v>6310099.7999999998</v>
      </c>
      <c r="BT32" s="1">
        <v>5970600</v>
      </c>
      <c r="BU32" s="708">
        <v>153402.67665978591</v>
      </c>
      <c r="BV32" s="708">
        <v>509866.00211189309</v>
      </c>
      <c r="BW32" s="708">
        <v>144414.10030668529</v>
      </c>
      <c r="BX32" s="708">
        <v>214415.58927759767</v>
      </c>
      <c r="BY32" s="709">
        <f t="shared" si="18"/>
        <v>0</v>
      </c>
      <c r="BZ32" s="709">
        <f t="shared" si="19"/>
        <v>0</v>
      </c>
      <c r="CA32" s="709">
        <f t="shared" si="20"/>
        <v>0</v>
      </c>
      <c r="CB32" s="709">
        <f t="shared" si="21"/>
        <v>0</v>
      </c>
      <c r="CC32" s="475">
        <f t="shared" si="22"/>
        <v>0</v>
      </c>
      <c r="CD32" s="475">
        <f t="shared" si="23"/>
        <v>0</v>
      </c>
      <c r="CE32" s="475">
        <f t="shared" si="24"/>
        <v>0</v>
      </c>
      <c r="CF32" s="475">
        <f t="shared" si="25"/>
        <v>0</v>
      </c>
      <c r="CG32" s="302">
        <f t="shared" si="90"/>
        <v>0</v>
      </c>
      <c r="CH32" s="302">
        <f t="shared" si="91"/>
        <v>0</v>
      </c>
      <c r="CI32" s="302">
        <f t="shared" si="92"/>
        <v>0</v>
      </c>
      <c r="CJ32" s="302">
        <f t="shared" si="93"/>
        <v>0</v>
      </c>
      <c r="CK32" s="302">
        <f t="shared" si="94"/>
        <v>0</v>
      </c>
      <c r="CL32" s="302">
        <f t="shared" si="94"/>
        <v>0</v>
      </c>
      <c r="CM32" s="302">
        <f t="shared" si="94"/>
        <v>0</v>
      </c>
      <c r="CN32" s="302">
        <f t="shared" si="94"/>
        <v>0</v>
      </c>
      <c r="CO32" s="710">
        <f>CK32/AP32/10000*100</f>
        <v>0</v>
      </c>
      <c r="CP32" s="710">
        <f>CL32/AQ32/10000*100</f>
        <v>0</v>
      </c>
      <c r="CQ32" s="710">
        <f>CM32/AR32/10000*100</f>
        <v>0</v>
      </c>
      <c r="CR32" s="710">
        <f>CN32/AS32/10000*100</f>
        <v>0</v>
      </c>
      <c r="CS32" s="705">
        <v>41592</v>
      </c>
      <c r="CT32" s="711">
        <v>0.95899999999999996</v>
      </c>
      <c r="CU32" s="711">
        <v>0.54400000000000004</v>
      </c>
      <c r="CV32" s="713">
        <v>0.98799999999999999</v>
      </c>
      <c r="CW32" s="714">
        <v>0.96</v>
      </c>
      <c r="CY32" s="725">
        <v>4.1647205643825291E-2</v>
      </c>
      <c r="CZ32" s="727">
        <v>2.6208744105363113E-2</v>
      </c>
      <c r="DA32" s="727">
        <v>3.6224128720748539E-2</v>
      </c>
      <c r="DB32" s="725">
        <v>2.3654897951518095E-2</v>
      </c>
      <c r="DC32" s="463">
        <f t="shared" si="12"/>
        <v>-4.1280979865257805</v>
      </c>
      <c r="DD32" s="463">
        <f t="shared" si="13"/>
        <v>-2.5880979865256393</v>
      </c>
      <c r="DE32" s="463">
        <f t="shared" si="14"/>
        <v>-3.7080979865256936</v>
      </c>
      <c r="DF32" s="463">
        <f t="shared" si="15"/>
        <v>-2.4380979865256336</v>
      </c>
      <c r="DG32" s="483">
        <f t="shared" si="30"/>
        <v>4.1280979865257805</v>
      </c>
      <c r="DH32" s="483">
        <f t="shared" si="31"/>
        <v>2.5880979865256393</v>
      </c>
      <c r="DI32" s="483">
        <f t="shared" si="32"/>
        <v>3.7080979865256936</v>
      </c>
      <c r="DJ32" s="483">
        <f t="shared" si="33"/>
        <v>2.4380979865256336</v>
      </c>
      <c r="DK32" s="483">
        <f t="shared" si="121"/>
        <v>0.17959716610305065</v>
      </c>
      <c r="DL32" s="483">
        <f t="shared" si="122"/>
        <v>0.79695703206676427</v>
      </c>
      <c r="DM32" s="483">
        <f t="shared" si="123"/>
        <v>0.17945189535337747</v>
      </c>
      <c r="DN32" s="483">
        <f t="shared" si="124"/>
        <v>0.2877226584844923</v>
      </c>
      <c r="DO32" s="483">
        <f t="shared" si="100"/>
        <v>18.534867494393488</v>
      </c>
      <c r="DP32" s="483">
        <f t="shared" si="101"/>
        <v>51.565072250986049</v>
      </c>
      <c r="DQ32" s="483">
        <f t="shared" si="102"/>
        <v>16.635630295951962</v>
      </c>
      <c r="DR32" s="483">
        <f t="shared" si="103"/>
        <v>17.53740085822108</v>
      </c>
      <c r="DS32" s="324">
        <v>3.56</v>
      </c>
      <c r="DT32" s="324">
        <v>2.88</v>
      </c>
      <c r="DU32" s="324">
        <v>3.43</v>
      </c>
      <c r="DV32" s="324">
        <v>2.81</v>
      </c>
      <c r="DW32" s="716"/>
      <c r="DX32" s="705">
        <v>41592</v>
      </c>
      <c r="DY32" s="716"/>
      <c r="DZ32" s="269">
        <f>-DC32-DS32</f>
        <v>0.56809798652578047</v>
      </c>
      <c r="EA32" s="269"/>
      <c r="EB32" s="269">
        <f>-DE32-DU32</f>
        <v>0.2780979865256934</v>
      </c>
      <c r="EC32" s="716"/>
      <c r="ED32" s="716"/>
      <c r="EE32" s="269">
        <f t="shared" si="148"/>
        <v>0.56809798652578047</v>
      </c>
      <c r="EF32" s="324">
        <f>-(EF$30-EF$36)/5+EF31</f>
        <v>0.26890345177265101</v>
      </c>
      <c r="EG32" s="269">
        <f t="shared" ref="EG32" si="155">EB32</f>
        <v>0.2780979865256934</v>
      </c>
      <c r="EH32" s="269">
        <f t="shared" si="152"/>
        <v>0.8950654503789397</v>
      </c>
      <c r="EI32" s="716"/>
      <c r="EJ32" s="717">
        <f t="shared" si="36"/>
        <v>624.89680934846263</v>
      </c>
      <c r="EK32" s="717">
        <f t="shared" si="37"/>
        <v>961.83591964620393</v>
      </c>
      <c r="EL32" s="717">
        <f t="shared" si="38"/>
        <v>253.94149771817808</v>
      </c>
      <c r="EM32" s="717">
        <f t="shared" si="39"/>
        <v>983.8304878454511</v>
      </c>
      <c r="EN32" s="716"/>
      <c r="EO32" s="269">
        <f t="shared" si="69"/>
        <v>2.2630634332974364</v>
      </c>
      <c r="EP32" s="269">
        <f t="shared" si="70"/>
        <v>0.58552943704104099</v>
      </c>
      <c r="EQ32" s="269">
        <f t="shared" si="71"/>
        <v>0.89477883074473363</v>
      </c>
      <c r="ER32" s="269">
        <f t="shared" si="72"/>
        <v>2.3814431782710233</v>
      </c>
      <c r="ES32" s="716"/>
      <c r="ET32" s="718">
        <f t="shared" si="40"/>
        <v>2489.326053537367</v>
      </c>
      <c r="EU32" s="718">
        <f t="shared" si="41"/>
        <v>2094.3697109267555</v>
      </c>
      <c r="EV32" s="718">
        <f t="shared" si="42"/>
        <v>817.05545316792472</v>
      </c>
      <c r="EW32" s="718">
        <f t="shared" si="43"/>
        <v>2617.6146145096814</v>
      </c>
      <c r="EX32" s="716"/>
      <c r="EY32" s="705">
        <v>41592</v>
      </c>
      <c r="EZ32" s="716"/>
      <c r="FA32" s="766">
        <f t="shared" si="44"/>
        <v>1.2969365667025636</v>
      </c>
      <c r="FB32" s="766">
        <f t="shared" si="45"/>
        <v>1.7336650977119472</v>
      </c>
      <c r="FC32" s="766">
        <f t="shared" si="46"/>
        <v>2.5352211692552666</v>
      </c>
      <c r="FD32" s="766">
        <f t="shared" si="47"/>
        <v>-0.83841064212432936</v>
      </c>
      <c r="FE32" s="760"/>
      <c r="FF32" s="705">
        <v>41592</v>
      </c>
      <c r="FG32" s="760"/>
      <c r="FH32" s="766">
        <v>1426.6051661547351</v>
      </c>
      <c r="FI32" s="766">
        <f t="shared" si="73"/>
        <v>6201.1155030695327</v>
      </c>
      <c r="FJ32" s="766">
        <f t="shared" si="74"/>
        <v>2315.0036748217622</v>
      </c>
      <c r="FK32" s="766">
        <f t="shared" si="75"/>
        <v>-921.55713384622584</v>
      </c>
      <c r="FL32" s="760"/>
      <c r="FM32" s="759">
        <f t="shared" si="95"/>
        <v>1426.6051661547351</v>
      </c>
      <c r="FN32" s="759">
        <f t="shared" si="96"/>
        <v>6201.1155030695327</v>
      </c>
      <c r="FO32" s="759">
        <f t="shared" si="97"/>
        <v>2315.0036748217622</v>
      </c>
      <c r="FP32" s="759">
        <f t="shared" si="49"/>
        <v>-921.55713384622584</v>
      </c>
      <c r="FQ32" s="760"/>
      <c r="FR32" s="759">
        <f t="shared" si="50"/>
        <v>4540.8280290405646</v>
      </c>
      <c r="FS32" s="759">
        <f t="shared" si="51"/>
        <v>9257.321133642492</v>
      </c>
      <c r="FT32" s="759">
        <f t="shared" si="52"/>
        <v>3386.0006257078653</v>
      </c>
      <c r="FU32" s="759">
        <f t="shared" si="53"/>
        <v>3601.4451023551323</v>
      </c>
      <c r="FV32" s="761"/>
      <c r="FW32" s="754">
        <v>41592</v>
      </c>
      <c r="FX32" s="761"/>
      <c r="FY32" s="759">
        <f t="shared" si="76"/>
        <v>214579.44975942947</v>
      </c>
      <c r="FZ32" s="759">
        <f t="shared" si="77"/>
        <v>358965.24268326897</v>
      </c>
      <c r="GA32" s="759">
        <f t="shared" si="78"/>
        <v>185389.36490629165</v>
      </c>
      <c r="GB32" s="759">
        <f t="shared" si="79"/>
        <v>218165.11089436934</v>
      </c>
      <c r="GC32" s="760"/>
      <c r="GD32" s="759">
        <f t="shared" si="54"/>
        <v>0.56751136306077898</v>
      </c>
      <c r="GE32" s="759">
        <f t="shared" si="54"/>
        <v>0.47060134188402669</v>
      </c>
      <c r="GF32" s="759">
        <f t="shared" si="55"/>
        <v>0.4977351096887464</v>
      </c>
      <c r="GG32" s="759">
        <f t="shared" si="56"/>
        <v>0.56938793265359755</v>
      </c>
      <c r="GH32" s="716"/>
      <c r="GI32" s="756">
        <f t="shared" si="57"/>
        <v>0</v>
      </c>
      <c r="GJ32" s="756">
        <f t="shared" si="58"/>
        <v>0</v>
      </c>
      <c r="GK32" s="756">
        <f t="shared" si="59"/>
        <v>0</v>
      </c>
      <c r="GL32" s="756">
        <f t="shared" si="60"/>
        <v>0</v>
      </c>
      <c r="GM32" s="716"/>
    </row>
    <row r="33" spans="1:195" s="472" customFormat="1">
      <c r="A33" s="464">
        <v>41593</v>
      </c>
      <c r="B33" s="465">
        <v>0</v>
      </c>
      <c r="C33" s="466">
        <v>0</v>
      </c>
      <c r="D33" s="485">
        <v>1.675045510786445</v>
      </c>
      <c r="E33" s="485">
        <v>-6.792871529669349E-3</v>
      </c>
      <c r="F33" s="485">
        <v>2.5079453327704595</v>
      </c>
      <c r="G33" s="485">
        <v>0.14474981881563398</v>
      </c>
      <c r="H33" s="487"/>
      <c r="I33" s="464">
        <v>41593</v>
      </c>
      <c r="J33" s="467"/>
      <c r="K33" s="467"/>
      <c r="L33" s="467"/>
      <c r="M33" s="467"/>
      <c r="N33" s="487"/>
      <c r="O33" s="464">
        <v>41593</v>
      </c>
      <c r="P33" s="467">
        <f t="shared" ref="P33:S35" si="156">D33+CO33</f>
        <v>1.675045510786445</v>
      </c>
      <c r="Q33" s="467">
        <f t="shared" si="156"/>
        <v>-6.792871529669349E-3</v>
      </c>
      <c r="R33" s="467">
        <f t="shared" si="156"/>
        <v>2.5079453327704595</v>
      </c>
      <c r="S33" s="467">
        <f t="shared" si="156"/>
        <v>0.14474981881563398</v>
      </c>
      <c r="T33" s="464">
        <v>41593</v>
      </c>
      <c r="U33" s="468">
        <v>1.675045510786445</v>
      </c>
      <c r="V33" s="468">
        <v>-6.792871529669349E-3</v>
      </c>
      <c r="W33" s="468">
        <v>2.5079453327704595</v>
      </c>
      <c r="X33" s="468">
        <v>0.14474981881563398</v>
      </c>
      <c r="Y33" s="487"/>
      <c r="Z33" s="464">
        <v>41593</v>
      </c>
      <c r="AA33" s="469">
        <v>41593</v>
      </c>
      <c r="AB33" s="466">
        <v>0</v>
      </c>
      <c r="AC33" s="470">
        <v>2.2819939113679717</v>
      </c>
      <c r="AD33" s="468">
        <v>1.675045510786445</v>
      </c>
      <c r="AE33" s="468">
        <f t="shared" si="82"/>
        <v>1817.0348924912389</v>
      </c>
      <c r="AF33" s="471">
        <v>2.9805939113679738</v>
      </c>
      <c r="AG33" s="468">
        <v>-6.792871529669349E-3</v>
      </c>
      <c r="AH33" s="468">
        <f t="shared" si="83"/>
        <v>-23.827635673212068</v>
      </c>
      <c r="AI33" s="471">
        <v>3.0834939113679729</v>
      </c>
      <c r="AJ33" s="468">
        <v>2.5079453327704595</v>
      </c>
      <c r="AK33" s="468">
        <f t="shared" si="84"/>
        <v>2249.7398560722968</v>
      </c>
      <c r="AL33" s="471">
        <v>2.7170939113679728</v>
      </c>
      <c r="AM33" s="468">
        <v>0.14474981881563398</v>
      </c>
      <c r="AN33" s="468">
        <f t="shared" si="85"/>
        <v>155.61404802566253</v>
      </c>
      <c r="AO33" s="464">
        <v>41593</v>
      </c>
      <c r="AP33" s="483">
        <v>10.847674769374647</v>
      </c>
      <c r="AQ33" s="483">
        <v>35.077412503886862</v>
      </c>
      <c r="AR33" s="483">
        <v>8.9704501397048801</v>
      </c>
      <c r="AS33" s="483">
        <v>10.75055218023217</v>
      </c>
      <c r="AT33" s="483">
        <f t="shared" si="86"/>
        <v>0.38741695604909454</v>
      </c>
      <c r="AU33" s="483">
        <f t="shared" si="87"/>
        <v>0.59453241532011625</v>
      </c>
      <c r="AV33" s="483">
        <f t="shared" si="88"/>
        <v>0.44852250698524398</v>
      </c>
      <c r="AW33" s="483">
        <f t="shared" si="89"/>
        <v>0.56581853580169317</v>
      </c>
      <c r="AY33" s="470">
        <v>2.2819939113679717</v>
      </c>
      <c r="AZ33" s="471">
        <v>2.9805939113679738</v>
      </c>
      <c r="BA33" s="471">
        <v>3.0834939113679729</v>
      </c>
      <c r="BB33" s="471">
        <v>2.7170939113679728</v>
      </c>
      <c r="BD33" s="232"/>
      <c r="BE33" s="472">
        <v>-2.2417544892135551E-2</v>
      </c>
      <c r="BF33" s="472">
        <v>-5.655128715296694E-3</v>
      </c>
      <c r="BG33" s="472">
        <v>-8.9045466722954079E-3</v>
      </c>
      <c r="BH33" s="472">
        <v>-2.3608501811843659E-2</v>
      </c>
      <c r="BI33" s="232"/>
      <c r="BJ33" s="507">
        <v>4.1164189578300823</v>
      </c>
      <c r="BK33" s="507">
        <v>18.104911265523505</v>
      </c>
      <c r="BL33" s="507">
        <v>8.3234958809075401</v>
      </c>
      <c r="BM33" s="507">
        <v>11.482265111675908</v>
      </c>
      <c r="BN33" s="232"/>
      <c r="BO33" s="464">
        <v>41593</v>
      </c>
      <c r="BP33" s="473">
        <v>0</v>
      </c>
      <c r="BQ33" s="1">
        <v>5035950</v>
      </c>
      <c r="BR33" s="1">
        <v>11127132</v>
      </c>
      <c r="BS33" s="1">
        <v>6310099.7999999998</v>
      </c>
      <c r="BT33" s="1">
        <v>5970600</v>
      </c>
      <c r="BU33" s="474">
        <v>153402.67665978591</v>
      </c>
      <c r="BV33" s="474">
        <v>509866.00211189309</v>
      </c>
      <c r="BW33" s="474">
        <v>144414.10030668529</v>
      </c>
      <c r="BX33" s="474">
        <v>214415.58927759767</v>
      </c>
      <c r="BY33" s="556">
        <f t="shared" si="18"/>
        <v>0</v>
      </c>
      <c r="BZ33" s="556">
        <f t="shared" si="19"/>
        <v>0</v>
      </c>
      <c r="CA33" s="556">
        <f t="shared" si="20"/>
        <v>0</v>
      </c>
      <c r="CB33" s="556">
        <f t="shared" si="21"/>
        <v>0</v>
      </c>
      <c r="CC33" s="475">
        <f t="shared" si="22"/>
        <v>0</v>
      </c>
      <c r="CD33" s="475">
        <f t="shared" si="23"/>
        <v>0</v>
      </c>
      <c r="CE33" s="475">
        <f t="shared" si="24"/>
        <v>0</v>
      </c>
      <c r="CF33" s="475">
        <f t="shared" si="25"/>
        <v>0</v>
      </c>
      <c r="CG33" s="476">
        <f t="shared" si="90"/>
        <v>0</v>
      </c>
      <c r="CH33" s="476">
        <f t="shared" si="91"/>
        <v>0</v>
      </c>
      <c r="CI33" s="476">
        <f t="shared" si="92"/>
        <v>0</v>
      </c>
      <c r="CJ33" s="476">
        <f t="shared" si="93"/>
        <v>0</v>
      </c>
      <c r="CK33" s="476">
        <f t="shared" si="94"/>
        <v>0</v>
      </c>
      <c r="CL33" s="476">
        <f t="shared" si="94"/>
        <v>0</v>
      </c>
      <c r="CM33" s="476">
        <f t="shared" si="94"/>
        <v>0</v>
      </c>
      <c r="CN33" s="476">
        <f t="shared" si="94"/>
        <v>0</v>
      </c>
      <c r="CO33" s="477">
        <f t="shared" ref="CO33:CO35" si="157">CK33/BU33*100</f>
        <v>0</v>
      </c>
      <c r="CP33" s="477">
        <f t="shared" ref="CP33:CP35" si="158">CL33/BV33*100</f>
        <v>0</v>
      </c>
      <c r="CQ33" s="477">
        <f t="shared" ref="CQ33:CQ35" si="159">CM33/BW33*100</f>
        <v>0</v>
      </c>
      <c r="CR33" s="477">
        <f t="shared" ref="CR33:CR35" si="160">CN33/BX33*100</f>
        <v>0</v>
      </c>
      <c r="CS33" s="464">
        <v>41593</v>
      </c>
      <c r="CT33" s="478">
        <v>0.97399999999999998</v>
      </c>
      <c r="CU33" s="478">
        <v>0.17899999999999999</v>
      </c>
      <c r="CV33" s="480">
        <v>0.98799999999999999</v>
      </c>
      <c r="CW33" s="481">
        <v>0.95799999999999996</v>
      </c>
      <c r="CY33" s="521">
        <v>4.3284418957830084E-2</v>
      </c>
      <c r="CZ33" s="521">
        <v>2.3692111265523508E-2</v>
      </c>
      <c r="DA33" s="521">
        <v>4.2307495880907542E-2</v>
      </c>
      <c r="DB33" s="521">
        <v>3.6538265111675905E-2</v>
      </c>
      <c r="DC33" s="483">
        <f t="shared" si="12"/>
        <v>-4.4667287697988556</v>
      </c>
      <c r="DD33" s="483">
        <f t="shared" si="13"/>
        <v>-2.4567287697990992</v>
      </c>
      <c r="DE33" s="483">
        <f t="shared" si="14"/>
        <v>-4.1767287697989985</v>
      </c>
      <c r="DF33" s="483">
        <f t="shared" si="15"/>
        <v>-3.6067287697990835</v>
      </c>
      <c r="DG33" s="483">
        <f t="shared" si="30"/>
        <v>4.4667287697988556</v>
      </c>
      <c r="DH33" s="483">
        <f t="shared" si="31"/>
        <v>2.4567287697990992</v>
      </c>
      <c r="DI33" s="483">
        <f t="shared" si="32"/>
        <v>4.1767287697989985</v>
      </c>
      <c r="DJ33" s="483">
        <f t="shared" si="33"/>
        <v>3.6067287697990835</v>
      </c>
      <c r="DK33" s="483">
        <f t="shared" si="121"/>
        <v>0.15213202751328048</v>
      </c>
      <c r="DL33" s="483">
        <f t="shared" si="122"/>
        <v>0.69140761744815649</v>
      </c>
      <c r="DM33" s="483">
        <f t="shared" si="123"/>
        <v>0.16091758038166937</v>
      </c>
      <c r="DN33" s="483">
        <f t="shared" si="124"/>
        <v>0.24116342479907615</v>
      </c>
      <c r="DO33" s="483">
        <f t="shared" si="100"/>
        <v>16.988312602535022</v>
      </c>
      <c r="DP33" s="483">
        <f t="shared" si="101"/>
        <v>42.46502463607839</v>
      </c>
      <c r="DQ33" s="483">
        <f t="shared" si="102"/>
        <v>16.802727188664033</v>
      </c>
      <c r="DR33" s="483">
        <f t="shared" si="103"/>
        <v>21.745276561152647</v>
      </c>
      <c r="DS33" s="473">
        <v>3.9168000000000003</v>
      </c>
      <c r="DT33" s="473">
        <v>0.55872000000000011</v>
      </c>
      <c r="DU33" s="473">
        <v>3.3984000000000001</v>
      </c>
      <c r="DV33" s="473">
        <v>2.5055999999999998</v>
      </c>
      <c r="DW33" s="552"/>
      <c r="DX33" s="532">
        <v>41593</v>
      </c>
      <c r="DY33" s="552"/>
      <c r="DZ33" s="473"/>
      <c r="EA33" s="473"/>
      <c r="EB33" s="473"/>
      <c r="EC33" s="545"/>
      <c r="ED33" s="552"/>
      <c r="EE33" s="473">
        <f>-(EE$32-EE$36)/4+EE32</f>
        <v>0.54086367999191076</v>
      </c>
      <c r="EF33" s="473">
        <f>-(EF$30-EF$36)/5+EF32</f>
        <v>0.32232255464516307</v>
      </c>
      <c r="EG33" s="473">
        <f>-(EG$32-EG$37)/5+EG32</f>
        <v>0.46554467560691359</v>
      </c>
      <c r="EH33" s="527">
        <f t="shared" si="152"/>
        <v>0.8476786466894759</v>
      </c>
      <c r="EI33" s="552"/>
      <c r="EJ33" s="503">
        <f t="shared" si="36"/>
        <v>586.71132951193738</v>
      </c>
      <c r="EK33" s="503">
        <f t="shared" si="37"/>
        <v>1130.6241208595</v>
      </c>
      <c r="EL33" s="503">
        <f t="shared" si="38"/>
        <v>417.61453003369013</v>
      </c>
      <c r="EM33" s="503">
        <f t="shared" si="39"/>
        <v>911.30135233038004</v>
      </c>
      <c r="EN33" s="552"/>
      <c r="EO33" s="503">
        <f t="shared" si="69"/>
        <v>2.2417544892135552</v>
      </c>
      <c r="EP33" s="503">
        <f t="shared" si="70"/>
        <v>0.56551287152966945</v>
      </c>
      <c r="EQ33" s="503">
        <f t="shared" si="71"/>
        <v>0.89045466722954081</v>
      </c>
      <c r="ER33" s="503">
        <f t="shared" si="72"/>
        <v>2.3608501811843658</v>
      </c>
      <c r="ES33" s="552"/>
      <c r="ET33" s="554">
        <f t="shared" si="40"/>
        <v>2431.7823611774234</v>
      </c>
      <c r="EU33" s="554">
        <f t="shared" si="41"/>
        <v>1983.6728270903791</v>
      </c>
      <c r="EV33" s="554">
        <f t="shared" si="42"/>
        <v>798.7779194050097</v>
      </c>
      <c r="EW33" s="554">
        <f t="shared" si="43"/>
        <v>2538.04430625331</v>
      </c>
      <c r="EX33" s="552"/>
      <c r="EY33" s="532">
        <v>41593</v>
      </c>
      <c r="EZ33" s="552"/>
      <c r="FA33" s="745">
        <f t="shared" si="44"/>
        <v>1.6841106005933897</v>
      </c>
      <c r="FB33" s="745">
        <f t="shared" si="45"/>
        <v>1.5688933436242667</v>
      </c>
      <c r="FC33" s="745">
        <f t="shared" si="46"/>
        <v>2.820729426962544</v>
      </c>
      <c r="FD33" s="745">
        <f t="shared" si="47"/>
        <v>0.39819994192524177</v>
      </c>
      <c r="FE33" s="761"/>
      <c r="FF33" s="532">
        <v>41593</v>
      </c>
      <c r="FG33" s="761"/>
      <c r="FH33" s="745">
        <v>1826.8684070893298</v>
      </c>
      <c r="FI33" s="745">
        <f t="shared" si="73"/>
        <v>5503.271898891071</v>
      </c>
      <c r="FJ33" s="745">
        <f t="shared" si="74"/>
        <v>2530.3212682165822</v>
      </c>
      <c r="FK33" s="745">
        <f t="shared" si="75"/>
        <v>428.08692538327307</v>
      </c>
      <c r="FL33" s="761"/>
      <c r="FM33" s="756">
        <f t="shared" si="95"/>
        <v>1826.8684070893298</v>
      </c>
      <c r="FN33" s="756">
        <f t="shared" si="96"/>
        <v>5503.271898891071</v>
      </c>
      <c r="FO33" s="756">
        <f t="shared" si="97"/>
        <v>2530.3212682165822</v>
      </c>
      <c r="FP33" s="756">
        <f t="shared" si="49"/>
        <v>428.08692538327307</v>
      </c>
      <c r="FQ33" s="761"/>
      <c r="FR33" s="756">
        <f t="shared" si="50"/>
        <v>4845.3620977786904</v>
      </c>
      <c r="FS33" s="756">
        <f t="shared" si="51"/>
        <v>8617.5688468409498</v>
      </c>
      <c r="FT33" s="756">
        <f t="shared" si="52"/>
        <v>3746.7137176552824</v>
      </c>
      <c r="FU33" s="756">
        <f t="shared" si="53"/>
        <v>3877.4325839669627</v>
      </c>
      <c r="FV33" s="761"/>
      <c r="FW33" s="755">
        <v>41593</v>
      </c>
      <c r="FX33" s="761"/>
      <c r="FY33" s="756">
        <f t="shared" si="76"/>
        <v>219424.81185720814</v>
      </c>
      <c r="FZ33" s="756">
        <f t="shared" si="77"/>
        <v>367582.8115301099</v>
      </c>
      <c r="GA33" s="756">
        <f t="shared" si="78"/>
        <v>189136.07862394693</v>
      </c>
      <c r="GB33" s="756">
        <f t="shared" si="79"/>
        <v>222042.5434783363</v>
      </c>
      <c r="GC33" s="761"/>
      <c r="GD33" s="756">
        <f t="shared" si="54"/>
        <v>0.58032618783414969</v>
      </c>
      <c r="GE33" s="756">
        <f t="shared" si="54"/>
        <v>0.4818989244376658</v>
      </c>
      <c r="GF33" s="756">
        <f t="shared" si="55"/>
        <v>0.50779432189960927</v>
      </c>
      <c r="GG33" s="756">
        <f t="shared" si="56"/>
        <v>0.57950762279991797</v>
      </c>
      <c r="GH33" s="552"/>
      <c r="GI33" s="756">
        <f t="shared" si="57"/>
        <v>0</v>
      </c>
      <c r="GJ33" s="756">
        <f t="shared" si="58"/>
        <v>0</v>
      </c>
      <c r="GK33" s="756">
        <f t="shared" si="59"/>
        <v>0</v>
      </c>
      <c r="GL33" s="756">
        <f t="shared" si="60"/>
        <v>0</v>
      </c>
      <c r="GM33" s="552"/>
    </row>
    <row r="34" spans="1:195" s="472" customFormat="1">
      <c r="A34" s="464">
        <v>41594</v>
      </c>
      <c r="B34" s="465">
        <v>0.05</v>
      </c>
      <c r="C34" s="466">
        <v>0</v>
      </c>
      <c r="D34" s="467">
        <v>-2.2176297901517601</v>
      </c>
      <c r="E34" s="467">
        <v>-0.5453427561539419</v>
      </c>
      <c r="F34" s="467">
        <v>-0.88513129414218394</v>
      </c>
      <c r="G34" s="467">
        <v>-2.3255532055041961</v>
      </c>
      <c r="H34" s="468"/>
      <c r="I34" s="464">
        <v>41594</v>
      </c>
      <c r="J34" s="467"/>
      <c r="K34" s="467"/>
      <c r="L34" s="467"/>
      <c r="M34" s="467"/>
      <c r="N34" s="468"/>
      <c r="O34" s="464">
        <v>41594</v>
      </c>
      <c r="P34" s="467">
        <f t="shared" si="156"/>
        <v>-2.2126297901517602</v>
      </c>
      <c r="Q34" s="467">
        <f t="shared" si="156"/>
        <v>-0.54034275615394189</v>
      </c>
      <c r="R34" s="467">
        <f t="shared" si="156"/>
        <v>-0.88013129414218394</v>
      </c>
      <c r="S34" s="467">
        <f t="shared" si="156"/>
        <v>-2.3205532055041962</v>
      </c>
      <c r="T34" s="464">
        <v>41594</v>
      </c>
      <c r="U34" s="468">
        <v>-2.2104182908647521</v>
      </c>
      <c r="V34" s="468">
        <v>-0.53789157038311841</v>
      </c>
      <c r="W34" s="468">
        <v>-0.87690759898252901</v>
      </c>
      <c r="X34" s="468">
        <v>-2.3152909280970708</v>
      </c>
      <c r="Y34" s="468"/>
      <c r="Z34" s="464">
        <v>41594</v>
      </c>
      <c r="AA34" s="469">
        <v>41594</v>
      </c>
      <c r="AB34" s="466">
        <v>0</v>
      </c>
      <c r="AC34" s="470">
        <v>2.2373266236699831</v>
      </c>
      <c r="AD34" s="468">
        <v>-2.2104182908647521</v>
      </c>
      <c r="AE34" s="468">
        <f t="shared" si="82"/>
        <v>-2350.9957420870883</v>
      </c>
      <c r="AF34" s="471">
        <v>2.9560266236699828</v>
      </c>
      <c r="AG34" s="468">
        <v>-0.53789157038311841</v>
      </c>
      <c r="AH34" s="468">
        <f t="shared" si="83"/>
        <v>-1840.3287275081518</v>
      </c>
      <c r="AI34" s="471">
        <v>3.0417266236699829</v>
      </c>
      <c r="AJ34" s="468">
        <v>-0.87690759898252901</v>
      </c>
      <c r="AK34" s="468">
        <f t="shared" si="84"/>
        <v>-769.95693238021067</v>
      </c>
      <c r="AL34" s="471">
        <v>2.681026623669982</v>
      </c>
      <c r="AM34" s="468">
        <v>-2.3152909280970708</v>
      </c>
      <c r="AN34" s="468">
        <f t="shared" si="85"/>
        <v>-2418.7344046669841</v>
      </c>
      <c r="AO34" s="464">
        <v>41594</v>
      </c>
      <c r="AP34" s="483">
        <v>10.635976691847494</v>
      </c>
      <c r="AQ34" s="483">
        <v>34.213749179920406</v>
      </c>
      <c r="AR34" s="483">
        <v>8.7803656083444519</v>
      </c>
      <c r="AS34" s="483">
        <v>10.446783923845516</v>
      </c>
      <c r="AT34" s="483">
        <f t="shared" si="86"/>
        <v>0.37985631042312479</v>
      </c>
      <c r="AU34" s="483">
        <f t="shared" si="87"/>
        <v>0.57989405389695603</v>
      </c>
      <c r="AV34" s="483">
        <f t="shared" si="88"/>
        <v>0.43901828041722257</v>
      </c>
      <c r="AW34" s="483">
        <f t="shared" si="89"/>
        <v>0.54983073283397454</v>
      </c>
      <c r="AY34" s="470">
        <v>2.2373266236699831</v>
      </c>
      <c r="AZ34" s="471">
        <v>2.9560266236699828</v>
      </c>
      <c r="BA34" s="471">
        <v>3.0417266236699829</v>
      </c>
      <c r="BB34" s="471">
        <v>2.681026623669982</v>
      </c>
      <c r="BD34" s="232"/>
      <c r="BE34" s="472">
        <v>-2.2176297901517601E-2</v>
      </c>
      <c r="BF34" s="472">
        <v>-5.4534275615394194E-3</v>
      </c>
      <c r="BG34" s="472">
        <v>-8.8513129414218399E-3</v>
      </c>
      <c r="BH34" s="472">
        <v>-2.3255532055041963E-2</v>
      </c>
      <c r="BI34" s="232"/>
      <c r="BJ34" s="507">
        <v>46.271263139799679</v>
      </c>
      <c r="BK34" s="507">
        <v>27.778955447491871</v>
      </c>
      <c r="BL34" s="507">
        <v>40.832801601337287</v>
      </c>
      <c r="BM34" s="507">
        <v>38.394340062876786</v>
      </c>
      <c r="BN34" s="232"/>
      <c r="BO34" s="464">
        <v>41594</v>
      </c>
      <c r="BP34" s="473">
        <v>0</v>
      </c>
      <c r="BQ34" s="1">
        <v>5035950</v>
      </c>
      <c r="BR34" s="1">
        <v>11127132</v>
      </c>
      <c r="BS34" s="1">
        <v>6310099.7999999998</v>
      </c>
      <c r="BT34" s="1">
        <v>5970600</v>
      </c>
      <c r="BU34" s="474">
        <v>153402.67665978591</v>
      </c>
      <c r="BV34" s="474">
        <v>509866.00211189309</v>
      </c>
      <c r="BW34" s="474">
        <v>144414.10030668529</v>
      </c>
      <c r="BX34" s="474">
        <v>214415.58927759767</v>
      </c>
      <c r="BY34" s="556">
        <f t="shared" si="18"/>
        <v>251.79750000000001</v>
      </c>
      <c r="BZ34" s="556">
        <f t="shared" si="19"/>
        <v>556.35660000000007</v>
      </c>
      <c r="CA34" s="556">
        <f t="shared" si="20"/>
        <v>315.50499000000002</v>
      </c>
      <c r="CB34" s="556">
        <f t="shared" si="21"/>
        <v>298.53000000000003</v>
      </c>
      <c r="CC34" s="475">
        <f t="shared" si="22"/>
        <v>0</v>
      </c>
      <c r="CD34" s="475">
        <f t="shared" si="23"/>
        <v>0</v>
      </c>
      <c r="CE34" s="475">
        <f t="shared" si="24"/>
        <v>0</v>
      </c>
      <c r="CF34" s="475">
        <f t="shared" si="25"/>
        <v>0</v>
      </c>
      <c r="CG34" s="476">
        <f t="shared" si="90"/>
        <v>7.6701338329892961</v>
      </c>
      <c r="CH34" s="476">
        <f t="shared" si="91"/>
        <v>25.493300105594656</v>
      </c>
      <c r="CI34" s="476">
        <f t="shared" si="92"/>
        <v>7.2207050153342642</v>
      </c>
      <c r="CJ34" s="476">
        <f t="shared" si="93"/>
        <v>10.720779463879884</v>
      </c>
      <c r="CK34" s="476">
        <f t="shared" si="94"/>
        <v>7.6701338329892961</v>
      </c>
      <c r="CL34" s="476">
        <f t="shared" si="94"/>
        <v>25.493300105594656</v>
      </c>
      <c r="CM34" s="476">
        <f t="shared" si="94"/>
        <v>7.2207050153342642</v>
      </c>
      <c r="CN34" s="476">
        <f t="shared" si="94"/>
        <v>10.720779463879884</v>
      </c>
      <c r="CO34" s="477">
        <f t="shared" si="157"/>
        <v>5.0000000000000001E-3</v>
      </c>
      <c r="CP34" s="477">
        <f t="shared" si="158"/>
        <v>5.0000000000000001E-3</v>
      </c>
      <c r="CQ34" s="477">
        <f t="shared" si="159"/>
        <v>5.0000000000000001E-3</v>
      </c>
      <c r="CR34" s="477">
        <f t="shared" si="160"/>
        <v>5.0000000000000001E-3</v>
      </c>
      <c r="CS34" s="464">
        <v>41594</v>
      </c>
      <c r="CT34" s="478">
        <v>0.98699999999999999</v>
      </c>
      <c r="CU34" s="478">
        <v>0.30499999999999999</v>
      </c>
      <c r="CV34" s="480">
        <v>0.98399999999999999</v>
      </c>
      <c r="CW34" s="481">
        <v>0.93400000000000005</v>
      </c>
      <c r="CY34" s="521">
        <v>4.6271263139799679E-2</v>
      </c>
      <c r="CZ34" s="521">
        <v>2.7778955447491871E-2</v>
      </c>
      <c r="DA34" s="521">
        <v>4.0832801601337287E-2</v>
      </c>
      <c r="DB34" s="521">
        <v>3.8394340062876786E-2</v>
      </c>
      <c r="DC34" s="483">
        <f t="shared" ref="DC34:DC65" si="161">(AY35-AY34)*100</f>
        <v>-4.5648265213555916</v>
      </c>
      <c r="DD34" s="483">
        <f t="shared" ref="DD34:DD65" si="162">(AZ35-AZ34)*100</f>
        <v>-2.7048265213554856</v>
      </c>
      <c r="DE34" s="483">
        <f t="shared" ref="DE34:DE65" si="163">(BA35-BA34)*100</f>
        <v>-4.0848265213554669</v>
      </c>
      <c r="DF34" s="483">
        <f t="shared" ref="DF34:DF65" si="164">(BB35-BB34)*100</f>
        <v>-3.8248265213553623</v>
      </c>
      <c r="DG34" s="483">
        <f t="shared" si="30"/>
        <v>4.5648265213555916</v>
      </c>
      <c r="DH34" s="483">
        <f t="shared" si="31"/>
        <v>2.7048265213554856</v>
      </c>
      <c r="DI34" s="483">
        <f t="shared" si="32"/>
        <v>4.0848265213554669</v>
      </c>
      <c r="DJ34" s="483">
        <f t="shared" si="33"/>
        <v>3.8248265213553623</v>
      </c>
      <c r="DK34" s="483">
        <f t="shared" si="121"/>
        <v>0.21169807752715286</v>
      </c>
      <c r="DL34" s="483">
        <f t="shared" si="122"/>
        <v>0.86366332396645618</v>
      </c>
      <c r="DM34" s="483">
        <f t="shared" si="123"/>
        <v>0.19008453136042824</v>
      </c>
      <c r="DN34" s="483">
        <f t="shared" si="124"/>
        <v>0.30376825638665395</v>
      </c>
      <c r="DO34" s="483">
        <f t="shared" si="100"/>
        <v>24.159124970398487</v>
      </c>
      <c r="DP34" s="483">
        <f t="shared" si="101"/>
        <v>58.40148660466263</v>
      </c>
      <c r="DQ34" s="483">
        <f t="shared" si="102"/>
        <v>19.411558375012554</v>
      </c>
      <c r="DR34" s="483">
        <f t="shared" si="103"/>
        <v>29.046522084338736</v>
      </c>
      <c r="DS34" s="473">
        <v>0</v>
      </c>
      <c r="DT34" s="473">
        <v>0</v>
      </c>
      <c r="DU34" s="473">
        <v>0</v>
      </c>
      <c r="DV34" s="473">
        <v>0</v>
      </c>
      <c r="DW34" s="552"/>
      <c r="DX34" s="532">
        <v>41594</v>
      </c>
      <c r="DY34" s="552"/>
      <c r="DZ34" s="473"/>
      <c r="EA34" s="473"/>
      <c r="EB34" s="473"/>
      <c r="EC34" s="545"/>
      <c r="ED34" s="552"/>
      <c r="EE34" s="473">
        <f>-(EE$32-EE$36)/4+EE33</f>
        <v>0.51362937345804105</v>
      </c>
      <c r="EF34" s="473">
        <f>-(EF$30-EF$36)/5+EF33</f>
        <v>0.37574165751767513</v>
      </c>
      <c r="EG34" s="473">
        <f>-(EG$32-EG$37)/5+EG33</f>
        <v>0.65299136468813379</v>
      </c>
      <c r="EH34" s="527">
        <f t="shared" si="152"/>
        <v>0.8002918430000121</v>
      </c>
      <c r="EI34" s="552"/>
      <c r="EJ34" s="503">
        <f t="shared" si="36"/>
        <v>546.2950044347956</v>
      </c>
      <c r="EK34" s="503">
        <f t="shared" si="37"/>
        <v>1285.5530826757292</v>
      </c>
      <c r="EL34" s="503">
        <f t="shared" si="38"/>
        <v>573.35029210535993</v>
      </c>
      <c r="EM34" s="503">
        <f t="shared" si="39"/>
        <v>836.04759598372266</v>
      </c>
      <c r="EN34" s="552"/>
      <c r="EO34" s="503">
        <f t="shared" si="69"/>
        <v>2.2176297901517601</v>
      </c>
      <c r="EP34" s="503">
        <f t="shared" si="70"/>
        <v>0.5453427561539419</v>
      </c>
      <c r="EQ34" s="503">
        <f t="shared" si="71"/>
        <v>0.88513129414218394</v>
      </c>
      <c r="ER34" s="503">
        <f t="shared" si="72"/>
        <v>2.3255532055041961</v>
      </c>
      <c r="ES34" s="552"/>
      <c r="ET34" s="554">
        <f t="shared" si="40"/>
        <v>2358.6658759200773</v>
      </c>
      <c r="EU34" s="554">
        <f t="shared" si="41"/>
        <v>1865.8220276137465</v>
      </c>
      <c r="EV34" s="554">
        <f t="shared" si="42"/>
        <v>777.17763739554493</v>
      </c>
      <c r="EW34" s="554">
        <f t="shared" si="43"/>
        <v>2429.4551841308639</v>
      </c>
      <c r="EX34" s="552"/>
      <c r="EY34" s="532">
        <v>41594</v>
      </c>
      <c r="EZ34" s="552"/>
      <c r="FA34" s="745">
        <f t="shared" si="44"/>
        <v>1.8385673577457906</v>
      </c>
      <c r="FB34" s="745">
        <f t="shared" si="45"/>
        <v>1.7887421076838685</v>
      </c>
      <c r="FC34" s="745">
        <f t="shared" si="46"/>
        <v>2.5517038625251489</v>
      </c>
      <c r="FD34" s="745">
        <f t="shared" si="47"/>
        <v>0.70398147285115398</v>
      </c>
      <c r="FE34" s="761"/>
      <c r="FF34" s="532">
        <v>41594</v>
      </c>
      <c r="FG34" s="761"/>
      <c r="FH34" s="745">
        <v>1955.4959563375862</v>
      </c>
      <c r="FI34" s="745">
        <f t="shared" si="73"/>
        <v>6119.9573819858051</v>
      </c>
      <c r="FJ34" s="745">
        <f t="shared" si="74"/>
        <v>2240.4892837195516</v>
      </c>
      <c r="FK34" s="745">
        <f t="shared" si="75"/>
        <v>735.43423332665236</v>
      </c>
      <c r="FL34" s="761"/>
      <c r="FM34" s="756">
        <f t="shared" si="95"/>
        <v>1955.4959563375862</v>
      </c>
      <c r="FN34" s="756">
        <f t="shared" si="96"/>
        <v>6119.9573819858051</v>
      </c>
      <c r="FO34" s="756">
        <f t="shared" si="97"/>
        <v>2240.4892837195516</v>
      </c>
      <c r="FP34" s="756">
        <f t="shared" si="49"/>
        <v>735.43423332665236</v>
      </c>
      <c r="FQ34" s="761"/>
      <c r="FR34" s="756">
        <f t="shared" si="50"/>
        <v>4860.4568366924586</v>
      </c>
      <c r="FS34" s="756">
        <f t="shared" si="51"/>
        <v>9271.3324922752799</v>
      </c>
      <c r="FT34" s="756">
        <f t="shared" si="52"/>
        <v>3591.0172132204566</v>
      </c>
      <c r="FU34" s="756">
        <f t="shared" si="53"/>
        <v>4000.9370134412388</v>
      </c>
      <c r="FV34" s="761"/>
      <c r="FW34" s="755">
        <v>41594</v>
      </c>
      <c r="FX34" s="761"/>
      <c r="FY34" s="756">
        <f t="shared" si="76"/>
        <v>224285.26869390061</v>
      </c>
      <c r="FZ34" s="756">
        <f t="shared" si="77"/>
        <v>376854.14402238518</v>
      </c>
      <c r="GA34" s="756">
        <f t="shared" si="78"/>
        <v>192727.09583716738</v>
      </c>
      <c r="GB34" s="756">
        <f t="shared" si="79"/>
        <v>226043.48049177753</v>
      </c>
      <c r="GC34" s="761"/>
      <c r="GD34" s="756">
        <f t="shared" si="54"/>
        <v>0.59318093458451138</v>
      </c>
      <c r="GE34" s="756">
        <f t="shared" si="54"/>
        <v>0.49405358732174753</v>
      </c>
      <c r="GF34" s="756">
        <f t="shared" si="55"/>
        <v>0.51743551867171067</v>
      </c>
      <c r="GG34" s="756">
        <f t="shared" si="56"/>
        <v>0.58994964648290527</v>
      </c>
      <c r="GH34" s="552"/>
      <c r="GI34" s="756">
        <f t="shared" si="57"/>
        <v>0</v>
      </c>
      <c r="GJ34" s="756">
        <f t="shared" si="58"/>
        <v>0</v>
      </c>
      <c r="GK34" s="756">
        <f t="shared" si="59"/>
        <v>0</v>
      </c>
      <c r="GL34" s="756">
        <f t="shared" si="60"/>
        <v>0</v>
      </c>
      <c r="GM34" s="552"/>
    </row>
    <row r="35" spans="1:195" s="472" customFormat="1">
      <c r="A35" s="464">
        <v>41595</v>
      </c>
      <c r="B35" s="465">
        <v>63.600000000000051</v>
      </c>
      <c r="C35" s="466">
        <v>0</v>
      </c>
      <c r="D35" s="467">
        <v>-2.1917541560524114</v>
      </c>
      <c r="E35" s="467">
        <v>-0.52174556268515027</v>
      </c>
      <c r="F35" s="467">
        <v>-0.87943086412421889</v>
      </c>
      <c r="G35" s="467">
        <v>-2.2812273147463298</v>
      </c>
      <c r="H35" s="468"/>
      <c r="I35" s="464">
        <v>41595</v>
      </c>
      <c r="J35" s="467"/>
      <c r="K35" s="467"/>
      <c r="L35" s="467"/>
      <c r="M35" s="467"/>
      <c r="N35" s="468"/>
      <c r="O35" s="464">
        <v>41595</v>
      </c>
      <c r="P35" s="467">
        <f t="shared" si="156"/>
        <v>33.08998336903386</v>
      </c>
      <c r="Q35" s="467">
        <f t="shared" si="156"/>
        <v>28.910206482900396</v>
      </c>
      <c r="R35" s="467">
        <f t="shared" si="156"/>
        <v>43.975410789109127</v>
      </c>
      <c r="S35" s="467">
        <f t="shared" si="156"/>
        <v>33.517482534974022</v>
      </c>
      <c r="T35" s="464">
        <v>41595</v>
      </c>
      <c r="U35" s="468"/>
      <c r="V35" s="468"/>
      <c r="W35" s="468"/>
      <c r="X35" s="468"/>
      <c r="Y35" s="468"/>
      <c r="Z35" s="464">
        <v>41595</v>
      </c>
      <c r="AA35" s="469">
        <v>41595</v>
      </c>
      <c r="AB35" s="466">
        <v>0</v>
      </c>
      <c r="AC35" s="470">
        <v>2.1916783584564272</v>
      </c>
      <c r="AD35" s="468">
        <f>0.78*AC35-0.57</f>
        <v>1.1395091195960134</v>
      </c>
      <c r="AE35" s="468">
        <f t="shared" si="82"/>
        <v>1185.9260039276276</v>
      </c>
      <c r="AF35" s="471">
        <v>2.928978358456428</v>
      </c>
      <c r="AG35" s="468">
        <f>0.78*AF35-0.57</f>
        <v>1.7146031195960139</v>
      </c>
      <c r="AH35" s="468">
        <f t="shared" si="83"/>
        <v>5727.9553808063056</v>
      </c>
      <c r="AI35" s="471">
        <v>3.0008783584564283</v>
      </c>
      <c r="AJ35" s="468">
        <f>0.78*AI35-0.57</f>
        <v>1.7706851195960143</v>
      </c>
      <c r="AK35" s="468">
        <f t="shared" si="84"/>
        <v>1517.1965580848307</v>
      </c>
      <c r="AL35" s="471">
        <v>2.6427783584564284</v>
      </c>
      <c r="AM35" s="468">
        <f>0.78*AL35-0.57</f>
        <v>1.4913671195960143</v>
      </c>
      <c r="AN35" s="468">
        <f t="shared" si="85"/>
        <v>1492.608785403464</v>
      </c>
      <c r="AO35" s="464">
        <v>41595</v>
      </c>
      <c r="AP35" s="483">
        <v>10.407341051803693</v>
      </c>
      <c r="AQ35" s="483">
        <v>33.406887665968419</v>
      </c>
      <c r="AR35" s="483">
        <v>8.5684153624727042</v>
      </c>
      <c r="AS35" s="483">
        <v>10.008325688498388</v>
      </c>
      <c r="AT35" s="483">
        <f t="shared" si="86"/>
        <v>0.3716907518501319</v>
      </c>
      <c r="AU35" s="483">
        <f t="shared" si="87"/>
        <v>0.56621843501641389</v>
      </c>
      <c r="AV35" s="483">
        <f t="shared" si="88"/>
        <v>0.42842076812363522</v>
      </c>
      <c r="AW35" s="483">
        <f t="shared" si="89"/>
        <v>0.52675398360517833</v>
      </c>
      <c r="AY35" s="470">
        <v>2.1916783584564272</v>
      </c>
      <c r="AZ35" s="471">
        <v>2.928978358456428</v>
      </c>
      <c r="BA35" s="471">
        <v>3.0008783584564283</v>
      </c>
      <c r="BB35" s="471">
        <v>2.6427783584564284</v>
      </c>
      <c r="BD35" s="232"/>
      <c r="BE35" s="472">
        <v>-2.1917541560524115E-2</v>
      </c>
      <c r="BF35" s="472">
        <v>-5.2174556268515032E-3</v>
      </c>
      <c r="BG35" s="472">
        <v>-8.7943086412421885E-3</v>
      </c>
      <c r="BH35" s="472">
        <v>-2.2812273147463296E-2</v>
      </c>
      <c r="BI35" s="232"/>
      <c r="BJ35" s="507">
        <v>-64.179449891088595</v>
      </c>
      <c r="BK35" s="507">
        <v>-301.87175758339669</v>
      </c>
      <c r="BL35" s="507">
        <v>-784.66406527570371</v>
      </c>
      <c r="BM35" s="507">
        <v>-516.74868066032082</v>
      </c>
      <c r="BN35" s="232"/>
      <c r="BO35" s="464">
        <v>41595</v>
      </c>
      <c r="BP35" s="473">
        <v>7.0480000000000089</v>
      </c>
      <c r="BQ35" s="1">
        <v>5035950</v>
      </c>
      <c r="BR35" s="1">
        <v>11127132</v>
      </c>
      <c r="BS35" s="1">
        <v>6310099.7999999998</v>
      </c>
      <c r="BT35" s="1">
        <v>5970600</v>
      </c>
      <c r="BU35" s="474">
        <v>153402.67665978591</v>
      </c>
      <c r="BV35" s="474">
        <v>509866.00211189309</v>
      </c>
      <c r="BW35" s="474">
        <v>144414.10030668529</v>
      </c>
      <c r="BX35" s="474">
        <v>214415.58927759767</v>
      </c>
      <c r="BY35" s="556">
        <f t="shared" si="18"/>
        <v>320286.42000000022</v>
      </c>
      <c r="BZ35" s="556">
        <f t="shared" si="19"/>
        <v>707685.59520000045</v>
      </c>
      <c r="CA35" s="556">
        <f t="shared" si="20"/>
        <v>401322.34728000028</v>
      </c>
      <c r="CB35" s="556">
        <f t="shared" si="21"/>
        <v>379730.16000000027</v>
      </c>
      <c r="CC35" s="475">
        <f t="shared" si="22"/>
        <v>44366.71950000005</v>
      </c>
      <c r="CD35" s="475">
        <f t="shared" si="23"/>
        <v>117636.03950400015</v>
      </c>
      <c r="CE35" s="475">
        <f t="shared" si="24"/>
        <v>55591.979238000065</v>
      </c>
      <c r="CF35" s="475">
        <f t="shared" si="25"/>
        <v>63121.18320000008</v>
      </c>
      <c r="CG35" s="476">
        <f t="shared" si="90"/>
        <v>9756.4102355623909</v>
      </c>
      <c r="CH35" s="476">
        <f t="shared" si="91"/>
        <v>32427.477734316424</v>
      </c>
      <c r="CI35" s="476">
        <f t="shared" si="92"/>
        <v>9184.7367795051905</v>
      </c>
      <c r="CJ35" s="476">
        <f t="shared" si="93"/>
        <v>13636.831478055221</v>
      </c>
      <c r="CK35" s="476">
        <f t="shared" si="94"/>
        <v>54123.129735562441</v>
      </c>
      <c r="CL35" s="476">
        <f t="shared" si="94"/>
        <v>150063.51723831656</v>
      </c>
      <c r="CM35" s="476">
        <f t="shared" si="94"/>
        <v>64776.716017505256</v>
      </c>
      <c r="CN35" s="476">
        <f t="shared" si="94"/>
        <v>76758.014678055304</v>
      </c>
      <c r="CO35" s="477">
        <f t="shared" si="157"/>
        <v>35.281737525086271</v>
      </c>
      <c r="CP35" s="477">
        <f t="shared" si="158"/>
        <v>29.431952045585547</v>
      </c>
      <c r="CQ35" s="477">
        <f t="shared" si="159"/>
        <v>44.854841653233343</v>
      </c>
      <c r="CR35" s="477">
        <f t="shared" si="160"/>
        <v>35.798709849720353</v>
      </c>
      <c r="CS35" s="464">
        <v>41595</v>
      </c>
      <c r="CT35" s="478">
        <v>0.96</v>
      </c>
      <c r="CU35" s="478">
        <v>0.94399999999999995</v>
      </c>
      <c r="CV35" s="480">
        <v>0.81200000000000006</v>
      </c>
      <c r="CW35" s="481">
        <v>0.71799999999999997</v>
      </c>
      <c r="CY35" s="522">
        <v>-6.4179449891088591E-2</v>
      </c>
      <c r="CZ35" s="522">
        <v>-0.30187175758339668</v>
      </c>
      <c r="DA35" s="522">
        <v>-0.78466406527570376</v>
      </c>
      <c r="DB35" s="522">
        <v>-0.51674868066032076</v>
      </c>
      <c r="DC35" s="483">
        <f t="shared" si="161"/>
        <v>6.3994693179754591</v>
      </c>
      <c r="DD35" s="483">
        <f t="shared" si="162"/>
        <v>30.169469317975306</v>
      </c>
      <c r="DE35" s="483">
        <f t="shared" si="163"/>
        <v>78.479469317975344</v>
      </c>
      <c r="DF35" s="483">
        <f t="shared" si="164"/>
        <v>51.649469317975338</v>
      </c>
      <c r="DG35" s="483">
        <f t="shared" si="30"/>
        <v>0</v>
      </c>
      <c r="DH35" s="483">
        <f t="shared" si="31"/>
        <v>0</v>
      </c>
      <c r="DI35" s="483">
        <f t="shared" si="32"/>
        <v>0</v>
      </c>
      <c r="DJ35" s="483">
        <f t="shared" si="33"/>
        <v>0</v>
      </c>
      <c r="DK35" s="483">
        <f t="shared" si="121"/>
        <v>0</v>
      </c>
      <c r="DL35" s="483">
        <f t="shared" si="122"/>
        <v>0</v>
      </c>
      <c r="DM35" s="483">
        <f t="shared" si="123"/>
        <v>0</v>
      </c>
      <c r="DN35" s="483">
        <f t="shared" si="124"/>
        <v>0</v>
      </c>
      <c r="DO35" s="483">
        <v>0</v>
      </c>
      <c r="DP35" s="483">
        <f t="shared" si="101"/>
        <v>0</v>
      </c>
      <c r="DQ35" s="483">
        <f t="shared" si="102"/>
        <v>0</v>
      </c>
      <c r="DR35" s="483">
        <f t="shared" si="103"/>
        <v>0</v>
      </c>
      <c r="DS35" s="473">
        <v>0</v>
      </c>
      <c r="DT35" s="473">
        <v>0</v>
      </c>
      <c r="DU35" s="473">
        <v>0</v>
      </c>
      <c r="DV35" s="473">
        <v>0</v>
      </c>
      <c r="DW35" s="552"/>
      <c r="DX35" s="532">
        <v>41595</v>
      </c>
      <c r="DY35" s="552"/>
      <c r="DZ35" s="473"/>
      <c r="EA35" s="473"/>
      <c r="EB35" s="473"/>
      <c r="EC35" s="545"/>
      <c r="ED35" s="552"/>
      <c r="EE35" s="473">
        <f>-(EE$32-EE$36)/4+EE34</f>
        <v>0.48639506692417134</v>
      </c>
      <c r="EF35" s="473">
        <f>-(EF$30-EF$36)/5+EF34</f>
        <v>0.42916076039018719</v>
      </c>
      <c r="EG35" s="473">
        <f>-(EG$32-EG$37)/5+EG34</f>
        <v>0.84043805376935399</v>
      </c>
      <c r="EH35" s="527">
        <f t="shared" si="152"/>
        <v>0.75290503931054831</v>
      </c>
      <c r="EI35" s="552"/>
      <c r="EJ35" s="503">
        <f t="shared" si="36"/>
        <v>506.20793473947322</v>
      </c>
      <c r="EK35" s="503">
        <f t="shared" si="37"/>
        <v>1433.6925312996573</v>
      </c>
      <c r="EL35" s="503">
        <f t="shared" si="38"/>
        <v>720.12223311239939</v>
      </c>
      <c r="EM35" s="503">
        <f t="shared" si="39"/>
        <v>753.53188459316493</v>
      </c>
      <c r="EN35" s="552"/>
      <c r="EO35" s="503">
        <f t="shared" si="69"/>
        <v>2.1917541560524114</v>
      </c>
      <c r="EP35" s="503">
        <f t="shared" si="70"/>
        <v>0.52174556268515027</v>
      </c>
      <c r="EQ35" s="503">
        <f t="shared" si="71"/>
        <v>0.87943086412421889</v>
      </c>
      <c r="ER35" s="503">
        <f t="shared" si="72"/>
        <v>2.2812273147463298</v>
      </c>
      <c r="ES35" s="552"/>
      <c r="ET35" s="554">
        <f t="shared" si="40"/>
        <v>2281.0333003745618</v>
      </c>
      <c r="EU35" s="554">
        <f t="shared" si="41"/>
        <v>1742.9895402840298</v>
      </c>
      <c r="EV35" s="554">
        <f t="shared" si="42"/>
        <v>753.53289263946021</v>
      </c>
      <c r="EW35" s="554">
        <f t="shared" si="43"/>
        <v>2283.1265935479892</v>
      </c>
      <c r="EX35" s="552"/>
      <c r="EY35" s="532">
        <v>41595</v>
      </c>
      <c r="EZ35" s="552"/>
      <c r="FA35" s="745">
        <f t="shared" si="44"/>
        <v>26.204118984134226</v>
      </c>
      <c r="FB35" s="745">
        <f t="shared" si="45"/>
        <v>-1.6884235954650961</v>
      </c>
      <c r="FC35" s="745">
        <f t="shared" si="46"/>
        <v>-35.344496582635571</v>
      </c>
      <c r="FD35" s="745">
        <f t="shared" si="47"/>
        <v>-18.884891822311864</v>
      </c>
      <c r="FE35" s="761"/>
      <c r="FF35" s="532">
        <v>41595</v>
      </c>
      <c r="FG35" s="761"/>
      <c r="FH35" s="745">
        <v>33291.488047679304</v>
      </c>
      <c r="FI35" s="745">
        <f t="shared" si="73"/>
        <v>-5640.4977386272967</v>
      </c>
      <c r="FJ35" s="745">
        <f t="shared" si="74"/>
        <v>-30284.632749751861</v>
      </c>
      <c r="FK35" s="745">
        <f t="shared" si="75"/>
        <v>-18900.614794975696</v>
      </c>
      <c r="FL35" s="761"/>
      <c r="FM35" s="756">
        <f t="shared" si="95"/>
        <v>33291.488047679304</v>
      </c>
      <c r="FN35" s="756">
        <f t="shared" si="96"/>
        <v>-5640.4977386272967</v>
      </c>
      <c r="FO35" s="756">
        <f t="shared" si="97"/>
        <v>-30284.632749751861</v>
      </c>
      <c r="FP35" s="756">
        <f t="shared" si="49"/>
        <v>-18900.614794975696</v>
      </c>
      <c r="FQ35" s="761"/>
      <c r="FR35" s="756">
        <f t="shared" si="50"/>
        <v>36078.729282793342</v>
      </c>
      <c r="FS35" s="756">
        <f t="shared" si="51"/>
        <v>3176.682071583687</v>
      </c>
      <c r="FT35" s="756">
        <f t="shared" si="52"/>
        <v>1473.6551257518595</v>
      </c>
      <c r="FU35" s="756">
        <f t="shared" si="53"/>
        <v>3036.6584781411539</v>
      </c>
      <c r="FV35" s="761"/>
      <c r="FW35" s="755">
        <v>41595</v>
      </c>
      <c r="FX35" s="761"/>
      <c r="FY35" s="756">
        <f t="shared" si="76"/>
        <v>260363.99797669397</v>
      </c>
      <c r="FZ35" s="756">
        <f t="shared" si="77"/>
        <v>380030.82609396888</v>
      </c>
      <c r="GA35" s="756">
        <f t="shared" si="78"/>
        <v>194200.75096291924</v>
      </c>
      <c r="GB35" s="756">
        <f t="shared" si="79"/>
        <v>229080.13896991868</v>
      </c>
      <c r="GC35" s="761"/>
      <c r="GD35" s="756">
        <f t="shared" si="54"/>
        <v>0.6886005512147807</v>
      </c>
      <c r="GE35" s="756">
        <f t="shared" si="54"/>
        <v>0.4982181990107552</v>
      </c>
      <c r="GF35" s="756">
        <f t="shared" si="55"/>
        <v>0.52139200180670731</v>
      </c>
      <c r="GG35" s="756">
        <f t="shared" si="56"/>
        <v>0.59787500487754319</v>
      </c>
      <c r="GH35" s="552"/>
      <c r="GI35" s="756">
        <f t="shared" si="57"/>
        <v>36574.557665098218</v>
      </c>
      <c r="GJ35" s="756">
        <f t="shared" si="58"/>
        <v>5216316.9380410714</v>
      </c>
      <c r="GK35" s="756">
        <f t="shared" si="59"/>
        <v>45491.413969361573</v>
      </c>
      <c r="GL35" s="756">
        <f t="shared" si="60"/>
        <v>43591.989873228566</v>
      </c>
      <c r="GM35" s="552"/>
    </row>
    <row r="36" spans="1:195" s="134" customFormat="1">
      <c r="A36" s="705">
        <v>41596</v>
      </c>
      <c r="B36" s="706">
        <v>0</v>
      </c>
      <c r="C36" s="497">
        <f t="shared" ref="C36:C47" si="165">C35+1</f>
        <v>1</v>
      </c>
      <c r="D36" s="270">
        <v>-2.2276773077970455</v>
      </c>
      <c r="E36" s="270">
        <v>-0.71480915507476506</v>
      </c>
      <c r="F36" s="270">
        <v>-0.92723492855062883</v>
      </c>
      <c r="G36" s="270">
        <v>-2.4597342214388913</v>
      </c>
      <c r="H36" s="291"/>
      <c r="I36" s="705">
        <v>41596</v>
      </c>
      <c r="J36" s="270">
        <f t="shared" ref="J36:J47" si="166">D36</f>
        <v>-2.2276773077970455</v>
      </c>
      <c r="K36" s="270">
        <f t="shared" ref="K36:K47" si="167">E36</f>
        <v>-0.71480915507476506</v>
      </c>
      <c r="L36" s="270">
        <f t="shared" ref="L36:L47" si="168">F36</f>
        <v>-0.92723492855062883</v>
      </c>
      <c r="M36" s="270">
        <f t="shared" ref="M36:M47" si="169">G36</f>
        <v>-2.4597342214388913</v>
      </c>
      <c r="N36" s="291"/>
      <c r="O36" s="705">
        <v>41596</v>
      </c>
      <c r="P36" s="270">
        <f t="shared" ref="P36:P47" si="170">J36</f>
        <v>-2.2276773077970455</v>
      </c>
      <c r="Q36" s="270">
        <f t="shared" ref="Q36:Q47" si="171">K36</f>
        <v>-0.71480915507476506</v>
      </c>
      <c r="R36" s="270">
        <f t="shared" ref="R36:R47" si="172">L36</f>
        <v>-0.92723492855062883</v>
      </c>
      <c r="S36" s="270">
        <f t="shared" ref="S36:S47" si="173">M36</f>
        <v>-2.4597342214388913</v>
      </c>
      <c r="T36" s="705">
        <v>41596</v>
      </c>
      <c r="U36" s="291">
        <v>-2.2276773077970455</v>
      </c>
      <c r="V36" s="291">
        <v>-0.71480915507476506</v>
      </c>
      <c r="W36" s="291">
        <v>-0.92723492855062883</v>
      </c>
      <c r="X36" s="291">
        <v>-2.4597342214388913</v>
      </c>
      <c r="Y36" s="291"/>
      <c r="Z36" s="705">
        <v>41596</v>
      </c>
      <c r="AA36" s="707">
        <v>41596</v>
      </c>
      <c r="AB36" s="497">
        <f t="shared" ref="AB36:AB47" si="174">AB35+1</f>
        <v>1</v>
      </c>
      <c r="AC36" s="266">
        <v>2.2556730516361818</v>
      </c>
      <c r="AD36" s="291">
        <v>-2.2276773077970455</v>
      </c>
      <c r="AE36" s="291">
        <f t="shared" si="82"/>
        <v>-2266.4727712439599</v>
      </c>
      <c r="AF36" s="161">
        <v>3.230673051636181</v>
      </c>
      <c r="AG36" s="291">
        <v>-0.71480915507476506</v>
      </c>
      <c r="AH36" s="291">
        <f t="shared" si="83"/>
        <v>-2325.4910710803488</v>
      </c>
      <c r="AI36" s="161">
        <v>3.7856730516361816</v>
      </c>
      <c r="AJ36" s="291">
        <v>-0.92723492855062883</v>
      </c>
      <c r="AK36" s="291">
        <f t="shared" si="84"/>
        <v>-775.47859066175761</v>
      </c>
      <c r="AL36" s="161">
        <v>3.1592730516361818</v>
      </c>
      <c r="AM36" s="291">
        <v>-2.4597342214388913</v>
      </c>
      <c r="AN36" s="291">
        <f t="shared" si="85"/>
        <v>-2350.8597143819115</v>
      </c>
      <c r="AO36" s="705">
        <v>41596</v>
      </c>
      <c r="AP36" s="463">
        <v>10.17415207898885</v>
      </c>
      <c r="AQ36" s="463">
        <v>32.533034231173431</v>
      </c>
      <c r="AR36" s="463">
        <v>8.3633453268840583</v>
      </c>
      <c r="AS36" s="463">
        <v>9.5573728815575425</v>
      </c>
      <c r="AT36" s="463">
        <f t="shared" si="86"/>
        <v>0.36336257424960178</v>
      </c>
      <c r="AU36" s="463">
        <f t="shared" si="87"/>
        <v>0.55140735985039713</v>
      </c>
      <c r="AV36" s="463">
        <f t="shared" si="88"/>
        <v>0.41816726634420293</v>
      </c>
      <c r="AW36" s="463">
        <f t="shared" si="89"/>
        <v>0.50301962534513378</v>
      </c>
      <c r="AY36" s="266">
        <v>2.2556730516361818</v>
      </c>
      <c r="AZ36" s="161">
        <v>3.230673051636181</v>
      </c>
      <c r="BA36" s="161">
        <v>3.7856730516361816</v>
      </c>
      <c r="BB36" s="161">
        <v>3.1592730516361818</v>
      </c>
      <c r="BE36" s="134">
        <v>-2.2276773077970456E-2</v>
      </c>
      <c r="BF36" s="134">
        <v>-7.1480915507476511E-3</v>
      </c>
      <c r="BG36" s="134">
        <v>-9.2723492855062879E-3</v>
      </c>
      <c r="BH36" s="134">
        <v>-2.4597342214388914E-2</v>
      </c>
      <c r="BJ36" s="508">
        <v>42.829549859918714</v>
      </c>
      <c r="BK36" s="508">
        <v>18.968011398379669</v>
      </c>
      <c r="BL36" s="508">
        <v>7.0603190906886049</v>
      </c>
      <c r="BM36" s="508">
        <v>17.991088321458459</v>
      </c>
      <c r="BO36" s="705">
        <v>41596</v>
      </c>
      <c r="BP36" s="324">
        <v>0</v>
      </c>
      <c r="BQ36" s="1">
        <v>5035950</v>
      </c>
      <c r="BR36" s="1">
        <v>11127132</v>
      </c>
      <c r="BS36" s="1">
        <v>6310099.7999999998</v>
      </c>
      <c r="BT36" s="1">
        <v>5970600</v>
      </c>
      <c r="BU36" s="708">
        <v>153402.67665978591</v>
      </c>
      <c r="BV36" s="708">
        <v>509866.00211189309</v>
      </c>
      <c r="BW36" s="708">
        <v>144414.10030668529</v>
      </c>
      <c r="BX36" s="708">
        <v>214415.58927759767</v>
      </c>
      <c r="BY36" s="709">
        <f t="shared" si="18"/>
        <v>0</v>
      </c>
      <c r="BZ36" s="709">
        <f t="shared" si="19"/>
        <v>0</v>
      </c>
      <c r="CA36" s="709">
        <f t="shared" si="20"/>
        <v>0</v>
      </c>
      <c r="CB36" s="709">
        <f t="shared" si="21"/>
        <v>0</v>
      </c>
      <c r="CC36" s="475">
        <f t="shared" si="22"/>
        <v>0</v>
      </c>
      <c r="CD36" s="475">
        <f t="shared" si="23"/>
        <v>0</v>
      </c>
      <c r="CE36" s="475">
        <f t="shared" si="24"/>
        <v>0</v>
      </c>
      <c r="CF36" s="475">
        <f t="shared" si="25"/>
        <v>0</v>
      </c>
      <c r="CG36" s="302">
        <f t="shared" si="90"/>
        <v>0</v>
      </c>
      <c r="CH36" s="302">
        <f t="shared" si="91"/>
        <v>0</v>
      </c>
      <c r="CI36" s="302">
        <f t="shared" si="92"/>
        <v>0</v>
      </c>
      <c r="CJ36" s="302">
        <f t="shared" si="93"/>
        <v>0</v>
      </c>
      <c r="CK36" s="302">
        <f t="shared" si="94"/>
        <v>0</v>
      </c>
      <c r="CL36" s="302">
        <f t="shared" si="94"/>
        <v>0</v>
      </c>
      <c r="CM36" s="302">
        <f t="shared" si="94"/>
        <v>0</v>
      </c>
      <c r="CN36" s="302">
        <f t="shared" si="94"/>
        <v>0</v>
      </c>
      <c r="CO36" s="710">
        <f t="shared" ref="CO36:CO47" si="175">CK36/AP36/10000*100</f>
        <v>0</v>
      </c>
      <c r="CP36" s="710">
        <f t="shared" ref="CP36:CP47" si="176">CL36/AQ36/10000*100</f>
        <v>0</v>
      </c>
      <c r="CQ36" s="710">
        <f t="shared" ref="CQ36:CQ47" si="177">CM36/AR36/10000*100</f>
        <v>0</v>
      </c>
      <c r="CR36" s="710">
        <f t="shared" ref="CR36:CR47" si="178">CN36/AS36/10000*100</f>
        <v>0</v>
      </c>
      <c r="CS36" s="705">
        <v>41596</v>
      </c>
      <c r="CT36" s="711">
        <v>0.97499999999999998</v>
      </c>
      <c r="CU36" s="711">
        <v>0.64600000000000002</v>
      </c>
      <c r="CV36" s="713">
        <v>0.93500000000000005</v>
      </c>
      <c r="CW36" s="714">
        <v>0.65400000000000003</v>
      </c>
      <c r="CY36" s="725">
        <v>4.2829549859918714E-2</v>
      </c>
      <c r="CZ36" s="725">
        <v>1.8968011398379669E-2</v>
      </c>
      <c r="DA36" s="725">
        <v>7.0603190906886049E-3</v>
      </c>
      <c r="DB36" s="725">
        <v>1.7991088321458459E-2</v>
      </c>
      <c r="DC36" s="463">
        <f t="shared" si="161"/>
        <v>-4.2591607603903014</v>
      </c>
      <c r="DD36" s="463">
        <f t="shared" si="162"/>
        <v>-1.8691607603901872</v>
      </c>
      <c r="DE36" s="463">
        <f t="shared" si="163"/>
        <v>-0.69916076039024944</v>
      </c>
      <c r="DF36" s="463">
        <f t="shared" si="164"/>
        <v>-1.7791607603903969</v>
      </c>
      <c r="DG36" s="483">
        <f t="shared" si="30"/>
        <v>4.2591607603903014</v>
      </c>
      <c r="DH36" s="483">
        <f t="shared" si="31"/>
        <v>1.8691607603901872</v>
      </c>
      <c r="DI36" s="483">
        <f t="shared" si="32"/>
        <v>0.69916076039024944</v>
      </c>
      <c r="DJ36" s="483">
        <f t="shared" si="33"/>
        <v>1.7791607603903969</v>
      </c>
      <c r="DK36" s="483">
        <f t="shared" si="121"/>
        <v>0.23318897281484219</v>
      </c>
      <c r="DL36" s="483">
        <f t="shared" si="122"/>
        <v>0.873853434794988</v>
      </c>
      <c r="DM36" s="483">
        <f t="shared" si="123"/>
        <v>0.20507003558864589</v>
      </c>
      <c r="DN36" s="483">
        <f t="shared" si="124"/>
        <v>0.45095280694084572</v>
      </c>
      <c r="DO36" s="483">
        <f t="shared" si="100"/>
        <v>24.829733069217415</v>
      </c>
      <c r="DP36" s="483">
        <f t="shared" si="101"/>
        <v>40.83431376627442</v>
      </c>
      <c r="DQ36" s="483">
        <f t="shared" si="102"/>
        <v>3.5844230503853294</v>
      </c>
      <c r="DR36" s="483">
        <f t="shared" si="103"/>
        <v>20.057938472426471</v>
      </c>
      <c r="DS36" s="324">
        <v>3.8</v>
      </c>
      <c r="DT36" s="324">
        <v>1.44</v>
      </c>
      <c r="DU36" s="324">
        <v>2.88</v>
      </c>
      <c r="DV36" s="324">
        <v>8.64</v>
      </c>
      <c r="DW36" s="716"/>
      <c r="DX36" s="705">
        <v>41596</v>
      </c>
      <c r="DY36" s="716"/>
      <c r="DZ36" s="269">
        <f>-DC36-DS36</f>
        <v>0.45916076039030163</v>
      </c>
      <c r="EA36" s="269">
        <f>-DD36-DT36</f>
        <v>0.42916076039018725</v>
      </c>
      <c r="EB36" s="269"/>
      <c r="EC36" s="716"/>
      <c r="ED36" s="716"/>
      <c r="EE36" s="269">
        <f t="shared" ref="EE36:EE47" si="179">DZ36</f>
        <v>0.45916076039030163</v>
      </c>
      <c r="EF36" s="269">
        <f t="shared" ref="EF36:EF46" si="180">EA36</f>
        <v>0.42916076039018725</v>
      </c>
      <c r="EG36" s="324">
        <f>-(EG$32-EG$37)/5+EG35</f>
        <v>1.0278847428505742</v>
      </c>
      <c r="EH36" s="269">
        <f t="shared" si="152"/>
        <v>0.70551823562108451</v>
      </c>
      <c r="EI36" s="716"/>
      <c r="EJ36" s="717">
        <f t="shared" si="36"/>
        <v>467.15714049150893</v>
      </c>
      <c r="EK36" s="717">
        <f t="shared" si="37"/>
        <v>1396.190170845038</v>
      </c>
      <c r="EL36" s="717">
        <f t="shared" si="38"/>
        <v>859.65550606947716</v>
      </c>
      <c r="EM36" s="717">
        <f t="shared" si="39"/>
        <v>674.2900852569278</v>
      </c>
      <c r="EN36" s="716"/>
      <c r="EO36" s="269">
        <f t="shared" ref="EO36:EO70" si="181">-BE36*100</f>
        <v>2.2276773077970455</v>
      </c>
      <c r="EP36" s="269">
        <f t="shared" ref="EP36:EP70" si="182">-BF36*100</f>
        <v>0.71480915507476506</v>
      </c>
      <c r="EQ36" s="269">
        <f t="shared" ref="EQ36:EQ70" si="183">-BG36*100</f>
        <v>0.92723492855062883</v>
      </c>
      <c r="ER36" s="269">
        <f t="shared" ref="ER36:ER70" si="184">-BH36*100</f>
        <v>2.4597342214388913</v>
      </c>
      <c r="ES36" s="716"/>
      <c r="ET36" s="718">
        <f t="shared" si="40"/>
        <v>2266.4727712439599</v>
      </c>
      <c r="EU36" s="718">
        <f t="shared" si="41"/>
        <v>2325.4910710803488</v>
      </c>
      <c r="EV36" s="718">
        <f t="shared" si="42"/>
        <v>775.47859066175761</v>
      </c>
      <c r="EW36" s="718">
        <f t="shared" si="43"/>
        <v>2350.8597143819115</v>
      </c>
      <c r="EX36" s="716"/>
      <c r="EY36" s="705">
        <v>41596</v>
      </c>
      <c r="EZ36" s="716"/>
      <c r="FA36" s="766">
        <f t="shared" si="44"/>
        <v>1.5723226922029543</v>
      </c>
      <c r="FB36" s="766">
        <f t="shared" si="45"/>
        <v>0.72519084492523489</v>
      </c>
      <c r="FC36" s="766">
        <f t="shared" si="46"/>
        <v>-1.2559589110109535</v>
      </c>
      <c r="FD36" s="766">
        <f t="shared" si="47"/>
        <v>-1.3860916966695789</v>
      </c>
      <c r="FE36" s="760"/>
      <c r="FF36" s="705">
        <v>41596</v>
      </c>
      <c r="FG36" s="760"/>
      <c r="FH36" s="766">
        <v>1599.7050187718035</v>
      </c>
      <c r="FI36" s="766">
        <f t="shared" ref="FI36:FI67" si="185">FB36/100*AQ36*10^4</f>
        <v>2359.2658582086246</v>
      </c>
      <c r="FJ36" s="766">
        <f t="shared" ref="FJ36:FJ67" si="186">FC36/100*AR36*10^4</f>
        <v>-1050.401808916185</v>
      </c>
      <c r="FK36" s="766">
        <f t="shared" ref="FK36:FK67" si="187">FD36/100*AS36*10^4</f>
        <v>-1324.7395193101916</v>
      </c>
      <c r="FL36" s="760"/>
      <c r="FM36" s="759">
        <f t="shared" si="95"/>
        <v>1599.7050187718035</v>
      </c>
      <c r="FN36" s="759">
        <f t="shared" si="96"/>
        <v>2359.2658582086246</v>
      </c>
      <c r="FO36" s="759">
        <f t="shared" si="97"/>
        <v>-1050.401808916185</v>
      </c>
      <c r="FP36" s="759">
        <f t="shared" si="49"/>
        <v>-1324.7395193101916</v>
      </c>
      <c r="FQ36" s="760"/>
      <c r="FR36" s="759">
        <f t="shared" si="50"/>
        <v>4333.3349305072716</v>
      </c>
      <c r="FS36" s="759">
        <f t="shared" si="51"/>
        <v>6080.9471001340107</v>
      </c>
      <c r="FT36" s="759">
        <f t="shared" si="52"/>
        <v>1635.1340967312349</v>
      </c>
      <c r="FU36" s="759">
        <f t="shared" si="53"/>
        <v>3025.1497996388393</v>
      </c>
      <c r="FV36" s="761"/>
      <c r="FW36" s="754">
        <v>41596</v>
      </c>
      <c r="FX36" s="761"/>
      <c r="FY36" s="759">
        <f t="shared" si="76"/>
        <v>264697.33290720126</v>
      </c>
      <c r="FZ36" s="759">
        <f t="shared" si="77"/>
        <v>386111.77319410286</v>
      </c>
      <c r="GA36" s="759">
        <f t="shared" si="78"/>
        <v>195835.88505965046</v>
      </c>
      <c r="GB36" s="759">
        <f t="shared" si="79"/>
        <v>232105.28876955752</v>
      </c>
      <c r="GC36" s="760"/>
      <c r="GD36" s="759">
        <f t="shared" si="54"/>
        <v>0.70006118649820681</v>
      </c>
      <c r="GE36" s="759">
        <f t="shared" si="54"/>
        <v>0.50619028523241161</v>
      </c>
      <c r="GF36" s="759">
        <f t="shared" si="55"/>
        <v>0.52578202520100348</v>
      </c>
      <c r="GG36" s="759">
        <f t="shared" si="56"/>
        <v>0.60577032683494725</v>
      </c>
      <c r="GH36" s="716"/>
      <c r="GI36" s="756">
        <f t="shared" si="57"/>
        <v>0</v>
      </c>
      <c r="GJ36" s="756">
        <f t="shared" si="58"/>
        <v>0</v>
      </c>
      <c r="GK36" s="756">
        <f t="shared" si="59"/>
        <v>0</v>
      </c>
      <c r="GL36" s="756">
        <f t="shared" si="60"/>
        <v>0</v>
      </c>
      <c r="GM36" s="716"/>
    </row>
    <row r="37" spans="1:195" s="134" customFormat="1">
      <c r="A37" s="705">
        <v>41597</v>
      </c>
      <c r="B37" s="706">
        <v>0</v>
      </c>
      <c r="C37" s="497">
        <f t="shared" si="165"/>
        <v>2</v>
      </c>
      <c r="D37" s="274">
        <v>1.7271546831429982</v>
      </c>
      <c r="E37" s="274">
        <v>-1.5706122176233204</v>
      </c>
      <c r="F37" s="274">
        <v>1.6215926195515196</v>
      </c>
      <c r="G37" s="274">
        <v>-0.80755960410805083</v>
      </c>
      <c r="H37" s="729"/>
      <c r="I37" s="705">
        <v>41597</v>
      </c>
      <c r="J37" s="270">
        <f t="shared" si="166"/>
        <v>1.7271546831429982</v>
      </c>
      <c r="K37" s="270">
        <f t="shared" si="167"/>
        <v>-1.5706122176233204</v>
      </c>
      <c r="L37" s="270">
        <f t="shared" si="168"/>
        <v>1.6215926195515196</v>
      </c>
      <c r="M37" s="270">
        <f t="shared" si="169"/>
        <v>-0.80755960410805083</v>
      </c>
      <c r="N37" s="729"/>
      <c r="O37" s="705">
        <v>41597</v>
      </c>
      <c r="P37" s="270">
        <f t="shared" si="170"/>
        <v>1.7271546831429982</v>
      </c>
      <c r="Q37" s="270">
        <f t="shared" si="171"/>
        <v>-1.5706122176233204</v>
      </c>
      <c r="R37" s="270">
        <f t="shared" si="172"/>
        <v>1.6215926195515196</v>
      </c>
      <c r="S37" s="270">
        <f t="shared" si="173"/>
        <v>-0.80755960410805083</v>
      </c>
      <c r="T37" s="705">
        <v>41597</v>
      </c>
      <c r="U37" s="291">
        <v>1.7271546831429982</v>
      </c>
      <c r="V37" s="291">
        <v>-1.5706122176233204</v>
      </c>
      <c r="W37" s="291">
        <v>1.6215926195515196</v>
      </c>
      <c r="X37" s="291">
        <v>-0.80755960410805083</v>
      </c>
      <c r="Y37" s="729"/>
      <c r="Z37" s="705">
        <v>41597</v>
      </c>
      <c r="AA37" s="707">
        <v>41597</v>
      </c>
      <c r="AB37" s="497">
        <f t="shared" si="174"/>
        <v>2</v>
      </c>
      <c r="AC37" s="266">
        <v>2.2130814440322788</v>
      </c>
      <c r="AD37" s="291">
        <v>1.7271546831429982</v>
      </c>
      <c r="AE37" s="291">
        <f t="shared" si="82"/>
        <v>1813.7188848953119</v>
      </c>
      <c r="AF37" s="161">
        <v>3.2119814440322791</v>
      </c>
      <c r="AG37" s="291">
        <v>-1.5706122176233204</v>
      </c>
      <c r="AH37" s="291">
        <f t="shared" si="83"/>
        <v>-6778.9725892831775</v>
      </c>
      <c r="AI37" s="161">
        <v>3.7786814440322791</v>
      </c>
      <c r="AJ37" s="291">
        <v>1.6215926195515196</v>
      </c>
      <c r="AK37" s="291">
        <f t="shared" si="84"/>
        <v>2056.3396235688738</v>
      </c>
      <c r="AL37" s="161">
        <v>3.1414814440322778</v>
      </c>
      <c r="AM37" s="291">
        <v>-0.80755960410805083</v>
      </c>
      <c r="AN37" s="291">
        <f t="shared" si="85"/>
        <v>-1368.5617322830096</v>
      </c>
      <c r="AO37" s="705">
        <v>41597</v>
      </c>
      <c r="AP37" s="463">
        <v>10.501195420405473</v>
      </c>
      <c r="AQ37" s="463">
        <v>43.161338701040059</v>
      </c>
      <c r="AR37" s="463">
        <v>12.680987806528073</v>
      </c>
      <c r="AS37" s="463">
        <v>16.946882005007982</v>
      </c>
      <c r="AT37" s="463">
        <f t="shared" si="86"/>
        <v>0.37504269358590975</v>
      </c>
      <c r="AU37" s="463">
        <f t="shared" si="87"/>
        <v>0.73154811357695015</v>
      </c>
      <c r="AV37" s="463">
        <f t="shared" si="88"/>
        <v>0.63404939032640362</v>
      </c>
      <c r="AW37" s="463">
        <f t="shared" si="89"/>
        <v>0.89194115815831487</v>
      </c>
      <c r="AY37" s="266">
        <v>2.2130814440322788</v>
      </c>
      <c r="AZ37" s="161">
        <v>3.2119814440322791</v>
      </c>
      <c r="BA37" s="161">
        <v>3.7786814440322791</v>
      </c>
      <c r="BB37" s="161">
        <v>3.1414814440322778</v>
      </c>
      <c r="BE37" s="134">
        <v>-2.2040453168570017E-2</v>
      </c>
      <c r="BF37" s="134">
        <v>-7.0661221762332062E-3</v>
      </c>
      <c r="BG37" s="134">
        <v>-9.2720738044848039E-3</v>
      </c>
      <c r="BH37" s="134">
        <v>-2.4635596041080506E-2</v>
      </c>
      <c r="BJ37" s="508">
        <v>4.2876437720942437</v>
      </c>
      <c r="BK37" s="508">
        <v>27.670413002864237</v>
      </c>
      <c r="BL37" s="508">
        <v>12.188566849016436</v>
      </c>
      <c r="BM37" s="508">
        <v>6.5934899259400206</v>
      </c>
      <c r="BO37" s="705">
        <v>41597</v>
      </c>
      <c r="BP37" s="324">
        <v>0</v>
      </c>
      <c r="BQ37" s="1">
        <v>5035950</v>
      </c>
      <c r="BR37" s="1">
        <v>11127132</v>
      </c>
      <c r="BS37" s="1">
        <v>6310099.7999999998</v>
      </c>
      <c r="BT37" s="1">
        <v>5970600</v>
      </c>
      <c r="BU37" s="708">
        <v>153402.67665978591</v>
      </c>
      <c r="BV37" s="708">
        <v>509866.00211189309</v>
      </c>
      <c r="BW37" s="708">
        <v>144414.10030668529</v>
      </c>
      <c r="BX37" s="708">
        <v>214415.58927759767</v>
      </c>
      <c r="BY37" s="709">
        <f t="shared" si="18"/>
        <v>0</v>
      </c>
      <c r="BZ37" s="709">
        <f t="shared" si="19"/>
        <v>0</v>
      </c>
      <c r="CA37" s="709">
        <f t="shared" si="20"/>
        <v>0</v>
      </c>
      <c r="CB37" s="709">
        <f t="shared" si="21"/>
        <v>0</v>
      </c>
      <c r="CC37" s="475">
        <f t="shared" si="22"/>
        <v>0</v>
      </c>
      <c r="CD37" s="475">
        <f t="shared" si="23"/>
        <v>0</v>
      </c>
      <c r="CE37" s="475">
        <f t="shared" si="24"/>
        <v>0</v>
      </c>
      <c r="CF37" s="475">
        <f t="shared" si="25"/>
        <v>0</v>
      </c>
      <c r="CG37" s="302">
        <f t="shared" si="90"/>
        <v>0</v>
      </c>
      <c r="CH37" s="302">
        <f t="shared" si="91"/>
        <v>0</v>
      </c>
      <c r="CI37" s="302">
        <f t="shared" si="92"/>
        <v>0</v>
      </c>
      <c r="CJ37" s="302">
        <f t="shared" si="93"/>
        <v>0</v>
      </c>
      <c r="CK37" s="302">
        <f t="shared" si="94"/>
        <v>0</v>
      </c>
      <c r="CL37" s="302">
        <f t="shared" si="94"/>
        <v>0</v>
      </c>
      <c r="CM37" s="302">
        <f t="shared" si="94"/>
        <v>0</v>
      </c>
      <c r="CN37" s="302">
        <f t="shared" si="94"/>
        <v>0</v>
      </c>
      <c r="CO37" s="710">
        <f t="shared" si="175"/>
        <v>0</v>
      </c>
      <c r="CP37" s="710">
        <f t="shared" si="176"/>
        <v>0</v>
      </c>
      <c r="CQ37" s="710">
        <f t="shared" si="177"/>
        <v>0</v>
      </c>
      <c r="CR37" s="710">
        <f t="shared" si="178"/>
        <v>0</v>
      </c>
      <c r="CS37" s="705">
        <v>41597</v>
      </c>
      <c r="CT37" s="711">
        <v>0.97099999999999997</v>
      </c>
      <c r="CU37" s="711">
        <v>0.214</v>
      </c>
      <c r="CV37" s="713">
        <v>0.93899999999999995</v>
      </c>
      <c r="CW37" s="714">
        <v>0.89400000000000002</v>
      </c>
      <c r="CY37" s="715">
        <v>4.3599643772094243E-2</v>
      </c>
      <c r="CZ37" s="715">
        <v>1.9030413002864233E-2</v>
      </c>
      <c r="DA37" s="715">
        <v>3.7676566849016435E-2</v>
      </c>
      <c r="DB37" s="715">
        <v>2.3153489925940018E-2</v>
      </c>
      <c r="DC37" s="463">
        <f t="shared" si="161"/>
        <v>-4.4441314319318082</v>
      </c>
      <c r="DD37" s="463">
        <f t="shared" si="162"/>
        <v>-1.964131431931726</v>
      </c>
      <c r="DE37" s="463">
        <f t="shared" si="163"/>
        <v>-3.7641314319317942</v>
      </c>
      <c r="DF37" s="463">
        <f t="shared" si="164"/>
        <v>-2.3141314319316209</v>
      </c>
      <c r="DG37" s="483">
        <f t="shared" si="30"/>
        <v>4.4441314319318082</v>
      </c>
      <c r="DH37" s="483">
        <f t="shared" si="31"/>
        <v>1.964131431931726</v>
      </c>
      <c r="DI37" s="483">
        <f t="shared" si="32"/>
        <v>3.7641314319317942</v>
      </c>
      <c r="DJ37" s="483">
        <f t="shared" si="33"/>
        <v>2.3141314319316209</v>
      </c>
      <c r="DK37" s="483" t="s">
        <v>106</v>
      </c>
      <c r="DL37" s="483" t="s">
        <v>106</v>
      </c>
      <c r="DM37" s="483" t="s">
        <v>106</v>
      </c>
      <c r="DN37" s="483" t="s">
        <v>106</v>
      </c>
      <c r="DO37" s="483">
        <v>0</v>
      </c>
      <c r="DP37" s="483">
        <v>0</v>
      </c>
      <c r="DQ37" s="483">
        <v>0</v>
      </c>
      <c r="DR37" s="483">
        <v>0</v>
      </c>
      <c r="DS37" s="324">
        <v>3.9312</v>
      </c>
      <c r="DT37" s="324"/>
      <c r="DU37" s="324">
        <v>2.5488</v>
      </c>
      <c r="DV37" s="324">
        <v>1.6559999999999999</v>
      </c>
      <c r="DW37" s="716"/>
      <c r="DX37" s="705">
        <v>41597</v>
      </c>
      <c r="DY37" s="716"/>
      <c r="DZ37" s="269">
        <f>-DC37-DS37</f>
        <v>0.51293143193180812</v>
      </c>
      <c r="EA37" s="269"/>
      <c r="EB37" s="269">
        <f>-DE37-DU37</f>
        <v>1.2153314319317943</v>
      </c>
      <c r="EC37" s="716">
        <f>-DF37-DV37</f>
        <v>0.65813143193162094</v>
      </c>
      <c r="ED37" s="716"/>
      <c r="EE37" s="269">
        <f t="shared" si="179"/>
        <v>0.51293143193180812</v>
      </c>
      <c r="EF37" s="269">
        <f>-(EF$36-EF$40)/4+EF36</f>
        <v>0.36135079676059811</v>
      </c>
      <c r="EG37" s="269">
        <f t="shared" ref="EG37:EG47" si="188">EB37</f>
        <v>1.2153314319317943</v>
      </c>
      <c r="EH37" s="269">
        <f t="shared" ref="EH37:EH47" si="189">EC37</f>
        <v>0.65813143193162094</v>
      </c>
      <c r="EI37" s="716"/>
      <c r="EJ37" s="717">
        <f t="shared" si="36"/>
        <v>538.63932039843246</v>
      </c>
      <c r="EK37" s="717">
        <f t="shared" si="37"/>
        <v>1559.6384128874865</v>
      </c>
      <c r="EL37" s="717">
        <f t="shared" si="38"/>
        <v>1541.1603069217385</v>
      </c>
      <c r="EM37" s="717">
        <f t="shared" si="39"/>
        <v>1115.3275720732122</v>
      </c>
      <c r="EN37" s="716"/>
      <c r="EO37" s="269">
        <f t="shared" si="181"/>
        <v>2.2040453168570018</v>
      </c>
      <c r="EP37" s="269">
        <f t="shared" si="182"/>
        <v>0.7066122176233206</v>
      </c>
      <c r="EQ37" s="269">
        <f t="shared" si="183"/>
        <v>0.92720738044848039</v>
      </c>
      <c r="ER37" s="269">
        <f t="shared" si="184"/>
        <v>2.4635596041080507</v>
      </c>
      <c r="ES37" s="716"/>
      <c r="ET37" s="718">
        <f t="shared" si="40"/>
        <v>2314.5110587744875</v>
      </c>
      <c r="EU37" s="718">
        <f t="shared" si="41"/>
        <v>3049.8329255133167</v>
      </c>
      <c r="EV37" s="718">
        <f t="shared" si="42"/>
        <v>1175.7905485590015</v>
      </c>
      <c r="EW37" s="718">
        <f t="shared" si="43"/>
        <v>4174.9653923123306</v>
      </c>
      <c r="EX37" s="716"/>
      <c r="EY37" s="705">
        <v>41597</v>
      </c>
      <c r="EZ37" s="716"/>
      <c r="FA37" s="766">
        <f t="shared" si="44"/>
        <v>1.7271546831429982</v>
      </c>
      <c r="FB37" s="766">
        <f t="shared" si="45"/>
        <v>0.89616841754780729</v>
      </c>
      <c r="FC37" s="766">
        <f t="shared" si="46"/>
        <v>1.6215926195515196</v>
      </c>
      <c r="FD37" s="766">
        <f t="shared" si="47"/>
        <v>-0.80755960410805105</v>
      </c>
      <c r="FE37" s="760"/>
      <c r="FF37" s="705">
        <v>41597</v>
      </c>
      <c r="FG37" s="760"/>
      <c r="FH37" s="766">
        <v>1813.7188848953119</v>
      </c>
      <c r="FI37" s="766">
        <f t="shared" si="185"/>
        <v>3867.9828602955999</v>
      </c>
      <c r="FJ37" s="766">
        <f t="shared" si="186"/>
        <v>2056.3396235688738</v>
      </c>
      <c r="FK37" s="766">
        <f t="shared" si="187"/>
        <v>-1368.5617322830101</v>
      </c>
      <c r="FL37" s="760"/>
      <c r="FM37" s="759">
        <f t="shared" si="95"/>
        <v>1813.7188848953119</v>
      </c>
      <c r="FN37" s="759">
        <f t="shared" si="96"/>
        <v>3867.9828602955999</v>
      </c>
      <c r="FO37" s="759">
        <f t="shared" si="97"/>
        <v>2056.3396235688738</v>
      </c>
      <c r="FP37" s="759">
        <f t="shared" si="49"/>
        <v>-1368.5617322830101</v>
      </c>
      <c r="FQ37" s="760"/>
      <c r="FR37" s="759">
        <f t="shared" si="50"/>
        <v>4666.869264068232</v>
      </c>
      <c r="FS37" s="759">
        <f t="shared" si="51"/>
        <v>8477.4541986964032</v>
      </c>
      <c r="FT37" s="759">
        <f t="shared" si="52"/>
        <v>4773.2904790496141</v>
      </c>
      <c r="FU37" s="759">
        <f t="shared" si="53"/>
        <v>5290.2929643855423</v>
      </c>
      <c r="FV37" s="761"/>
      <c r="FW37" s="754">
        <v>41597</v>
      </c>
      <c r="FX37" s="761"/>
      <c r="FY37" s="759">
        <f t="shared" si="76"/>
        <v>269364.20217126951</v>
      </c>
      <c r="FZ37" s="759">
        <f t="shared" si="77"/>
        <v>394589.22739279928</v>
      </c>
      <c r="GA37" s="759">
        <f t="shared" si="78"/>
        <v>200609.17553870007</v>
      </c>
      <c r="GB37" s="759">
        <f t="shared" si="79"/>
        <v>237395.58173394305</v>
      </c>
      <c r="GC37" s="760"/>
      <c r="GD37" s="759">
        <f t="shared" si="54"/>
        <v>0.71240394038375898</v>
      </c>
      <c r="GE37" s="759">
        <f t="shared" si="54"/>
        <v>0.51730417829861863</v>
      </c>
      <c r="GF37" s="759">
        <f t="shared" si="55"/>
        <v>0.53859740035138981</v>
      </c>
      <c r="GG37" s="759">
        <f t="shared" si="56"/>
        <v>0.61957743357980988</v>
      </c>
      <c r="GH37" s="716"/>
      <c r="GI37" s="756">
        <f t="shared" si="57"/>
        <v>0</v>
      </c>
      <c r="GJ37" s="756">
        <f t="shared" si="58"/>
        <v>0</v>
      </c>
      <c r="GK37" s="756">
        <f t="shared" si="59"/>
        <v>0</v>
      </c>
      <c r="GL37" s="756">
        <f t="shared" si="60"/>
        <v>0</v>
      </c>
      <c r="GM37" s="716"/>
    </row>
    <row r="38" spans="1:195" s="134" customFormat="1">
      <c r="A38" s="705">
        <v>41598</v>
      </c>
      <c r="B38" s="706">
        <v>0</v>
      </c>
      <c r="C38" s="497">
        <f t="shared" si="165"/>
        <v>3</v>
      </c>
      <c r="D38" s="274">
        <v>1.9258001675288745</v>
      </c>
      <c r="E38" s="274">
        <v>1.3040453395520135</v>
      </c>
      <c r="F38" s="274">
        <v>3.5082229399978564</v>
      </c>
      <c r="G38" s="274">
        <v>-0.37989048676427656</v>
      </c>
      <c r="H38" s="729"/>
      <c r="I38" s="705">
        <v>41598</v>
      </c>
      <c r="J38" s="270">
        <f t="shared" si="166"/>
        <v>1.9258001675288745</v>
      </c>
      <c r="K38" s="270">
        <f t="shared" si="167"/>
        <v>1.3040453395520135</v>
      </c>
      <c r="L38" s="270">
        <f t="shared" si="168"/>
        <v>3.5082229399978564</v>
      </c>
      <c r="M38" s="270">
        <f t="shared" si="169"/>
        <v>-0.37989048676427656</v>
      </c>
      <c r="N38" s="729"/>
      <c r="O38" s="705">
        <v>41598</v>
      </c>
      <c r="P38" s="270">
        <f t="shared" si="170"/>
        <v>1.9258001675288745</v>
      </c>
      <c r="Q38" s="270">
        <f t="shared" si="171"/>
        <v>1.3040453395520135</v>
      </c>
      <c r="R38" s="270">
        <f t="shared" si="172"/>
        <v>3.5082229399978564</v>
      </c>
      <c r="S38" s="270">
        <f t="shared" si="173"/>
        <v>-0.37989048676427656</v>
      </c>
      <c r="T38" s="705">
        <v>41598</v>
      </c>
      <c r="U38" s="291">
        <v>1.9258001675288745</v>
      </c>
      <c r="V38" s="291">
        <v>1.3040453395520135</v>
      </c>
      <c r="W38" s="291">
        <v>3.5082229399978564</v>
      </c>
      <c r="X38" s="291">
        <v>-0.37989048676427656</v>
      </c>
      <c r="Y38" s="729"/>
      <c r="Z38" s="705">
        <v>41598</v>
      </c>
      <c r="AA38" s="707">
        <v>41598</v>
      </c>
      <c r="AB38" s="497">
        <f t="shared" si="174"/>
        <v>3</v>
      </c>
      <c r="AC38" s="266">
        <v>2.1686401297129607</v>
      </c>
      <c r="AD38" s="291">
        <v>1.9258001675288745</v>
      </c>
      <c r="AE38" s="291">
        <f t="shared" si="82"/>
        <v>1980.3827100617727</v>
      </c>
      <c r="AF38" s="161">
        <v>3.1923401297129619</v>
      </c>
      <c r="AG38" s="291">
        <v>1.3040453395520135</v>
      </c>
      <c r="AH38" s="291">
        <f t="shared" si="83"/>
        <v>5535.0459595181865</v>
      </c>
      <c r="AI38" s="161">
        <v>3.7410401297129612</v>
      </c>
      <c r="AJ38" s="291">
        <v>3.5082229399978564</v>
      </c>
      <c r="AK38" s="291">
        <f t="shared" si="84"/>
        <v>4434.0629218091144</v>
      </c>
      <c r="AL38" s="161">
        <v>3.1183401297129616</v>
      </c>
      <c r="AM38" s="291">
        <v>-0.37989048676427656</v>
      </c>
      <c r="AN38" s="291">
        <f t="shared" si="85"/>
        <v>-632.23510328386783</v>
      </c>
      <c r="AO38" s="705">
        <v>41598</v>
      </c>
      <c r="AP38" s="463">
        <v>10.283427862626768</v>
      </c>
      <c r="AQ38" s="463">
        <v>42.445195666430386</v>
      </c>
      <c r="AR38" s="463">
        <v>12.639056860542118</v>
      </c>
      <c r="AS38" s="463">
        <v>16.642562141235512</v>
      </c>
      <c r="AT38" s="463">
        <f t="shared" si="86"/>
        <v>0.36726528080809884</v>
      </c>
      <c r="AU38" s="463">
        <f t="shared" si="87"/>
        <v>0.71941009604119299</v>
      </c>
      <c r="AV38" s="463">
        <f t="shared" si="88"/>
        <v>0.63195284302710586</v>
      </c>
      <c r="AW38" s="463">
        <f t="shared" si="89"/>
        <v>0.87592432322292169</v>
      </c>
      <c r="AY38" s="266">
        <v>2.1686401297129607</v>
      </c>
      <c r="AZ38" s="161">
        <v>3.1923401297129619</v>
      </c>
      <c r="BA38" s="161">
        <v>3.7410401297129612</v>
      </c>
      <c r="BB38" s="161">
        <v>3.1183401297129616</v>
      </c>
      <c r="BE38" s="134">
        <v>-2.1781998324711255E-2</v>
      </c>
      <c r="BF38" s="134">
        <v>-6.9755466044798663E-3</v>
      </c>
      <c r="BG38" s="134">
        <v>-9.2697706000214406E-3</v>
      </c>
      <c r="BH38" s="134">
        <v>-2.4678904867642765E-2</v>
      </c>
      <c r="BJ38" s="508">
        <v>3.3902493677324328</v>
      </c>
      <c r="BK38" s="508">
        <v>1.1296339831168603</v>
      </c>
      <c r="BL38" s="508">
        <v>-3.9832890938065746</v>
      </c>
      <c r="BM38" s="508">
        <v>3.9271724446550245</v>
      </c>
      <c r="BO38" s="705">
        <v>41598</v>
      </c>
      <c r="BP38" s="324">
        <v>0</v>
      </c>
      <c r="BQ38" s="1">
        <v>5035950</v>
      </c>
      <c r="BR38" s="1">
        <v>11127132</v>
      </c>
      <c r="BS38" s="1">
        <v>6310099.7999999998</v>
      </c>
      <c r="BT38" s="1">
        <v>5970600</v>
      </c>
      <c r="BU38" s="708">
        <v>153402.67665978591</v>
      </c>
      <c r="BV38" s="708">
        <v>509866.00211189309</v>
      </c>
      <c r="BW38" s="708">
        <v>144414.10030668529</v>
      </c>
      <c r="BX38" s="708">
        <v>214415.58927759767</v>
      </c>
      <c r="BY38" s="709">
        <f t="shared" si="18"/>
        <v>0</v>
      </c>
      <c r="BZ38" s="709">
        <f t="shared" si="19"/>
        <v>0</v>
      </c>
      <c r="CA38" s="709">
        <f t="shared" si="20"/>
        <v>0</v>
      </c>
      <c r="CB38" s="709">
        <f t="shared" si="21"/>
        <v>0</v>
      </c>
      <c r="CC38" s="475">
        <f t="shared" si="22"/>
        <v>0</v>
      </c>
      <c r="CD38" s="475">
        <f t="shared" si="23"/>
        <v>0</v>
      </c>
      <c r="CE38" s="475">
        <f t="shared" si="24"/>
        <v>0</v>
      </c>
      <c r="CF38" s="475">
        <f t="shared" si="25"/>
        <v>0</v>
      </c>
      <c r="CG38" s="302">
        <f t="shared" si="90"/>
        <v>0</v>
      </c>
      <c r="CH38" s="302">
        <f t="shared" si="91"/>
        <v>0</v>
      </c>
      <c r="CI38" s="302">
        <f t="shared" si="92"/>
        <v>0</v>
      </c>
      <c r="CJ38" s="302">
        <f t="shared" si="93"/>
        <v>0</v>
      </c>
      <c r="CK38" s="302">
        <f t="shared" si="94"/>
        <v>0</v>
      </c>
      <c r="CL38" s="302">
        <f t="shared" si="94"/>
        <v>0</v>
      </c>
      <c r="CM38" s="302">
        <f t="shared" si="94"/>
        <v>0</v>
      </c>
      <c r="CN38" s="302">
        <f t="shared" si="94"/>
        <v>0</v>
      </c>
      <c r="CO38" s="710">
        <f t="shared" si="175"/>
        <v>0</v>
      </c>
      <c r="CP38" s="710">
        <f t="shared" si="176"/>
        <v>0</v>
      </c>
      <c r="CQ38" s="710">
        <f t="shared" si="177"/>
        <v>0</v>
      </c>
      <c r="CR38" s="710">
        <f t="shared" si="178"/>
        <v>0</v>
      </c>
      <c r="CS38" s="705">
        <v>41598</v>
      </c>
      <c r="CT38" s="711">
        <v>0.97899999999999998</v>
      </c>
      <c r="CU38" s="711">
        <v>0.51300000000000001</v>
      </c>
      <c r="CV38" s="713">
        <v>0.98799999999999999</v>
      </c>
      <c r="CW38" s="714">
        <v>0.95899999999999996</v>
      </c>
      <c r="CY38" s="727">
        <v>4.4430249367732433E-2</v>
      </c>
      <c r="CZ38" s="727">
        <v>2.1145633983116863E-2</v>
      </c>
      <c r="DA38" s="727">
        <v>4.0368710906193428E-2</v>
      </c>
      <c r="DB38" s="727">
        <v>2.4807172444655023E-2</v>
      </c>
      <c r="DC38" s="463">
        <f t="shared" si="161"/>
        <v>-4.4024555373736618</v>
      </c>
      <c r="DD38" s="463">
        <f t="shared" si="162"/>
        <v>-2.1124555373736698</v>
      </c>
      <c r="DE38" s="463">
        <f t="shared" si="163"/>
        <v>-4.0124555373736825</v>
      </c>
      <c r="DF38" s="463">
        <f t="shared" si="164"/>
        <v>-2.4924555373736723</v>
      </c>
      <c r="DG38" s="483">
        <f t="shared" si="30"/>
        <v>4.4024555373736618</v>
      </c>
      <c r="DH38" s="483">
        <f t="shared" si="31"/>
        <v>2.1124555373736698</v>
      </c>
      <c r="DI38" s="483">
        <f t="shared" si="32"/>
        <v>4.0124555373736825</v>
      </c>
      <c r="DJ38" s="483">
        <f t="shared" si="33"/>
        <v>2.4924555373736723</v>
      </c>
      <c r="DK38" s="483">
        <f t="shared" si="121"/>
        <v>0.21776755777870527</v>
      </c>
      <c r="DL38" s="483">
        <f t="shared" si="122"/>
        <v>0.71614303460967221</v>
      </c>
      <c r="DM38" s="483">
        <f t="shared" si="123"/>
        <v>4.1930945985955148E-2</v>
      </c>
      <c r="DN38" s="483">
        <f t="shared" si="124"/>
        <v>0.30431986377247</v>
      </c>
      <c r="DO38" s="483">
        <f t="shared" si="100"/>
        <v>23.967799765079995</v>
      </c>
      <c r="DP38" s="483">
        <f t="shared" si="101"/>
        <v>37.820507975319643</v>
      </c>
      <c r="DQ38" s="483">
        <f t="shared" si="102"/>
        <v>4.2061514102165622</v>
      </c>
      <c r="DR38" s="483">
        <f t="shared" si="103"/>
        <v>18.96259323981236</v>
      </c>
      <c r="DS38" s="324">
        <v>4.1040000000000001</v>
      </c>
      <c r="DT38" s="324"/>
      <c r="DU38" s="324">
        <v>4.4352</v>
      </c>
      <c r="DV38" s="324">
        <v>2.0880000000000001</v>
      </c>
      <c r="DW38" s="716"/>
      <c r="DX38" s="705">
        <v>41598</v>
      </c>
      <c r="DY38" s="716"/>
      <c r="DZ38" s="269">
        <f>-DC38-DS38</f>
        <v>0.29845553737366171</v>
      </c>
      <c r="EA38" s="269"/>
      <c r="EB38" s="269"/>
      <c r="EC38" s="716">
        <f t="shared" ref="EC38:EC47" si="190">-DF38-DV38</f>
        <v>0.40445553737367224</v>
      </c>
      <c r="ED38" s="716"/>
      <c r="EE38" s="269">
        <f t="shared" si="179"/>
        <v>0.29845553737366171</v>
      </c>
      <c r="EF38" s="269">
        <f>-(EF$36-EF$40)/4+EF37</f>
        <v>0.29354083313100898</v>
      </c>
      <c r="EG38" s="267">
        <f>AVERAGE(EG37,EG39)</f>
        <v>0.81828274612331686</v>
      </c>
      <c r="EH38" s="269">
        <f t="shared" si="189"/>
        <v>0.40445553737367224</v>
      </c>
      <c r="EI38" s="716"/>
      <c r="EJ38" s="717">
        <f t="shared" si="36"/>
        <v>306.91459887835572</v>
      </c>
      <c r="EK38" s="717">
        <f t="shared" si="37"/>
        <v>1245.9398098332667</v>
      </c>
      <c r="EL38" s="717">
        <f t="shared" si="38"/>
        <v>1034.2322156253151</v>
      </c>
      <c r="EM38" s="717">
        <f t="shared" si="39"/>
        <v>673.11764141081426</v>
      </c>
      <c r="EN38" s="716"/>
      <c r="EO38" s="269">
        <f t="shared" si="181"/>
        <v>2.1781998324711256</v>
      </c>
      <c r="EP38" s="269">
        <f t="shared" si="182"/>
        <v>0.69755466044798664</v>
      </c>
      <c r="EQ38" s="269">
        <f t="shared" si="183"/>
        <v>0.92697706000214408</v>
      </c>
      <c r="ER38" s="269">
        <f t="shared" si="184"/>
        <v>2.4678904867642766</v>
      </c>
      <c r="ES38" s="716"/>
      <c r="ET38" s="718">
        <f t="shared" si="40"/>
        <v>2239.9360847602529</v>
      </c>
      <c r="EU38" s="718">
        <f t="shared" si="41"/>
        <v>2960.7844050745202</v>
      </c>
      <c r="EV38" s="718">
        <f t="shared" si="42"/>
        <v>1171.611576978526</v>
      </c>
      <c r="EW38" s="718">
        <f t="shared" si="43"/>
        <v>4107.2020783738426</v>
      </c>
      <c r="EX38" s="716"/>
      <c r="EY38" s="705">
        <v>41598</v>
      </c>
      <c r="EZ38" s="716"/>
      <c r="FA38" s="766">
        <f t="shared" si="44"/>
        <v>1.9258001675288745</v>
      </c>
      <c r="FB38" s="766">
        <f t="shared" si="45"/>
        <v>1.1213600437946742</v>
      </c>
      <c r="FC38" s="766">
        <f t="shared" si="46"/>
        <v>2.2671957312482216</v>
      </c>
      <c r="FD38" s="766">
        <f t="shared" si="47"/>
        <v>-0.3798904867642765</v>
      </c>
      <c r="FE38" s="760"/>
      <c r="FF38" s="705">
        <v>41598</v>
      </c>
      <c r="FG38" s="760"/>
      <c r="FH38" s="766">
        <v>1980.3827100617727</v>
      </c>
      <c r="FI38" s="766">
        <f t="shared" si="185"/>
        <v>4759.6346471381894</v>
      </c>
      <c r="FJ38" s="766">
        <f t="shared" si="186"/>
        <v>2865.521576122464</v>
      </c>
      <c r="FK38" s="766">
        <f t="shared" si="187"/>
        <v>-632.23510328386783</v>
      </c>
      <c r="FL38" s="760"/>
      <c r="FM38" s="759">
        <f t="shared" si="95"/>
        <v>1980.3827100617727</v>
      </c>
      <c r="FN38" s="759">
        <f t="shared" si="96"/>
        <v>4759.6346471381894</v>
      </c>
      <c r="FO38" s="759">
        <f t="shared" si="97"/>
        <v>2865.521576122464</v>
      </c>
      <c r="FP38" s="759">
        <f t="shared" si="49"/>
        <v>-632.23510328386783</v>
      </c>
      <c r="FQ38" s="760"/>
      <c r="FR38" s="759">
        <f t="shared" si="50"/>
        <v>4527.2333937003814</v>
      </c>
      <c r="FS38" s="759">
        <f t="shared" si="51"/>
        <v>8966.3588620459777</v>
      </c>
      <c r="FT38" s="759">
        <f t="shared" si="52"/>
        <v>5071.365368726305</v>
      </c>
      <c r="FU38" s="759">
        <f t="shared" si="53"/>
        <v>4780.3197197846566</v>
      </c>
      <c r="FV38" s="761"/>
      <c r="FW38" s="754">
        <v>41598</v>
      </c>
      <c r="FX38" s="761"/>
      <c r="FY38" s="759">
        <f t="shared" si="76"/>
        <v>273891.4355649699</v>
      </c>
      <c r="FZ38" s="759">
        <f t="shared" si="77"/>
        <v>403555.58625484526</v>
      </c>
      <c r="GA38" s="759">
        <f t="shared" si="78"/>
        <v>205680.54090742639</v>
      </c>
      <c r="GB38" s="759">
        <f t="shared" si="79"/>
        <v>242175.90145372771</v>
      </c>
      <c r="GC38" s="760"/>
      <c r="GD38" s="759">
        <f t="shared" si="54"/>
        <v>0.72437739076325081</v>
      </c>
      <c r="GE38" s="759">
        <f t="shared" si="54"/>
        <v>0.5290590225301971</v>
      </c>
      <c r="GF38" s="759">
        <f t="shared" si="55"/>
        <v>0.55221304976769048</v>
      </c>
      <c r="GG38" s="759">
        <f t="shared" si="56"/>
        <v>0.63205356393591094</v>
      </c>
      <c r="GH38" s="716"/>
      <c r="GI38" s="756">
        <f t="shared" si="57"/>
        <v>0</v>
      </c>
      <c r="GJ38" s="756">
        <f t="shared" si="58"/>
        <v>0</v>
      </c>
      <c r="GK38" s="756">
        <f t="shared" si="59"/>
        <v>0</v>
      </c>
      <c r="GL38" s="756">
        <f t="shared" si="60"/>
        <v>0</v>
      </c>
      <c r="GM38" s="716"/>
    </row>
    <row r="39" spans="1:195" s="134" customFormat="1">
      <c r="A39" s="705">
        <v>41599</v>
      </c>
      <c r="B39" s="706">
        <v>0</v>
      </c>
      <c r="C39" s="497">
        <f t="shared" si="165"/>
        <v>4</v>
      </c>
      <c r="D39" s="274">
        <v>1.563878308276037</v>
      </c>
      <c r="E39" s="274">
        <v>1.602315509407696</v>
      </c>
      <c r="F39" s="274">
        <v>2.7310272233608663</v>
      </c>
      <c r="G39" s="274">
        <v>-9.5686504933702524E-2</v>
      </c>
      <c r="H39" s="729"/>
      <c r="I39" s="705">
        <v>41599</v>
      </c>
      <c r="J39" s="270">
        <f t="shared" si="166"/>
        <v>1.563878308276037</v>
      </c>
      <c r="K39" s="270">
        <f t="shared" si="167"/>
        <v>1.602315509407696</v>
      </c>
      <c r="L39" s="270">
        <f t="shared" si="168"/>
        <v>2.7310272233608663</v>
      </c>
      <c r="M39" s="270">
        <f t="shared" si="169"/>
        <v>-9.5686504933702524E-2</v>
      </c>
      <c r="N39" s="729"/>
      <c r="O39" s="705">
        <v>41599</v>
      </c>
      <c r="P39" s="270">
        <f t="shared" si="170"/>
        <v>1.563878308276037</v>
      </c>
      <c r="Q39" s="270">
        <f t="shared" si="171"/>
        <v>1.602315509407696</v>
      </c>
      <c r="R39" s="270">
        <f t="shared" si="172"/>
        <v>2.7310272233608663</v>
      </c>
      <c r="S39" s="270">
        <f t="shared" si="173"/>
        <v>-9.5686504933702524E-2</v>
      </c>
      <c r="T39" s="705">
        <v>41599</v>
      </c>
      <c r="U39" s="291">
        <v>1.563878308276037</v>
      </c>
      <c r="V39" s="291">
        <v>1.602315509407696</v>
      </c>
      <c r="W39" s="291">
        <v>2.7310272233608663</v>
      </c>
      <c r="X39" s="291">
        <v>-9.5686504933702524E-2</v>
      </c>
      <c r="Y39" s="729"/>
      <c r="Z39" s="705">
        <v>41599</v>
      </c>
      <c r="AA39" s="707">
        <v>41599</v>
      </c>
      <c r="AB39" s="497">
        <f t="shared" si="174"/>
        <v>4</v>
      </c>
      <c r="AC39" s="266">
        <v>2.1246155743392241</v>
      </c>
      <c r="AD39" s="291">
        <v>1.563878308276037</v>
      </c>
      <c r="AE39" s="291">
        <f t="shared" si="82"/>
        <v>1572.7370979373784</v>
      </c>
      <c r="AF39" s="161">
        <v>3.1712155743392252</v>
      </c>
      <c r="AG39" s="291">
        <v>1.602315509407696</v>
      </c>
      <c r="AH39" s="291">
        <f t="shared" si="83"/>
        <v>6681.8282176241974</v>
      </c>
      <c r="AI39" s="161">
        <v>3.7009155743392244</v>
      </c>
      <c r="AJ39" s="291">
        <v>2.7310272233608663</v>
      </c>
      <c r="AK39" s="291">
        <f t="shared" si="84"/>
        <v>3390.39687671203</v>
      </c>
      <c r="AL39" s="161">
        <v>3.0934155743392249</v>
      </c>
      <c r="AM39" s="291">
        <v>-9.5686504933702524E-2</v>
      </c>
      <c r="AN39" s="291">
        <f t="shared" si="85"/>
        <v>-155.51347137660181</v>
      </c>
      <c r="AO39" s="705">
        <v>41599</v>
      </c>
      <c r="AP39" s="463">
        <v>10.056646285164648</v>
      </c>
      <c r="AQ39" s="463">
        <v>41.701076837820594</v>
      </c>
      <c r="AR39" s="463">
        <v>12.414364996844403</v>
      </c>
      <c r="AS39" s="463">
        <v>16.252393321749089</v>
      </c>
      <c r="AT39" s="463">
        <f t="shared" si="86"/>
        <v>0.35916593875588027</v>
      </c>
      <c r="AU39" s="463">
        <f t="shared" si="87"/>
        <v>0.70679791250543378</v>
      </c>
      <c r="AV39" s="463">
        <f t="shared" si="88"/>
        <v>0.62071824984222013</v>
      </c>
      <c r="AW39" s="463">
        <f t="shared" si="89"/>
        <v>0.85538912219732044</v>
      </c>
      <c r="AY39" s="266">
        <v>2.1246155743392241</v>
      </c>
      <c r="AZ39" s="161">
        <v>3.1712155743392252</v>
      </c>
      <c r="BA39" s="161">
        <v>3.7009155743392244</v>
      </c>
      <c r="BB39" s="161">
        <v>3.0934155743392249</v>
      </c>
      <c r="BE39" s="134">
        <v>-2.1513216917239626E-2</v>
      </c>
      <c r="BF39" s="134">
        <v>-6.8728449059230427E-3</v>
      </c>
      <c r="BG39" s="134">
        <v>-9.2657277663913424E-3</v>
      </c>
      <c r="BH39" s="134">
        <v>-2.4716865049337029E-2</v>
      </c>
      <c r="BJ39" s="508">
        <v>17.654887660623807</v>
      </c>
      <c r="BK39" s="508">
        <v>0.30319535293069078</v>
      </c>
      <c r="BL39" s="508">
        <v>3.68473381447048</v>
      </c>
      <c r="BM39" s="508">
        <v>2.2161184298548076</v>
      </c>
      <c r="BO39" s="705">
        <v>41599</v>
      </c>
      <c r="BP39" s="324">
        <v>0</v>
      </c>
      <c r="BQ39" s="1">
        <v>5035950</v>
      </c>
      <c r="BR39" s="1">
        <v>11127132</v>
      </c>
      <c r="BS39" s="1">
        <v>6310099.7999999998</v>
      </c>
      <c r="BT39" s="1">
        <v>5970600</v>
      </c>
      <c r="BU39" s="708">
        <v>153402.67665978591</v>
      </c>
      <c r="BV39" s="708">
        <v>509866.00211189309</v>
      </c>
      <c r="BW39" s="708">
        <v>144414.10030668529</v>
      </c>
      <c r="BX39" s="708">
        <v>214415.58927759767</v>
      </c>
      <c r="BY39" s="709">
        <f t="shared" si="18"/>
        <v>0</v>
      </c>
      <c r="BZ39" s="709">
        <f t="shared" si="19"/>
        <v>0</v>
      </c>
      <c r="CA39" s="709">
        <f t="shared" si="20"/>
        <v>0</v>
      </c>
      <c r="CB39" s="709">
        <f t="shared" si="21"/>
        <v>0</v>
      </c>
      <c r="CC39" s="475">
        <f t="shared" si="22"/>
        <v>0</v>
      </c>
      <c r="CD39" s="475">
        <f t="shared" si="23"/>
        <v>0</v>
      </c>
      <c r="CE39" s="475">
        <f t="shared" si="24"/>
        <v>0</v>
      </c>
      <c r="CF39" s="475">
        <f t="shared" si="25"/>
        <v>0</v>
      </c>
      <c r="CG39" s="302">
        <f t="shared" si="90"/>
        <v>0</v>
      </c>
      <c r="CH39" s="302">
        <f t="shared" si="91"/>
        <v>0</v>
      </c>
      <c r="CI39" s="302">
        <f t="shared" si="92"/>
        <v>0</v>
      </c>
      <c r="CJ39" s="302">
        <f t="shared" si="93"/>
        <v>0</v>
      </c>
      <c r="CK39" s="302">
        <f t="shared" si="94"/>
        <v>0</v>
      </c>
      <c r="CL39" s="302">
        <f t="shared" si="94"/>
        <v>0</v>
      </c>
      <c r="CM39" s="302">
        <f t="shared" si="94"/>
        <v>0</v>
      </c>
      <c r="CN39" s="302">
        <f t="shared" si="94"/>
        <v>0</v>
      </c>
      <c r="CO39" s="710">
        <f t="shared" si="175"/>
        <v>0</v>
      </c>
      <c r="CP39" s="710">
        <f t="shared" si="176"/>
        <v>0</v>
      </c>
      <c r="CQ39" s="710">
        <f t="shared" si="177"/>
        <v>0</v>
      </c>
      <c r="CR39" s="710">
        <f t="shared" si="178"/>
        <v>0</v>
      </c>
      <c r="CS39" s="705">
        <v>41599</v>
      </c>
      <c r="CT39" s="711">
        <v>0.97899999999999998</v>
      </c>
      <c r="CU39" s="711">
        <v>0.91200000000000003</v>
      </c>
      <c r="CV39" s="713">
        <v>0.97099999999999997</v>
      </c>
      <c r="CW39" s="714">
        <v>0.95599999999999996</v>
      </c>
      <c r="CY39" s="727">
        <v>5.4806887660623804E-2</v>
      </c>
      <c r="CZ39" s="727">
        <v>2.319919535293069E-2</v>
      </c>
      <c r="DA39" s="727">
        <v>4.0260733814470484E-2</v>
      </c>
      <c r="DB39" s="727">
        <v>2.5976118429854811E-2</v>
      </c>
      <c r="DC39" s="463">
        <f t="shared" si="161"/>
        <v>-5.4388340603148677</v>
      </c>
      <c r="DD39" s="463">
        <f t="shared" si="162"/>
        <v>-2.2288340603148882</v>
      </c>
      <c r="DE39" s="463">
        <f t="shared" si="163"/>
        <v>-4.0788340603148399</v>
      </c>
      <c r="DF39" s="463">
        <f t="shared" si="164"/>
        <v>-2.5488340603148529</v>
      </c>
      <c r="DG39" s="483">
        <f t="shared" si="30"/>
        <v>5.4388340603148677</v>
      </c>
      <c r="DH39" s="483">
        <f t="shared" si="31"/>
        <v>2.2288340603148882</v>
      </c>
      <c r="DI39" s="483">
        <f t="shared" si="32"/>
        <v>4.0788340603148399</v>
      </c>
      <c r="DJ39" s="483">
        <f t="shared" si="33"/>
        <v>2.5488340603148529</v>
      </c>
      <c r="DK39" s="483">
        <f t="shared" si="121"/>
        <v>0.2267815774621198</v>
      </c>
      <c r="DL39" s="483">
        <f t="shared" si="122"/>
        <v>0.74411882860979262</v>
      </c>
      <c r="DM39" s="483">
        <f t="shared" si="123"/>
        <v>0.22469186369771421</v>
      </c>
      <c r="DN39" s="483">
        <f t="shared" si="124"/>
        <v>0.39016881948642279</v>
      </c>
      <c r="DO39" s="483">
        <f t="shared" si="100"/>
        <v>30.835684193822793</v>
      </c>
      <c r="DP39" s="483">
        <f t="shared" si="101"/>
        <v>41.462934753178061</v>
      </c>
      <c r="DQ39" s="483">
        <f t="shared" si="102"/>
        <v>22.912020668146408</v>
      </c>
      <c r="DR39" s="483">
        <f t="shared" si="103"/>
        <v>24.861889409495799</v>
      </c>
      <c r="DS39" s="324">
        <v>3.7151999999999998</v>
      </c>
      <c r="DT39" s="324">
        <v>2.2896000000000001</v>
      </c>
      <c r="DU39" s="324">
        <v>3.6576000000000004</v>
      </c>
      <c r="DV39" s="324">
        <v>2.3760000000000003</v>
      </c>
      <c r="DW39" s="716"/>
      <c r="DX39" s="705">
        <v>41599</v>
      </c>
      <c r="DY39" s="716"/>
      <c r="DZ39" s="269"/>
      <c r="EA39" s="269"/>
      <c r="EB39" s="269">
        <f t="shared" ref="EB39:EB47" si="191">-DE39-DU39</f>
        <v>0.42123406031483945</v>
      </c>
      <c r="EC39" s="716">
        <f t="shared" si="190"/>
        <v>0.1728340603148526</v>
      </c>
      <c r="ED39" s="716"/>
      <c r="EE39" s="269">
        <f>(EE$41-EE$38)/3+EE38</f>
        <v>0.4561993775912484</v>
      </c>
      <c r="EF39" s="269">
        <f>-(EF$36-EF$40)/4+EF38</f>
        <v>0.22573086950141985</v>
      </c>
      <c r="EG39" s="269">
        <f t="shared" si="188"/>
        <v>0.42123406031483945</v>
      </c>
      <c r="EH39" s="269">
        <f t="shared" si="189"/>
        <v>0.1728340603148526</v>
      </c>
      <c r="EI39" s="716"/>
      <c r="EJ39" s="717">
        <f t="shared" si="36"/>
        <v>458.78357759474528</v>
      </c>
      <c r="EK39" s="717">
        <f t="shared" si="37"/>
        <v>941.32203337467615</v>
      </c>
      <c r="EL39" s="717">
        <f t="shared" si="38"/>
        <v>522.93533738511871</v>
      </c>
      <c r="EM39" s="717">
        <f t="shared" si="39"/>
        <v>280.89671276318899</v>
      </c>
      <c r="EN39" s="716"/>
      <c r="EO39" s="269">
        <f t="shared" si="181"/>
        <v>2.1513216917239628</v>
      </c>
      <c r="EP39" s="269">
        <f t="shared" si="182"/>
        <v>0.68728449059230423</v>
      </c>
      <c r="EQ39" s="269">
        <f t="shared" si="183"/>
        <v>0.92657277663913429</v>
      </c>
      <c r="ER39" s="269">
        <f t="shared" si="184"/>
        <v>2.4716865049337029</v>
      </c>
      <c r="ES39" s="716"/>
      <c r="ET39" s="718">
        <f t="shared" si="40"/>
        <v>2163.5081299269918</v>
      </c>
      <c r="EU39" s="718">
        <f t="shared" si="41"/>
        <v>2866.0503351632065</v>
      </c>
      <c r="EV39" s="718">
        <f t="shared" si="42"/>
        <v>1150.2812645337794</v>
      </c>
      <c r="EW39" s="718">
        <f t="shared" si="43"/>
        <v>4017.0821246241862</v>
      </c>
      <c r="EX39" s="716"/>
      <c r="EY39" s="705">
        <v>41599</v>
      </c>
      <c r="EZ39" s="716"/>
      <c r="FA39" s="766">
        <f t="shared" si="44"/>
        <v>2.8313129909996566</v>
      </c>
      <c r="FB39" s="766">
        <f t="shared" si="45"/>
        <v>1.3158187002211641</v>
      </c>
      <c r="FC39" s="766">
        <f t="shared" si="46"/>
        <v>2.7310272233608659</v>
      </c>
      <c r="FD39" s="766">
        <f t="shared" si="47"/>
        <v>-9.5686504933702565E-2</v>
      </c>
      <c r="FE39" s="760"/>
      <c r="FF39" s="705">
        <v>41599</v>
      </c>
      <c r="FG39" s="760"/>
      <c r="FH39" s="766">
        <v>2847.3513273075109</v>
      </c>
      <c r="FI39" s="766">
        <f t="shared" si="185"/>
        <v>5487.1056722563981</v>
      </c>
      <c r="FJ39" s="766">
        <f t="shared" si="186"/>
        <v>3390.3968767120296</v>
      </c>
      <c r="FK39" s="766">
        <f t="shared" si="187"/>
        <v>-155.5134713766019</v>
      </c>
      <c r="FL39" s="760"/>
      <c r="FM39" s="759">
        <f t="shared" si="95"/>
        <v>2847.3513273075109</v>
      </c>
      <c r="FN39" s="759">
        <f t="shared" si="96"/>
        <v>5487.1056722563981</v>
      </c>
      <c r="FO39" s="759">
        <f t="shared" si="97"/>
        <v>3390.3968767120296</v>
      </c>
      <c r="FP39" s="759">
        <f t="shared" si="49"/>
        <v>-155.5134713766019</v>
      </c>
      <c r="FQ39" s="760"/>
      <c r="FR39" s="759">
        <f t="shared" si="50"/>
        <v>5469.6430348292479</v>
      </c>
      <c r="FS39" s="759">
        <f t="shared" si="51"/>
        <v>9294.4780407942799</v>
      </c>
      <c r="FT39" s="759">
        <f t="shared" si="52"/>
        <v>5063.6134786309285</v>
      </c>
      <c r="FU39" s="759">
        <f t="shared" si="53"/>
        <v>4297.9788373873753</v>
      </c>
      <c r="FV39" s="761"/>
      <c r="FW39" s="754">
        <v>41599</v>
      </c>
      <c r="FX39" s="761"/>
      <c r="FY39" s="759">
        <f t="shared" si="76"/>
        <v>279361.07859979913</v>
      </c>
      <c r="FZ39" s="759">
        <f t="shared" si="77"/>
        <v>412850.06429563952</v>
      </c>
      <c r="GA39" s="759">
        <f t="shared" si="78"/>
        <v>210744.15438605731</v>
      </c>
      <c r="GB39" s="759">
        <f t="shared" si="79"/>
        <v>246473.88029111509</v>
      </c>
      <c r="GC39" s="760"/>
      <c r="GD39" s="759">
        <f t="shared" si="54"/>
        <v>0.73884328942051691</v>
      </c>
      <c r="GE39" s="759">
        <f t="shared" si="54"/>
        <v>0.54124402909354496</v>
      </c>
      <c r="GF39" s="759">
        <f t="shared" si="55"/>
        <v>0.56580788683659</v>
      </c>
      <c r="GG39" s="759">
        <f t="shared" si="56"/>
        <v>0.64327083545460861</v>
      </c>
      <c r="GH39" s="716"/>
      <c r="GI39" s="756">
        <f t="shared" si="57"/>
        <v>0</v>
      </c>
      <c r="GJ39" s="756">
        <f t="shared" si="58"/>
        <v>0</v>
      </c>
      <c r="GK39" s="756">
        <f t="shared" si="59"/>
        <v>0</v>
      </c>
      <c r="GL39" s="756">
        <f t="shared" si="60"/>
        <v>0</v>
      </c>
      <c r="GM39" s="716"/>
    </row>
    <row r="40" spans="1:195" s="134" customFormat="1">
      <c r="A40" s="705">
        <v>41600</v>
      </c>
      <c r="B40" s="706">
        <v>0</v>
      </c>
      <c r="C40" s="497">
        <f t="shared" si="165"/>
        <v>5</v>
      </c>
      <c r="D40" s="274">
        <v>3.614966570962816</v>
      </c>
      <c r="E40" s="274">
        <v>1.5417711041648792</v>
      </c>
      <c r="F40" s="274">
        <v>2.4868161403737918</v>
      </c>
      <c r="G40" s="274">
        <v>-0.31456925909300187</v>
      </c>
      <c r="H40" s="729"/>
      <c r="I40" s="705">
        <v>41600</v>
      </c>
      <c r="J40" s="270">
        <f t="shared" si="166"/>
        <v>3.614966570962816</v>
      </c>
      <c r="K40" s="270">
        <f t="shared" si="167"/>
        <v>1.5417711041648792</v>
      </c>
      <c r="L40" s="270">
        <f t="shared" si="168"/>
        <v>2.4868161403737918</v>
      </c>
      <c r="M40" s="270">
        <f t="shared" si="169"/>
        <v>-0.31456925909300187</v>
      </c>
      <c r="N40" s="729"/>
      <c r="O40" s="705">
        <v>41600</v>
      </c>
      <c r="P40" s="270">
        <f t="shared" si="170"/>
        <v>3.614966570962816</v>
      </c>
      <c r="Q40" s="270">
        <f t="shared" si="171"/>
        <v>1.5417711041648792</v>
      </c>
      <c r="R40" s="270">
        <f t="shared" si="172"/>
        <v>2.4868161403737918</v>
      </c>
      <c r="S40" s="270">
        <f t="shared" si="173"/>
        <v>-0.31456925909300187</v>
      </c>
      <c r="T40" s="705">
        <v>41600</v>
      </c>
      <c r="U40" s="291">
        <v>3.614966570962816</v>
      </c>
      <c r="V40" s="291">
        <v>1.5417711041648792</v>
      </c>
      <c r="W40" s="291">
        <v>2.4868161403737918</v>
      </c>
      <c r="X40" s="291">
        <v>-0.31456925909300187</v>
      </c>
      <c r="Y40" s="729"/>
      <c r="Z40" s="705">
        <v>41600</v>
      </c>
      <c r="AA40" s="707">
        <v>41600</v>
      </c>
      <c r="AB40" s="497">
        <f t="shared" si="174"/>
        <v>5</v>
      </c>
      <c r="AC40" s="266">
        <v>2.0702272337360754</v>
      </c>
      <c r="AD40" s="291">
        <v>3.614966570962816</v>
      </c>
      <c r="AE40" s="291">
        <f t="shared" si="82"/>
        <v>3554.3963453503929</v>
      </c>
      <c r="AF40" s="161">
        <v>3.1489272337360763</v>
      </c>
      <c r="AG40" s="291">
        <v>1.5417711041648792</v>
      </c>
      <c r="AH40" s="291">
        <f t="shared" si="83"/>
        <v>6307.4368637688513</v>
      </c>
      <c r="AI40" s="161">
        <v>3.660127233736076</v>
      </c>
      <c r="AJ40" s="291">
        <v>2.4868161403737918</v>
      </c>
      <c r="AK40" s="291">
        <f t="shared" si="84"/>
        <v>3028.1495385892845</v>
      </c>
      <c r="AL40" s="161">
        <v>3.0679272337360763</v>
      </c>
      <c r="AM40" s="291">
        <v>-0.31456925909300187</v>
      </c>
      <c r="AN40" s="291">
        <f t="shared" si="85"/>
        <v>-498.25416725810715</v>
      </c>
      <c r="AO40" s="705">
        <v>41600</v>
      </c>
      <c r="AP40" s="463">
        <v>9.8324459592546365</v>
      </c>
      <c r="AQ40" s="463">
        <v>40.910332582639491</v>
      </c>
      <c r="AR40" s="463">
        <v>12.176813112263801</v>
      </c>
      <c r="AS40" s="463">
        <v>15.839251702303153</v>
      </c>
      <c r="AT40" s="463">
        <f t="shared" si="86"/>
        <v>0.35115878425909414</v>
      </c>
      <c r="AU40" s="463">
        <f t="shared" si="87"/>
        <v>0.69339546750236425</v>
      </c>
      <c r="AV40" s="463">
        <f t="shared" si="88"/>
        <v>0.60884065561319001</v>
      </c>
      <c r="AW40" s="463">
        <f t="shared" si="89"/>
        <v>0.8336448264370081</v>
      </c>
      <c r="AY40" s="266">
        <v>2.0702272337360754</v>
      </c>
      <c r="AZ40" s="161">
        <v>3.1489272337360763</v>
      </c>
      <c r="BA40" s="161">
        <v>3.660127233736076</v>
      </c>
      <c r="BB40" s="161">
        <v>3.0679272337360763</v>
      </c>
      <c r="BE40" s="134">
        <v>-2.1162334290371839E-2</v>
      </c>
      <c r="BF40" s="134">
        <v>-6.7582889583512103E-3</v>
      </c>
      <c r="BG40" s="134">
        <v>-9.2598385962620808E-3</v>
      </c>
      <c r="BH40" s="134">
        <v>-2.474569259093002E-2</v>
      </c>
      <c r="BJ40" s="508">
        <v>-2.5522449509729137</v>
      </c>
      <c r="BK40" s="508">
        <v>0.7376012028741108</v>
      </c>
      <c r="BL40" s="508">
        <v>3.9779088951816188</v>
      </c>
      <c r="BM40" s="508">
        <v>4.452062741335201</v>
      </c>
      <c r="BO40" s="705">
        <v>41600</v>
      </c>
      <c r="BP40" s="324">
        <v>0</v>
      </c>
      <c r="BQ40" s="1">
        <v>5035950</v>
      </c>
      <c r="BR40" s="1">
        <v>11127132</v>
      </c>
      <c r="BS40" s="1">
        <v>6310099.7999999998</v>
      </c>
      <c r="BT40" s="1">
        <v>5970600</v>
      </c>
      <c r="BU40" s="708">
        <v>153402.67665978591</v>
      </c>
      <c r="BV40" s="708">
        <v>509866.00211189309</v>
      </c>
      <c r="BW40" s="708">
        <v>144414.10030668529</v>
      </c>
      <c r="BX40" s="708">
        <v>214415.58927759767</v>
      </c>
      <c r="BY40" s="709">
        <f t="shared" si="18"/>
        <v>0</v>
      </c>
      <c r="BZ40" s="709">
        <f t="shared" si="19"/>
        <v>0</v>
      </c>
      <c r="CA40" s="709">
        <f t="shared" si="20"/>
        <v>0</v>
      </c>
      <c r="CB40" s="709">
        <f t="shared" si="21"/>
        <v>0</v>
      </c>
      <c r="CC40" s="475">
        <f t="shared" si="22"/>
        <v>0</v>
      </c>
      <c r="CD40" s="475">
        <f t="shared" si="23"/>
        <v>0</v>
      </c>
      <c r="CE40" s="475">
        <f t="shared" si="24"/>
        <v>0</v>
      </c>
      <c r="CF40" s="475">
        <f t="shared" si="25"/>
        <v>0</v>
      </c>
      <c r="CG40" s="302">
        <f t="shared" si="90"/>
        <v>0</v>
      </c>
      <c r="CH40" s="302">
        <f t="shared" si="91"/>
        <v>0</v>
      </c>
      <c r="CI40" s="302">
        <f t="shared" si="92"/>
        <v>0</v>
      </c>
      <c r="CJ40" s="302">
        <f t="shared" si="93"/>
        <v>0</v>
      </c>
      <c r="CK40" s="302">
        <f t="shared" si="94"/>
        <v>0</v>
      </c>
      <c r="CL40" s="302">
        <f t="shared" si="94"/>
        <v>0</v>
      </c>
      <c r="CM40" s="302">
        <f t="shared" si="94"/>
        <v>0</v>
      </c>
      <c r="CN40" s="302">
        <f t="shared" si="94"/>
        <v>0</v>
      </c>
      <c r="CO40" s="710">
        <f t="shared" si="175"/>
        <v>0</v>
      </c>
      <c r="CP40" s="710">
        <f t="shared" si="176"/>
        <v>0</v>
      </c>
      <c r="CQ40" s="710">
        <f t="shared" si="177"/>
        <v>0</v>
      </c>
      <c r="CR40" s="710">
        <f t="shared" si="178"/>
        <v>0</v>
      </c>
      <c r="CS40" s="705">
        <v>41600</v>
      </c>
      <c r="CT40" s="711">
        <v>0.98799999999999999</v>
      </c>
      <c r="CU40" s="711">
        <v>0.88800000000000001</v>
      </c>
      <c r="CV40" s="713">
        <v>0.94899999999999995</v>
      </c>
      <c r="CW40" s="714">
        <v>0.93700000000000006</v>
      </c>
      <c r="CY40" s="727">
        <v>5.4759755049027081E-2</v>
      </c>
      <c r="CZ40" s="727">
        <v>2.2913601202874112E-2</v>
      </c>
      <c r="DA40" s="727">
        <v>3.8105908895181617E-2</v>
      </c>
      <c r="DB40" s="727">
        <v>2.6052062741335202E-2</v>
      </c>
      <c r="DC40" s="463">
        <f t="shared" si="161"/>
        <v>-5.5155209058717958</v>
      </c>
      <c r="DD40" s="463">
        <f t="shared" si="162"/>
        <v>-2.3755209058718307</v>
      </c>
      <c r="DE40" s="463">
        <f t="shared" si="163"/>
        <v>-3.7955209058717188</v>
      </c>
      <c r="DF40" s="463">
        <f t="shared" si="164"/>
        <v>-2.625520905871781</v>
      </c>
      <c r="DG40" s="483">
        <f t="shared" si="30"/>
        <v>5.5155209058717958</v>
      </c>
      <c r="DH40" s="483">
        <f t="shared" si="31"/>
        <v>2.3755209058718307</v>
      </c>
      <c r="DI40" s="483">
        <f t="shared" si="32"/>
        <v>3.7955209058717188</v>
      </c>
      <c r="DJ40" s="483">
        <f t="shared" si="33"/>
        <v>2.625520905871781</v>
      </c>
      <c r="DK40" s="483">
        <f t="shared" si="121"/>
        <v>0.2242003259100116</v>
      </c>
      <c r="DL40" s="483">
        <f t="shared" si="122"/>
        <v>0.79074425518110303</v>
      </c>
      <c r="DM40" s="483">
        <f t="shared" si="123"/>
        <v>0.23755188458060239</v>
      </c>
      <c r="DN40" s="483">
        <f t="shared" si="124"/>
        <v>0.41314161944593586</v>
      </c>
      <c r="DO40" s="483">
        <f t="shared" si="100"/>
        <v>30.914539616498473</v>
      </c>
      <c r="DP40" s="483">
        <f t="shared" si="101"/>
        <v>46.960737734519</v>
      </c>
      <c r="DQ40" s="483">
        <f t="shared" si="102"/>
        <v>22.540828603872548</v>
      </c>
      <c r="DR40" s="483">
        <f t="shared" si="103"/>
        <v>27.117798973525705</v>
      </c>
      <c r="DS40" s="324">
        <v>5.7311999999999994</v>
      </c>
      <c r="DT40" s="324">
        <v>2.2176</v>
      </c>
      <c r="DU40" s="324">
        <v>3.4127999999999998</v>
      </c>
      <c r="DV40" s="324">
        <v>2.16</v>
      </c>
      <c r="DW40" s="716"/>
      <c r="DX40" s="705">
        <v>41600</v>
      </c>
      <c r="DY40" s="716"/>
      <c r="DZ40" s="269"/>
      <c r="EA40" s="269">
        <f>-DD40-DT40</f>
        <v>0.15792090587183072</v>
      </c>
      <c r="EB40" s="269">
        <f t="shared" si="191"/>
        <v>0.38272090587171892</v>
      </c>
      <c r="EC40" s="716">
        <f t="shared" si="190"/>
        <v>0.46552090587178085</v>
      </c>
      <c r="ED40" s="716"/>
      <c r="EE40" s="269">
        <f>(EE$41-EE$38)/3+EE39</f>
        <v>0.6139432178088351</v>
      </c>
      <c r="EF40" s="269">
        <f t="shared" si="180"/>
        <v>0.15792090587183072</v>
      </c>
      <c r="EG40" s="269">
        <f t="shared" si="188"/>
        <v>0.38272090587171892</v>
      </c>
      <c r="EH40" s="269">
        <f t="shared" si="189"/>
        <v>0.46552090587178085</v>
      </c>
      <c r="EI40" s="716"/>
      <c r="EJ40" s="717">
        <f t="shared" si="36"/>
        <v>603.65635111562699</v>
      </c>
      <c r="EK40" s="717">
        <f t="shared" si="37"/>
        <v>646.05967809683</v>
      </c>
      <c r="EL40" s="717">
        <f t="shared" si="38"/>
        <v>466.03209449562269</v>
      </c>
      <c r="EM40" s="717">
        <f t="shared" si="39"/>
        <v>737.35028007873109</v>
      </c>
      <c r="EN40" s="716"/>
      <c r="EO40" s="269">
        <f t="shared" si="181"/>
        <v>2.1162334290371838</v>
      </c>
      <c r="EP40" s="269">
        <f t="shared" si="182"/>
        <v>0.67582889583512107</v>
      </c>
      <c r="EQ40" s="269">
        <f t="shared" si="183"/>
        <v>0.92598385962620811</v>
      </c>
      <c r="ER40" s="269">
        <f t="shared" si="184"/>
        <v>2.474569259093002</v>
      </c>
      <c r="ES40" s="716"/>
      <c r="ET40" s="718">
        <f t="shared" si="40"/>
        <v>2080.775082817624</v>
      </c>
      <c r="EU40" s="718">
        <f t="shared" si="41"/>
        <v>2764.8384897572823</v>
      </c>
      <c r="EV40" s="718">
        <f t="shared" si="42"/>
        <v>1127.5532403641052</v>
      </c>
      <c r="EW40" s="718">
        <f t="shared" si="43"/>
        <v>3919.5325349555887</v>
      </c>
      <c r="EX40" s="716"/>
      <c r="EY40" s="705">
        <v>41600</v>
      </c>
      <c r="EZ40" s="716"/>
      <c r="FA40" s="766">
        <f t="shared" si="44"/>
        <v>2.7853442590257771</v>
      </c>
      <c r="FB40" s="766">
        <f t="shared" si="45"/>
        <v>1.5417711041648789</v>
      </c>
      <c r="FC40" s="766">
        <f t="shared" si="46"/>
        <v>2.4868161403737918</v>
      </c>
      <c r="FD40" s="766">
        <f t="shared" si="47"/>
        <v>-0.31456925909300182</v>
      </c>
      <c r="FE40" s="760"/>
      <c r="FF40" s="705">
        <v>41600</v>
      </c>
      <c r="FG40" s="760"/>
      <c r="FH40" s="766">
        <v>2738.6746904791103</v>
      </c>
      <c r="FI40" s="766">
        <f t="shared" si="185"/>
        <v>6307.4368637688503</v>
      </c>
      <c r="FJ40" s="766">
        <f t="shared" si="186"/>
        <v>3028.1495385892845</v>
      </c>
      <c r="FK40" s="766">
        <f t="shared" si="187"/>
        <v>-498.25416725810709</v>
      </c>
      <c r="FL40" s="760"/>
      <c r="FM40" s="759">
        <f t="shared" si="95"/>
        <v>2738.6746904791103</v>
      </c>
      <c r="FN40" s="759">
        <f t="shared" si="96"/>
        <v>6307.4368637688503</v>
      </c>
      <c r="FO40" s="759">
        <f t="shared" si="97"/>
        <v>3028.1495385892845</v>
      </c>
      <c r="FP40" s="759">
        <f t="shared" si="49"/>
        <v>-498.25416725810709</v>
      </c>
      <c r="FQ40" s="760"/>
      <c r="FR40" s="759">
        <f t="shared" si="50"/>
        <v>5423.1061244123612</v>
      </c>
      <c r="FS40" s="759">
        <f t="shared" si="51"/>
        <v>9718.3350316229626</v>
      </c>
      <c r="FT40" s="759">
        <f t="shared" si="52"/>
        <v>4621.7348734490124</v>
      </c>
      <c r="FU40" s="759">
        <f t="shared" si="53"/>
        <v>4656.8828150343197</v>
      </c>
      <c r="FV40" s="761"/>
      <c r="FW40" s="754">
        <v>41600</v>
      </c>
      <c r="FX40" s="761"/>
      <c r="FY40" s="759">
        <f t="shared" si="76"/>
        <v>284784.18472421152</v>
      </c>
      <c r="FZ40" s="759">
        <f t="shared" si="77"/>
        <v>422568.39932726248</v>
      </c>
      <c r="GA40" s="759">
        <f t="shared" si="78"/>
        <v>215365.88925950634</v>
      </c>
      <c r="GB40" s="759">
        <f t="shared" si="79"/>
        <v>251130.76310614942</v>
      </c>
      <c r="GC40" s="760"/>
      <c r="GD40" s="759">
        <f t="shared" si="54"/>
        <v>0.75318610907141537</v>
      </c>
      <c r="GE40" s="759">
        <f t="shared" si="54"/>
        <v>0.55398470970254665</v>
      </c>
      <c r="GF40" s="759">
        <f t="shared" si="55"/>
        <v>0.57821636407233235</v>
      </c>
      <c r="GG40" s="759">
        <f t="shared" si="56"/>
        <v>0.65542480850645135</v>
      </c>
      <c r="GH40" s="716"/>
      <c r="GI40" s="756">
        <f t="shared" si="57"/>
        <v>0</v>
      </c>
      <c r="GJ40" s="756">
        <f t="shared" si="58"/>
        <v>0</v>
      </c>
      <c r="GK40" s="756">
        <f t="shared" si="59"/>
        <v>0</v>
      </c>
      <c r="GL40" s="756">
        <f t="shared" si="60"/>
        <v>0</v>
      </c>
      <c r="GM40" s="716"/>
    </row>
    <row r="41" spans="1:195" s="134" customFormat="1">
      <c r="A41" s="705">
        <v>41601</v>
      </c>
      <c r="B41" s="706">
        <v>0</v>
      </c>
      <c r="C41" s="497">
        <f t="shared" si="165"/>
        <v>6</v>
      </c>
      <c r="D41" s="274">
        <v>1.9248494432963237</v>
      </c>
      <c r="E41" s="274">
        <v>1.6123134336435554</v>
      </c>
      <c r="F41" s="274">
        <v>2.5163349535879447</v>
      </c>
      <c r="G41" s="274">
        <v>-0.30200307620411071</v>
      </c>
      <c r="H41" s="729"/>
      <c r="I41" s="705">
        <v>41601</v>
      </c>
      <c r="J41" s="270">
        <f t="shared" si="166"/>
        <v>1.9248494432963237</v>
      </c>
      <c r="K41" s="270">
        <f t="shared" si="167"/>
        <v>1.6123134336435554</v>
      </c>
      <c r="L41" s="270">
        <f t="shared" si="168"/>
        <v>2.5163349535879447</v>
      </c>
      <c r="M41" s="270">
        <f t="shared" si="169"/>
        <v>-0.30200307620411071</v>
      </c>
      <c r="N41" s="729"/>
      <c r="O41" s="705">
        <v>41601</v>
      </c>
      <c r="P41" s="270">
        <f t="shared" si="170"/>
        <v>1.9248494432963237</v>
      </c>
      <c r="Q41" s="270">
        <f t="shared" si="171"/>
        <v>1.6123134336435554</v>
      </c>
      <c r="R41" s="270">
        <f t="shared" si="172"/>
        <v>2.5163349535879447</v>
      </c>
      <c r="S41" s="270">
        <f t="shared" si="173"/>
        <v>-0.30200307620411071</v>
      </c>
      <c r="T41" s="705">
        <v>41601</v>
      </c>
      <c r="U41" s="291">
        <v>1.9248494432963237</v>
      </c>
      <c r="V41" s="291">
        <v>1.6123134336435554</v>
      </c>
      <c r="W41" s="291">
        <v>2.5163349535879447</v>
      </c>
      <c r="X41" s="291">
        <v>-0.30200307620411071</v>
      </c>
      <c r="Y41" s="729"/>
      <c r="Z41" s="705">
        <v>41601</v>
      </c>
      <c r="AA41" s="707">
        <v>41601</v>
      </c>
      <c r="AB41" s="497">
        <f t="shared" si="174"/>
        <v>6</v>
      </c>
      <c r="AC41" s="266">
        <v>2.0150720246773575</v>
      </c>
      <c r="AD41" s="291">
        <v>1.9248494432963237</v>
      </c>
      <c r="AE41" s="291">
        <f t="shared" si="82"/>
        <v>1839.4061742467709</v>
      </c>
      <c r="AF41" s="161">
        <v>3.125172024677358</v>
      </c>
      <c r="AG41" s="291">
        <v>1.6123134336435554</v>
      </c>
      <c r="AH41" s="291">
        <f t="shared" si="83"/>
        <v>6463.2345440773834</v>
      </c>
      <c r="AI41" s="161">
        <v>3.6221720246773588</v>
      </c>
      <c r="AJ41" s="291">
        <v>2.5163349535879447</v>
      </c>
      <c r="AK41" s="291">
        <f t="shared" si="84"/>
        <v>3003.8528017695439</v>
      </c>
      <c r="AL41" s="161">
        <v>3.0416720246773585</v>
      </c>
      <c r="AM41" s="291">
        <v>-0.30200307620411071</v>
      </c>
      <c r="AN41" s="291">
        <f t="shared" si="85"/>
        <v>-465.81861891657223</v>
      </c>
      <c r="AO41" s="705">
        <v>41601</v>
      </c>
      <c r="AP41" s="463">
        <v>9.5561041444195745</v>
      </c>
      <c r="AQ41" s="463">
        <v>40.086712727261521</v>
      </c>
      <c r="AR41" s="463">
        <v>11.93741237622784</v>
      </c>
      <c r="AS41" s="463">
        <v>15.424300466454378</v>
      </c>
      <c r="AT41" s="463">
        <f t="shared" si="86"/>
        <v>0.34128943372927051</v>
      </c>
      <c r="AU41" s="463">
        <f t="shared" si="87"/>
        <v>0.67943580893663591</v>
      </c>
      <c r="AV41" s="463">
        <f t="shared" si="88"/>
        <v>0.59687061881139203</v>
      </c>
      <c r="AW41" s="463">
        <f t="shared" si="89"/>
        <v>0.8118052877081251</v>
      </c>
      <c r="AY41" s="266">
        <v>2.0150720246773575</v>
      </c>
      <c r="AZ41" s="161">
        <v>3.125172024677358</v>
      </c>
      <c r="BA41" s="161">
        <v>3.6221720246773588</v>
      </c>
      <c r="BB41" s="161">
        <v>3.0416720246773585</v>
      </c>
      <c r="BE41" s="134">
        <v>-2.0783505567036769E-2</v>
      </c>
      <c r="BF41" s="134">
        <v>-6.6288656635644476E-3</v>
      </c>
      <c r="BG41" s="134">
        <v>-9.2526504641205539E-3</v>
      </c>
      <c r="BH41" s="134">
        <v>-2.4764030762041107E-2</v>
      </c>
      <c r="BJ41" s="508">
        <v>8.3697419450710697</v>
      </c>
      <c r="BK41" s="508">
        <v>-2.0194888241599278</v>
      </c>
      <c r="BL41" s="508">
        <v>7.2395880989171157</v>
      </c>
      <c r="BM41" s="508">
        <v>4.1731265604556391</v>
      </c>
      <c r="BO41" s="705">
        <v>41601</v>
      </c>
      <c r="BP41" s="324">
        <v>0</v>
      </c>
      <c r="BQ41" s="1">
        <v>5035950</v>
      </c>
      <c r="BR41" s="1">
        <v>11127132</v>
      </c>
      <c r="BS41" s="1">
        <v>6310099.7999999998</v>
      </c>
      <c r="BT41" s="1">
        <v>5970600</v>
      </c>
      <c r="BU41" s="708">
        <v>153402.67665978591</v>
      </c>
      <c r="BV41" s="708">
        <v>509866.00211189309</v>
      </c>
      <c r="BW41" s="708">
        <v>144414.10030668529</v>
      </c>
      <c r="BX41" s="708">
        <v>214415.58927759767</v>
      </c>
      <c r="BY41" s="709">
        <f t="shared" si="18"/>
        <v>0</v>
      </c>
      <c r="BZ41" s="709">
        <f t="shared" si="19"/>
        <v>0</v>
      </c>
      <c r="CA41" s="709">
        <f t="shared" si="20"/>
        <v>0</v>
      </c>
      <c r="CB41" s="709">
        <f t="shared" si="21"/>
        <v>0</v>
      </c>
      <c r="CC41" s="475">
        <f t="shared" si="22"/>
        <v>0</v>
      </c>
      <c r="CD41" s="475">
        <f t="shared" si="23"/>
        <v>0</v>
      </c>
      <c r="CE41" s="475">
        <f t="shared" si="24"/>
        <v>0</v>
      </c>
      <c r="CF41" s="475">
        <f t="shared" si="25"/>
        <v>0</v>
      </c>
      <c r="CG41" s="302">
        <f t="shared" si="90"/>
        <v>0</v>
      </c>
      <c r="CH41" s="302">
        <f t="shared" si="91"/>
        <v>0</v>
      </c>
      <c r="CI41" s="302">
        <f t="shared" si="92"/>
        <v>0</v>
      </c>
      <c r="CJ41" s="302">
        <f t="shared" si="93"/>
        <v>0</v>
      </c>
      <c r="CK41" s="302">
        <f t="shared" si="94"/>
        <v>0</v>
      </c>
      <c r="CL41" s="302">
        <f t="shared" si="94"/>
        <v>0</v>
      </c>
      <c r="CM41" s="302">
        <f t="shared" si="94"/>
        <v>0</v>
      </c>
      <c r="CN41" s="302">
        <f t="shared" si="94"/>
        <v>0</v>
      </c>
      <c r="CO41" s="710">
        <f t="shared" si="175"/>
        <v>0</v>
      </c>
      <c r="CP41" s="710">
        <f t="shared" si="176"/>
        <v>0</v>
      </c>
      <c r="CQ41" s="710">
        <f t="shared" si="177"/>
        <v>0</v>
      </c>
      <c r="CR41" s="710">
        <f t="shared" si="178"/>
        <v>0</v>
      </c>
      <c r="CS41" s="705">
        <v>41601</v>
      </c>
      <c r="CT41" s="711">
        <v>0.97</v>
      </c>
      <c r="CU41" s="711">
        <v>0.88</v>
      </c>
      <c r="CV41" s="713">
        <v>0.96</v>
      </c>
      <c r="CW41" s="714">
        <v>0.95599999999999996</v>
      </c>
      <c r="CY41" s="727">
        <v>4.8401741945071075E-2</v>
      </c>
      <c r="CZ41" s="727">
        <v>2.0732511175840074E-2</v>
      </c>
      <c r="DA41" s="727">
        <v>4.1655588098917118E-2</v>
      </c>
      <c r="DB41" s="727">
        <v>2.5917126560455639E-2</v>
      </c>
      <c r="DC41" s="463">
        <f t="shared" si="161"/>
        <v>-4.7748870580264224</v>
      </c>
      <c r="DD41" s="463">
        <f t="shared" si="162"/>
        <v>-2.04488705802639</v>
      </c>
      <c r="DE41" s="463">
        <f t="shared" si="163"/>
        <v>-4.1548870580264463</v>
      </c>
      <c r="DF41" s="463">
        <f t="shared" si="164"/>
        <v>-2.5748870580265759</v>
      </c>
      <c r="DG41" s="483">
        <f t="shared" si="30"/>
        <v>4.7748870580264224</v>
      </c>
      <c r="DH41" s="483">
        <f t="shared" si="31"/>
        <v>2.04488705802639</v>
      </c>
      <c r="DI41" s="483">
        <f t="shared" si="32"/>
        <v>4.1548870580264463</v>
      </c>
      <c r="DJ41" s="483">
        <f t="shared" si="33"/>
        <v>2.5748870580265759</v>
      </c>
      <c r="DK41" s="483">
        <f t="shared" si="121"/>
        <v>0.27634181483506204</v>
      </c>
      <c r="DL41" s="483">
        <f t="shared" si="122"/>
        <v>0.82361985537797011</v>
      </c>
      <c r="DM41" s="483">
        <f t="shared" si="123"/>
        <v>0.2394007360359609</v>
      </c>
      <c r="DN41" s="483">
        <f t="shared" si="124"/>
        <v>0.41495123584877547</v>
      </c>
      <c r="DO41" s="483">
        <f t="shared" si="100"/>
        <v>32.987523881186796</v>
      </c>
      <c r="DP41" s="483">
        <f t="shared" si="101"/>
        <v>42.10523957489945</v>
      </c>
      <c r="DQ41" s="483">
        <f t="shared" si="102"/>
        <v>24.867075495945485</v>
      </c>
      <c r="DR41" s="483">
        <f t="shared" si="103"/>
        <v>26.711314172478634</v>
      </c>
      <c r="DS41" s="324">
        <v>4.0032000000000005</v>
      </c>
      <c r="DT41" s="324">
        <v>2.2752000000000003</v>
      </c>
      <c r="DU41" s="324">
        <v>3.4416000000000002</v>
      </c>
      <c r="DV41" s="324">
        <v>2.1743999999999999</v>
      </c>
      <c r="DW41" s="716"/>
      <c r="DX41" s="705">
        <v>41601</v>
      </c>
      <c r="DY41" s="716"/>
      <c r="DZ41" s="269">
        <f t="shared" ref="DZ41:DZ47" si="192">-DC41-DS41</f>
        <v>0.7716870580264219</v>
      </c>
      <c r="EA41" s="269"/>
      <c r="EB41" s="269">
        <f t="shared" si="191"/>
        <v>0.7132870580264461</v>
      </c>
      <c r="EC41" s="716">
        <f t="shared" si="190"/>
        <v>0.40048705802657603</v>
      </c>
      <c r="ED41" s="716"/>
      <c r="EE41" s="269">
        <f t="shared" si="179"/>
        <v>0.7716870580264219</v>
      </c>
      <c r="EF41" s="269">
        <v>0.158</v>
      </c>
      <c r="EG41" s="269">
        <f t="shared" si="188"/>
        <v>0.7132870580264461</v>
      </c>
      <c r="EH41" s="269">
        <f t="shared" si="189"/>
        <v>0.40048705802657603</v>
      </c>
      <c r="EI41" s="716"/>
      <c r="EJ41" s="717">
        <f t="shared" si="36"/>
        <v>737.43218934012395</v>
      </c>
      <c r="EK41" s="717">
        <f t="shared" si="37"/>
        <v>633.37006109073207</v>
      </c>
      <c r="EL41" s="717">
        <f t="shared" si="38"/>
        <v>851.48017542880427</v>
      </c>
      <c r="EM41" s="717">
        <f t="shared" si="39"/>
        <v>617.72327159282588</v>
      </c>
      <c r="EN41" s="716"/>
      <c r="EO41" s="269">
        <f t="shared" si="181"/>
        <v>2.0783505567036769</v>
      </c>
      <c r="EP41" s="269">
        <f t="shared" si="182"/>
        <v>0.66288656635644472</v>
      </c>
      <c r="EQ41" s="269">
        <f t="shared" si="183"/>
        <v>0.92526504641205543</v>
      </c>
      <c r="ER41" s="269">
        <f t="shared" si="184"/>
        <v>2.4764030762041105</v>
      </c>
      <c r="ES41" s="716"/>
      <c r="ET41" s="718">
        <f t="shared" si="40"/>
        <v>1986.0934368472736</v>
      </c>
      <c r="EU41" s="718">
        <f t="shared" si="41"/>
        <v>2657.2943356291585</v>
      </c>
      <c r="EV41" s="718">
        <f t="shared" si="42"/>
        <v>1104.5270416330297</v>
      </c>
      <c r="EW41" s="718">
        <f t="shared" si="43"/>
        <v>3819.6785123424115</v>
      </c>
      <c r="EX41" s="716"/>
      <c r="EY41" s="705">
        <v>41601</v>
      </c>
      <c r="EZ41" s="716"/>
      <c r="FA41" s="766">
        <f t="shared" si="44"/>
        <v>1.9248494432963237</v>
      </c>
      <c r="FB41" s="766">
        <f t="shared" si="45"/>
        <v>1.2240004916699454</v>
      </c>
      <c r="FC41" s="766">
        <f t="shared" si="46"/>
        <v>2.5163349535879447</v>
      </c>
      <c r="FD41" s="766">
        <f t="shared" si="47"/>
        <v>-0.3020030762041106</v>
      </c>
      <c r="FE41" s="760"/>
      <c r="FF41" s="705">
        <v>41601</v>
      </c>
      <c r="FG41" s="760"/>
      <c r="FH41" s="766">
        <v>1839.4061742467709</v>
      </c>
      <c r="FI41" s="766">
        <f t="shared" si="185"/>
        <v>4906.6156087599957</v>
      </c>
      <c r="FJ41" s="766">
        <f t="shared" si="186"/>
        <v>3003.8528017695439</v>
      </c>
      <c r="FK41" s="766">
        <f t="shared" si="187"/>
        <v>-465.81861891657201</v>
      </c>
      <c r="FL41" s="760"/>
      <c r="FM41" s="759">
        <f t="shared" si="95"/>
        <v>1839.4061742467709</v>
      </c>
      <c r="FN41" s="759">
        <f t="shared" si="96"/>
        <v>4906.6156087599957</v>
      </c>
      <c r="FO41" s="759">
        <f t="shared" si="97"/>
        <v>3003.8528017695439</v>
      </c>
      <c r="FP41" s="759">
        <f t="shared" si="49"/>
        <v>-465.81861891657201</v>
      </c>
      <c r="FQ41" s="760"/>
      <c r="FR41" s="759">
        <f t="shared" si="50"/>
        <v>4562.9318004341685</v>
      </c>
      <c r="FS41" s="759">
        <f t="shared" si="51"/>
        <v>8197.2800054798863</v>
      </c>
      <c r="FT41" s="759">
        <f t="shared" si="52"/>
        <v>4959.8600188313785</v>
      </c>
      <c r="FU41" s="759">
        <f t="shared" si="53"/>
        <v>4437.4017839352373</v>
      </c>
      <c r="FV41" s="761"/>
      <c r="FW41" s="754">
        <v>41601</v>
      </c>
      <c r="FX41" s="761"/>
      <c r="FY41" s="759">
        <f t="shared" si="76"/>
        <v>289347.11652464571</v>
      </c>
      <c r="FZ41" s="759">
        <f t="shared" si="77"/>
        <v>430765.67933274235</v>
      </c>
      <c r="GA41" s="759">
        <f t="shared" si="78"/>
        <v>220325.74927833772</v>
      </c>
      <c r="GB41" s="759">
        <f t="shared" si="79"/>
        <v>255568.16489008465</v>
      </c>
      <c r="GC41" s="760"/>
      <c r="GD41" s="759">
        <f t="shared" si="54"/>
        <v>0.76525397320528721</v>
      </c>
      <c r="GE41" s="759">
        <f t="shared" si="54"/>
        <v>0.56473129603369654</v>
      </c>
      <c r="GF41" s="759">
        <f t="shared" si="55"/>
        <v>0.59153264287700758</v>
      </c>
      <c r="GG41" s="759">
        <f t="shared" si="56"/>
        <v>0.66700595921267769</v>
      </c>
      <c r="GH41" s="716"/>
      <c r="GI41" s="756">
        <f t="shared" si="57"/>
        <v>0</v>
      </c>
      <c r="GJ41" s="756">
        <f t="shared" si="58"/>
        <v>0</v>
      </c>
      <c r="GK41" s="756">
        <f t="shared" si="59"/>
        <v>0</v>
      </c>
      <c r="GL41" s="756">
        <f t="shared" si="60"/>
        <v>0</v>
      </c>
      <c r="GM41" s="716"/>
    </row>
    <row r="42" spans="1:195" s="134" customFormat="1">
      <c r="A42" s="705">
        <v>41602</v>
      </c>
      <c r="B42" s="706">
        <v>0</v>
      </c>
      <c r="C42" s="497">
        <f t="shared" si="165"/>
        <v>7</v>
      </c>
      <c r="D42" s="274">
        <v>-2.0435232615105754</v>
      </c>
      <c r="E42" s="270">
        <v>-0.65111221661760565</v>
      </c>
      <c r="F42" s="270">
        <v>-0.9242779093462552</v>
      </c>
      <c r="G42" s="270">
        <v>-2.476997755314871</v>
      </c>
      <c r="H42" s="291"/>
      <c r="I42" s="705">
        <v>41602</v>
      </c>
      <c r="J42" s="270">
        <f t="shared" si="166"/>
        <v>-2.0435232615105754</v>
      </c>
      <c r="K42" s="270">
        <f t="shared" si="167"/>
        <v>-0.65111221661760565</v>
      </c>
      <c r="L42" s="270">
        <f t="shared" si="168"/>
        <v>-0.9242779093462552</v>
      </c>
      <c r="M42" s="270">
        <f t="shared" si="169"/>
        <v>-2.476997755314871</v>
      </c>
      <c r="N42" s="291"/>
      <c r="O42" s="705">
        <v>41602</v>
      </c>
      <c r="P42" s="270">
        <f t="shared" si="170"/>
        <v>-2.0435232615105754</v>
      </c>
      <c r="Q42" s="270">
        <f t="shared" si="171"/>
        <v>-0.65111221661760565</v>
      </c>
      <c r="R42" s="270">
        <f t="shared" si="172"/>
        <v>-0.9242779093462552</v>
      </c>
      <c r="S42" s="270">
        <f t="shared" si="173"/>
        <v>-2.476997755314871</v>
      </c>
      <c r="T42" s="705">
        <v>41602</v>
      </c>
      <c r="U42" s="291">
        <v>-2.0435232615105754</v>
      </c>
      <c r="V42" s="291">
        <v>-0.65111221661760565</v>
      </c>
      <c r="W42" s="291">
        <v>-0.9242779093462552</v>
      </c>
      <c r="X42" s="291">
        <v>-2.476997755314871</v>
      </c>
      <c r="Y42" s="291"/>
      <c r="Z42" s="705">
        <v>41602</v>
      </c>
      <c r="AA42" s="707">
        <v>41602</v>
      </c>
      <c r="AB42" s="497">
        <f t="shared" si="174"/>
        <v>7</v>
      </c>
      <c r="AC42" s="266">
        <v>1.9673231540970932</v>
      </c>
      <c r="AD42" s="291">
        <v>-2.0435232615105754</v>
      </c>
      <c r="AE42" s="291">
        <f t="shared" si="82"/>
        <v>-1895.6950714152115</v>
      </c>
      <c r="AF42" s="161">
        <v>3.1047231540970941</v>
      </c>
      <c r="AG42" s="291">
        <v>-0.65111221661760565</v>
      </c>
      <c r="AH42" s="291">
        <f t="shared" si="83"/>
        <v>-2553.7203079699834</v>
      </c>
      <c r="AI42" s="161">
        <v>3.5806231540970943</v>
      </c>
      <c r="AJ42" s="291">
        <v>-0.9242779093462552</v>
      </c>
      <c r="AK42" s="291">
        <f t="shared" si="84"/>
        <v>-1082.9328951067107</v>
      </c>
      <c r="AL42" s="161">
        <v>3.0159231540970928</v>
      </c>
      <c r="AM42" s="291">
        <v>-2.476997755314871</v>
      </c>
      <c r="AN42" s="291">
        <f t="shared" si="85"/>
        <v>-3716.6737549081258</v>
      </c>
      <c r="AO42" s="705">
        <v>41602</v>
      </c>
      <c r="AP42" s="463">
        <v>9.2766013831127658</v>
      </c>
      <c r="AQ42" s="463">
        <v>39.220893769065434</v>
      </c>
      <c r="AR42" s="463">
        <v>11.716529023967182</v>
      </c>
      <c r="AS42" s="463">
        <v>15.004752212363913</v>
      </c>
      <c r="AT42" s="463">
        <f t="shared" si="86"/>
        <v>0.33130719225402733</v>
      </c>
      <c r="AU42" s="463">
        <f t="shared" si="87"/>
        <v>0.66476091134009208</v>
      </c>
      <c r="AV42" s="463">
        <f t="shared" si="88"/>
        <v>0.58582645119835908</v>
      </c>
      <c r="AW42" s="463">
        <f t="shared" si="89"/>
        <v>0.78972380065073222</v>
      </c>
      <c r="AY42" s="266">
        <v>1.9673231540970932</v>
      </c>
      <c r="AZ42" s="161">
        <v>3.1047231540970941</v>
      </c>
      <c r="BA42" s="161">
        <v>3.5806231540970943</v>
      </c>
      <c r="BB42" s="161">
        <v>3.0159231540970928</v>
      </c>
      <c r="BE42" s="134">
        <v>-2.0435232615105752E-2</v>
      </c>
      <c r="BF42" s="134">
        <v>-6.5111221661760567E-3</v>
      </c>
      <c r="BG42" s="134">
        <v>-9.2427790934625515E-3</v>
      </c>
      <c r="BH42" s="134">
        <v>-2.4769977553148709E-2</v>
      </c>
      <c r="BJ42" s="508">
        <v>47.248369410729076</v>
      </c>
      <c r="BK42" s="508">
        <v>22.971446333805989</v>
      </c>
      <c r="BL42" s="508">
        <v>40.640677103036097</v>
      </c>
      <c r="BM42" s="508">
        <v>24.548369410728021</v>
      </c>
      <c r="BO42" s="705">
        <v>41602</v>
      </c>
      <c r="BP42" s="324">
        <v>0</v>
      </c>
      <c r="BQ42" s="1">
        <v>5035950</v>
      </c>
      <c r="BR42" s="1">
        <v>11127132</v>
      </c>
      <c r="BS42" s="1">
        <v>6310099.7999999998</v>
      </c>
      <c r="BT42" s="1">
        <v>5970600</v>
      </c>
      <c r="BU42" s="708">
        <v>153402.67665978591</v>
      </c>
      <c r="BV42" s="708">
        <v>509866.00211189309</v>
      </c>
      <c r="BW42" s="708">
        <v>144414.10030668529</v>
      </c>
      <c r="BX42" s="708">
        <v>214415.58927759767</v>
      </c>
      <c r="BY42" s="709">
        <f t="shared" si="18"/>
        <v>0</v>
      </c>
      <c r="BZ42" s="709">
        <f t="shared" si="19"/>
        <v>0</v>
      </c>
      <c r="CA42" s="709">
        <f t="shared" si="20"/>
        <v>0</v>
      </c>
      <c r="CB42" s="709">
        <f t="shared" si="21"/>
        <v>0</v>
      </c>
      <c r="CC42" s="475">
        <f t="shared" si="22"/>
        <v>0</v>
      </c>
      <c r="CD42" s="475">
        <f t="shared" si="23"/>
        <v>0</v>
      </c>
      <c r="CE42" s="475">
        <f t="shared" si="24"/>
        <v>0</v>
      </c>
      <c r="CF42" s="475">
        <f t="shared" si="25"/>
        <v>0</v>
      </c>
      <c r="CG42" s="302">
        <f t="shared" si="90"/>
        <v>0</v>
      </c>
      <c r="CH42" s="302">
        <f t="shared" si="91"/>
        <v>0</v>
      </c>
      <c r="CI42" s="302">
        <f t="shared" si="92"/>
        <v>0</v>
      </c>
      <c r="CJ42" s="302">
        <f t="shared" si="93"/>
        <v>0</v>
      </c>
      <c r="CK42" s="302">
        <f t="shared" si="94"/>
        <v>0</v>
      </c>
      <c r="CL42" s="302">
        <f t="shared" si="94"/>
        <v>0</v>
      </c>
      <c r="CM42" s="302">
        <f t="shared" si="94"/>
        <v>0</v>
      </c>
      <c r="CN42" s="302">
        <f t="shared" si="94"/>
        <v>0</v>
      </c>
      <c r="CO42" s="710">
        <f t="shared" si="175"/>
        <v>0</v>
      </c>
      <c r="CP42" s="710">
        <f t="shared" si="176"/>
        <v>0</v>
      </c>
      <c r="CQ42" s="710">
        <f t="shared" si="177"/>
        <v>0</v>
      </c>
      <c r="CR42" s="710">
        <f t="shared" si="178"/>
        <v>0</v>
      </c>
      <c r="CS42" s="705">
        <v>41602</v>
      </c>
      <c r="CT42" s="731">
        <v>0.97499999999999998</v>
      </c>
      <c r="CU42" s="711">
        <v>0.91</v>
      </c>
      <c r="CV42" s="713">
        <v>0.95199999999999996</v>
      </c>
      <c r="CW42" s="714">
        <v>0.94099999999999995</v>
      </c>
      <c r="CY42" s="727">
        <v>4.7248369410729074E-2</v>
      </c>
      <c r="CZ42" s="727">
        <v>2.2971446333805989E-2</v>
      </c>
      <c r="DA42" s="727">
        <v>4.0640677103036094E-2</v>
      </c>
      <c r="DB42" s="727">
        <v>2.4548369410728021E-2</v>
      </c>
      <c r="DC42" s="463">
        <f t="shared" si="161"/>
        <v>-4.8309200334941238</v>
      </c>
      <c r="DD42" s="463">
        <f t="shared" si="162"/>
        <v>-2.3209200334941116</v>
      </c>
      <c r="DE42" s="463">
        <f t="shared" si="163"/>
        <v>-4.0809200334940954</v>
      </c>
      <c r="DF42" s="463">
        <f t="shared" si="164"/>
        <v>-2.4709200334939396</v>
      </c>
      <c r="DG42" s="483">
        <f t="shared" si="30"/>
        <v>4.8309200334941238</v>
      </c>
      <c r="DH42" s="483">
        <f t="shared" si="31"/>
        <v>2.3209200334941116</v>
      </c>
      <c r="DI42" s="483">
        <f t="shared" si="32"/>
        <v>4.0809200334940954</v>
      </c>
      <c r="DJ42" s="483">
        <f t="shared" si="33"/>
        <v>2.4709200334939396</v>
      </c>
      <c r="DK42" s="483">
        <f t="shared" si="121"/>
        <v>0.27950276130680862</v>
      </c>
      <c r="DL42" s="483">
        <f t="shared" si="122"/>
        <v>0.8658189581960869</v>
      </c>
      <c r="DM42" s="483">
        <f t="shared" si="123"/>
        <v>0.22088335226065858</v>
      </c>
      <c r="DN42" s="483">
        <f t="shared" si="124"/>
        <v>0.41954825409046492</v>
      </c>
      <c r="DO42" s="483">
        <f t="shared" si="100"/>
        <v>33.756387225349698</v>
      </c>
      <c r="DP42" s="483">
        <f t="shared" si="101"/>
        <v>50.237414136407466</v>
      </c>
      <c r="DQ42" s="483">
        <f t="shared" si="102"/>
        <v>22.535182432646376</v>
      </c>
      <c r="DR42" s="483">
        <f t="shared" si="103"/>
        <v>25.916754651238385</v>
      </c>
      <c r="DS42" s="324">
        <v>4.0999999999999996</v>
      </c>
      <c r="DT42" s="324">
        <v>3.08</v>
      </c>
      <c r="DU42" s="324">
        <v>3.8</v>
      </c>
      <c r="DV42" s="324">
        <v>1.92</v>
      </c>
      <c r="DW42" s="716"/>
      <c r="DX42" s="705">
        <v>41602</v>
      </c>
      <c r="DY42" s="716"/>
      <c r="DZ42" s="269">
        <f t="shared" si="192"/>
        <v>0.73092003349412416</v>
      </c>
      <c r="EA42" s="269"/>
      <c r="EB42" s="269">
        <f t="shared" si="191"/>
        <v>0.28092003349409556</v>
      </c>
      <c r="EC42" s="716">
        <f t="shared" si="190"/>
        <v>0.5509200334939397</v>
      </c>
      <c r="ED42" s="716"/>
      <c r="EE42" s="269">
        <f t="shared" si="179"/>
        <v>0.73092003349412416</v>
      </c>
      <c r="EF42" s="269">
        <v>0.158</v>
      </c>
      <c r="EG42" s="269">
        <f t="shared" si="188"/>
        <v>0.28092003349409556</v>
      </c>
      <c r="EH42" s="269">
        <f t="shared" si="189"/>
        <v>0.5509200334939397</v>
      </c>
      <c r="EI42" s="716"/>
      <c r="EJ42" s="717">
        <f t="shared" si="36"/>
        <v>678.04537936564213</v>
      </c>
      <c r="EK42" s="717">
        <f t="shared" si="37"/>
        <v>619.6901215512338</v>
      </c>
      <c r="EL42" s="717">
        <f t="shared" si="38"/>
        <v>329.14077258474032</v>
      </c>
      <c r="EM42" s="717">
        <f t="shared" si="39"/>
        <v>826.64185914037932</v>
      </c>
      <c r="EN42" s="716"/>
      <c r="EO42" s="269">
        <f t="shared" si="181"/>
        <v>2.0435232615105754</v>
      </c>
      <c r="EP42" s="269">
        <f t="shared" si="182"/>
        <v>0.65111221661760565</v>
      </c>
      <c r="EQ42" s="269">
        <f t="shared" si="183"/>
        <v>0.9242779093462552</v>
      </c>
      <c r="ER42" s="269">
        <f t="shared" si="184"/>
        <v>2.476997755314871</v>
      </c>
      <c r="ES42" s="716"/>
      <c r="ET42" s="718">
        <f t="shared" si="40"/>
        <v>1895.6950714152115</v>
      </c>
      <c r="EU42" s="718">
        <f t="shared" si="41"/>
        <v>2553.7203079699834</v>
      </c>
      <c r="EV42" s="718">
        <f t="shared" si="42"/>
        <v>1082.9328951067107</v>
      </c>
      <c r="EW42" s="718">
        <f t="shared" si="43"/>
        <v>3716.6737549081258</v>
      </c>
      <c r="EX42" s="716"/>
      <c r="EY42" s="705">
        <v>41602</v>
      </c>
      <c r="EZ42" s="716"/>
      <c r="FA42" s="766">
        <f t="shared" si="44"/>
        <v>2.0564767384894242</v>
      </c>
      <c r="FB42" s="766">
        <f t="shared" si="45"/>
        <v>1.5118078168765059</v>
      </c>
      <c r="FC42" s="766">
        <f t="shared" si="46"/>
        <v>2.8757220906537446</v>
      </c>
      <c r="FD42" s="766">
        <f t="shared" si="47"/>
        <v>-0.55699775531487106</v>
      </c>
      <c r="FE42" s="760"/>
      <c r="FF42" s="705">
        <v>41602</v>
      </c>
      <c r="FG42" s="760"/>
      <c r="FH42" s="766">
        <v>1907.7114956610221</v>
      </c>
      <c r="FI42" s="766">
        <f t="shared" si="185"/>
        <v>5929.4453784956168</v>
      </c>
      <c r="FJ42" s="766">
        <f t="shared" si="186"/>
        <v>3369.3481340008179</v>
      </c>
      <c r="FK42" s="766">
        <f t="shared" si="187"/>
        <v>-835.76133013425442</v>
      </c>
      <c r="FL42" s="760"/>
      <c r="FM42" s="759">
        <f t="shared" si="95"/>
        <v>1907.7114956610221</v>
      </c>
      <c r="FN42" s="759">
        <f t="shared" si="96"/>
        <v>5929.4453784956168</v>
      </c>
      <c r="FO42" s="759">
        <f t="shared" si="97"/>
        <v>3369.3481340008179</v>
      </c>
      <c r="FP42" s="759">
        <f t="shared" si="49"/>
        <v>-835.76133013425442</v>
      </c>
      <c r="FQ42" s="760"/>
      <c r="FR42" s="759">
        <f t="shared" si="50"/>
        <v>4481.4519464418763</v>
      </c>
      <c r="FS42" s="759">
        <f t="shared" si="51"/>
        <v>9102.8558080168332</v>
      </c>
      <c r="FT42" s="759">
        <f t="shared" si="52"/>
        <v>4781.4218016922687</v>
      </c>
      <c r="FU42" s="759">
        <f t="shared" si="53"/>
        <v>4543.3156140485053</v>
      </c>
      <c r="FV42" s="761"/>
      <c r="FW42" s="754">
        <v>41602</v>
      </c>
      <c r="FX42" s="761"/>
      <c r="FY42" s="759">
        <f t="shared" si="76"/>
        <v>293828.56847108761</v>
      </c>
      <c r="FZ42" s="759">
        <f t="shared" si="77"/>
        <v>439868.5351407592</v>
      </c>
      <c r="GA42" s="759">
        <f t="shared" si="78"/>
        <v>225107.17108003001</v>
      </c>
      <c r="GB42" s="759">
        <f t="shared" si="79"/>
        <v>260111.48050413316</v>
      </c>
      <c r="GC42" s="760"/>
      <c r="GD42" s="759">
        <f t="shared" si="54"/>
        <v>0.77710634259791989</v>
      </c>
      <c r="GE42" s="759">
        <f t="shared" si="54"/>
        <v>0.57666508696623353</v>
      </c>
      <c r="GF42" s="759">
        <f t="shared" si="55"/>
        <v>0.60436984907886515</v>
      </c>
      <c r="GG42" s="759">
        <f t="shared" si="56"/>
        <v>0.67886353384626985</v>
      </c>
      <c r="GH42" s="716"/>
      <c r="GI42" s="756">
        <f t="shared" si="57"/>
        <v>0</v>
      </c>
      <c r="GJ42" s="756">
        <f t="shared" si="58"/>
        <v>0</v>
      </c>
      <c r="GK42" s="756">
        <f t="shared" si="59"/>
        <v>0</v>
      </c>
      <c r="GL42" s="756">
        <f t="shared" si="60"/>
        <v>0</v>
      </c>
      <c r="GM42" s="716"/>
    </row>
    <row r="43" spans="1:195" s="134" customFormat="1">
      <c r="A43" s="705">
        <v>41603</v>
      </c>
      <c r="B43" s="706">
        <v>0</v>
      </c>
      <c r="C43" s="497">
        <f t="shared" si="165"/>
        <v>8</v>
      </c>
      <c r="D43" s="274">
        <v>2.4721938495631433</v>
      </c>
      <c r="E43" s="274">
        <v>1.9693946521314183</v>
      </c>
      <c r="F43" s="274">
        <v>2.4897078554911189</v>
      </c>
      <c r="G43" s="274">
        <v>-0.58996450647456522</v>
      </c>
      <c r="H43" s="729"/>
      <c r="I43" s="705">
        <v>41603</v>
      </c>
      <c r="J43" s="270">
        <f t="shared" si="166"/>
        <v>2.4721938495631433</v>
      </c>
      <c r="K43" s="270">
        <f t="shared" si="167"/>
        <v>1.9693946521314183</v>
      </c>
      <c r="L43" s="270">
        <f t="shared" si="168"/>
        <v>2.4897078554911189</v>
      </c>
      <c r="M43" s="270">
        <f t="shared" si="169"/>
        <v>-0.58996450647456522</v>
      </c>
      <c r="N43" s="729"/>
      <c r="O43" s="705">
        <v>41603</v>
      </c>
      <c r="P43" s="270">
        <f t="shared" si="170"/>
        <v>2.4721938495631433</v>
      </c>
      <c r="Q43" s="270">
        <f t="shared" si="171"/>
        <v>1.9693946521314183</v>
      </c>
      <c r="R43" s="270">
        <f t="shared" si="172"/>
        <v>2.4897078554911189</v>
      </c>
      <c r="S43" s="270">
        <f t="shared" si="173"/>
        <v>-0.58996450647456522</v>
      </c>
      <c r="T43" s="705">
        <v>41603</v>
      </c>
      <c r="U43" s="291">
        <v>2.4721938495631433</v>
      </c>
      <c r="V43" s="291">
        <v>1.9693946521314183</v>
      </c>
      <c r="W43" s="291">
        <v>2.4897078554911189</v>
      </c>
      <c r="X43" s="291">
        <v>-0.58996450647456522</v>
      </c>
      <c r="Y43" s="729"/>
      <c r="Z43" s="705">
        <v>41603</v>
      </c>
      <c r="AA43" s="707">
        <v>41603</v>
      </c>
      <c r="AB43" s="497">
        <f t="shared" si="174"/>
        <v>8</v>
      </c>
      <c r="AC43" s="266">
        <v>1.919013953762152</v>
      </c>
      <c r="AD43" s="291">
        <v>2.4721938495631433</v>
      </c>
      <c r="AE43" s="291">
        <f t="shared" si="82"/>
        <v>2233.6871711825579</v>
      </c>
      <c r="AF43" s="161">
        <v>3.081513953762153</v>
      </c>
      <c r="AG43" s="291">
        <v>1.9693946521314183</v>
      </c>
      <c r="AH43" s="291">
        <f t="shared" si="83"/>
        <v>7579.3025748930249</v>
      </c>
      <c r="AI43" s="161">
        <v>3.5398139537621534</v>
      </c>
      <c r="AJ43" s="291">
        <v>2.4897078554911189</v>
      </c>
      <c r="AK43" s="291">
        <f t="shared" si="84"/>
        <v>2857.3939947661597</v>
      </c>
      <c r="AL43" s="161">
        <v>2.9912139537621534</v>
      </c>
      <c r="AM43" s="291">
        <v>-0.58996450647456522</v>
      </c>
      <c r="AN43" s="291">
        <f t="shared" si="85"/>
        <v>-861.40661370160592</v>
      </c>
      <c r="AO43" s="705">
        <v>41603</v>
      </c>
      <c r="AP43" s="463">
        <v>9.0352428130879314</v>
      </c>
      <c r="AQ43" s="463">
        <v>38.485443060841909</v>
      </c>
      <c r="AR43" s="463">
        <v>11.476824433292842</v>
      </c>
      <c r="AS43" s="463">
        <v>14.600990470580847</v>
      </c>
      <c r="AT43" s="463">
        <f t="shared" si="86"/>
        <v>0.322687243324569</v>
      </c>
      <c r="AU43" s="463">
        <f t="shared" si="87"/>
        <v>0.65229564509901539</v>
      </c>
      <c r="AV43" s="463">
        <f t="shared" si="88"/>
        <v>0.57384122166464213</v>
      </c>
      <c r="AW43" s="463">
        <f t="shared" si="89"/>
        <v>0.76847318266214981</v>
      </c>
      <c r="AY43" s="266">
        <v>1.919013953762152</v>
      </c>
      <c r="AZ43" s="161">
        <v>3.081513953762153</v>
      </c>
      <c r="BA43" s="161">
        <v>3.5398139537621534</v>
      </c>
      <c r="BB43" s="161">
        <v>2.9912139537621534</v>
      </c>
      <c r="BE43" s="134">
        <v>-2.0062061504368563E-2</v>
      </c>
      <c r="BF43" s="134">
        <v>-6.3700534786858172E-3</v>
      </c>
      <c r="BG43" s="134">
        <v>-9.2309214450888109E-3</v>
      </c>
      <c r="BH43" s="134">
        <v>-2.4763645064745651E-2</v>
      </c>
      <c r="BJ43" s="508">
        <v>0.48103717281560571</v>
      </c>
      <c r="BK43" s="508">
        <v>1.6010371728157646</v>
      </c>
      <c r="BL43" s="508">
        <v>4.967806403584456</v>
      </c>
      <c r="BM43" s="508">
        <v>5.3779602497392371</v>
      </c>
      <c r="BO43" s="705">
        <v>41603</v>
      </c>
      <c r="BP43" s="324">
        <v>0</v>
      </c>
      <c r="BQ43" s="1">
        <v>5035950</v>
      </c>
      <c r="BR43" s="1">
        <v>11127132</v>
      </c>
      <c r="BS43" s="1">
        <v>6310099.7999999998</v>
      </c>
      <c r="BT43" s="1">
        <v>5970600</v>
      </c>
      <c r="BU43" s="708">
        <v>153402.67665978591</v>
      </c>
      <c r="BV43" s="708">
        <v>509866.00211189309</v>
      </c>
      <c r="BW43" s="708">
        <v>144414.10030668529</v>
      </c>
      <c r="BX43" s="708">
        <v>214415.58927759767</v>
      </c>
      <c r="BY43" s="709">
        <f t="shared" si="18"/>
        <v>0</v>
      </c>
      <c r="BZ43" s="709">
        <f t="shared" si="19"/>
        <v>0</v>
      </c>
      <c r="CA43" s="709">
        <f t="shared" si="20"/>
        <v>0</v>
      </c>
      <c r="CB43" s="709">
        <f t="shared" si="21"/>
        <v>0</v>
      </c>
      <c r="CC43" s="475">
        <f t="shared" si="22"/>
        <v>0</v>
      </c>
      <c r="CD43" s="475">
        <f t="shared" si="23"/>
        <v>0</v>
      </c>
      <c r="CE43" s="475">
        <f t="shared" si="24"/>
        <v>0</v>
      </c>
      <c r="CF43" s="475">
        <f t="shared" si="25"/>
        <v>0</v>
      </c>
      <c r="CG43" s="302">
        <f t="shared" si="90"/>
        <v>0</v>
      </c>
      <c r="CH43" s="302">
        <f t="shared" si="91"/>
        <v>0</v>
      </c>
      <c r="CI43" s="302">
        <f t="shared" si="92"/>
        <v>0</v>
      </c>
      <c r="CJ43" s="302">
        <f t="shared" si="93"/>
        <v>0</v>
      </c>
      <c r="CK43" s="302">
        <f t="shared" si="94"/>
        <v>0</v>
      </c>
      <c r="CL43" s="302">
        <f t="shared" si="94"/>
        <v>0</v>
      </c>
      <c r="CM43" s="302">
        <f t="shared" si="94"/>
        <v>0</v>
      </c>
      <c r="CN43" s="302">
        <f t="shared" si="94"/>
        <v>0</v>
      </c>
      <c r="CO43" s="710">
        <f t="shared" si="175"/>
        <v>0</v>
      </c>
      <c r="CP43" s="710">
        <f t="shared" si="176"/>
        <v>0</v>
      </c>
      <c r="CQ43" s="710">
        <f t="shared" si="177"/>
        <v>0</v>
      </c>
      <c r="CR43" s="710">
        <f t="shared" si="178"/>
        <v>0</v>
      </c>
      <c r="CS43" s="705">
        <v>41603</v>
      </c>
      <c r="CT43" s="711">
        <v>0.98099999999999998</v>
      </c>
      <c r="CU43" s="711">
        <v>0.8</v>
      </c>
      <c r="CV43" s="713">
        <v>0.92</v>
      </c>
      <c r="CW43" s="714">
        <v>0.95799999999999996</v>
      </c>
      <c r="CY43" s="715">
        <v>4.5265037172815603E-2</v>
      </c>
      <c r="CZ43" s="715">
        <v>2.7665037172815765E-2</v>
      </c>
      <c r="DA43" s="715">
        <v>3.9095806403584454E-2</v>
      </c>
      <c r="DB43" s="715">
        <v>2.4241960249739236E-2</v>
      </c>
      <c r="DC43" s="463">
        <f t="shared" si="161"/>
        <v>-4.5041724162967256</v>
      </c>
      <c r="DD43" s="463">
        <f t="shared" si="162"/>
        <v>-2.7641724162968728</v>
      </c>
      <c r="DE43" s="463">
        <f t="shared" si="163"/>
        <v>-3.9341724162968106</v>
      </c>
      <c r="DF43" s="463">
        <f t="shared" si="164"/>
        <v>-2.4641724162968615</v>
      </c>
      <c r="DG43" s="483">
        <f t="shared" si="30"/>
        <v>4.5041724162967256</v>
      </c>
      <c r="DH43" s="483">
        <f t="shared" si="31"/>
        <v>2.7641724162968728</v>
      </c>
      <c r="DI43" s="483">
        <f t="shared" si="32"/>
        <v>3.9341724162968106</v>
      </c>
      <c r="DJ43" s="483">
        <f t="shared" si="33"/>
        <v>2.4641724162968615</v>
      </c>
      <c r="DK43" s="483">
        <f t="shared" si="121"/>
        <v>0.24135857002483441</v>
      </c>
      <c r="DL43" s="483">
        <f t="shared" si="122"/>
        <v>0.73545070822352443</v>
      </c>
      <c r="DM43" s="483">
        <f t="shared" si="123"/>
        <v>0.23970459067433936</v>
      </c>
      <c r="DN43" s="483">
        <f t="shared" si="124"/>
        <v>0.40376174178306634</v>
      </c>
      <c r="DO43" s="483">
        <f t="shared" si="100"/>
        <v>27.178015338567022</v>
      </c>
      <c r="DP43" s="483">
        <f t="shared" si="101"/>
        <v>50.822814030436646</v>
      </c>
      <c r="DQ43" s="483">
        <f t="shared" si="102"/>
        <v>23.575979717267586</v>
      </c>
      <c r="DR43" s="483">
        <f t="shared" si="103"/>
        <v>24.873463671445201</v>
      </c>
      <c r="DS43" s="324">
        <v>4.4783999999999997</v>
      </c>
      <c r="DT43" s="324">
        <v>2.6063999999999998</v>
      </c>
      <c r="DU43" s="324">
        <v>3.4127999999999998</v>
      </c>
      <c r="DV43" s="324">
        <v>1.8863999999999999</v>
      </c>
      <c r="DW43" s="716"/>
      <c r="DX43" s="705">
        <v>41603</v>
      </c>
      <c r="DY43" s="716"/>
      <c r="DZ43" s="269">
        <f t="shared" si="192"/>
        <v>2.5772416296725886E-2</v>
      </c>
      <c r="EA43" s="269">
        <f>-DD43-DT43</f>
        <v>0.157772416296873</v>
      </c>
      <c r="EB43" s="269">
        <f t="shared" si="191"/>
        <v>0.52137241629681075</v>
      </c>
      <c r="EC43" s="716">
        <f t="shared" si="190"/>
        <v>0.5777724162968616</v>
      </c>
      <c r="ED43" s="716"/>
      <c r="EE43" s="269">
        <f t="shared" si="179"/>
        <v>2.5772416296725886E-2</v>
      </c>
      <c r="EF43" s="269">
        <f t="shared" si="180"/>
        <v>0.157772416296873</v>
      </c>
      <c r="EG43" s="269">
        <f t="shared" si="188"/>
        <v>0.52137241629681075</v>
      </c>
      <c r="EH43" s="269">
        <f t="shared" si="189"/>
        <v>0.5777724162968616</v>
      </c>
      <c r="EI43" s="716"/>
      <c r="EJ43" s="717">
        <f t="shared" si="36"/>
        <v>23.286003912090283</v>
      </c>
      <c r="EK43" s="717">
        <f t="shared" si="37"/>
        <v>607.19413439647519</v>
      </c>
      <c r="EL43" s="717">
        <f t="shared" si="38"/>
        <v>598.36996862001649</v>
      </c>
      <c r="EM43" s="717">
        <f t="shared" si="39"/>
        <v>843.60495445149456</v>
      </c>
      <c r="EN43" s="716"/>
      <c r="EO43" s="269">
        <f t="shared" si="181"/>
        <v>2.0062061504368565</v>
      </c>
      <c r="EP43" s="269">
        <f t="shared" si="182"/>
        <v>0.63700534786858176</v>
      </c>
      <c r="EQ43" s="269">
        <f t="shared" si="183"/>
        <v>0.92309214450888111</v>
      </c>
      <c r="ER43" s="269">
        <f t="shared" si="184"/>
        <v>2.4763645064745652</v>
      </c>
      <c r="ES43" s="716"/>
      <c r="ET43" s="718">
        <f t="shared" si="40"/>
        <v>1812.6559702307413</v>
      </c>
      <c r="EU43" s="718">
        <f t="shared" si="41"/>
        <v>2451.5433044848096</v>
      </c>
      <c r="EV43" s="718">
        <f t="shared" si="42"/>
        <v>1059.4166478280213</v>
      </c>
      <c r="EW43" s="718">
        <f t="shared" si="43"/>
        <v>3615.7374560719768</v>
      </c>
      <c r="EX43" s="716"/>
      <c r="EY43" s="705">
        <v>41603</v>
      </c>
      <c r="EZ43" s="716"/>
      <c r="FA43" s="766">
        <f t="shared" si="44"/>
        <v>2.4721938495631433</v>
      </c>
      <c r="FB43" s="766">
        <f t="shared" si="45"/>
        <v>1.9693946521314181</v>
      </c>
      <c r="FC43" s="766">
        <f t="shared" si="46"/>
        <v>2.4897078554911189</v>
      </c>
      <c r="FD43" s="766">
        <f t="shared" si="47"/>
        <v>-0.58996450647456555</v>
      </c>
      <c r="FE43" s="760"/>
      <c r="FF43" s="705">
        <v>41603</v>
      </c>
      <c r="FG43" s="760"/>
      <c r="FH43" s="766">
        <v>2233.6871711825579</v>
      </c>
      <c r="FI43" s="766">
        <f t="shared" si="185"/>
        <v>7579.302574893024</v>
      </c>
      <c r="FJ43" s="766">
        <f t="shared" si="186"/>
        <v>2857.3939947661597</v>
      </c>
      <c r="FK43" s="766">
        <f t="shared" si="187"/>
        <v>-861.40661370160626</v>
      </c>
      <c r="FL43" s="760"/>
      <c r="FM43" s="759">
        <f t="shared" si="95"/>
        <v>2233.6871711825579</v>
      </c>
      <c r="FN43" s="759">
        <f t="shared" si="96"/>
        <v>7579.302574893024</v>
      </c>
      <c r="FO43" s="759">
        <f t="shared" si="97"/>
        <v>2857.3939947661597</v>
      </c>
      <c r="FP43" s="759">
        <f t="shared" si="49"/>
        <v>-861.40661370160626</v>
      </c>
      <c r="FQ43" s="760"/>
      <c r="FR43" s="759">
        <f t="shared" si="50"/>
        <v>4069.6291453253893</v>
      </c>
      <c r="FS43" s="759">
        <f t="shared" si="51"/>
        <v>10638.040013774309</v>
      </c>
      <c r="FT43" s="759">
        <f t="shared" si="52"/>
        <v>4515.1806112141976</v>
      </c>
      <c r="FU43" s="759">
        <f t="shared" si="53"/>
        <v>4459.3424105234717</v>
      </c>
      <c r="FV43" s="761"/>
      <c r="FW43" s="754">
        <v>41603</v>
      </c>
      <c r="FX43" s="761"/>
      <c r="FY43" s="759">
        <f t="shared" si="76"/>
        <v>297898.197616413</v>
      </c>
      <c r="FZ43" s="759">
        <f t="shared" si="77"/>
        <v>450506.57515453349</v>
      </c>
      <c r="GA43" s="759">
        <f t="shared" si="78"/>
        <v>229622.3516912442</v>
      </c>
      <c r="GB43" s="759">
        <f t="shared" si="79"/>
        <v>264570.8229146566</v>
      </c>
      <c r="GC43" s="760"/>
      <c r="GD43" s="759">
        <f t="shared" si="54"/>
        <v>0.78786953910161495</v>
      </c>
      <c r="GE43" s="759">
        <f t="shared" si="54"/>
        <v>0.59061149544878233</v>
      </c>
      <c r="GF43" s="759">
        <f t="shared" si="55"/>
        <v>0.61649224842967565</v>
      </c>
      <c r="GG43" s="759">
        <f t="shared" si="56"/>
        <v>0.69050194727412462</v>
      </c>
      <c r="GH43" s="716"/>
      <c r="GI43" s="756">
        <f t="shared" si="57"/>
        <v>0</v>
      </c>
      <c r="GJ43" s="756">
        <f t="shared" si="58"/>
        <v>0</v>
      </c>
      <c r="GK43" s="756">
        <f t="shared" si="59"/>
        <v>0</v>
      </c>
      <c r="GL43" s="756">
        <f t="shared" si="60"/>
        <v>0</v>
      </c>
      <c r="GM43" s="716"/>
    </row>
    <row r="44" spans="1:195" s="134" customFormat="1">
      <c r="A44" s="705">
        <v>41604</v>
      </c>
      <c r="B44" s="706">
        <v>0</v>
      </c>
      <c r="C44" s="497">
        <f t="shared" si="165"/>
        <v>9</v>
      </c>
      <c r="D44" s="274">
        <v>1.1410251786160983</v>
      </c>
      <c r="E44" s="274">
        <v>1.5696777496614089</v>
      </c>
      <c r="F44" s="274">
        <v>1.7566663861910563</v>
      </c>
      <c r="G44" s="274">
        <v>-0.35767398137029927</v>
      </c>
      <c r="H44" s="729"/>
      <c r="I44" s="705">
        <v>41604</v>
      </c>
      <c r="J44" s="270">
        <f t="shared" si="166"/>
        <v>1.1410251786160983</v>
      </c>
      <c r="K44" s="270">
        <f t="shared" si="167"/>
        <v>1.5696777496614089</v>
      </c>
      <c r="L44" s="270">
        <f t="shared" si="168"/>
        <v>1.7566663861910563</v>
      </c>
      <c r="M44" s="270">
        <f t="shared" si="169"/>
        <v>-0.35767398137029927</v>
      </c>
      <c r="N44" s="729"/>
      <c r="O44" s="705">
        <v>41604</v>
      </c>
      <c r="P44" s="270">
        <f t="shared" si="170"/>
        <v>1.1410251786160983</v>
      </c>
      <c r="Q44" s="270">
        <f t="shared" si="171"/>
        <v>1.5696777496614089</v>
      </c>
      <c r="R44" s="270">
        <f t="shared" si="172"/>
        <v>1.7566663861910563</v>
      </c>
      <c r="S44" s="270">
        <f t="shared" si="173"/>
        <v>-0.35767398137029927</v>
      </c>
      <c r="T44" s="705">
        <v>41604</v>
      </c>
      <c r="U44" s="291">
        <v>1.1410251786160983</v>
      </c>
      <c r="V44" s="291">
        <v>1.5696777496614089</v>
      </c>
      <c r="W44" s="291">
        <v>1.7566663861910563</v>
      </c>
      <c r="X44" s="291">
        <v>-0.35767398137029927</v>
      </c>
      <c r="Y44" s="729"/>
      <c r="Z44" s="705">
        <v>41604</v>
      </c>
      <c r="AA44" s="707">
        <v>41604</v>
      </c>
      <c r="AB44" s="497">
        <f t="shared" si="174"/>
        <v>9</v>
      </c>
      <c r="AC44" s="266">
        <v>1.8739722295991847</v>
      </c>
      <c r="AD44" s="291">
        <v>1.1410251786160983</v>
      </c>
      <c r="AE44" s="291">
        <f t="shared" si="82"/>
        <v>1003.1486355192922</v>
      </c>
      <c r="AF44" s="161">
        <v>3.0538722295991843</v>
      </c>
      <c r="AG44" s="291">
        <v>1.5696777496614089</v>
      </c>
      <c r="AH44" s="291">
        <f t="shared" si="83"/>
        <v>5911.6730997324676</v>
      </c>
      <c r="AI44" s="161">
        <v>3.5004722295991852</v>
      </c>
      <c r="AJ44" s="291">
        <v>1.7566663861910563</v>
      </c>
      <c r="AK44" s="291">
        <f t="shared" si="84"/>
        <v>1975.1115390089369</v>
      </c>
      <c r="AL44" s="161">
        <v>2.9665722295991848</v>
      </c>
      <c r="AM44" s="291">
        <v>-0.35767398137029927</v>
      </c>
      <c r="AN44" s="291">
        <f t="shared" si="85"/>
        <v>-508.63471921751881</v>
      </c>
      <c r="AO44" s="705">
        <v>41604</v>
      </c>
      <c r="AP44" s="463">
        <v>8.791643289905041</v>
      </c>
      <c r="AQ44" s="463">
        <v>37.661699039867635</v>
      </c>
      <c r="AR44" s="463">
        <v>11.243520992574638</v>
      </c>
      <c r="AS44" s="463">
        <v>14.220623967918151</v>
      </c>
      <c r="AT44" s="463">
        <f t="shared" si="86"/>
        <v>0.31398726035375146</v>
      </c>
      <c r="AU44" s="463">
        <f t="shared" si="87"/>
        <v>0.63833388203165486</v>
      </c>
      <c r="AV44" s="463">
        <f t="shared" si="88"/>
        <v>0.56217604962873191</v>
      </c>
      <c r="AW44" s="463">
        <f t="shared" si="89"/>
        <v>0.74845389304832377</v>
      </c>
      <c r="AY44" s="266">
        <v>1.8739722295991847</v>
      </c>
      <c r="AZ44" s="161">
        <v>3.0538722295991843</v>
      </c>
      <c r="BA44" s="161">
        <v>3.5004722295991852</v>
      </c>
      <c r="BB44" s="161">
        <v>2.9665722295991848</v>
      </c>
      <c r="BE44" s="134">
        <v>-1.9693748213839016E-2</v>
      </c>
      <c r="BF44" s="134">
        <v>-6.1912225033859134E-3</v>
      </c>
      <c r="BG44" s="134">
        <v>-9.2173361380894388E-3</v>
      </c>
      <c r="BH44" s="134">
        <v>-2.4744739813702992E-2</v>
      </c>
      <c r="BJ44" s="508">
        <v>6.7471734559663368</v>
      </c>
      <c r="BK44" s="508">
        <v>7.5247119175056065</v>
      </c>
      <c r="BL44" s="508">
        <v>9.9056349944298958</v>
      </c>
      <c r="BM44" s="508">
        <v>4.783173455966093</v>
      </c>
      <c r="BO44" s="705">
        <v>41604</v>
      </c>
      <c r="BP44" s="324">
        <v>0</v>
      </c>
      <c r="BQ44" s="1">
        <v>5035950</v>
      </c>
      <c r="BR44" s="1">
        <v>11127132</v>
      </c>
      <c r="BS44" s="1">
        <v>6310099.7999999998</v>
      </c>
      <c r="BT44" s="1">
        <v>5970600</v>
      </c>
      <c r="BU44" s="708">
        <v>153402.67665978591</v>
      </c>
      <c r="BV44" s="708">
        <v>509866.00211189309</v>
      </c>
      <c r="BW44" s="708">
        <v>144414.10030668529</v>
      </c>
      <c r="BX44" s="708">
        <v>214415.58927759767</v>
      </c>
      <c r="BY44" s="709">
        <f t="shared" si="18"/>
        <v>0</v>
      </c>
      <c r="BZ44" s="709">
        <f t="shared" si="19"/>
        <v>0</v>
      </c>
      <c r="CA44" s="709">
        <f t="shared" si="20"/>
        <v>0</v>
      </c>
      <c r="CB44" s="709">
        <f t="shared" si="21"/>
        <v>0</v>
      </c>
      <c r="CC44" s="475">
        <f t="shared" si="22"/>
        <v>0</v>
      </c>
      <c r="CD44" s="475">
        <f t="shared" si="23"/>
        <v>0</v>
      </c>
      <c r="CE44" s="475">
        <f t="shared" si="24"/>
        <v>0</v>
      </c>
      <c r="CF44" s="475">
        <f t="shared" si="25"/>
        <v>0</v>
      </c>
      <c r="CG44" s="302">
        <f t="shared" si="90"/>
        <v>0</v>
      </c>
      <c r="CH44" s="302">
        <f t="shared" si="91"/>
        <v>0</v>
      </c>
      <c r="CI44" s="302">
        <f t="shared" si="92"/>
        <v>0</v>
      </c>
      <c r="CJ44" s="302">
        <f t="shared" si="93"/>
        <v>0</v>
      </c>
      <c r="CK44" s="302">
        <f t="shared" si="94"/>
        <v>0</v>
      </c>
      <c r="CL44" s="302">
        <f t="shared" si="94"/>
        <v>0</v>
      </c>
      <c r="CM44" s="302">
        <f t="shared" si="94"/>
        <v>0</v>
      </c>
      <c r="CN44" s="302">
        <f t="shared" si="94"/>
        <v>0</v>
      </c>
      <c r="CO44" s="710">
        <f t="shared" si="175"/>
        <v>0</v>
      </c>
      <c r="CP44" s="710">
        <f t="shared" si="176"/>
        <v>0</v>
      </c>
      <c r="CQ44" s="710">
        <f t="shared" si="177"/>
        <v>0</v>
      </c>
      <c r="CR44" s="710">
        <f t="shared" si="178"/>
        <v>0</v>
      </c>
      <c r="CS44" s="705">
        <v>41604</v>
      </c>
      <c r="CT44" s="711">
        <v>0.97</v>
      </c>
      <c r="CU44" s="711">
        <v>0.68700000000000006</v>
      </c>
      <c r="CV44" s="713">
        <v>0.85799999999999998</v>
      </c>
      <c r="CW44" s="714">
        <v>0.95</v>
      </c>
      <c r="CY44" s="727">
        <v>3.7851173455966336E-2</v>
      </c>
      <c r="CZ44" s="727">
        <v>2.9412711917505607E-2</v>
      </c>
      <c r="DA44" s="727">
        <v>3.6689634994429898E-2</v>
      </c>
      <c r="DB44" s="727">
        <v>2.5951173455966092E-2</v>
      </c>
      <c r="DC44" s="463">
        <f t="shared" si="161"/>
        <v>-3.7213498993901695</v>
      </c>
      <c r="DD44" s="463">
        <f t="shared" si="162"/>
        <v>-2.8813498993901732</v>
      </c>
      <c r="DE44" s="463">
        <f t="shared" si="163"/>
        <v>-3.6113498993902482</v>
      </c>
      <c r="DF44" s="463">
        <f t="shared" si="164"/>
        <v>-2.5313498993901007</v>
      </c>
      <c r="DG44" s="483">
        <f t="shared" si="30"/>
        <v>3.7213498993901695</v>
      </c>
      <c r="DH44" s="483">
        <f t="shared" si="31"/>
        <v>2.8813498993901732</v>
      </c>
      <c r="DI44" s="483">
        <f t="shared" si="32"/>
        <v>3.6113498993902482</v>
      </c>
      <c r="DJ44" s="483">
        <f t="shared" si="33"/>
        <v>2.5313498993901007</v>
      </c>
      <c r="DK44" s="483">
        <f t="shared" si="121"/>
        <v>0.24359952318289047</v>
      </c>
      <c r="DL44" s="483">
        <f t="shared" si="122"/>
        <v>0.82374402097427435</v>
      </c>
      <c r="DM44" s="483">
        <f t="shared" si="123"/>
        <v>0.23330344071820441</v>
      </c>
      <c r="DN44" s="483">
        <f t="shared" si="124"/>
        <v>0.38036650266269589</v>
      </c>
      <c r="DO44" s="483">
        <f t="shared" si="100"/>
        <v>22.662976527203568</v>
      </c>
      <c r="DP44" s="483">
        <f t="shared" si="101"/>
        <v>59.33736879893705</v>
      </c>
      <c r="DQ44" s="483">
        <f t="shared" si="102"/>
        <v>21.063508929127156</v>
      </c>
      <c r="DR44" s="483">
        <f t="shared" si="103"/>
        <v>24.071017706164493</v>
      </c>
      <c r="DS44" s="324">
        <v>3.1103999999999998</v>
      </c>
      <c r="DT44" s="324">
        <v>2.1888000000000001</v>
      </c>
      <c r="DU44" s="324">
        <v>2.6784000000000003</v>
      </c>
      <c r="DV44" s="324">
        <v>2.1168</v>
      </c>
      <c r="DW44" s="716"/>
      <c r="DX44" s="705">
        <v>41604</v>
      </c>
      <c r="DY44" s="716"/>
      <c r="DZ44" s="269">
        <f t="shared" si="192"/>
        <v>0.61094989939016964</v>
      </c>
      <c r="EA44" s="269">
        <f>-DD44-DT44</f>
        <v>0.69254989939017308</v>
      </c>
      <c r="EB44" s="269">
        <f t="shared" si="191"/>
        <v>0.93294989939024786</v>
      </c>
      <c r="EC44" s="716">
        <f t="shared" si="190"/>
        <v>0.41454989939010067</v>
      </c>
      <c r="ED44" s="716"/>
      <c r="EE44" s="269">
        <f t="shared" si="179"/>
        <v>0.61094989939016964</v>
      </c>
      <c r="EF44" s="269">
        <f t="shared" si="180"/>
        <v>0.69254989939017308</v>
      </c>
      <c r="EG44" s="269">
        <f t="shared" si="188"/>
        <v>0.93294989939024786</v>
      </c>
      <c r="EH44" s="269">
        <f t="shared" si="189"/>
        <v>0.41454989939010067</v>
      </c>
      <c r="EI44" s="716"/>
      <c r="EJ44" s="717">
        <f t="shared" si="36"/>
        <v>537.12535834417451</v>
      </c>
      <c r="EK44" s="717">
        <f t="shared" si="37"/>
        <v>2608.2605880923311</v>
      </c>
      <c r="EL44" s="717">
        <f t="shared" si="38"/>
        <v>1048.9641778814646</v>
      </c>
      <c r="EM44" s="717">
        <f t="shared" si="39"/>
        <v>589.51582351649233</v>
      </c>
      <c r="EN44" s="716"/>
      <c r="EO44" s="269">
        <f t="shared" si="181"/>
        <v>1.9693748213839017</v>
      </c>
      <c r="EP44" s="269">
        <f t="shared" si="182"/>
        <v>0.61912225033859136</v>
      </c>
      <c r="EQ44" s="269">
        <f t="shared" si="183"/>
        <v>0.92173361380894392</v>
      </c>
      <c r="ER44" s="269">
        <f t="shared" si="184"/>
        <v>2.4744739813702994</v>
      </c>
      <c r="ES44" s="716"/>
      <c r="ET44" s="718">
        <f t="shared" si="40"/>
        <v>1731.4040933727717</v>
      </c>
      <c r="EU44" s="718">
        <f t="shared" si="41"/>
        <v>2331.7195861137616</v>
      </c>
      <c r="EV44" s="718">
        <f t="shared" si="42"/>
        <v>1036.3531236422546</v>
      </c>
      <c r="EW44" s="718">
        <f t="shared" si="43"/>
        <v>3518.8564007464333</v>
      </c>
      <c r="EX44" s="716"/>
      <c r="EY44" s="705">
        <v>41604</v>
      </c>
      <c r="EZ44" s="716"/>
      <c r="FA44" s="766">
        <f t="shared" si="44"/>
        <v>1.1410251786160979</v>
      </c>
      <c r="FB44" s="766">
        <f t="shared" si="45"/>
        <v>1.5696777496614087</v>
      </c>
      <c r="FC44" s="766">
        <f t="shared" si="46"/>
        <v>1.7566663861910565</v>
      </c>
      <c r="FD44" s="766">
        <f t="shared" si="47"/>
        <v>-0.35767398137029938</v>
      </c>
      <c r="FE44" s="760"/>
      <c r="FF44" s="705">
        <v>41604</v>
      </c>
      <c r="FG44" s="760"/>
      <c r="FH44" s="766">
        <v>1003.1486355192917</v>
      </c>
      <c r="FI44" s="766">
        <f t="shared" si="185"/>
        <v>5911.6730997324676</v>
      </c>
      <c r="FJ44" s="766">
        <f t="shared" si="186"/>
        <v>1975.1115390089371</v>
      </c>
      <c r="FK44" s="766">
        <f t="shared" si="187"/>
        <v>-508.63471921751892</v>
      </c>
      <c r="FL44" s="760"/>
      <c r="FM44" s="759">
        <f t="shared" si="95"/>
        <v>1003.1486355192917</v>
      </c>
      <c r="FN44" s="759">
        <f t="shared" si="96"/>
        <v>5911.6730997324676</v>
      </c>
      <c r="FO44" s="759">
        <f t="shared" si="97"/>
        <v>1975.1115390089371</v>
      </c>
      <c r="FP44" s="759">
        <f t="shared" si="49"/>
        <v>-508.63471921751892</v>
      </c>
      <c r="FQ44" s="760"/>
      <c r="FR44" s="759">
        <f t="shared" si="50"/>
        <v>3271.6780872362378</v>
      </c>
      <c r="FS44" s="759">
        <f t="shared" si="51"/>
        <v>10851.65327393856</v>
      </c>
      <c r="FT44" s="759">
        <f t="shared" si="52"/>
        <v>4060.4288405326561</v>
      </c>
      <c r="FU44" s="759">
        <f t="shared" si="53"/>
        <v>4108.3722242629256</v>
      </c>
      <c r="FV44" s="761"/>
      <c r="FW44" s="754">
        <v>41604</v>
      </c>
      <c r="FX44" s="761"/>
      <c r="FY44" s="759">
        <f t="shared" si="76"/>
        <v>301169.87570364925</v>
      </c>
      <c r="FZ44" s="759">
        <f t="shared" si="77"/>
        <v>461358.22842847207</v>
      </c>
      <c r="GA44" s="759">
        <f t="shared" si="78"/>
        <v>233682.78053177687</v>
      </c>
      <c r="GB44" s="759">
        <f t="shared" si="79"/>
        <v>268679.19513891952</v>
      </c>
      <c r="GC44" s="760"/>
      <c r="GD44" s="759">
        <f t="shared" si="54"/>
        <v>0.79652234575605052</v>
      </c>
      <c r="GE44" s="759">
        <f t="shared" si="54"/>
        <v>0.60483794967093019</v>
      </c>
      <c r="GF44" s="759">
        <f t="shared" si="55"/>
        <v>0.62739372595157894</v>
      </c>
      <c r="GG44" s="759">
        <f t="shared" si="56"/>
        <v>0.7012243655276883</v>
      </c>
      <c r="GH44" s="716"/>
      <c r="GI44" s="756">
        <f t="shared" si="57"/>
        <v>0</v>
      </c>
      <c r="GJ44" s="756">
        <f t="shared" si="58"/>
        <v>0</v>
      </c>
      <c r="GK44" s="756">
        <f t="shared" si="59"/>
        <v>0</v>
      </c>
      <c r="GL44" s="756">
        <f t="shared" si="60"/>
        <v>0</v>
      </c>
      <c r="GM44" s="716"/>
    </row>
    <row r="45" spans="1:195" s="134" customFormat="1">
      <c r="A45" s="705">
        <v>41605</v>
      </c>
      <c r="B45" s="706">
        <v>0</v>
      </c>
      <c r="C45" s="497">
        <f t="shared" si="165"/>
        <v>10</v>
      </c>
      <c r="D45" s="274">
        <v>1.417852263018432</v>
      </c>
      <c r="E45" s="274">
        <v>2.6264411489731012</v>
      </c>
      <c r="F45" s="274">
        <v>2.319710623450967</v>
      </c>
      <c r="G45" s="274">
        <v>-0.45512925890862677</v>
      </c>
      <c r="H45" s="729"/>
      <c r="I45" s="705">
        <v>41605</v>
      </c>
      <c r="J45" s="270">
        <f t="shared" si="166"/>
        <v>1.417852263018432</v>
      </c>
      <c r="K45" s="270">
        <f t="shared" si="167"/>
        <v>2.6264411489731012</v>
      </c>
      <c r="L45" s="270">
        <f t="shared" si="168"/>
        <v>2.319710623450967</v>
      </c>
      <c r="M45" s="270">
        <f t="shared" si="169"/>
        <v>-0.45512925890862677</v>
      </c>
      <c r="N45" s="729"/>
      <c r="O45" s="705">
        <v>41605</v>
      </c>
      <c r="P45" s="270">
        <f t="shared" si="170"/>
        <v>1.417852263018432</v>
      </c>
      <c r="Q45" s="270">
        <f t="shared" si="171"/>
        <v>2.6264411489731012</v>
      </c>
      <c r="R45" s="270">
        <f t="shared" si="172"/>
        <v>2.319710623450967</v>
      </c>
      <c r="S45" s="270">
        <f t="shared" si="173"/>
        <v>-0.45512925890862677</v>
      </c>
      <c r="T45" s="705">
        <v>41605</v>
      </c>
      <c r="U45" s="291">
        <v>1.417852263018432</v>
      </c>
      <c r="V45" s="291">
        <v>2.6264411489731012</v>
      </c>
      <c r="W45" s="291">
        <v>2.319710623450967</v>
      </c>
      <c r="X45" s="291">
        <v>-0.45512925890862677</v>
      </c>
      <c r="Y45" s="729"/>
      <c r="Z45" s="705">
        <v>41605</v>
      </c>
      <c r="AA45" s="707">
        <v>41605</v>
      </c>
      <c r="AB45" s="497">
        <f t="shared" si="174"/>
        <v>10</v>
      </c>
      <c r="AC45" s="266">
        <v>1.8367587306052831</v>
      </c>
      <c r="AD45" s="291">
        <v>1.417852263018432</v>
      </c>
      <c r="AE45" s="291">
        <f t="shared" si="82"/>
        <v>1214.4000598806458</v>
      </c>
      <c r="AF45" s="161">
        <v>3.0250587306052825</v>
      </c>
      <c r="AG45" s="291">
        <v>2.6264411489731012</v>
      </c>
      <c r="AH45" s="291">
        <f t="shared" si="83"/>
        <v>9637.9274184644455</v>
      </c>
      <c r="AI45" s="161">
        <v>3.4643587306052828</v>
      </c>
      <c r="AJ45" s="291">
        <v>2.319710623450967</v>
      </c>
      <c r="AK45" s="291">
        <f t="shared" si="84"/>
        <v>2556.4634768690098</v>
      </c>
      <c r="AL45" s="161">
        <v>2.9412587306052838</v>
      </c>
      <c r="AM45" s="291">
        <v>-0.45512925890862677</v>
      </c>
      <c r="AN45" s="291">
        <f t="shared" si="85"/>
        <v>-630.26958361839752</v>
      </c>
      <c r="AO45" s="705">
        <v>41605</v>
      </c>
      <c r="AP45" s="463">
        <v>8.5650676840994588</v>
      </c>
      <c r="AQ45" s="463">
        <v>36.695767663527242</v>
      </c>
      <c r="AR45" s="463">
        <v>11.020613739595813</v>
      </c>
      <c r="AS45" s="463">
        <v>13.84814470354525</v>
      </c>
      <c r="AT45" s="463">
        <f t="shared" si="86"/>
        <v>0.30589527443212355</v>
      </c>
      <c r="AU45" s="463">
        <f t="shared" si="87"/>
        <v>0.62196216378859737</v>
      </c>
      <c r="AV45" s="463">
        <f t="shared" si="88"/>
        <v>0.55103068697979063</v>
      </c>
      <c r="AW45" s="463">
        <f t="shared" si="89"/>
        <v>0.72884972123922365</v>
      </c>
      <c r="AY45" s="266">
        <v>1.8367587306052831</v>
      </c>
      <c r="AZ45" s="161">
        <v>3.0250587306052825</v>
      </c>
      <c r="BA45" s="161">
        <v>3.4643587306052828</v>
      </c>
      <c r="BB45" s="161">
        <v>2.9412587306052838</v>
      </c>
      <c r="BE45" s="134">
        <v>-1.9373477369815678E-2</v>
      </c>
      <c r="BF45" s="134">
        <v>-5.9915885102689876E-3</v>
      </c>
      <c r="BG45" s="134">
        <v>-9.2028937654903362E-3</v>
      </c>
      <c r="BH45" s="134">
        <v>-2.4711292589086269E-2</v>
      </c>
      <c r="BJ45" s="508">
        <v>3.2260511602437978</v>
      </c>
      <c r="BK45" s="508">
        <v>-4.5548719166800744</v>
      </c>
      <c r="BL45" s="508">
        <v>13.124205006396197</v>
      </c>
      <c r="BM45" s="508">
        <v>6.8103588525520555</v>
      </c>
      <c r="BO45" s="705">
        <v>41605</v>
      </c>
      <c r="BP45" s="324">
        <v>0</v>
      </c>
      <c r="BQ45" s="1">
        <v>5035950</v>
      </c>
      <c r="BR45" s="1">
        <v>11127132</v>
      </c>
      <c r="BS45" s="1">
        <v>6310099.7999999998</v>
      </c>
      <c r="BT45" s="1">
        <v>5970600</v>
      </c>
      <c r="BU45" s="708">
        <v>153402.67665978591</v>
      </c>
      <c r="BV45" s="708">
        <v>509866.00211189309</v>
      </c>
      <c r="BW45" s="708">
        <v>144414.10030668529</v>
      </c>
      <c r="BX45" s="708">
        <v>214415.58927759767</v>
      </c>
      <c r="BY45" s="709">
        <f t="shared" si="18"/>
        <v>0</v>
      </c>
      <c r="BZ45" s="709">
        <f t="shared" si="19"/>
        <v>0</v>
      </c>
      <c r="CA45" s="709">
        <f t="shared" si="20"/>
        <v>0</v>
      </c>
      <c r="CB45" s="709">
        <f t="shared" si="21"/>
        <v>0</v>
      </c>
      <c r="CC45" s="475">
        <f t="shared" si="22"/>
        <v>0</v>
      </c>
      <c r="CD45" s="475">
        <f t="shared" si="23"/>
        <v>0</v>
      </c>
      <c r="CE45" s="475">
        <f t="shared" si="24"/>
        <v>0</v>
      </c>
      <c r="CF45" s="475">
        <f t="shared" si="25"/>
        <v>0</v>
      </c>
      <c r="CG45" s="302">
        <f t="shared" si="90"/>
        <v>0</v>
      </c>
      <c r="CH45" s="302">
        <f t="shared" si="91"/>
        <v>0</v>
      </c>
      <c r="CI45" s="302">
        <f t="shared" si="92"/>
        <v>0</v>
      </c>
      <c r="CJ45" s="302">
        <f t="shared" si="93"/>
        <v>0</v>
      </c>
      <c r="CK45" s="302">
        <f t="shared" si="94"/>
        <v>0</v>
      </c>
      <c r="CL45" s="302">
        <f t="shared" si="94"/>
        <v>0</v>
      </c>
      <c r="CM45" s="302">
        <f t="shared" si="94"/>
        <v>0</v>
      </c>
      <c r="CN45" s="302">
        <f t="shared" si="94"/>
        <v>0</v>
      </c>
      <c r="CO45" s="710">
        <f t="shared" si="175"/>
        <v>0</v>
      </c>
      <c r="CP45" s="710">
        <f t="shared" si="176"/>
        <v>0</v>
      </c>
      <c r="CQ45" s="710">
        <f t="shared" si="177"/>
        <v>0</v>
      </c>
      <c r="CR45" s="710">
        <f t="shared" si="178"/>
        <v>0</v>
      </c>
      <c r="CS45" s="705">
        <v>41605</v>
      </c>
      <c r="CT45" s="711">
        <v>0.97</v>
      </c>
      <c r="CU45" s="711">
        <v>0.95899999999999996</v>
      </c>
      <c r="CV45" s="713">
        <v>0.92700000000000005</v>
      </c>
      <c r="CW45" s="714">
        <v>0.95799999999999996</v>
      </c>
      <c r="CY45" s="727">
        <v>3.6778051160243797E-2</v>
      </c>
      <c r="CZ45" s="727">
        <v>2.7701128083319926E-2</v>
      </c>
      <c r="DA45" s="727">
        <v>4.5524205006396201E-2</v>
      </c>
      <c r="DB45" s="727">
        <v>2.6970358852552057E-2</v>
      </c>
      <c r="DC45" s="463">
        <f t="shared" si="161"/>
        <v>-3.7295291497386529</v>
      </c>
      <c r="DD45" s="463">
        <f t="shared" si="162"/>
        <v>-2.8395291497385955</v>
      </c>
      <c r="DE45" s="463">
        <f t="shared" si="163"/>
        <v>-4.6295291497385094</v>
      </c>
      <c r="DF45" s="463">
        <f t="shared" si="164"/>
        <v>-2.7595291497387819</v>
      </c>
      <c r="DG45" s="483">
        <f t="shared" si="30"/>
        <v>3.7295291497386529</v>
      </c>
      <c r="DH45" s="483">
        <f t="shared" si="31"/>
        <v>2.8395291497385955</v>
      </c>
      <c r="DI45" s="483">
        <f t="shared" si="32"/>
        <v>4.6295291497385094</v>
      </c>
      <c r="DJ45" s="483">
        <f t="shared" si="33"/>
        <v>2.7595291497387819</v>
      </c>
      <c r="DK45" s="483">
        <f t="shared" si="121"/>
        <v>0.22657560580558211</v>
      </c>
      <c r="DL45" s="483">
        <f t="shared" si="122"/>
        <v>0.96593137634039294</v>
      </c>
      <c r="DM45" s="483">
        <f t="shared" si="123"/>
        <v>0.22290725297882474</v>
      </c>
      <c r="DN45" s="483">
        <f t="shared" si="124"/>
        <v>0.37247926437290069</v>
      </c>
      <c r="DO45" s="483">
        <f t="shared" si="100"/>
        <v>21.125508161790322</v>
      </c>
      <c r="DP45" s="483">
        <f t="shared" si="101"/>
        <v>68.569757494141683</v>
      </c>
      <c r="DQ45" s="483">
        <f t="shared" si="102"/>
        <v>25.798890633840134</v>
      </c>
      <c r="DR45" s="483">
        <f t="shared" si="103"/>
        <v>25.696684692756939</v>
      </c>
      <c r="DS45" s="324">
        <v>3.3552</v>
      </c>
      <c r="DT45" s="324">
        <v>3.2256</v>
      </c>
      <c r="DU45" s="324">
        <v>3.2400000000000007</v>
      </c>
      <c r="DV45" s="324">
        <v>2.016</v>
      </c>
      <c r="DW45" s="716"/>
      <c r="DX45" s="705">
        <v>41605</v>
      </c>
      <c r="DY45" s="716"/>
      <c r="DZ45" s="269">
        <f t="shared" si="192"/>
        <v>0.37432914973865294</v>
      </c>
      <c r="EA45" s="269"/>
      <c r="EB45" s="269">
        <f t="shared" si="191"/>
        <v>1.3895291497385087</v>
      </c>
      <c r="EC45" s="716">
        <f t="shared" si="190"/>
        <v>0.74352914973878192</v>
      </c>
      <c r="ED45" s="716"/>
      <c r="EE45" s="269">
        <f t="shared" si="179"/>
        <v>0.37432914973865294</v>
      </c>
      <c r="EF45" s="269">
        <f t="shared" si="180"/>
        <v>0</v>
      </c>
      <c r="EG45" s="269">
        <f t="shared" si="188"/>
        <v>1.3895291497385087</v>
      </c>
      <c r="EH45" s="269">
        <f t="shared" si="189"/>
        <v>0.74352914973878192</v>
      </c>
      <c r="EI45" s="716"/>
      <c r="EJ45" s="717">
        <f t="shared" si="36"/>
        <v>320.61545036429635</v>
      </c>
      <c r="EK45" s="717">
        <f>AVERAGE(EK44,EK46)</f>
        <v>1537.433310176038</v>
      </c>
      <c r="EL45" s="717">
        <f t="shared" si="38"/>
        <v>1531.3464039177097</v>
      </c>
      <c r="EM45" s="717">
        <f t="shared" si="39"/>
        <v>1029.6499256886616</v>
      </c>
      <c r="EN45" s="716"/>
      <c r="EO45" s="269">
        <f t="shared" si="181"/>
        <v>1.9373477369815677</v>
      </c>
      <c r="EP45" s="269">
        <f t="shared" si="182"/>
        <v>0.59915885102689881</v>
      </c>
      <c r="EQ45" s="269">
        <f t="shared" si="183"/>
        <v>0.92028937654903364</v>
      </c>
      <c r="ER45" s="269">
        <f t="shared" si="184"/>
        <v>2.4711292589086269</v>
      </c>
      <c r="ES45" s="716"/>
      <c r="ET45" s="718">
        <f t="shared" si="40"/>
        <v>1659.3514494884046</v>
      </c>
      <c r="EU45" s="718">
        <f t="shared" si="41"/>
        <v>2198.659399082901</v>
      </c>
      <c r="EV45" s="718">
        <f t="shared" si="42"/>
        <v>1014.2153747600345</v>
      </c>
      <c r="EW45" s="718">
        <f t="shared" si="43"/>
        <v>3422.05555585312</v>
      </c>
      <c r="EX45" s="716"/>
      <c r="EY45" s="705">
        <v>41605</v>
      </c>
      <c r="EZ45" s="716"/>
      <c r="FA45" s="766">
        <f t="shared" si="44"/>
        <v>1.4178522630184323</v>
      </c>
      <c r="FB45" s="766">
        <f t="shared" si="45"/>
        <v>2.2403702987116967</v>
      </c>
      <c r="FC45" s="766">
        <f t="shared" si="46"/>
        <v>2.319710623450967</v>
      </c>
      <c r="FD45" s="766">
        <f t="shared" si="47"/>
        <v>-0.45512925890862688</v>
      </c>
      <c r="FE45" s="760"/>
      <c r="FF45" s="705">
        <v>41605</v>
      </c>
      <c r="FG45" s="760"/>
      <c r="FH45" s="766">
        <v>1214.400059880646</v>
      </c>
      <c r="FI45" s="766">
        <f t="shared" si="185"/>
        <v>8221.2107961791553</v>
      </c>
      <c r="FJ45" s="766">
        <f t="shared" si="186"/>
        <v>2556.4634768690098</v>
      </c>
      <c r="FK45" s="766">
        <f t="shared" si="187"/>
        <v>-630.26958361839763</v>
      </c>
      <c r="FL45" s="760"/>
      <c r="FM45" s="759">
        <f t="shared" si="95"/>
        <v>1214.400059880646</v>
      </c>
      <c r="FN45" s="759">
        <f t="shared" si="96"/>
        <v>8221.2107961791553</v>
      </c>
      <c r="FO45" s="759">
        <f t="shared" si="97"/>
        <v>2556.4634768690098</v>
      </c>
      <c r="FP45" s="759">
        <f t="shared" si="49"/>
        <v>-630.26958361839763</v>
      </c>
      <c r="FQ45" s="760"/>
      <c r="FR45" s="759">
        <f t="shared" si="50"/>
        <v>3194.3669597333474</v>
      </c>
      <c r="FS45" s="759">
        <f t="shared" si="51"/>
        <v>11957.303505438094</v>
      </c>
      <c r="FT45" s="759">
        <f t="shared" si="52"/>
        <v>5102.0252555467541</v>
      </c>
      <c r="FU45" s="759">
        <f t="shared" si="53"/>
        <v>4451.7054815417814</v>
      </c>
      <c r="FV45" s="761"/>
      <c r="FW45" s="754">
        <v>41605</v>
      </c>
      <c r="FX45" s="761"/>
      <c r="FY45" s="759">
        <f t="shared" si="76"/>
        <v>304364.24266338261</v>
      </c>
      <c r="FZ45" s="759">
        <f t="shared" si="77"/>
        <v>473315.53193391016</v>
      </c>
      <c r="GA45" s="759">
        <f t="shared" si="78"/>
        <v>238784.80578732362</v>
      </c>
      <c r="GB45" s="759">
        <f t="shared" si="79"/>
        <v>273130.90062046133</v>
      </c>
      <c r="GC45" s="760"/>
      <c r="GD45" s="759">
        <f t="shared" si="54"/>
        <v>0.80497068295454288</v>
      </c>
      <c r="GE45" s="759">
        <f t="shared" si="54"/>
        <v>0.62051390490523339</v>
      </c>
      <c r="GF45" s="759">
        <f t="shared" si="55"/>
        <v>0.64109169132023935</v>
      </c>
      <c r="GG45" s="759">
        <f t="shared" si="56"/>
        <v>0.71284284737625958</v>
      </c>
      <c r="GH45" s="716"/>
      <c r="GI45" s="756">
        <f t="shared" si="57"/>
        <v>0</v>
      </c>
      <c r="GJ45" s="756">
        <f t="shared" si="58"/>
        <v>0</v>
      </c>
      <c r="GK45" s="756">
        <f t="shared" si="59"/>
        <v>0</v>
      </c>
      <c r="GL45" s="756">
        <f t="shared" si="60"/>
        <v>0</v>
      </c>
      <c r="GM45" s="716"/>
    </row>
    <row r="46" spans="1:195" s="134" customFormat="1">
      <c r="A46" s="705">
        <v>41606</v>
      </c>
      <c r="B46" s="706">
        <v>0</v>
      </c>
      <c r="C46" s="497">
        <f t="shared" si="165"/>
        <v>11</v>
      </c>
      <c r="D46" s="274">
        <v>0.80350280149195752</v>
      </c>
      <c r="E46" s="274">
        <v>1.7403141789377914</v>
      </c>
      <c r="F46" s="274">
        <v>2.3794553762568076</v>
      </c>
      <c r="G46" s="274">
        <v>-0.37774367011921411</v>
      </c>
      <c r="H46" s="729"/>
      <c r="I46" s="705">
        <v>41606</v>
      </c>
      <c r="J46" s="270">
        <f t="shared" si="166"/>
        <v>0.80350280149195752</v>
      </c>
      <c r="K46" s="270">
        <f t="shared" si="167"/>
        <v>1.7403141789377914</v>
      </c>
      <c r="L46" s="270">
        <f t="shared" si="168"/>
        <v>2.3794553762568076</v>
      </c>
      <c r="M46" s="270">
        <f t="shared" si="169"/>
        <v>-0.37774367011921411</v>
      </c>
      <c r="N46" s="729"/>
      <c r="O46" s="705">
        <v>41606</v>
      </c>
      <c r="P46" s="270">
        <f t="shared" si="170"/>
        <v>0.80350280149195752</v>
      </c>
      <c r="Q46" s="270">
        <f t="shared" si="171"/>
        <v>1.7403141789377914</v>
      </c>
      <c r="R46" s="270">
        <f t="shared" si="172"/>
        <v>2.3794553762568076</v>
      </c>
      <c r="S46" s="270">
        <f t="shared" si="173"/>
        <v>-0.37774367011921411</v>
      </c>
      <c r="T46" s="705">
        <v>41606</v>
      </c>
      <c r="U46" s="291">
        <v>0.80350280149195752</v>
      </c>
      <c r="V46" s="291">
        <v>1.7403141789377914</v>
      </c>
      <c r="W46" s="291">
        <v>2.3794553762568076</v>
      </c>
      <c r="X46" s="291">
        <v>-0.37774367011921411</v>
      </c>
      <c r="Y46" s="729"/>
      <c r="Z46" s="705">
        <v>41606</v>
      </c>
      <c r="AA46" s="707">
        <v>41606</v>
      </c>
      <c r="AB46" s="497">
        <f t="shared" si="174"/>
        <v>11</v>
      </c>
      <c r="AC46" s="266">
        <v>1.7994634391078965</v>
      </c>
      <c r="AD46" s="291">
        <v>0.80350280149195752</v>
      </c>
      <c r="AE46" s="291">
        <f t="shared" si="82"/>
        <v>673.19696684882979</v>
      </c>
      <c r="AF46" s="161">
        <v>2.9966634391078966</v>
      </c>
      <c r="AG46" s="291">
        <v>1.7403141789377914</v>
      </c>
      <c r="AH46" s="291">
        <f t="shared" si="83"/>
        <v>6214.0124155034855</v>
      </c>
      <c r="AI46" s="161">
        <v>3.4180634391078977</v>
      </c>
      <c r="AJ46" s="291">
        <v>2.3794553762568076</v>
      </c>
      <c r="AK46" s="291">
        <f t="shared" si="84"/>
        <v>2574.0318873347919</v>
      </c>
      <c r="AL46" s="161">
        <v>2.9136634391078959</v>
      </c>
      <c r="AM46" s="291">
        <v>-0.37774367011921411</v>
      </c>
      <c r="AN46" s="291">
        <f t="shared" si="85"/>
        <v>-508.91745835824003</v>
      </c>
      <c r="AO46" s="705">
        <v>41606</v>
      </c>
      <c r="AP46" s="463">
        <v>8.3782777807224367</v>
      </c>
      <c r="AQ46" s="463">
        <v>35.706267814793286</v>
      </c>
      <c r="AR46" s="463">
        <v>10.817735491152931</v>
      </c>
      <c r="AS46" s="463">
        <v>13.472560855821305</v>
      </c>
      <c r="AT46" s="463">
        <f t="shared" si="86"/>
        <v>0.29922420645437275</v>
      </c>
      <c r="AU46" s="463">
        <f t="shared" si="87"/>
        <v>0.60519097991175064</v>
      </c>
      <c r="AV46" s="463">
        <f t="shared" si="88"/>
        <v>0.54088677455764655</v>
      </c>
      <c r="AW46" s="463">
        <f t="shared" si="89"/>
        <v>0.70908215030638444</v>
      </c>
      <c r="AY46" s="266">
        <v>1.7994634391078965</v>
      </c>
      <c r="AZ46" s="161">
        <v>2.9966634391078966</v>
      </c>
      <c r="BA46" s="161">
        <v>3.4180634391078977</v>
      </c>
      <c r="BB46" s="161">
        <v>2.9136634391078959</v>
      </c>
      <c r="BE46" s="134">
        <v>-1.9036971985080423E-2</v>
      </c>
      <c r="BF46" s="134">
        <v>-5.7808582106220804E-3</v>
      </c>
      <c r="BG46" s="134">
        <v>-9.1814462374319242E-3</v>
      </c>
      <c r="BH46" s="134">
        <v>-2.465743670119214E-2</v>
      </c>
      <c r="BJ46" s="508">
        <v>8.866595996850787</v>
      </c>
      <c r="BK46" s="508">
        <v>0.79305753531287715</v>
      </c>
      <c r="BL46" s="508">
        <v>11.354903689158597</v>
      </c>
      <c r="BM46" s="508">
        <v>5.9739806122345405</v>
      </c>
      <c r="BO46" s="705">
        <v>41606</v>
      </c>
      <c r="BP46" s="324">
        <v>0</v>
      </c>
      <c r="BQ46" s="1">
        <v>5035950</v>
      </c>
      <c r="BR46" s="1">
        <v>11127132</v>
      </c>
      <c r="BS46" s="1">
        <v>6310099.7999999998</v>
      </c>
      <c r="BT46" s="1">
        <v>5970600</v>
      </c>
      <c r="BU46" s="708">
        <v>153402.67665978591</v>
      </c>
      <c r="BV46" s="708">
        <v>509866.00211189309</v>
      </c>
      <c r="BW46" s="708">
        <v>144414.10030668529</v>
      </c>
      <c r="BX46" s="708">
        <v>214415.58927759767</v>
      </c>
      <c r="BY46" s="709">
        <f t="shared" si="18"/>
        <v>0</v>
      </c>
      <c r="BZ46" s="709">
        <f t="shared" si="19"/>
        <v>0</v>
      </c>
      <c r="CA46" s="709">
        <f t="shared" si="20"/>
        <v>0</v>
      </c>
      <c r="CB46" s="709">
        <f t="shared" si="21"/>
        <v>0</v>
      </c>
      <c r="CC46" s="475">
        <f t="shared" si="22"/>
        <v>0</v>
      </c>
      <c r="CD46" s="475">
        <f t="shared" si="23"/>
        <v>0</v>
      </c>
      <c r="CE46" s="475">
        <f t="shared" si="24"/>
        <v>0</v>
      </c>
      <c r="CF46" s="475">
        <f t="shared" si="25"/>
        <v>0</v>
      </c>
      <c r="CG46" s="302">
        <f t="shared" si="90"/>
        <v>0</v>
      </c>
      <c r="CH46" s="302">
        <f t="shared" si="91"/>
        <v>0</v>
      </c>
      <c r="CI46" s="302">
        <f t="shared" si="92"/>
        <v>0</v>
      </c>
      <c r="CJ46" s="302">
        <f t="shared" si="93"/>
        <v>0</v>
      </c>
      <c r="CK46" s="302">
        <f t="shared" si="94"/>
        <v>0</v>
      </c>
      <c r="CL46" s="302">
        <f t="shared" si="94"/>
        <v>0</v>
      </c>
      <c r="CM46" s="302">
        <f t="shared" si="94"/>
        <v>0</v>
      </c>
      <c r="CN46" s="302">
        <f t="shared" si="94"/>
        <v>0</v>
      </c>
      <c r="CO46" s="710">
        <f t="shared" si="175"/>
        <v>0</v>
      </c>
      <c r="CP46" s="710">
        <f t="shared" si="176"/>
        <v>0</v>
      </c>
      <c r="CQ46" s="710">
        <f t="shared" si="177"/>
        <v>0</v>
      </c>
      <c r="CR46" s="710">
        <f t="shared" si="178"/>
        <v>0</v>
      </c>
      <c r="CS46" s="705">
        <v>41606</v>
      </c>
      <c r="CT46" s="711">
        <v>0.93700000000000006</v>
      </c>
      <c r="CU46" s="711">
        <v>0.72899999999999998</v>
      </c>
      <c r="CV46" s="713">
        <v>0.878</v>
      </c>
      <c r="CW46" s="714">
        <v>0.94799999999999995</v>
      </c>
      <c r="CY46" s="727">
        <v>3.5938595996850786E-2</v>
      </c>
      <c r="CZ46" s="727">
        <v>2.3977057535312873E-2</v>
      </c>
      <c r="DA46" s="727">
        <v>4.4330903689158596E-2</v>
      </c>
      <c r="DB46" s="727">
        <v>2.685398061223454E-2</v>
      </c>
      <c r="DC46" s="463">
        <f t="shared" si="161"/>
        <v>-3.6190790266291017</v>
      </c>
      <c r="DD46" s="463">
        <f t="shared" si="162"/>
        <v>-2.449079026629164</v>
      </c>
      <c r="DE46" s="463">
        <f t="shared" si="163"/>
        <v>-4.4090790266292146</v>
      </c>
      <c r="DF46" s="463">
        <f t="shared" si="164"/>
        <v>-2.6590790266290298</v>
      </c>
      <c r="DG46" s="483">
        <f t="shared" si="30"/>
        <v>3.6190790266291017</v>
      </c>
      <c r="DH46" s="483">
        <f t="shared" si="31"/>
        <v>2.449079026629164</v>
      </c>
      <c r="DI46" s="483">
        <f t="shared" si="32"/>
        <v>4.4090790266292146</v>
      </c>
      <c r="DJ46" s="483">
        <f t="shared" si="33"/>
        <v>2.6590790266290298</v>
      </c>
      <c r="DK46" s="483">
        <f t="shared" si="121"/>
        <v>0.18678990337702217</v>
      </c>
      <c r="DL46" s="483">
        <f t="shared" si="122"/>
        <v>0.98949984873395636</v>
      </c>
      <c r="DM46" s="483">
        <f t="shared" si="123"/>
        <v>0.20287824844288238</v>
      </c>
      <c r="DN46" s="483">
        <f t="shared" si="124"/>
        <v>0.37558384772394504</v>
      </c>
      <c r="DO46" s="483">
        <f t="shared" si="100"/>
        <v>16.900185542446433</v>
      </c>
      <c r="DP46" s="483">
        <f t="shared" si="101"/>
        <v>60.584083159676574</v>
      </c>
      <c r="DQ46" s="483">
        <f t="shared" si="102"/>
        <v>22.362655754219595</v>
      </c>
      <c r="DR46" s="483">
        <f t="shared" si="103"/>
        <v>24.967678305584336</v>
      </c>
      <c r="DS46" s="324">
        <v>2.7071999999999998</v>
      </c>
      <c r="DT46" s="324">
        <v>2.3183999999999996</v>
      </c>
      <c r="DU46" s="324">
        <v>3.2975999999999996</v>
      </c>
      <c r="DV46" s="324">
        <v>2.0880000000000001</v>
      </c>
      <c r="DW46" s="716"/>
      <c r="DX46" s="705">
        <v>41606</v>
      </c>
      <c r="DY46" s="716"/>
      <c r="DZ46" s="269">
        <f t="shared" si="192"/>
        <v>0.91187902662910192</v>
      </c>
      <c r="EA46" s="269">
        <f>-DD46-DT46</f>
        <v>0.13067902662916442</v>
      </c>
      <c r="EB46" s="269">
        <f t="shared" si="191"/>
        <v>1.1114790266292149</v>
      </c>
      <c r="EC46" s="716">
        <f t="shared" si="190"/>
        <v>0.57107902662902976</v>
      </c>
      <c r="ED46" s="716"/>
      <c r="EE46" s="269">
        <f t="shared" si="179"/>
        <v>0.91187902662910192</v>
      </c>
      <c r="EF46" s="269">
        <f t="shared" si="180"/>
        <v>0.13067902662916442</v>
      </c>
      <c r="EG46" s="269">
        <f t="shared" si="188"/>
        <v>1.1114790266292149</v>
      </c>
      <c r="EH46" s="269">
        <f t="shared" si="189"/>
        <v>0.57107902662902976</v>
      </c>
      <c r="EI46" s="716"/>
      <c r="EJ46" s="717">
        <f t="shared" si="36"/>
        <v>763.99757875134071</v>
      </c>
      <c r="EK46" s="717">
        <f t="shared" si="37"/>
        <v>466.60603225974484</v>
      </c>
      <c r="EL46" s="717">
        <f t="shared" si="38"/>
        <v>1202.3686114038971</v>
      </c>
      <c r="EM46" s="717">
        <f t="shared" si="39"/>
        <v>769.38969397427991</v>
      </c>
      <c r="EN46" s="716"/>
      <c r="EO46" s="269">
        <f t="shared" si="181"/>
        <v>1.9036971985080424</v>
      </c>
      <c r="EP46" s="269">
        <f t="shared" si="182"/>
        <v>0.57808582106220807</v>
      </c>
      <c r="EQ46" s="269">
        <f t="shared" si="183"/>
        <v>0.91814462374319239</v>
      </c>
      <c r="ER46" s="269">
        <f t="shared" si="184"/>
        <v>2.4657436701192141</v>
      </c>
      <c r="ES46" s="716"/>
      <c r="ET46" s="718">
        <f t="shared" si="40"/>
        <v>1594.9703939483481</v>
      </c>
      <c r="EU46" s="718">
        <f t="shared" si="41"/>
        <v>2064.128714678187</v>
      </c>
      <c r="EV46" s="718">
        <f t="shared" si="42"/>
        <v>993.22456822779861</v>
      </c>
      <c r="EW46" s="718">
        <f t="shared" si="43"/>
        <v>3321.9881650537286</v>
      </c>
      <c r="EX46" s="716"/>
      <c r="EY46" s="705">
        <v>41606</v>
      </c>
      <c r="EZ46" s="716"/>
      <c r="FA46" s="766">
        <f t="shared" si="44"/>
        <v>0.80350280149195719</v>
      </c>
      <c r="FB46" s="766">
        <f t="shared" si="45"/>
        <v>1.7403141789377914</v>
      </c>
      <c r="FC46" s="766">
        <f t="shared" si="46"/>
        <v>2.3794553762568071</v>
      </c>
      <c r="FD46" s="766">
        <f t="shared" si="47"/>
        <v>-0.37774367011921406</v>
      </c>
      <c r="FE46" s="760"/>
      <c r="FF46" s="705">
        <v>41606</v>
      </c>
      <c r="FG46" s="760"/>
      <c r="FH46" s="766">
        <v>673.19696684882956</v>
      </c>
      <c r="FI46" s="766">
        <f t="shared" si="185"/>
        <v>6214.0124155034855</v>
      </c>
      <c r="FJ46" s="766">
        <f t="shared" si="186"/>
        <v>2574.031887334791</v>
      </c>
      <c r="FK46" s="766">
        <f t="shared" si="187"/>
        <v>-508.91745835823997</v>
      </c>
      <c r="FL46" s="760"/>
      <c r="FM46" s="759">
        <f t="shared" si="95"/>
        <v>673.19696684882956</v>
      </c>
      <c r="FN46" s="759">
        <f t="shared" si="96"/>
        <v>6214.0124155034855</v>
      </c>
      <c r="FO46" s="759">
        <f t="shared" si="97"/>
        <v>2574.031887334791</v>
      </c>
      <c r="FP46" s="759">
        <f t="shared" si="49"/>
        <v>-508.91745835823997</v>
      </c>
      <c r="FQ46" s="760"/>
      <c r="FR46" s="759">
        <f t="shared" si="50"/>
        <v>3032.1649395485188</v>
      </c>
      <c r="FS46" s="759">
        <f t="shared" si="51"/>
        <v>8744.7471624414175</v>
      </c>
      <c r="FT46" s="759">
        <f t="shared" si="52"/>
        <v>4769.6250669664869</v>
      </c>
      <c r="FU46" s="759">
        <f t="shared" si="53"/>
        <v>4091.3778590280085</v>
      </c>
      <c r="FV46" s="761"/>
      <c r="FW46" s="754">
        <v>41606</v>
      </c>
      <c r="FX46" s="761"/>
      <c r="FY46" s="759">
        <f t="shared" si="76"/>
        <v>307396.40760293114</v>
      </c>
      <c r="FZ46" s="759">
        <f t="shared" si="77"/>
        <v>482060.27909635159</v>
      </c>
      <c r="GA46" s="759">
        <f t="shared" si="78"/>
        <v>243554.43085429011</v>
      </c>
      <c r="GB46" s="759">
        <f t="shared" si="79"/>
        <v>277222.27847948932</v>
      </c>
      <c r="GC46" s="760"/>
      <c r="GD46" s="759">
        <f t="shared" si="54"/>
        <v>0.81299003457371</v>
      </c>
      <c r="GE46" s="759">
        <f t="shared" si="54"/>
        <v>0.6319782174897044</v>
      </c>
      <c r="GF46" s="759">
        <f t="shared" si="55"/>
        <v>0.65389722553780749</v>
      </c>
      <c r="GG46" s="759">
        <f t="shared" si="56"/>
        <v>0.72352091212871483</v>
      </c>
      <c r="GH46" s="716"/>
      <c r="GI46" s="756">
        <f t="shared" si="57"/>
        <v>0</v>
      </c>
      <c r="GJ46" s="756">
        <f t="shared" si="58"/>
        <v>0</v>
      </c>
      <c r="GK46" s="756">
        <f t="shared" si="59"/>
        <v>0</v>
      </c>
      <c r="GL46" s="756">
        <f t="shared" si="60"/>
        <v>0</v>
      </c>
      <c r="GM46" s="716"/>
    </row>
    <row r="47" spans="1:195" s="134" customFormat="1">
      <c r="A47" s="705">
        <v>41607</v>
      </c>
      <c r="B47" s="706">
        <v>0</v>
      </c>
      <c r="C47" s="497">
        <f t="shared" si="165"/>
        <v>12</v>
      </c>
      <c r="D47" s="274">
        <v>1.0393431137677618</v>
      </c>
      <c r="E47" s="274">
        <v>1.9612697439769873</v>
      </c>
      <c r="F47" s="274">
        <v>1.7914244224558209</v>
      </c>
      <c r="G47" s="274">
        <v>-0.11150776774200913</v>
      </c>
      <c r="H47" s="729"/>
      <c r="I47" s="705">
        <v>41607</v>
      </c>
      <c r="J47" s="270">
        <f t="shared" si="166"/>
        <v>1.0393431137677618</v>
      </c>
      <c r="K47" s="270">
        <f t="shared" si="167"/>
        <v>1.9612697439769873</v>
      </c>
      <c r="L47" s="270">
        <f t="shared" si="168"/>
        <v>1.7914244224558209</v>
      </c>
      <c r="M47" s="270">
        <f t="shared" si="169"/>
        <v>-0.11150776774200913</v>
      </c>
      <c r="N47" s="729"/>
      <c r="O47" s="705">
        <v>41607</v>
      </c>
      <c r="P47" s="270">
        <f t="shared" si="170"/>
        <v>1.0393431137677618</v>
      </c>
      <c r="Q47" s="270">
        <f t="shared" si="171"/>
        <v>1.9612697439769873</v>
      </c>
      <c r="R47" s="270">
        <f t="shared" si="172"/>
        <v>1.7914244224558209</v>
      </c>
      <c r="S47" s="270">
        <f t="shared" si="173"/>
        <v>-0.11150776774200913</v>
      </c>
      <c r="T47" s="705">
        <v>41607</v>
      </c>
      <c r="U47" s="291">
        <v>1.0393431137677618</v>
      </c>
      <c r="V47" s="291">
        <v>1.9612697439769873</v>
      </c>
      <c r="W47" s="291">
        <v>1.7914244224558209</v>
      </c>
      <c r="X47" s="291">
        <v>-0.11150776774200913</v>
      </c>
      <c r="Y47" s="729"/>
      <c r="Z47" s="705">
        <v>41607</v>
      </c>
      <c r="AA47" s="707">
        <v>41607</v>
      </c>
      <c r="AB47" s="497">
        <f t="shared" si="174"/>
        <v>12</v>
      </c>
      <c r="AC47" s="266">
        <v>1.7632726488416055</v>
      </c>
      <c r="AD47" s="291">
        <v>1.0393431137677618</v>
      </c>
      <c r="AE47" s="291">
        <f t="shared" si="82"/>
        <v>851.37313195997319</v>
      </c>
      <c r="AF47" s="161">
        <v>2.9721726488416049</v>
      </c>
      <c r="AG47" s="291">
        <v>1.9612697439769873</v>
      </c>
      <c r="AH47" s="291">
        <f t="shared" si="83"/>
        <v>6815.0873672273237</v>
      </c>
      <c r="AI47" s="161">
        <v>3.3739726488416055</v>
      </c>
      <c r="AJ47" s="291">
        <v>1.7914244224558209</v>
      </c>
      <c r="AK47" s="291">
        <f t="shared" si="84"/>
        <v>1891.7616453120072</v>
      </c>
      <c r="AL47" s="161">
        <v>2.8870726488416056</v>
      </c>
      <c r="AM47" s="291">
        <v>-0.11150776774200913</v>
      </c>
      <c r="AN47" s="291">
        <f t="shared" si="85"/>
        <v>-145.75375936150598</v>
      </c>
      <c r="AO47" s="705">
        <v>41607</v>
      </c>
      <c r="AP47" s="463">
        <v>8.1914540124639732</v>
      </c>
      <c r="AQ47" s="463">
        <v>34.748342945463243</v>
      </c>
      <c r="AR47" s="463">
        <v>10.560097437538763</v>
      </c>
      <c r="AS47" s="463">
        <v>13.071175426875227</v>
      </c>
      <c r="AT47" s="463">
        <f t="shared" si="86"/>
        <v>0.29255192901657046</v>
      </c>
      <c r="AU47" s="463">
        <f t="shared" si="87"/>
        <v>0.58895496517734314</v>
      </c>
      <c r="AV47" s="463">
        <f t="shared" si="88"/>
        <v>0.52800487187693812</v>
      </c>
      <c r="AW47" s="463">
        <f t="shared" si="89"/>
        <v>0.68795660141448567</v>
      </c>
      <c r="AY47" s="266">
        <v>1.7632726488416055</v>
      </c>
      <c r="AZ47" s="161">
        <v>2.9721726488416049</v>
      </c>
      <c r="BA47" s="161">
        <v>3.3739726488416055</v>
      </c>
      <c r="BB47" s="161">
        <v>2.8870726488416056</v>
      </c>
      <c r="BE47" s="134">
        <v>-1.8694568862322382E-2</v>
      </c>
      <c r="BF47" s="134">
        <v>-5.5873025602301233E-3</v>
      </c>
      <c r="BG47" s="134">
        <v>-9.157755775441789E-3</v>
      </c>
      <c r="BH47" s="134">
        <v>-2.4587077677420091E-2</v>
      </c>
      <c r="BJ47" s="508">
        <v>19.679167595207939</v>
      </c>
      <c r="BK47" s="508">
        <v>-2.3866785586382742</v>
      </c>
      <c r="BL47" s="508">
        <v>7.5643983644391044</v>
      </c>
      <c r="BM47" s="508">
        <v>2.9951675952095069</v>
      </c>
      <c r="BO47" s="705">
        <v>41607</v>
      </c>
      <c r="BP47" s="324">
        <v>0</v>
      </c>
      <c r="BQ47" s="1">
        <v>5035950</v>
      </c>
      <c r="BR47" s="1">
        <v>11127132</v>
      </c>
      <c r="BS47" s="1">
        <v>6310099.7999999998</v>
      </c>
      <c r="BT47" s="1">
        <v>5970600</v>
      </c>
      <c r="BU47" s="708">
        <v>153402.67665978591</v>
      </c>
      <c r="BV47" s="708">
        <v>509866.00211189309</v>
      </c>
      <c r="BW47" s="708">
        <v>144414.10030668529</v>
      </c>
      <c r="BX47" s="708">
        <v>214415.58927759767</v>
      </c>
      <c r="BY47" s="709">
        <f t="shared" si="18"/>
        <v>0</v>
      </c>
      <c r="BZ47" s="709">
        <f t="shared" si="19"/>
        <v>0</v>
      </c>
      <c r="CA47" s="709">
        <f t="shared" si="20"/>
        <v>0</v>
      </c>
      <c r="CB47" s="709">
        <f t="shared" si="21"/>
        <v>0</v>
      </c>
      <c r="CC47" s="475">
        <f t="shared" si="22"/>
        <v>0</v>
      </c>
      <c r="CD47" s="475">
        <f t="shared" si="23"/>
        <v>0</v>
      </c>
      <c r="CE47" s="475">
        <f t="shared" si="24"/>
        <v>0</v>
      </c>
      <c r="CF47" s="475">
        <f t="shared" si="25"/>
        <v>0</v>
      </c>
      <c r="CG47" s="302">
        <f t="shared" si="90"/>
        <v>0</v>
      </c>
      <c r="CH47" s="302">
        <f t="shared" si="91"/>
        <v>0</v>
      </c>
      <c r="CI47" s="302">
        <f t="shared" si="92"/>
        <v>0</v>
      </c>
      <c r="CJ47" s="302">
        <f t="shared" si="93"/>
        <v>0</v>
      </c>
      <c r="CK47" s="302">
        <f t="shared" si="94"/>
        <v>0</v>
      </c>
      <c r="CL47" s="302">
        <f t="shared" si="94"/>
        <v>0</v>
      </c>
      <c r="CM47" s="302">
        <f t="shared" si="94"/>
        <v>0</v>
      </c>
      <c r="CN47" s="302">
        <f t="shared" si="94"/>
        <v>0</v>
      </c>
      <c r="CO47" s="710">
        <f t="shared" si="175"/>
        <v>0</v>
      </c>
      <c r="CP47" s="710">
        <f t="shared" si="176"/>
        <v>0</v>
      </c>
      <c r="CQ47" s="710">
        <f t="shared" si="177"/>
        <v>0</v>
      </c>
      <c r="CR47" s="710">
        <f t="shared" si="178"/>
        <v>0</v>
      </c>
      <c r="CS47" s="705">
        <v>41607</v>
      </c>
      <c r="CT47" s="711">
        <v>0.95299999999999996</v>
      </c>
      <c r="CU47" s="711">
        <v>0.83099999999999996</v>
      </c>
      <c r="CV47" s="713">
        <v>0.88600000000000001</v>
      </c>
      <c r="CW47" s="714">
        <v>0.95299999999999996</v>
      </c>
      <c r="CY47" s="727">
        <v>4.8767167595207939E-2</v>
      </c>
      <c r="CZ47" s="727">
        <v>2.2813321441361722E-2</v>
      </c>
      <c r="DA47" s="727">
        <v>3.4636398364439103E-2</v>
      </c>
      <c r="DB47" s="727">
        <v>2.6467167595209506E-2</v>
      </c>
      <c r="DC47" s="463">
        <f t="shared" si="161"/>
        <v>-4.8327400782378405</v>
      </c>
      <c r="DD47" s="463">
        <f t="shared" si="162"/>
        <v>-2.2027400782377526</v>
      </c>
      <c r="DE47" s="463">
        <f t="shared" si="163"/>
        <v>-3.4227400782377515</v>
      </c>
      <c r="DF47" s="463">
        <f t="shared" si="164"/>
        <v>-2.6727400782377231</v>
      </c>
      <c r="DG47" s="483">
        <f t="shared" si="30"/>
        <v>4.8327400782378405</v>
      </c>
      <c r="DH47" s="483">
        <f t="shared" si="31"/>
        <v>2.2027400782377526</v>
      </c>
      <c r="DI47" s="483">
        <f t="shared" si="32"/>
        <v>3.4227400782377515</v>
      </c>
      <c r="DJ47" s="483">
        <f t="shared" si="33"/>
        <v>2.6727400782377231</v>
      </c>
      <c r="DK47" s="483">
        <f t="shared" si="121"/>
        <v>0.18682376825846347</v>
      </c>
      <c r="DL47" s="483">
        <f t="shared" si="122"/>
        <v>0.95792486933004284</v>
      </c>
      <c r="DM47" s="483">
        <f t="shared" si="123"/>
        <v>0.25763805361416736</v>
      </c>
      <c r="DN47" s="483">
        <f t="shared" si="124"/>
        <v>0.40138542894607809</v>
      </c>
      <c r="DO47" s="483">
        <f t="shared" si="100"/>
        <v>22.571767810752373</v>
      </c>
      <c r="DP47" s="483">
        <f t="shared" si="101"/>
        <v>52.751487540348691</v>
      </c>
      <c r="DQ47" s="483">
        <f t="shared" si="102"/>
        <v>22.045702294609427</v>
      </c>
      <c r="DR47" s="483">
        <f t="shared" si="103"/>
        <v>26.819973069120568</v>
      </c>
      <c r="DS47" s="324">
        <v>2.9087999999999998</v>
      </c>
      <c r="DT47" s="324">
        <v>2.5199999999999996</v>
      </c>
      <c r="DU47" s="324">
        <v>2.7071999999999998</v>
      </c>
      <c r="DV47" s="324">
        <v>2.3472</v>
      </c>
      <c r="DW47" s="716"/>
      <c r="DX47" s="705">
        <v>41607</v>
      </c>
      <c r="DY47" s="716"/>
      <c r="DZ47" s="269">
        <f t="shared" si="192"/>
        <v>1.9239400782378406</v>
      </c>
      <c r="EA47" s="269"/>
      <c r="EB47" s="269">
        <f t="shared" si="191"/>
        <v>0.71554007823775168</v>
      </c>
      <c r="EC47" s="716">
        <f t="shared" si="190"/>
        <v>0.32554007823772313</v>
      </c>
      <c r="ED47" s="716"/>
      <c r="EE47" s="269">
        <f t="shared" si="179"/>
        <v>1.9239400782378406</v>
      </c>
      <c r="EF47" s="269">
        <f>-(EF46-EF52)/6+EF46</f>
        <v>0.26551478171396481</v>
      </c>
      <c r="EG47" s="269">
        <f t="shared" si="188"/>
        <v>0.71554007823775168</v>
      </c>
      <c r="EH47" s="269">
        <f t="shared" si="189"/>
        <v>0.32554007823772313</v>
      </c>
      <c r="EI47" s="716"/>
      <c r="EJ47" s="717">
        <f t="shared" si="36"/>
        <v>1575.9866673621609</v>
      </c>
      <c r="EK47" s="717">
        <f t="shared" si="37"/>
        <v>922.61986920866627</v>
      </c>
      <c r="EL47" s="717">
        <f t="shared" si="38"/>
        <v>755.61729466547683</v>
      </c>
      <c r="EM47" s="717">
        <f t="shared" si="39"/>
        <v>425.51914711239652</v>
      </c>
      <c r="EN47" s="716"/>
      <c r="EO47" s="269">
        <f t="shared" si="181"/>
        <v>1.8694568862322383</v>
      </c>
      <c r="EP47" s="269">
        <f t="shared" si="182"/>
        <v>0.55873025602301229</v>
      </c>
      <c r="EQ47" s="269">
        <f t="shared" si="183"/>
        <v>0.91577557754417893</v>
      </c>
      <c r="ER47" s="269">
        <f t="shared" si="184"/>
        <v>2.4587077677420091</v>
      </c>
      <c r="ES47" s="716"/>
      <c r="ET47" s="718">
        <f t="shared" si="40"/>
        <v>1531.3570111855474</v>
      </c>
      <c r="EU47" s="718">
        <f t="shared" si="41"/>
        <v>1941.4950550294113</v>
      </c>
      <c r="EV47" s="718">
        <f t="shared" si="42"/>
        <v>967.06793297848651</v>
      </c>
      <c r="EW47" s="718">
        <f t="shared" si="43"/>
        <v>3213.8200555576591</v>
      </c>
      <c r="EX47" s="716"/>
      <c r="EY47" s="705">
        <v>41607</v>
      </c>
      <c r="EZ47" s="716"/>
      <c r="FA47" s="766">
        <f t="shared" si="44"/>
        <v>1.0393431137677616</v>
      </c>
      <c r="FB47" s="766">
        <f t="shared" si="45"/>
        <v>1.3784950405007756</v>
      </c>
      <c r="FC47" s="766">
        <f t="shared" si="46"/>
        <v>1.7914244224558209</v>
      </c>
      <c r="FD47" s="766">
        <f t="shared" si="47"/>
        <v>-0.1115077677420091</v>
      </c>
      <c r="FE47" s="760"/>
      <c r="FF47" s="705">
        <v>41607</v>
      </c>
      <c r="FG47" s="760"/>
      <c r="FH47" s="766">
        <v>851.37313195997308</v>
      </c>
      <c r="FI47" s="766">
        <f t="shared" si="185"/>
        <v>4790.0418415941194</v>
      </c>
      <c r="FJ47" s="766">
        <f t="shared" si="186"/>
        <v>1891.7616453120072</v>
      </c>
      <c r="FK47" s="766">
        <f t="shared" si="187"/>
        <v>-145.75375936150596</v>
      </c>
      <c r="FL47" s="760"/>
      <c r="FM47" s="759">
        <f t="shared" si="95"/>
        <v>851.37313195997308</v>
      </c>
      <c r="FN47" s="759">
        <f t="shared" si="96"/>
        <v>4790.0418415941194</v>
      </c>
      <c r="FO47" s="759">
        <f t="shared" si="97"/>
        <v>1891.7616453120072</v>
      </c>
      <c r="FP47" s="759">
        <f t="shared" si="49"/>
        <v>-145.75375936150596</v>
      </c>
      <c r="FQ47" s="760"/>
      <c r="FR47" s="759">
        <f t="shared" si="50"/>
        <v>3958.7168105076817</v>
      </c>
      <c r="FS47" s="759">
        <f t="shared" si="51"/>
        <v>7654.1567658321974</v>
      </c>
      <c r="FT47" s="759">
        <f t="shared" si="52"/>
        <v>3614.4468729559708</v>
      </c>
      <c r="FU47" s="759">
        <f t="shared" si="53"/>
        <v>3639.3392026700558</v>
      </c>
      <c r="FV47" s="761"/>
      <c r="FW47" s="754">
        <v>41607</v>
      </c>
      <c r="FX47" s="761"/>
      <c r="FY47" s="759">
        <f t="shared" si="76"/>
        <v>311355.12441343884</v>
      </c>
      <c r="FZ47" s="759">
        <f t="shared" si="77"/>
        <v>489714.4358621838</v>
      </c>
      <c r="GA47" s="759">
        <f t="shared" si="78"/>
        <v>247168.87772724609</v>
      </c>
      <c r="GB47" s="759">
        <f t="shared" si="79"/>
        <v>280861.61768215935</v>
      </c>
      <c r="GC47" s="760"/>
      <c r="GD47" s="759">
        <f t="shared" si="54"/>
        <v>0.82345989445834289</v>
      </c>
      <c r="GE47" s="759">
        <f t="shared" si="54"/>
        <v>0.64201277241782484</v>
      </c>
      <c r="GF47" s="759">
        <f t="shared" si="55"/>
        <v>0.66360132648062187</v>
      </c>
      <c r="GG47" s="759">
        <f t="shared" si="56"/>
        <v>0.73301920365818307</v>
      </c>
      <c r="GH47" s="716"/>
      <c r="GI47" s="756">
        <f t="shared" si="57"/>
        <v>0</v>
      </c>
      <c r="GJ47" s="756">
        <f t="shared" si="58"/>
        <v>0</v>
      </c>
      <c r="GK47" s="756">
        <f t="shared" si="59"/>
        <v>0</v>
      </c>
      <c r="GL47" s="756">
        <f t="shared" si="60"/>
        <v>0</v>
      </c>
      <c r="GM47" s="716"/>
    </row>
    <row r="48" spans="1:195" s="472" customFormat="1">
      <c r="A48" s="464">
        <v>41608</v>
      </c>
      <c r="B48" s="465">
        <v>0.55000000000000004</v>
      </c>
      <c r="C48" s="466">
        <v>0</v>
      </c>
      <c r="D48" s="485">
        <v>2.0524875510489977</v>
      </c>
      <c r="E48" s="485">
        <v>1.8356616307483968</v>
      </c>
      <c r="F48" s="485">
        <v>1.6494972194786475</v>
      </c>
      <c r="G48" s="485">
        <v>-0.23206942474571016</v>
      </c>
      <c r="H48" s="487"/>
      <c r="I48" s="464">
        <v>41608</v>
      </c>
      <c r="J48" s="467"/>
      <c r="K48" s="467"/>
      <c r="L48" s="467"/>
      <c r="M48" s="467"/>
      <c r="N48" s="487"/>
      <c r="O48" s="464">
        <v>41608</v>
      </c>
      <c r="P48" s="467">
        <f t="shared" ref="P48:S51" si="193">D48+CO48</f>
        <v>2.1074875510489979</v>
      </c>
      <c r="Q48" s="467">
        <f t="shared" si="193"/>
        <v>1.8906616307483968</v>
      </c>
      <c r="R48" s="467">
        <f t="shared" si="193"/>
        <v>1.7044972194786474</v>
      </c>
      <c r="S48" s="467">
        <f t="shared" si="193"/>
        <v>-0.17706942474571016</v>
      </c>
      <c r="T48" s="464">
        <v>41608</v>
      </c>
      <c r="U48" s="468">
        <v>2.1578132536715544</v>
      </c>
      <c r="V48" s="468">
        <v>1.9182961022535756</v>
      </c>
      <c r="W48" s="468">
        <v>1.7264823717806985</v>
      </c>
      <c r="X48" s="468">
        <v>-0.13915567292868863</v>
      </c>
      <c r="Y48" s="487"/>
      <c r="Z48" s="464">
        <v>41608</v>
      </c>
      <c r="AA48" s="469">
        <v>41608</v>
      </c>
      <c r="AB48" s="466">
        <v>0</v>
      </c>
      <c r="AC48" s="470">
        <v>1.7149452480592271</v>
      </c>
      <c r="AD48" s="468">
        <v>2.1578132536715544</v>
      </c>
      <c r="AE48" s="468">
        <f t="shared" si="82"/>
        <v>1728.5228233156668</v>
      </c>
      <c r="AF48" s="471">
        <v>2.9501452480592274</v>
      </c>
      <c r="AG48" s="468">
        <v>1.9182961022535756</v>
      </c>
      <c r="AH48" s="468">
        <f t="shared" si="83"/>
        <v>6509.8822644961092</v>
      </c>
      <c r="AI48" s="471">
        <v>3.339745248059228</v>
      </c>
      <c r="AJ48" s="468">
        <v>1.7264823717806985</v>
      </c>
      <c r="AK48" s="468">
        <f t="shared" si="84"/>
        <v>1781.2606071207381</v>
      </c>
      <c r="AL48" s="471">
        <v>2.8603452480592284</v>
      </c>
      <c r="AM48" s="468">
        <v>-0.13915567292868863</v>
      </c>
      <c r="AN48" s="468">
        <f t="shared" si="85"/>
        <v>-176.62003488026886</v>
      </c>
      <c r="AO48" s="464">
        <v>41608</v>
      </c>
      <c r="AP48" s="483">
        <v>8.0105301993791969</v>
      </c>
      <c r="AQ48" s="483">
        <v>33.935752967690604</v>
      </c>
      <c r="AR48" s="483">
        <v>10.317282332188201</v>
      </c>
      <c r="AS48" s="483">
        <v>12.692262641047995</v>
      </c>
      <c r="AT48" s="483">
        <f t="shared" si="86"/>
        <v>0.28609036426354273</v>
      </c>
      <c r="AU48" s="483">
        <f t="shared" si="87"/>
        <v>0.57518225368967124</v>
      </c>
      <c r="AV48" s="483">
        <f t="shared" si="88"/>
        <v>0.51586411660941001</v>
      </c>
      <c r="AW48" s="483">
        <f t="shared" si="89"/>
        <v>0.66801382321305236</v>
      </c>
      <c r="AY48" s="470">
        <v>1.7149452480592271</v>
      </c>
      <c r="AZ48" s="471">
        <v>2.9501452480592274</v>
      </c>
      <c r="BA48" s="471">
        <v>3.339745248059228</v>
      </c>
      <c r="BB48" s="471">
        <v>2.8603452480592284</v>
      </c>
      <c r="BD48" s="232"/>
      <c r="BE48" s="472">
        <v>-1.8211124489510021E-2</v>
      </c>
      <c r="BF48" s="472">
        <v>-5.403383692516037E-3</v>
      </c>
      <c r="BG48" s="472">
        <v>-9.137027805213525E-3</v>
      </c>
      <c r="BH48" s="472">
        <v>-2.4496694247457103E-2</v>
      </c>
      <c r="BI48" s="232"/>
      <c r="BJ48" s="507">
        <v>4.0133487184085208</v>
      </c>
      <c r="BK48" s="507">
        <v>1.9662717953308206</v>
      </c>
      <c r="BL48" s="507">
        <v>1.2635025645620805</v>
      </c>
      <c r="BM48" s="507">
        <v>3.8579641030236091</v>
      </c>
      <c r="BN48" s="232"/>
      <c r="BO48" s="464">
        <v>41608</v>
      </c>
      <c r="BP48" s="473">
        <v>0</v>
      </c>
      <c r="BQ48" s="1">
        <v>5035950</v>
      </c>
      <c r="BR48" s="1">
        <v>11127132</v>
      </c>
      <c r="BS48" s="1">
        <v>6310099.7999999998</v>
      </c>
      <c r="BT48" s="1">
        <v>5970600</v>
      </c>
      <c r="BU48" s="474">
        <v>153402.67665978591</v>
      </c>
      <c r="BV48" s="474">
        <v>509866.00211189309</v>
      </c>
      <c r="BW48" s="474">
        <v>144414.10030668529</v>
      </c>
      <c r="BX48" s="474">
        <v>214415.58927759767</v>
      </c>
      <c r="BY48" s="556">
        <f t="shared" si="18"/>
        <v>2769.7725</v>
      </c>
      <c r="BZ48" s="556">
        <f t="shared" si="19"/>
        <v>6119.9226000000008</v>
      </c>
      <c r="CA48" s="556">
        <f t="shared" si="20"/>
        <v>3470.5548899999999</v>
      </c>
      <c r="CB48" s="556">
        <f t="shared" si="21"/>
        <v>3283.8300000000004</v>
      </c>
      <c r="CC48" s="475">
        <f t="shared" si="22"/>
        <v>0</v>
      </c>
      <c r="CD48" s="475">
        <f t="shared" si="23"/>
        <v>0</v>
      </c>
      <c r="CE48" s="475">
        <f t="shared" si="24"/>
        <v>0</v>
      </c>
      <c r="CF48" s="475">
        <f t="shared" si="25"/>
        <v>0</v>
      </c>
      <c r="CG48" s="476">
        <f t="shared" si="90"/>
        <v>84.371472162882256</v>
      </c>
      <c r="CH48" s="476">
        <f t="shared" si="91"/>
        <v>280.42630116154123</v>
      </c>
      <c r="CI48" s="476">
        <f t="shared" si="92"/>
        <v>79.42775516867691</v>
      </c>
      <c r="CJ48" s="476">
        <f t="shared" si="93"/>
        <v>117.92857410267872</v>
      </c>
      <c r="CK48" s="476">
        <f t="shared" si="94"/>
        <v>84.371472162882256</v>
      </c>
      <c r="CL48" s="476">
        <f t="shared" si="94"/>
        <v>280.42630116154123</v>
      </c>
      <c r="CM48" s="476">
        <f t="shared" si="94"/>
        <v>79.42775516867691</v>
      </c>
      <c r="CN48" s="476">
        <f t="shared" si="94"/>
        <v>117.92857410267872</v>
      </c>
      <c r="CO48" s="477">
        <f t="shared" ref="CO48:CO51" si="194">CK48/BU48*100</f>
        <v>5.5E-2</v>
      </c>
      <c r="CP48" s="477">
        <f t="shared" ref="CP48:CP51" si="195">CL48/BV48*100</f>
        <v>5.5E-2</v>
      </c>
      <c r="CQ48" s="477">
        <f t="shared" ref="CQ48:CQ51" si="196">CM48/BW48*100</f>
        <v>5.5E-2</v>
      </c>
      <c r="CR48" s="477">
        <f t="shared" ref="CR48:CR51" si="197">CN48/BX48*100</f>
        <v>5.5E-2</v>
      </c>
      <c r="CS48" s="464">
        <v>41608</v>
      </c>
      <c r="CT48" s="478">
        <v>0.98399999999999999</v>
      </c>
      <c r="CU48" s="478">
        <v>0.89900000000000002</v>
      </c>
      <c r="CV48" s="480">
        <v>0.94799999999999995</v>
      </c>
      <c r="CW48" s="481">
        <v>0.95899999999999996</v>
      </c>
      <c r="CY48" s="521">
        <v>4.274934871840852E-2</v>
      </c>
      <c r="CZ48" s="521">
        <v>2.5726271795330824E-2</v>
      </c>
      <c r="DA48" s="521">
        <v>2.6895502564562079E-2</v>
      </c>
      <c r="DB48" s="521">
        <v>2.603396410302361E-2</v>
      </c>
      <c r="DC48" s="483">
        <f t="shared" si="161"/>
        <v>-4.2970962192704576</v>
      </c>
      <c r="DD48" s="483">
        <f t="shared" si="162"/>
        <v>-2.5870962192703573</v>
      </c>
      <c r="DE48" s="483">
        <f t="shared" si="163"/>
        <v>-2.7470962192705173</v>
      </c>
      <c r="DF48" s="483">
        <f t="shared" si="164"/>
        <v>-2.5870962192705349</v>
      </c>
      <c r="DG48" s="483">
        <f t="shared" si="30"/>
        <v>4.2970962192704576</v>
      </c>
      <c r="DH48" s="483">
        <f t="shared" si="31"/>
        <v>2.5870962192703573</v>
      </c>
      <c r="DI48" s="483">
        <f t="shared" si="32"/>
        <v>2.7470962192705173</v>
      </c>
      <c r="DJ48" s="483">
        <f t="shared" si="33"/>
        <v>2.5870962192705349</v>
      </c>
      <c r="DK48" s="483">
        <f t="shared" si="121"/>
        <v>0.18092381308477634</v>
      </c>
      <c r="DL48" s="483">
        <f t="shared" si="122"/>
        <v>0.81258997777263886</v>
      </c>
      <c r="DM48" s="483">
        <f t="shared" si="123"/>
        <v>0.24281510535056228</v>
      </c>
      <c r="DN48" s="483">
        <f t="shared" si="124"/>
        <v>0.37891278582723231</v>
      </c>
      <c r="DO48" s="483">
        <f t="shared" si="100"/>
        <v>19.436175829564682</v>
      </c>
      <c r="DP48" s="483">
        <f t="shared" si="101"/>
        <v>52.55621148281444</v>
      </c>
      <c r="DQ48" s="483">
        <f t="shared" si="102"/>
        <v>16.675911447257548</v>
      </c>
      <c r="DR48" s="483">
        <f t="shared" si="103"/>
        <v>24.507095891172465</v>
      </c>
      <c r="DS48" s="473"/>
      <c r="DT48" s="473"/>
      <c r="DU48" s="473"/>
      <c r="DV48" s="473"/>
      <c r="DW48" s="552"/>
      <c r="DX48" s="532">
        <v>41608</v>
      </c>
      <c r="DY48" s="552"/>
      <c r="DZ48" s="473"/>
      <c r="EA48" s="473"/>
      <c r="EB48" s="473"/>
      <c r="EC48" s="545"/>
      <c r="ED48" s="552"/>
      <c r="EE48" s="473">
        <f>-(EE$46-EE$52)/5+EE46</f>
        <v>0.82744193273086319</v>
      </c>
      <c r="EF48" s="527">
        <f>-(EF47-EF53)/6+EF47</f>
        <v>0.33770104110481197</v>
      </c>
      <c r="EG48" s="527">
        <f t="shared" ref="EG48:EH51" si="198">-(EG$47-EG$52)/5+EG47</f>
        <v>0.90437077401777366</v>
      </c>
      <c r="EH48" s="527">
        <f t="shared" si="198"/>
        <v>0.28237077401775379</v>
      </c>
      <c r="EI48" s="552"/>
      <c r="EJ48" s="503">
        <f t="shared" si="36"/>
        <v>662.82485903732686</v>
      </c>
      <c r="EK48" s="503">
        <f t="shared" si="37"/>
        <v>1146.0139107864829</v>
      </c>
      <c r="EL48" s="503">
        <f t="shared" si="38"/>
        <v>933.0648608520944</v>
      </c>
      <c r="EM48" s="503">
        <f t="shared" si="39"/>
        <v>358.39240259893421</v>
      </c>
      <c r="EN48" s="552"/>
      <c r="EO48" s="503">
        <f t="shared" si="181"/>
        <v>1.8211124489510022</v>
      </c>
      <c r="EP48" s="503">
        <f t="shared" si="182"/>
        <v>0.54033836925160372</v>
      </c>
      <c r="EQ48" s="503">
        <f t="shared" si="183"/>
        <v>0.91370278052135245</v>
      </c>
      <c r="ER48" s="503">
        <f t="shared" si="184"/>
        <v>2.4496694247457103</v>
      </c>
      <c r="ES48" s="552"/>
      <c r="ET48" s="554">
        <f t="shared" si="40"/>
        <v>1458.8076268787408</v>
      </c>
      <c r="EU48" s="554">
        <f t="shared" si="41"/>
        <v>1833.6789417887212</v>
      </c>
      <c r="EV48" s="554">
        <f t="shared" si="42"/>
        <v>942.69295543441831</v>
      </c>
      <c r="EW48" s="554">
        <f t="shared" si="43"/>
        <v>3109.1847722617513</v>
      </c>
      <c r="EX48" s="552"/>
      <c r="EY48" s="532">
        <v>41608</v>
      </c>
      <c r="EZ48" s="552"/>
      <c r="FA48" s="745">
        <f t="shared" si="44"/>
        <v>1.7035418375885922</v>
      </c>
      <c r="FB48" s="745">
        <f t="shared" si="45"/>
        <v>1.7640568089139417</v>
      </c>
      <c r="FC48" s="745">
        <f t="shared" si="46"/>
        <v>0.98402266473139122</v>
      </c>
      <c r="FD48" s="745">
        <f t="shared" si="47"/>
        <v>-8.9943979492929316E-2</v>
      </c>
      <c r="FE48" s="761"/>
      <c r="FF48" s="532">
        <v>41608</v>
      </c>
      <c r="FG48" s="761"/>
      <c r="FH48" s="745">
        <v>1364.627333590935</v>
      </c>
      <c r="FI48" s="745">
        <f t="shared" si="185"/>
        <v>5986.4596088276112</v>
      </c>
      <c r="FJ48" s="745">
        <f t="shared" si="186"/>
        <v>1015.2439653305935</v>
      </c>
      <c r="FK48" s="745">
        <f t="shared" si="187"/>
        <v>-114.15926107052935</v>
      </c>
      <c r="FL48" s="761"/>
      <c r="FM48" s="756">
        <f t="shared" si="95"/>
        <v>1364.627333590935</v>
      </c>
      <c r="FN48" s="756">
        <f t="shared" si="96"/>
        <v>5986.4596088276112</v>
      </c>
      <c r="FO48" s="756">
        <f t="shared" si="97"/>
        <v>1015.2439653305935</v>
      </c>
      <c r="FP48" s="756">
        <f t="shared" si="49"/>
        <v>-114.15926107052935</v>
      </c>
      <c r="FQ48" s="761"/>
      <c r="FR48" s="756">
        <f t="shared" si="50"/>
        <v>3486.2598195070027</v>
      </c>
      <c r="FS48" s="756">
        <f t="shared" si="51"/>
        <v>8966.1524614028149</v>
      </c>
      <c r="FT48" s="756">
        <f t="shared" si="52"/>
        <v>2891.0017816171062</v>
      </c>
      <c r="FU48" s="756">
        <f t="shared" si="53"/>
        <v>3467.5771748606853</v>
      </c>
      <c r="FV48" s="761"/>
      <c r="FW48" s="755">
        <v>41608</v>
      </c>
      <c r="FX48" s="761"/>
      <c r="FY48" s="756">
        <f t="shared" si="76"/>
        <v>314841.38423294586</v>
      </c>
      <c r="FZ48" s="756">
        <f t="shared" si="77"/>
        <v>498680.58832358662</v>
      </c>
      <c r="GA48" s="756">
        <f t="shared" si="78"/>
        <v>250059.8795088632</v>
      </c>
      <c r="GB48" s="756">
        <f t="shared" si="79"/>
        <v>284329.19485702005</v>
      </c>
      <c r="GC48" s="761"/>
      <c r="GD48" s="756">
        <f t="shared" si="54"/>
        <v>0.83268021851253626</v>
      </c>
      <c r="GE48" s="756">
        <f t="shared" si="54"/>
        <v>0.65376734605936249</v>
      </c>
      <c r="GF48" s="756">
        <f t="shared" si="55"/>
        <v>0.67136311524132508</v>
      </c>
      <c r="GG48" s="756">
        <f t="shared" si="56"/>
        <v>0.74206921440837437</v>
      </c>
      <c r="GH48" s="552"/>
      <c r="GI48" s="756">
        <f t="shared" si="57"/>
        <v>0</v>
      </c>
      <c r="GJ48" s="756">
        <f t="shared" si="58"/>
        <v>0</v>
      </c>
      <c r="GK48" s="756">
        <f t="shared" si="59"/>
        <v>0</v>
      </c>
      <c r="GL48" s="756">
        <f t="shared" si="60"/>
        <v>0</v>
      </c>
      <c r="GM48" s="552"/>
    </row>
    <row r="49" spans="1:195" s="472" customFormat="1">
      <c r="A49" s="464">
        <v>41609</v>
      </c>
      <c r="B49" s="465">
        <v>2.4500000000000002</v>
      </c>
      <c r="C49" s="466">
        <v>0</v>
      </c>
      <c r="D49" s="485">
        <v>2.4597116850776785E-2</v>
      </c>
      <c r="E49" s="485">
        <v>-0.32164703267908445</v>
      </c>
      <c r="F49" s="485">
        <v>0.90251670911935233</v>
      </c>
      <c r="G49" s="485">
        <v>-1.6065825158820306</v>
      </c>
      <c r="H49" s="487"/>
      <c r="I49" s="464">
        <v>41609</v>
      </c>
      <c r="J49" s="467"/>
      <c r="K49" s="467"/>
      <c r="L49" s="467"/>
      <c r="M49" s="467"/>
      <c r="N49" s="487"/>
      <c r="O49" s="464">
        <v>41609</v>
      </c>
      <c r="P49" s="467">
        <f t="shared" si="193"/>
        <v>0.26959711685077681</v>
      </c>
      <c r="Q49" s="467">
        <f t="shared" si="193"/>
        <v>-7.6647032679084431E-2</v>
      </c>
      <c r="R49" s="467">
        <f t="shared" si="193"/>
        <v>1.1475167091193523</v>
      </c>
      <c r="S49" s="467">
        <f t="shared" si="193"/>
        <v>-1.3615825158820305</v>
      </c>
      <c r="T49" s="464">
        <v>41609</v>
      </c>
      <c r="U49" s="468">
        <v>0.50832981460289406</v>
      </c>
      <c r="V49" s="468">
        <v>5.4432920212540703E-2</v>
      </c>
      <c r="W49" s="468">
        <v>1.2517731344668657</v>
      </c>
      <c r="X49" s="468">
        <v>-1.180156444785271</v>
      </c>
      <c r="Y49" s="487"/>
      <c r="Z49" s="464">
        <v>41609</v>
      </c>
      <c r="AA49" s="469">
        <v>41609</v>
      </c>
      <c r="AB49" s="466">
        <v>0</v>
      </c>
      <c r="AC49" s="470">
        <v>1.6719742858665225</v>
      </c>
      <c r="AD49" s="468">
        <v>0.50832981460289406</v>
      </c>
      <c r="AE49" s="468">
        <f t="shared" si="82"/>
        <v>394.94731004051232</v>
      </c>
      <c r="AF49" s="471">
        <v>2.9242742858665238</v>
      </c>
      <c r="AG49" s="468">
        <v>5.4432920212540703E-2</v>
      </c>
      <c r="AH49" s="468">
        <f t="shared" si="83"/>
        <v>180.80214921506777</v>
      </c>
      <c r="AI49" s="471">
        <v>3.3122742858665228</v>
      </c>
      <c r="AJ49" s="468">
        <v>1.2517731344668657</v>
      </c>
      <c r="AK49" s="468">
        <f t="shared" si="84"/>
        <v>1268.1099353132558</v>
      </c>
      <c r="AL49" s="471">
        <v>2.8344742858665231</v>
      </c>
      <c r="AM49" s="468">
        <v>-1.180156444785271</v>
      </c>
      <c r="AN49" s="468">
        <f t="shared" si="85"/>
        <v>-1453.8455641303376</v>
      </c>
      <c r="AO49" s="464">
        <v>41609</v>
      </c>
      <c r="AP49" s="483">
        <v>7.7695090607471862</v>
      </c>
      <c r="AQ49" s="483">
        <v>33.215588748334895</v>
      </c>
      <c r="AR49" s="483">
        <v>10.13050927837134</v>
      </c>
      <c r="AS49" s="483">
        <v>12.319091850528888</v>
      </c>
      <c r="AT49" s="483">
        <f t="shared" si="86"/>
        <v>0.27748246645525665</v>
      </c>
      <c r="AU49" s="483">
        <f t="shared" si="87"/>
        <v>0.56297608048025249</v>
      </c>
      <c r="AV49" s="483">
        <f t="shared" si="88"/>
        <v>0.50652546391856701</v>
      </c>
      <c r="AW49" s="483">
        <f t="shared" si="89"/>
        <v>0.6483732552909941</v>
      </c>
      <c r="AY49" s="470">
        <v>1.6719742858665225</v>
      </c>
      <c r="AZ49" s="471">
        <v>2.9242742858665238</v>
      </c>
      <c r="BA49" s="471">
        <v>3.3122742858665228</v>
      </c>
      <c r="BB49" s="471">
        <v>2.8344742858665231</v>
      </c>
      <c r="BD49" s="232"/>
      <c r="BE49" s="472">
        <v>-1.7754028831492234E-2</v>
      </c>
      <c r="BF49" s="472">
        <v>-5.1748703267908442E-3</v>
      </c>
      <c r="BG49" s="472">
        <v>-9.1188329088064766E-3</v>
      </c>
      <c r="BH49" s="472">
        <v>-2.4389025158820306E-2</v>
      </c>
      <c r="BI49" s="232"/>
      <c r="BJ49" s="507">
        <v>15.449267552628779</v>
      </c>
      <c r="BK49" s="507">
        <v>20.84471370647503</v>
      </c>
      <c r="BL49" s="507">
        <v>19.059113706474776</v>
      </c>
      <c r="BM49" s="507">
        <v>18.164529091089651</v>
      </c>
      <c r="BN49" s="232"/>
      <c r="BO49" s="464">
        <v>41609</v>
      </c>
      <c r="BP49" s="473">
        <v>0</v>
      </c>
      <c r="BQ49" s="1">
        <v>5035950</v>
      </c>
      <c r="BR49" s="1">
        <v>11127132</v>
      </c>
      <c r="BS49" s="1">
        <v>6310099.7999999998</v>
      </c>
      <c r="BT49" s="1">
        <v>5970600</v>
      </c>
      <c r="BU49" s="474">
        <v>153402.67665978591</v>
      </c>
      <c r="BV49" s="474">
        <v>509866.00211189309</v>
      </c>
      <c r="BW49" s="474">
        <v>144414.10030668529</v>
      </c>
      <c r="BX49" s="474">
        <v>214415.58927759767</v>
      </c>
      <c r="BY49" s="556">
        <f t="shared" si="18"/>
        <v>12338.077500000001</v>
      </c>
      <c r="BZ49" s="556">
        <f t="shared" si="19"/>
        <v>27261.473400000003</v>
      </c>
      <c r="CA49" s="556">
        <f t="shared" si="20"/>
        <v>15459.744510000002</v>
      </c>
      <c r="CB49" s="556">
        <f t="shared" si="21"/>
        <v>14627.970000000003</v>
      </c>
      <c r="CC49" s="475">
        <f t="shared" si="22"/>
        <v>0</v>
      </c>
      <c r="CD49" s="475">
        <f t="shared" si="23"/>
        <v>0</v>
      </c>
      <c r="CE49" s="475">
        <f t="shared" si="24"/>
        <v>0</v>
      </c>
      <c r="CF49" s="475">
        <f t="shared" si="25"/>
        <v>0</v>
      </c>
      <c r="CG49" s="476">
        <f t="shared" si="90"/>
        <v>375.83655781647553</v>
      </c>
      <c r="CH49" s="476">
        <f t="shared" si="91"/>
        <v>1249.1717051741382</v>
      </c>
      <c r="CI49" s="476">
        <f t="shared" si="92"/>
        <v>353.814545751379</v>
      </c>
      <c r="CJ49" s="476">
        <f t="shared" si="93"/>
        <v>525.31819373011433</v>
      </c>
      <c r="CK49" s="476">
        <f t="shared" si="94"/>
        <v>375.83655781647553</v>
      </c>
      <c r="CL49" s="476">
        <f t="shared" si="94"/>
        <v>1249.1717051741382</v>
      </c>
      <c r="CM49" s="476">
        <f t="shared" si="94"/>
        <v>353.814545751379</v>
      </c>
      <c r="CN49" s="476">
        <f t="shared" si="94"/>
        <v>525.31819373011433</v>
      </c>
      <c r="CO49" s="477">
        <f t="shared" si="194"/>
        <v>0.24500000000000002</v>
      </c>
      <c r="CP49" s="477">
        <f t="shared" si="195"/>
        <v>0.24500000000000002</v>
      </c>
      <c r="CQ49" s="477">
        <f t="shared" si="196"/>
        <v>0.24500000000000002</v>
      </c>
      <c r="CR49" s="477">
        <f t="shared" si="197"/>
        <v>0.24500000000000002</v>
      </c>
      <c r="CS49" s="464">
        <v>41609</v>
      </c>
      <c r="CT49" s="478">
        <v>0.50873000000000002</v>
      </c>
      <c r="CU49" s="478">
        <v>1.7999999999999999E-2</v>
      </c>
      <c r="CV49" s="480">
        <v>0.85299999999999998</v>
      </c>
      <c r="CW49" s="481">
        <v>0.434</v>
      </c>
      <c r="CY49" s="521">
        <v>3.3449267552628781E-2</v>
      </c>
      <c r="CZ49" s="521">
        <v>2.2803113706475031E-2</v>
      </c>
      <c r="DA49" s="521">
        <v>3.7203113706474777E-2</v>
      </c>
      <c r="DB49" s="521">
        <v>2.6487729091089651E-2</v>
      </c>
      <c r="DC49" s="483">
        <f t="shared" si="161"/>
        <v>-3.3323516666456499</v>
      </c>
      <c r="DD49" s="483">
        <f t="shared" si="162"/>
        <v>-2.3023516666457411</v>
      </c>
      <c r="DE49" s="483">
        <f t="shared" si="163"/>
        <v>-3.672351666645568</v>
      </c>
      <c r="DF49" s="483">
        <f t="shared" si="164"/>
        <v>-2.6223516666457058</v>
      </c>
      <c r="DG49" s="483">
        <f t="shared" si="30"/>
        <v>3.3323516666456499</v>
      </c>
      <c r="DH49" s="483">
        <f t="shared" si="31"/>
        <v>2.3023516666457411</v>
      </c>
      <c r="DI49" s="483">
        <f t="shared" si="32"/>
        <v>3.672351666645568</v>
      </c>
      <c r="DJ49" s="483">
        <f t="shared" si="33"/>
        <v>2.6223516666457058</v>
      </c>
      <c r="DK49" s="483">
        <f t="shared" si="121"/>
        <v>0.24102113863201069</v>
      </c>
      <c r="DL49" s="483">
        <f t="shared" si="122"/>
        <v>0.72016421935570918</v>
      </c>
      <c r="DM49" s="483">
        <f t="shared" si="123"/>
        <v>0.18677305381686082</v>
      </c>
      <c r="DN49" s="483">
        <f t="shared" si="124"/>
        <v>0.37317079051910618</v>
      </c>
      <c r="DO49" s="483">
        <f t="shared" si="100"/>
        <v>20.07917982543033</v>
      </c>
      <c r="DP49" s="483">
        <f t="shared" si="101"/>
        <v>41.45178226730615</v>
      </c>
      <c r="DQ49" s="483">
        <f t="shared" si="102"/>
        <v>17.14740838672078</v>
      </c>
      <c r="DR49" s="483">
        <f t="shared" si="103"/>
        <v>24.464626111531842</v>
      </c>
      <c r="DS49" s="473"/>
      <c r="DT49" s="473"/>
      <c r="DU49" s="473"/>
      <c r="DV49" s="473"/>
      <c r="DW49" s="552"/>
      <c r="DX49" s="532">
        <v>41609</v>
      </c>
      <c r="DY49" s="552"/>
      <c r="DZ49" s="473"/>
      <c r="EA49" s="473"/>
      <c r="EB49" s="473"/>
      <c r="EC49" s="545"/>
      <c r="ED49" s="552"/>
      <c r="EE49" s="473">
        <f>-(EE$46-EE$52)/5+EE48</f>
        <v>0.74300483883262447</v>
      </c>
      <c r="EF49" s="527">
        <f>-(EF48-EF54)/6+EF48</f>
        <v>0.5497049522342099</v>
      </c>
      <c r="EG49" s="527">
        <f t="shared" si="198"/>
        <v>1.0932014697977956</v>
      </c>
      <c r="EH49" s="527">
        <f t="shared" si="198"/>
        <v>0.23920146979778442</v>
      </c>
      <c r="EI49" s="552"/>
      <c r="EJ49" s="503">
        <f t="shared" si="36"/>
        <v>577.27828274890783</v>
      </c>
      <c r="EK49" s="503">
        <f t="shared" si="37"/>
        <v>1825.8773626334594</v>
      </c>
      <c r="EL49" s="503">
        <f t="shared" si="38"/>
        <v>1107.4687632915757</v>
      </c>
      <c r="EM49" s="503">
        <f t="shared" si="39"/>
        <v>294.67448772204182</v>
      </c>
      <c r="EN49" s="552"/>
      <c r="EO49" s="503">
        <f t="shared" si="181"/>
        <v>1.7754028831492235</v>
      </c>
      <c r="EP49" s="503">
        <f t="shared" si="182"/>
        <v>0.51748703267908447</v>
      </c>
      <c r="EQ49" s="503">
        <f t="shared" si="183"/>
        <v>0.91188329088064768</v>
      </c>
      <c r="ER49" s="503">
        <f t="shared" si="184"/>
        <v>2.4389025158820306</v>
      </c>
      <c r="ES49" s="552"/>
      <c r="ET49" s="554">
        <f t="shared" si="40"/>
        <v>1379.4008787104569</v>
      </c>
      <c r="EU49" s="554">
        <f t="shared" si="41"/>
        <v>1718.8636460064611</v>
      </c>
      <c r="EV49" s="554">
        <f t="shared" si="42"/>
        <v>923.78421390581934</v>
      </c>
      <c r="EW49" s="554">
        <f t="shared" si="43"/>
        <v>3004.5064107636726</v>
      </c>
      <c r="EX49" s="552"/>
      <c r="EY49" s="532">
        <v>41609</v>
      </c>
      <c r="EZ49" s="552"/>
      <c r="FA49" s="745">
        <f t="shared" si="44"/>
        <v>1.058943944663802</v>
      </c>
      <c r="FB49" s="745">
        <f t="shared" si="45"/>
        <v>1.4801596817324467</v>
      </c>
      <c r="FC49" s="745">
        <f t="shared" si="46"/>
        <v>1.9122669059671247</v>
      </c>
      <c r="FD49" s="745">
        <f t="shared" si="47"/>
        <v>0.18924768096589073</v>
      </c>
      <c r="FE49" s="761"/>
      <c r="FF49" s="532">
        <v>41609</v>
      </c>
      <c r="FG49" s="761"/>
      <c r="FH49" s="745">
        <v>822.74745728887763</v>
      </c>
      <c r="FI49" s="745">
        <f t="shared" si="185"/>
        <v>4916.4375270291221</v>
      </c>
      <c r="FJ49" s="745">
        <f t="shared" si="186"/>
        <v>1937.223763362241</v>
      </c>
      <c r="FK49" s="745">
        <f t="shared" si="187"/>
        <v>233.13595643183956</v>
      </c>
      <c r="FL49" s="761"/>
      <c r="FM49" s="756">
        <f t="shared" si="95"/>
        <v>822.74745728887763</v>
      </c>
      <c r="FN49" s="756">
        <f t="shared" si="96"/>
        <v>4916.4375270291221</v>
      </c>
      <c r="FO49" s="756">
        <f t="shared" si="97"/>
        <v>1937.223763362241</v>
      </c>
      <c r="FP49" s="756">
        <f t="shared" si="49"/>
        <v>233.13595643183956</v>
      </c>
      <c r="FQ49" s="761"/>
      <c r="FR49" s="756">
        <f t="shared" si="50"/>
        <v>2779.4266187482422</v>
      </c>
      <c r="FS49" s="756">
        <f t="shared" si="51"/>
        <v>8461.1785356690416</v>
      </c>
      <c r="FT49" s="756">
        <f t="shared" si="52"/>
        <v>3968.4767405596358</v>
      </c>
      <c r="FU49" s="756">
        <f t="shared" si="53"/>
        <v>3532.3168549175539</v>
      </c>
      <c r="FV49" s="761"/>
      <c r="FW49" s="755">
        <v>41609</v>
      </c>
      <c r="FX49" s="761"/>
      <c r="FY49" s="756">
        <f t="shared" si="76"/>
        <v>317620.81085169408</v>
      </c>
      <c r="FZ49" s="756">
        <f t="shared" si="77"/>
        <v>507141.76685925567</v>
      </c>
      <c r="GA49" s="756">
        <f t="shared" si="78"/>
        <v>254028.35624942282</v>
      </c>
      <c r="GB49" s="756">
        <f t="shared" si="79"/>
        <v>287861.51171193761</v>
      </c>
      <c r="GC49" s="761"/>
      <c r="GD49" s="756">
        <f t="shared" si="54"/>
        <v>0.8400311376741878</v>
      </c>
      <c r="GE49" s="756">
        <f t="shared" si="54"/>
        <v>0.66485990182616006</v>
      </c>
      <c r="GF49" s="756">
        <f t="shared" si="55"/>
        <v>0.68201771890080742</v>
      </c>
      <c r="GG49" s="756">
        <f t="shared" si="56"/>
        <v>0.75128818889633808</v>
      </c>
      <c r="GH49" s="552"/>
      <c r="GI49" s="756">
        <f t="shared" si="57"/>
        <v>0</v>
      </c>
      <c r="GJ49" s="756">
        <f t="shared" si="58"/>
        <v>0</v>
      </c>
      <c r="GK49" s="756">
        <f t="shared" si="59"/>
        <v>0</v>
      </c>
      <c r="GL49" s="756">
        <f t="shared" si="60"/>
        <v>0</v>
      </c>
      <c r="GM49" s="552"/>
    </row>
    <row r="50" spans="1:195" s="472" customFormat="1">
      <c r="A50" s="464">
        <v>41610</v>
      </c>
      <c r="B50" s="465">
        <v>15.1</v>
      </c>
      <c r="C50" s="466">
        <v>0</v>
      </c>
      <c r="D50" s="485">
        <v>-1.7380472345476576</v>
      </c>
      <c r="E50" s="467">
        <v>-0.49595747283023978</v>
      </c>
      <c r="F50" s="467">
        <v>-0.90922310240528026</v>
      </c>
      <c r="G50" s="467">
        <v>-2.425812093000387</v>
      </c>
      <c r="H50" s="468"/>
      <c r="I50" s="464">
        <v>41610</v>
      </c>
      <c r="J50" s="467"/>
      <c r="K50" s="467"/>
      <c r="L50" s="467"/>
      <c r="M50" s="467"/>
      <c r="N50" s="468"/>
      <c r="O50" s="464">
        <v>41610</v>
      </c>
      <c r="P50" s="484">
        <f t="shared" si="193"/>
        <v>1.0112213143422459</v>
      </c>
      <c r="Q50" s="467">
        <f t="shared" si="193"/>
        <v>2.0026534122104565</v>
      </c>
      <c r="R50" s="467">
        <f t="shared" si="193"/>
        <v>2.2502437221231602</v>
      </c>
      <c r="S50" s="467">
        <f t="shared" si="193"/>
        <v>0.34560822121861579</v>
      </c>
      <c r="T50" s="464">
        <v>41610</v>
      </c>
      <c r="U50" s="468">
        <v>5.3533495456826321</v>
      </c>
      <c r="V50" s="468">
        <v>2.6562571377535624</v>
      </c>
      <c r="W50" s="468">
        <v>2.4471284727742457</v>
      </c>
      <c r="X50" s="468">
        <v>1.7870903920482992</v>
      </c>
      <c r="Y50" s="468"/>
      <c r="Z50" s="464">
        <v>41610</v>
      </c>
      <c r="AA50" s="469">
        <v>41610</v>
      </c>
      <c r="AB50" s="466">
        <v>0</v>
      </c>
      <c r="AC50" s="470">
        <v>1.638650769200066</v>
      </c>
      <c r="AD50" s="468">
        <f>0.78*AC50-0.57</f>
        <v>0.7081475999760517</v>
      </c>
      <c r="AE50" s="468">
        <f t="shared" si="82"/>
        <v>535.05983069380784</v>
      </c>
      <c r="AF50" s="471">
        <v>2.9012507692000664</v>
      </c>
      <c r="AG50" s="468">
        <v>2.6562571377535624</v>
      </c>
      <c r="AH50" s="468">
        <f t="shared" si="83"/>
        <v>8601.6513627906897</v>
      </c>
      <c r="AI50" s="471">
        <v>3.2755507692000672</v>
      </c>
      <c r="AJ50" s="468">
        <v>2.4471284727742457</v>
      </c>
      <c r="AK50" s="468">
        <f t="shared" si="84"/>
        <v>2442.6493985570896</v>
      </c>
      <c r="AL50" s="471">
        <v>2.808250769200066</v>
      </c>
      <c r="AM50" s="468">
        <v>1.7870903920482992</v>
      </c>
      <c r="AN50" s="468">
        <f t="shared" si="85"/>
        <v>2138.2785860079948</v>
      </c>
      <c r="AO50" s="464">
        <v>41610</v>
      </c>
      <c r="AP50" s="483">
        <v>7.5557670563580626</v>
      </c>
      <c r="AQ50" s="483">
        <v>32.382600466403787</v>
      </c>
      <c r="AR50" s="483">
        <v>9.9816966118984425</v>
      </c>
      <c r="AS50" s="483">
        <v>11.965139511254248</v>
      </c>
      <c r="AT50" s="483">
        <f t="shared" si="86"/>
        <v>0.26984882344135935</v>
      </c>
      <c r="AU50" s="483">
        <f t="shared" si="87"/>
        <v>0.54885763502379303</v>
      </c>
      <c r="AV50" s="483">
        <f t="shared" si="88"/>
        <v>0.49908483059492215</v>
      </c>
      <c r="AW50" s="483">
        <f t="shared" si="89"/>
        <v>0.62974418480285521</v>
      </c>
      <c r="AY50" s="470">
        <v>1.638650769200066</v>
      </c>
      <c r="AZ50" s="471">
        <v>2.9012507692000664</v>
      </c>
      <c r="BA50" s="471">
        <v>3.2755507692000672</v>
      </c>
      <c r="BB50" s="471">
        <v>2.808250769200066</v>
      </c>
      <c r="BD50" s="232"/>
      <c r="BE50" s="472">
        <v>-1.7380472345476575E-2</v>
      </c>
      <c r="BF50" s="472">
        <v>-4.959574728302398E-3</v>
      </c>
      <c r="BG50" s="472">
        <v>-9.0922310240528024E-3</v>
      </c>
      <c r="BH50" s="472">
        <v>-2.425812093000387E-2</v>
      </c>
      <c r="BI50" s="232"/>
      <c r="BJ50" s="507">
        <v>10.197353406188769</v>
      </c>
      <c r="BK50" s="507">
        <v>5.8204303292654913</v>
      </c>
      <c r="BL50" s="507">
        <v>14.228122636958052</v>
      </c>
      <c r="BM50" s="507">
        <v>10.620430329265851</v>
      </c>
      <c r="BN50" s="232"/>
      <c r="BO50" s="464">
        <v>41610</v>
      </c>
      <c r="BP50" s="473">
        <v>0.30199999999999999</v>
      </c>
      <c r="BQ50" s="1">
        <v>5035950</v>
      </c>
      <c r="BR50" s="1">
        <v>11127132</v>
      </c>
      <c r="BS50" s="1">
        <v>6310099.7999999998</v>
      </c>
      <c r="BT50" s="1">
        <v>5970600</v>
      </c>
      <c r="BU50" s="474">
        <v>153402.67665978591</v>
      </c>
      <c r="BV50" s="474">
        <v>509866.00211189309</v>
      </c>
      <c r="BW50" s="474">
        <v>144414.10030668529</v>
      </c>
      <c r="BX50" s="474">
        <v>214415.58927759767</v>
      </c>
      <c r="BY50" s="556">
        <f t="shared" si="18"/>
        <v>76042.845000000001</v>
      </c>
      <c r="BZ50" s="556">
        <f t="shared" si="19"/>
        <v>168019.69319999998</v>
      </c>
      <c r="CA50" s="556">
        <f t="shared" si="20"/>
        <v>95282.506979999991</v>
      </c>
      <c r="CB50" s="556">
        <f t="shared" si="21"/>
        <v>90156.06</v>
      </c>
      <c r="CC50" s="475">
        <f t="shared" si="22"/>
        <v>1901.0711249999997</v>
      </c>
      <c r="CD50" s="475">
        <f t="shared" si="23"/>
        <v>5040.5907959999995</v>
      </c>
      <c r="CE50" s="475">
        <f t="shared" si="24"/>
        <v>2382.0626744999995</v>
      </c>
      <c r="CF50" s="475">
        <f t="shared" si="25"/>
        <v>2704.6817999999998</v>
      </c>
      <c r="CG50" s="476">
        <f t="shared" si="90"/>
        <v>2316.380417562767</v>
      </c>
      <c r="CH50" s="476">
        <f t="shared" si="91"/>
        <v>7698.9766318895854</v>
      </c>
      <c r="CI50" s="476">
        <f t="shared" si="92"/>
        <v>2180.6529146309476</v>
      </c>
      <c r="CJ50" s="476">
        <f t="shared" si="93"/>
        <v>3237.6753980917247</v>
      </c>
      <c r="CK50" s="476">
        <f t="shared" si="94"/>
        <v>4217.4515425627669</v>
      </c>
      <c r="CL50" s="476">
        <f t="shared" si="94"/>
        <v>12739.567427889586</v>
      </c>
      <c r="CM50" s="476">
        <f t="shared" si="94"/>
        <v>4562.7155891309467</v>
      </c>
      <c r="CN50" s="476">
        <f t="shared" si="94"/>
        <v>5942.3571980917241</v>
      </c>
      <c r="CO50" s="477">
        <f t="shared" si="194"/>
        <v>2.7492685488899036</v>
      </c>
      <c r="CP50" s="477">
        <f t="shared" si="195"/>
        <v>2.4986108850406961</v>
      </c>
      <c r="CQ50" s="477">
        <f t="shared" si="196"/>
        <v>3.1594668245284403</v>
      </c>
      <c r="CR50" s="477">
        <f t="shared" si="197"/>
        <v>2.7714203142190028</v>
      </c>
      <c r="CS50" s="464">
        <v>41610</v>
      </c>
      <c r="CT50" s="478">
        <v>0.6</v>
      </c>
      <c r="CU50" s="478">
        <v>0.184</v>
      </c>
      <c r="CV50" s="480">
        <v>0.33</v>
      </c>
      <c r="CW50" s="481">
        <v>0.29599999999999999</v>
      </c>
      <c r="CY50" s="521">
        <v>1.0197353406188769E-2</v>
      </c>
      <c r="CZ50" s="521">
        <v>5.8204303292654913E-3</v>
      </c>
      <c r="DA50" s="521">
        <v>1.4228122636958052E-2</v>
      </c>
      <c r="DB50" s="521">
        <v>1.0620430329265851E-2</v>
      </c>
      <c r="DC50" s="483">
        <f t="shared" si="161"/>
        <v>-0.87582781867219239</v>
      </c>
      <c r="DD50" s="483">
        <f t="shared" si="162"/>
        <v>-0.47582781867223645</v>
      </c>
      <c r="DE50" s="483">
        <f t="shared" si="163"/>
        <v>-1.3958278186722239</v>
      </c>
      <c r="DF50" s="483">
        <f t="shared" si="164"/>
        <v>-1.0258278186721981</v>
      </c>
      <c r="DG50" s="483">
        <f t="shared" si="30"/>
        <v>0.87582781867219239</v>
      </c>
      <c r="DH50" s="483">
        <f t="shared" si="31"/>
        <v>0.47582781867223645</v>
      </c>
      <c r="DI50" s="483">
        <f t="shared" si="32"/>
        <v>1.3958278186722239</v>
      </c>
      <c r="DJ50" s="483">
        <f t="shared" si="33"/>
        <v>1.0258278186721981</v>
      </c>
      <c r="DK50" s="483">
        <f t="shared" si="121"/>
        <v>0.21374200438912361</v>
      </c>
      <c r="DL50" s="483">
        <f t="shared" si="122"/>
        <v>0.83298828193110808</v>
      </c>
      <c r="DM50" s="483">
        <f t="shared" si="123"/>
        <v>0.1488126664728977</v>
      </c>
      <c r="DN50" s="483">
        <f t="shared" si="124"/>
        <v>0.35395233927463998</v>
      </c>
      <c r="DO50" s="483">
        <f t="shared" si="100"/>
        <v>4.6800298365687079</v>
      </c>
      <c r="DP50" s="483">
        <f t="shared" si="101"/>
        <v>9.9089749292703271</v>
      </c>
      <c r="DQ50" s="483">
        <f t="shared" si="102"/>
        <v>5.1929214908415497</v>
      </c>
      <c r="DR50" s="483">
        <f t="shared" si="103"/>
        <v>9.0773539028006436</v>
      </c>
      <c r="DS50" s="473"/>
      <c r="DT50" s="473"/>
      <c r="DU50" s="473"/>
      <c r="DV50" s="473"/>
      <c r="DW50" s="552"/>
      <c r="DX50" s="532">
        <v>41610</v>
      </c>
      <c r="DY50" s="552"/>
      <c r="DZ50" s="473"/>
      <c r="EA50" s="473"/>
      <c r="EB50" s="473"/>
      <c r="EC50" s="545"/>
      <c r="ED50" s="552"/>
      <c r="EE50" s="473">
        <f>-(EE$46-EE$52)/5+EE49</f>
        <v>0.65856774493438575</v>
      </c>
      <c r="EF50" s="527">
        <f>-(EF49-EF55)/6+EF49</f>
        <v>0.62013404295643182</v>
      </c>
      <c r="EG50" s="527">
        <f t="shared" si="198"/>
        <v>1.2820321655778175</v>
      </c>
      <c r="EH50" s="527">
        <f t="shared" si="198"/>
        <v>0.19603216557781505</v>
      </c>
      <c r="EI50" s="552"/>
      <c r="EJ50" s="503">
        <f t="shared" si="36"/>
        <v>497.59844715552509</v>
      </c>
      <c r="EK50" s="503">
        <f t="shared" si="37"/>
        <v>2008.1552948673814</v>
      </c>
      <c r="EL50" s="503">
        <f t="shared" si="38"/>
        <v>1279.6856123492926</v>
      </c>
      <c r="EM50" s="503">
        <f t="shared" si="39"/>
        <v>234.55522098318502</v>
      </c>
      <c r="EN50" s="552"/>
      <c r="EO50" s="503">
        <f t="shared" si="181"/>
        <v>1.7380472345476576</v>
      </c>
      <c r="EP50" s="503">
        <f t="shared" si="182"/>
        <v>0.49595747283023978</v>
      </c>
      <c r="EQ50" s="503">
        <f t="shared" si="183"/>
        <v>0.90922310240528026</v>
      </c>
      <c r="ER50" s="503">
        <f t="shared" si="184"/>
        <v>2.425812093000387</v>
      </c>
      <c r="ES50" s="552"/>
      <c r="ET50" s="554">
        <f t="shared" si="40"/>
        <v>1313.2280037189425</v>
      </c>
      <c r="EU50" s="554">
        <f t="shared" si="41"/>
        <v>1606.0392690988967</v>
      </c>
      <c r="EV50" s="554">
        <f t="shared" si="42"/>
        <v>907.55891607385763</v>
      </c>
      <c r="EW50" s="554">
        <f t="shared" si="43"/>
        <v>2902.5180120837294</v>
      </c>
      <c r="EX50" s="552"/>
      <c r="EY50" s="532">
        <v>41610</v>
      </c>
      <c r="EZ50" s="552"/>
      <c r="FA50" s="745">
        <f t="shared" si="44"/>
        <v>1.2284813880800525</v>
      </c>
      <c r="FB50" s="745">
        <f t="shared" si="45"/>
        <v>1.8583471879262607</v>
      </c>
      <c r="FC50" s="745">
        <f t="shared" si="46"/>
        <v>2.3640393752175664</v>
      </c>
      <c r="FD50" s="745">
        <f t="shared" si="47"/>
        <v>1.1754038743129986</v>
      </c>
      <c r="FE50" s="761"/>
      <c r="FF50" s="532">
        <v>41610</v>
      </c>
      <c r="FG50" s="761"/>
      <c r="FH50" s="745">
        <v>1115.4844096540887</v>
      </c>
      <c r="FI50" s="745">
        <f t="shared" si="185"/>
        <v>6017.8114514481094</v>
      </c>
      <c r="FJ50" s="745">
        <f t="shared" si="186"/>
        <v>2359.7123822003691</v>
      </c>
      <c r="FK50" s="745">
        <f t="shared" si="187"/>
        <v>1406.3871338223782</v>
      </c>
      <c r="FL50" s="761"/>
      <c r="FM50" s="756">
        <f t="shared" si="95"/>
        <v>1115.4844096540887</v>
      </c>
      <c r="FN50" s="756">
        <f t="shared" si="96"/>
        <v>6017.8114514481094</v>
      </c>
      <c r="FO50" s="756">
        <f t="shared" si="97"/>
        <v>2359.7123822003691</v>
      </c>
      <c r="FP50" s="756">
        <f t="shared" si="49"/>
        <v>1406.3871338223782</v>
      </c>
      <c r="FQ50" s="761"/>
      <c r="FR50" s="756">
        <f t="shared" si="50"/>
        <v>2926.3108605285565</v>
      </c>
      <c r="FS50" s="756">
        <f t="shared" si="51"/>
        <v>9632.0060154143866</v>
      </c>
      <c r="FT50" s="756">
        <f t="shared" si="52"/>
        <v>4546.9569106235194</v>
      </c>
      <c r="FU50" s="756">
        <f t="shared" si="53"/>
        <v>4543.4603668892923</v>
      </c>
      <c r="FV50" s="761"/>
      <c r="FW50" s="755">
        <v>41610</v>
      </c>
      <c r="FX50" s="761"/>
      <c r="FY50" s="756">
        <f t="shared" si="76"/>
        <v>320547.12171222264</v>
      </c>
      <c r="FZ50" s="756">
        <f t="shared" si="77"/>
        <v>516773.77287467004</v>
      </c>
      <c r="GA50" s="756">
        <f t="shared" si="78"/>
        <v>258575.31316004635</v>
      </c>
      <c r="GB50" s="756">
        <f t="shared" si="79"/>
        <v>292404.97207882692</v>
      </c>
      <c r="GC50" s="761"/>
      <c r="GD50" s="756">
        <f t="shared" si="54"/>
        <v>0.84777053055202389</v>
      </c>
      <c r="GE50" s="756">
        <f t="shared" si="54"/>
        <v>0.67748740559785126</v>
      </c>
      <c r="GF50" s="756">
        <f t="shared" si="55"/>
        <v>0.69422543155899119</v>
      </c>
      <c r="GG50" s="756">
        <f t="shared" si="56"/>
        <v>0.7631461413195797</v>
      </c>
      <c r="GH50" s="552"/>
      <c r="GI50" s="756">
        <f t="shared" si="57"/>
        <v>1567.1845083512555</v>
      </c>
      <c r="GJ50" s="756">
        <f t="shared" si="58"/>
        <v>53067.038289230644</v>
      </c>
      <c r="GK50" s="756">
        <f t="shared" si="59"/>
        <v>1949.2631978926188</v>
      </c>
      <c r="GL50" s="756">
        <f t="shared" si="60"/>
        <v>1867.8747079618345</v>
      </c>
      <c r="GM50" s="552"/>
    </row>
    <row r="51" spans="1:195" s="472" customFormat="1">
      <c r="A51" s="464">
        <v>41611</v>
      </c>
      <c r="B51" s="465">
        <v>1.9500000000000002</v>
      </c>
      <c r="C51" s="466">
        <v>0</v>
      </c>
      <c r="D51" s="485">
        <v>-1.7279371537081565</v>
      </c>
      <c r="E51" s="467">
        <v>-0.49136248411722772</v>
      </c>
      <c r="F51" s="467">
        <v>-0.90814084029848507</v>
      </c>
      <c r="G51" s="467">
        <v>-2.4200603187421579</v>
      </c>
      <c r="H51" s="468"/>
      <c r="I51" s="464">
        <v>41611</v>
      </c>
      <c r="J51" s="467"/>
      <c r="K51" s="467"/>
      <c r="L51" s="467"/>
      <c r="M51" s="467"/>
      <c r="N51" s="468"/>
      <c r="O51" s="464">
        <v>41611</v>
      </c>
      <c r="P51" s="467">
        <f t="shared" si="193"/>
        <v>-0.97280418376288524</v>
      </c>
      <c r="Q51" s="467">
        <f t="shared" si="193"/>
        <v>0.15047654173725922</v>
      </c>
      <c r="R51" s="467">
        <f t="shared" si="193"/>
        <v>3.2396317145661713E-2</v>
      </c>
      <c r="S51" s="467">
        <f t="shared" si="193"/>
        <v>-1.654915044268999</v>
      </c>
      <c r="T51" s="464">
        <v>41611</v>
      </c>
      <c r="U51" s="468">
        <v>0.53709930060946731</v>
      </c>
      <c r="V51" s="468">
        <v>0.18097591520841705</v>
      </c>
      <c r="W51" s="468">
        <v>-8.0046435156153395E-2</v>
      </c>
      <c r="X51" s="468">
        <v>-1.3582876873768961</v>
      </c>
      <c r="Y51" s="468"/>
      <c r="Z51" s="464">
        <v>41611</v>
      </c>
      <c r="AA51" s="469">
        <v>41611</v>
      </c>
      <c r="AB51" s="466">
        <v>0</v>
      </c>
      <c r="AC51" s="470">
        <v>1.6298924910133441</v>
      </c>
      <c r="AD51" s="468">
        <v>0.53709930060946731</v>
      </c>
      <c r="AE51" s="468">
        <f t="shared" si="82"/>
        <v>396.93716245181724</v>
      </c>
      <c r="AF51" s="471">
        <v>2.8964924910133441</v>
      </c>
      <c r="AG51" s="468">
        <v>0.18097591520841705</v>
      </c>
      <c r="AH51" s="468">
        <f t="shared" si="83"/>
        <v>572.84076801514868</v>
      </c>
      <c r="AI51" s="471">
        <v>3.2615924910133449</v>
      </c>
      <c r="AJ51" s="468">
        <v>-8.0046435156153395E-2</v>
      </c>
      <c r="AK51" s="468">
        <f t="shared" si="84"/>
        <v>-78.31970177581168</v>
      </c>
      <c r="AL51" s="471">
        <v>2.797992491013344</v>
      </c>
      <c r="AM51" s="468">
        <v>-1.3582876873768961</v>
      </c>
      <c r="AN51" s="468">
        <f t="shared" si="85"/>
        <v>-1577.4571967821378</v>
      </c>
      <c r="AO51" s="464">
        <v>41611</v>
      </c>
      <c r="AP51" s="483">
        <v>7.3903868800684958</v>
      </c>
      <c r="AQ51" s="483">
        <v>31.652873110515774</v>
      </c>
      <c r="AR51" s="483">
        <v>9.7842835378023718</v>
      </c>
      <c r="AS51" s="483">
        <v>11.613572083749787</v>
      </c>
      <c r="AT51" s="483">
        <f t="shared" si="86"/>
        <v>0.26394238857387486</v>
      </c>
      <c r="AU51" s="483">
        <f t="shared" si="87"/>
        <v>0.53648937475450464</v>
      </c>
      <c r="AV51" s="483">
        <f t="shared" si="88"/>
        <v>0.48921417689011859</v>
      </c>
      <c r="AW51" s="483">
        <f t="shared" si="89"/>
        <v>0.61124063598683087</v>
      </c>
      <c r="AY51" s="470">
        <v>1.6298924910133441</v>
      </c>
      <c r="AZ51" s="471">
        <v>2.8964924910133441</v>
      </c>
      <c r="BA51" s="471">
        <v>3.2615924910133449</v>
      </c>
      <c r="BB51" s="471">
        <v>2.797992491013344</v>
      </c>
      <c r="BD51" s="232"/>
      <c r="BE51" s="472">
        <v>-1.7279371537081565E-2</v>
      </c>
      <c r="BF51" s="472">
        <v>-4.9136248411722769E-3</v>
      </c>
      <c r="BG51" s="472">
        <v>-9.0814084029848512E-3</v>
      </c>
      <c r="BH51" s="472">
        <v>-2.4200603187421579E-2</v>
      </c>
      <c r="BI51" s="232"/>
      <c r="BJ51" s="507">
        <v>30.908270086015044</v>
      </c>
      <c r="BK51" s="507">
        <v>20.054423932169829</v>
      </c>
      <c r="BL51" s="507">
        <v>27.354423932168803</v>
      </c>
      <c r="BM51" s="507">
        <v>21.169808547553348</v>
      </c>
      <c r="BN51" s="232"/>
      <c r="BO51" s="464">
        <v>41611</v>
      </c>
      <c r="BP51" s="473">
        <v>0.13650000000000004</v>
      </c>
      <c r="BQ51" s="1">
        <v>5035950</v>
      </c>
      <c r="BR51" s="1">
        <v>11127132</v>
      </c>
      <c r="BS51" s="1">
        <v>6310099.7999999998</v>
      </c>
      <c r="BT51" s="1">
        <v>5970600</v>
      </c>
      <c r="BU51" s="474">
        <v>153402.67665978591</v>
      </c>
      <c r="BV51" s="474">
        <v>509866.00211189309</v>
      </c>
      <c r="BW51" s="474">
        <v>144414.10030668529</v>
      </c>
      <c r="BX51" s="474">
        <v>214415.58927759767</v>
      </c>
      <c r="BY51" s="556">
        <f t="shared" si="18"/>
        <v>9820.1025000000009</v>
      </c>
      <c r="BZ51" s="556">
        <f t="shared" si="19"/>
        <v>21697.9074</v>
      </c>
      <c r="CA51" s="556">
        <f t="shared" si="20"/>
        <v>12304.69461</v>
      </c>
      <c r="CB51" s="556">
        <f t="shared" si="21"/>
        <v>11642.67</v>
      </c>
      <c r="CC51" s="475">
        <f t="shared" si="22"/>
        <v>859.25896875000024</v>
      </c>
      <c r="CD51" s="475">
        <f t="shared" si="23"/>
        <v>2278.2802770000008</v>
      </c>
      <c r="CE51" s="475">
        <f t="shared" si="24"/>
        <v>1076.6607783750003</v>
      </c>
      <c r="CF51" s="475">
        <f t="shared" si="25"/>
        <v>1222.4803500000003</v>
      </c>
      <c r="CG51" s="476">
        <f t="shared" si="90"/>
        <v>299.13521948658257</v>
      </c>
      <c r="CH51" s="476">
        <f t="shared" si="91"/>
        <v>994.23870411819155</v>
      </c>
      <c r="CI51" s="476">
        <f t="shared" si="92"/>
        <v>281.60749559803634</v>
      </c>
      <c r="CJ51" s="476">
        <f t="shared" si="93"/>
        <v>418.11039909131546</v>
      </c>
      <c r="CK51" s="476">
        <f t="shared" si="94"/>
        <v>1158.3941882365827</v>
      </c>
      <c r="CL51" s="476">
        <f t="shared" si="94"/>
        <v>3272.5189811181922</v>
      </c>
      <c r="CM51" s="476">
        <f t="shared" si="94"/>
        <v>1358.2682739730367</v>
      </c>
      <c r="CN51" s="476">
        <f t="shared" si="94"/>
        <v>1640.5907490913157</v>
      </c>
      <c r="CO51" s="477">
        <f t="shared" si="194"/>
        <v>0.75513296994527124</v>
      </c>
      <c r="CP51" s="477">
        <f t="shared" si="195"/>
        <v>0.64183902585448693</v>
      </c>
      <c r="CQ51" s="477">
        <f t="shared" si="196"/>
        <v>0.94053715744414679</v>
      </c>
      <c r="CR51" s="477">
        <f t="shared" si="197"/>
        <v>0.76514527447315894</v>
      </c>
      <c r="CS51" s="464">
        <v>41611</v>
      </c>
      <c r="CT51" s="478">
        <v>0.91</v>
      </c>
      <c r="CU51" s="478">
        <v>0.152</v>
      </c>
      <c r="CV51" s="480">
        <v>8.1000000000000003E-2</v>
      </c>
      <c r="CW51" s="481">
        <v>0.55300000000000005</v>
      </c>
      <c r="CY51" s="522">
        <v>3.0908270086015044E-2</v>
      </c>
      <c r="CZ51" s="522">
        <v>2.0054423932169829E-2</v>
      </c>
      <c r="DA51" s="522">
        <v>2.7354423932168803E-2</v>
      </c>
      <c r="DB51" s="522">
        <v>2.1169808547553348E-2</v>
      </c>
      <c r="DC51" s="483">
        <f t="shared" si="161"/>
        <v>-3.1926187699268027</v>
      </c>
      <c r="DD51" s="483">
        <f t="shared" si="162"/>
        <v>-2.0826187699267251</v>
      </c>
      <c r="DE51" s="483">
        <f t="shared" si="163"/>
        <v>-2.7826187699268701</v>
      </c>
      <c r="DF51" s="483">
        <f t="shared" si="164"/>
        <v>-2.1826187699268473</v>
      </c>
      <c r="DG51" s="483">
        <f t="shared" si="30"/>
        <v>3.1926187699268027</v>
      </c>
      <c r="DH51" s="483">
        <f t="shared" si="31"/>
        <v>2.0826187699267251</v>
      </c>
      <c r="DI51" s="483">
        <f t="shared" si="32"/>
        <v>2.7826187699268701</v>
      </c>
      <c r="DJ51" s="483">
        <f t="shared" si="33"/>
        <v>2.1826187699268473</v>
      </c>
      <c r="DK51" s="483">
        <f t="shared" si="121"/>
        <v>0.1653801762895668</v>
      </c>
      <c r="DL51" s="483">
        <f t="shared" si="122"/>
        <v>0.72972735588801285</v>
      </c>
      <c r="DM51" s="483">
        <f t="shared" si="123"/>
        <v>0.19741307409607067</v>
      </c>
      <c r="DN51" s="483">
        <f t="shared" si="124"/>
        <v>0.35156742750446135</v>
      </c>
      <c r="DO51" s="483">
        <f t="shared" si="100"/>
        <v>13.199896374896865</v>
      </c>
      <c r="DP51" s="483">
        <f t="shared" si="101"/>
        <v>37.993597207534378</v>
      </c>
      <c r="DQ51" s="483">
        <f t="shared" si="102"/>
        <v>13.733133135217257</v>
      </c>
      <c r="DR51" s="483">
        <f t="shared" si="103"/>
        <v>19.183441654153338</v>
      </c>
      <c r="DS51" s="473"/>
      <c r="DT51" s="473"/>
      <c r="DU51" s="473"/>
      <c r="DV51" s="473"/>
      <c r="DW51" s="552"/>
      <c r="DX51" s="532">
        <v>41611</v>
      </c>
      <c r="DY51" s="552"/>
      <c r="DZ51" s="473"/>
      <c r="EA51" s="473"/>
      <c r="EB51" s="473"/>
      <c r="EC51" s="545"/>
      <c r="ED51" s="552"/>
      <c r="EE51" s="473">
        <f>-(EE$46-EE$52)/5+EE50</f>
        <v>0.57413065103614702</v>
      </c>
      <c r="EF51" s="527">
        <f>-(EF50-EF56)/6+EF50</f>
        <v>0.69449395032131878</v>
      </c>
      <c r="EG51" s="527">
        <f t="shared" si="198"/>
        <v>1.4708628613578394</v>
      </c>
      <c r="EH51" s="527">
        <f t="shared" si="198"/>
        <v>0.15286286135784569</v>
      </c>
      <c r="EI51" s="552"/>
      <c r="EJ51" s="503">
        <f t="shared" si="36"/>
        <v>424.30476308627243</v>
      </c>
      <c r="EK51" s="503">
        <f t="shared" si="37"/>
        <v>2198.2728885541551</v>
      </c>
      <c r="EL51" s="503">
        <f t="shared" si="38"/>
        <v>1439.13392807484</v>
      </c>
      <c r="EM51" s="503">
        <f t="shared" si="39"/>
        <v>177.52838593075907</v>
      </c>
      <c r="EN51" s="552"/>
      <c r="EO51" s="503">
        <f t="shared" si="181"/>
        <v>1.7279371537081565</v>
      </c>
      <c r="EP51" s="503">
        <f t="shared" si="182"/>
        <v>0.49136248411722772</v>
      </c>
      <c r="EQ51" s="503">
        <f t="shared" si="183"/>
        <v>0.90814084029848507</v>
      </c>
      <c r="ER51" s="503">
        <f t="shared" si="184"/>
        <v>2.4200603187421579</v>
      </c>
      <c r="ES51" s="552"/>
      <c r="ET51" s="554">
        <f t="shared" si="40"/>
        <v>1277.0124070347661</v>
      </c>
      <c r="EU51" s="554">
        <f t="shared" si="41"/>
        <v>1555.3034361030429</v>
      </c>
      <c r="EV51" s="554">
        <f t="shared" si="42"/>
        <v>888.55074737384814</v>
      </c>
      <c r="EW51" s="554">
        <f t="shared" si="43"/>
        <v>2810.5544958734536</v>
      </c>
      <c r="EX51" s="552"/>
      <c r="EY51" s="532">
        <v>41611</v>
      </c>
      <c r="EZ51" s="552"/>
      <c r="FA51" s="745">
        <f t="shared" si="44"/>
        <v>1.6456839351277703</v>
      </c>
      <c r="FB51" s="745">
        <f t="shared" si="45"/>
        <v>1.5386013613426655</v>
      </c>
      <c r="FC51" s="745">
        <f t="shared" si="46"/>
        <v>1.3441522257146925</v>
      </c>
      <c r="FD51" s="745">
        <f t="shared" si="47"/>
        <v>0.37484086430000274</v>
      </c>
      <c r="FE51" s="761"/>
      <c r="FF51" s="532">
        <v>41611</v>
      </c>
      <c r="FG51" s="761"/>
      <c r="FH51" s="745">
        <v>1299.0160833343236</v>
      </c>
      <c r="FI51" s="745">
        <f t="shared" si="185"/>
        <v>4870.1153658246212</v>
      </c>
      <c r="FJ51" s="745">
        <f t="shared" si="186"/>
        <v>1315.1566494360684</v>
      </c>
      <c r="FK51" s="745">
        <f t="shared" si="187"/>
        <v>435.32413974831542</v>
      </c>
      <c r="FL51" s="761"/>
      <c r="FM51" s="756">
        <f t="shared" si="95"/>
        <v>1299.0160833343236</v>
      </c>
      <c r="FN51" s="756">
        <f t="shared" si="96"/>
        <v>4870.1153658246212</v>
      </c>
      <c r="FO51" s="756">
        <f t="shared" si="97"/>
        <v>1315.1566494360684</v>
      </c>
      <c r="FP51" s="756">
        <f t="shared" si="49"/>
        <v>435.32413974831542</v>
      </c>
      <c r="FQ51" s="761"/>
      <c r="FR51" s="756">
        <f t="shared" si="50"/>
        <v>3000.3332534553624</v>
      </c>
      <c r="FS51" s="756">
        <f t="shared" si="51"/>
        <v>8623.691690481819</v>
      </c>
      <c r="FT51" s="756">
        <f t="shared" si="52"/>
        <v>3642.8413248847564</v>
      </c>
      <c r="FU51" s="756">
        <f t="shared" si="53"/>
        <v>3423.407021552528</v>
      </c>
      <c r="FV51" s="761"/>
      <c r="FW51" s="755">
        <v>41611</v>
      </c>
      <c r="FX51" s="761"/>
      <c r="FY51" s="756">
        <f t="shared" si="76"/>
        <v>323547.45496567799</v>
      </c>
      <c r="FZ51" s="756">
        <f t="shared" si="77"/>
        <v>525397.46456515184</v>
      </c>
      <c r="GA51" s="756">
        <f t="shared" si="78"/>
        <v>262218.15448493109</v>
      </c>
      <c r="GB51" s="756">
        <f t="shared" si="79"/>
        <v>295828.37910037942</v>
      </c>
      <c r="GC51" s="761"/>
      <c r="GD51" s="756">
        <f t="shared" si="54"/>
        <v>0.8557056949688121</v>
      </c>
      <c r="GE51" s="756">
        <f t="shared" si="54"/>
        <v>0.68879301516383284</v>
      </c>
      <c r="GF51" s="756">
        <f t="shared" si="55"/>
        <v>0.70400576619327138</v>
      </c>
      <c r="GG51" s="756">
        <f t="shared" si="56"/>
        <v>0.77208087262763647</v>
      </c>
      <c r="GH51" s="552"/>
      <c r="GI51" s="756">
        <f t="shared" si="57"/>
        <v>708.34664036406105</v>
      </c>
      <c r="GJ51" s="756">
        <f t="shared" si="58"/>
        <v>3097.4779432121336</v>
      </c>
      <c r="GK51" s="756">
        <f t="shared" si="59"/>
        <v>881.04114739186275</v>
      </c>
      <c r="GL51" s="756">
        <f t="shared" si="60"/>
        <v>844.25462793639235</v>
      </c>
      <c r="GM51" s="552"/>
    </row>
    <row r="52" spans="1:195" s="134" customFormat="1">
      <c r="A52" s="705">
        <v>41612</v>
      </c>
      <c r="B52" s="706">
        <v>0</v>
      </c>
      <c r="C52" s="497">
        <f t="shared" ref="C52:C55" si="199">C51+1</f>
        <v>1</v>
      </c>
      <c r="D52" s="274">
        <v>-1.6900031936350302</v>
      </c>
      <c r="E52" s="270">
        <v>-0.47064432690479996</v>
      </c>
      <c r="F52" s="270">
        <v>-0.90586161081764338</v>
      </c>
      <c r="G52" s="270">
        <v>-2.4065776094920865</v>
      </c>
      <c r="H52" s="291"/>
      <c r="I52" s="705">
        <v>41612</v>
      </c>
      <c r="J52" s="270">
        <f t="shared" ref="J52:M55" si="200">D52</f>
        <v>-1.6900031936350302</v>
      </c>
      <c r="K52" s="270">
        <f t="shared" si="200"/>
        <v>-0.47064432690479996</v>
      </c>
      <c r="L52" s="270">
        <f t="shared" si="200"/>
        <v>-0.90586161081764338</v>
      </c>
      <c r="M52" s="270">
        <f t="shared" si="200"/>
        <v>-2.4065776094920865</v>
      </c>
      <c r="N52" s="291"/>
      <c r="O52" s="705">
        <v>41612</v>
      </c>
      <c r="P52" s="270">
        <f t="shared" ref="P52:S55" si="201">J52</f>
        <v>-1.6900031936350302</v>
      </c>
      <c r="Q52" s="270">
        <f t="shared" si="201"/>
        <v>-0.47064432690479996</v>
      </c>
      <c r="R52" s="270">
        <f t="shared" si="201"/>
        <v>-0.90586161081764338</v>
      </c>
      <c r="S52" s="270">
        <f t="shared" si="201"/>
        <v>-2.4065776094920865</v>
      </c>
      <c r="T52" s="705">
        <v>41612</v>
      </c>
      <c r="U52" s="291">
        <v>-1.6900031936350302</v>
      </c>
      <c r="V52" s="291">
        <v>-0.47064432690479996</v>
      </c>
      <c r="W52" s="291">
        <v>-0.90586161081764338</v>
      </c>
      <c r="X52" s="291">
        <v>-2.4065776094920865</v>
      </c>
      <c r="Y52" s="291"/>
      <c r="Z52" s="705">
        <v>41612</v>
      </c>
      <c r="AA52" s="707">
        <v>41612</v>
      </c>
      <c r="AB52" s="497">
        <f t="shared" ref="AB52:AB55" si="202">AB51+1</f>
        <v>1</v>
      </c>
      <c r="AC52" s="266">
        <v>1.5979663033140761</v>
      </c>
      <c r="AD52" s="291">
        <v>-1.6900031936350302</v>
      </c>
      <c r="AE52" s="291">
        <f t="shared" si="82"/>
        <v>-1241.6412617841786</v>
      </c>
      <c r="AF52" s="161">
        <v>2.8756663033140768</v>
      </c>
      <c r="AG52" s="291">
        <v>-0.47064432690479996</v>
      </c>
      <c r="AH52" s="291">
        <f t="shared" si="83"/>
        <v>-1482.6902384214984</v>
      </c>
      <c r="AI52" s="161">
        <v>3.2337663033140762</v>
      </c>
      <c r="AJ52" s="291">
        <v>-0.90586161081764338</v>
      </c>
      <c r="AK52" s="291">
        <f t="shared" si="84"/>
        <v>-879.56498604449257</v>
      </c>
      <c r="AL52" s="161">
        <v>2.7761663033140755</v>
      </c>
      <c r="AM52" s="291">
        <v>-2.4065776094920865</v>
      </c>
      <c r="AN52" s="291">
        <f t="shared" si="85"/>
        <v>-2762.2700163736563</v>
      </c>
      <c r="AO52" s="705">
        <v>41612</v>
      </c>
      <c r="AP52" s="463">
        <v>7.3469758309363344</v>
      </c>
      <c r="AQ52" s="463">
        <v>31.503412527511699</v>
      </c>
      <c r="AR52" s="463">
        <v>9.7097059367664897</v>
      </c>
      <c r="AS52" s="463">
        <v>11.478000981471109</v>
      </c>
      <c r="AT52" s="463">
        <f t="shared" si="86"/>
        <v>0.26239199396201196</v>
      </c>
      <c r="AU52" s="463">
        <f t="shared" si="87"/>
        <v>0.53395614453409657</v>
      </c>
      <c r="AV52" s="463">
        <f t="shared" si="88"/>
        <v>0.48548529683832448</v>
      </c>
      <c r="AW52" s="463">
        <f t="shared" si="89"/>
        <v>0.60410531481426888</v>
      </c>
      <c r="AY52" s="266">
        <v>1.5979663033140761</v>
      </c>
      <c r="AZ52" s="161">
        <v>2.8756663033140768</v>
      </c>
      <c r="BA52" s="161">
        <v>3.2337663033140762</v>
      </c>
      <c r="BB52" s="161">
        <v>2.7761663033140755</v>
      </c>
      <c r="BE52" s="134">
        <v>-1.6900031936350302E-2</v>
      </c>
      <c r="BF52" s="134">
        <v>-4.7064432690479994E-3</v>
      </c>
      <c r="BG52" s="134">
        <v>-9.0586161081764333E-3</v>
      </c>
      <c r="BH52" s="134">
        <v>-2.4065776094920867E-2</v>
      </c>
      <c r="BJ52" s="508">
        <v>30.503936104961269</v>
      </c>
      <c r="BK52" s="508">
        <v>27.550089951114298</v>
      </c>
      <c r="BL52" s="508">
        <v>31.403936104961616</v>
      </c>
      <c r="BM52" s="508">
        <v>25.565474566499713</v>
      </c>
      <c r="BO52" s="705">
        <v>41612</v>
      </c>
      <c r="BP52" s="324">
        <v>0</v>
      </c>
      <c r="BQ52" s="1">
        <v>5035950</v>
      </c>
      <c r="BR52" s="1">
        <v>11127132</v>
      </c>
      <c r="BS52" s="1">
        <v>6310099.7999999998</v>
      </c>
      <c r="BT52" s="1">
        <v>5970600</v>
      </c>
      <c r="BU52" s="708">
        <v>153402.67665978591</v>
      </c>
      <c r="BV52" s="708">
        <v>509866.00211189309</v>
      </c>
      <c r="BW52" s="708">
        <v>144414.10030668529</v>
      </c>
      <c r="BX52" s="708">
        <v>214415.58927759767</v>
      </c>
      <c r="BY52" s="709">
        <f t="shared" si="18"/>
        <v>0</v>
      </c>
      <c r="BZ52" s="709">
        <f t="shared" si="19"/>
        <v>0</v>
      </c>
      <c r="CA52" s="709">
        <f t="shared" si="20"/>
        <v>0</v>
      </c>
      <c r="CB52" s="709">
        <f t="shared" si="21"/>
        <v>0</v>
      </c>
      <c r="CC52" s="475">
        <f t="shared" si="22"/>
        <v>0</v>
      </c>
      <c r="CD52" s="475">
        <f t="shared" si="23"/>
        <v>0</v>
      </c>
      <c r="CE52" s="475">
        <f t="shared" si="24"/>
        <v>0</v>
      </c>
      <c r="CF52" s="475">
        <f t="shared" si="25"/>
        <v>0</v>
      </c>
      <c r="CG52" s="302">
        <f t="shared" si="90"/>
        <v>0</v>
      </c>
      <c r="CH52" s="302">
        <f t="shared" si="91"/>
        <v>0</v>
      </c>
      <c r="CI52" s="302">
        <f t="shared" si="92"/>
        <v>0</v>
      </c>
      <c r="CJ52" s="302">
        <f t="shared" si="93"/>
        <v>0</v>
      </c>
      <c r="CK52" s="302">
        <f t="shared" si="94"/>
        <v>0</v>
      </c>
      <c r="CL52" s="302">
        <f t="shared" si="94"/>
        <v>0</v>
      </c>
      <c r="CM52" s="302">
        <f t="shared" si="94"/>
        <v>0</v>
      </c>
      <c r="CN52" s="302">
        <f t="shared" si="94"/>
        <v>0</v>
      </c>
      <c r="CO52" s="710">
        <f t="shared" ref="CO52:CR55" si="203">CK52/AP52/10000*100</f>
        <v>0</v>
      </c>
      <c r="CP52" s="710">
        <f t="shared" si="203"/>
        <v>0</v>
      </c>
      <c r="CQ52" s="710">
        <f t="shared" si="203"/>
        <v>0</v>
      </c>
      <c r="CR52" s="710">
        <f t="shared" si="203"/>
        <v>0</v>
      </c>
      <c r="CS52" s="705">
        <v>41612</v>
      </c>
      <c r="CT52" s="711">
        <v>0.88500000000000001</v>
      </c>
      <c r="CU52" s="711">
        <v>0.91600000000000004</v>
      </c>
      <c r="CV52" s="713">
        <v>0.51</v>
      </c>
      <c r="CW52" s="714">
        <v>0.91400000000000003</v>
      </c>
      <c r="CY52" s="715">
        <v>3.0503936104961271E-2</v>
      </c>
      <c r="CZ52" s="715">
        <v>2.7550089951114298E-2</v>
      </c>
      <c r="DA52" s="715">
        <v>3.1403936104961616E-2</v>
      </c>
      <c r="DB52" s="715">
        <v>2.5565474566499713E-2</v>
      </c>
      <c r="DC52" s="463">
        <f t="shared" si="161"/>
        <v>-3.079693557137908</v>
      </c>
      <c r="DD52" s="463">
        <f t="shared" si="162"/>
        <v>-2.7496935571379666</v>
      </c>
      <c r="DE52" s="463">
        <f t="shared" si="163"/>
        <v>-3.0996935571378614</v>
      </c>
      <c r="DF52" s="463">
        <f t="shared" si="164"/>
        <v>-2.5596935571378765</v>
      </c>
      <c r="DG52" s="483">
        <f t="shared" si="30"/>
        <v>3.079693557137908</v>
      </c>
      <c r="DH52" s="483">
        <f t="shared" si="31"/>
        <v>2.7496935571379666</v>
      </c>
      <c r="DI52" s="483">
        <f t="shared" si="32"/>
        <v>3.0996935571378614</v>
      </c>
      <c r="DJ52" s="483">
        <f t="shared" si="33"/>
        <v>2.5596935571378765</v>
      </c>
      <c r="DK52" s="483">
        <f t="shared" si="121"/>
        <v>4.3411049132161317E-2</v>
      </c>
      <c r="DL52" s="483">
        <f t="shared" si="122"/>
        <v>0.14946058300407472</v>
      </c>
      <c r="DM52" s="483">
        <f t="shared" si="123"/>
        <v>7.4577601035882068E-2</v>
      </c>
      <c r="DN52" s="483">
        <f t="shared" si="124"/>
        <v>0.13557110227867852</v>
      </c>
      <c r="DO52" s="483">
        <f t="shared" si="100"/>
        <v>3.3423182080228595</v>
      </c>
      <c r="DP52" s="483">
        <f t="shared" si="101"/>
        <v>10.274270053309714</v>
      </c>
      <c r="DQ52" s="483">
        <f t="shared" si="102"/>
        <v>5.7791927359430391</v>
      </c>
      <c r="DR52" s="483">
        <f t="shared" si="103"/>
        <v>8.6755119259203379</v>
      </c>
      <c r="DS52" s="324">
        <v>2.59</v>
      </c>
      <c r="DT52" s="324">
        <v>1.81</v>
      </c>
      <c r="DU52" s="324">
        <v>1.44</v>
      </c>
      <c r="DV52" s="324">
        <v>2.4500000000000002</v>
      </c>
      <c r="DW52" s="716"/>
      <c r="DX52" s="705">
        <v>41612</v>
      </c>
      <c r="DY52" s="716"/>
      <c r="DZ52" s="269">
        <f t="shared" ref="DZ52:EC54" si="204">-DC52-DS52</f>
        <v>0.48969355713790819</v>
      </c>
      <c r="EA52" s="269">
        <f t="shared" si="204"/>
        <v>0.93969355713796654</v>
      </c>
      <c r="EB52" s="269">
        <f t="shared" si="204"/>
        <v>1.6596935571378615</v>
      </c>
      <c r="EC52" s="716">
        <f t="shared" si="204"/>
        <v>0.10969355713787632</v>
      </c>
      <c r="ED52" s="716"/>
      <c r="EE52" s="269">
        <f t="shared" ref="EE52:EE55" si="205">DZ52</f>
        <v>0.48969355713790819</v>
      </c>
      <c r="EF52" s="269">
        <f t="shared" ref="EF52:EF55" si="206">EA52</f>
        <v>0.93969355713796654</v>
      </c>
      <c r="EG52" s="269">
        <f t="shared" ref="EG52:EG54" si="207">EB52</f>
        <v>1.6596935571378615</v>
      </c>
      <c r="EH52" s="269">
        <f t="shared" ref="EH52:EH55" si="208">EC52</f>
        <v>0.10969355713787632</v>
      </c>
      <c r="EI52" s="716"/>
      <c r="EJ52" s="717">
        <f t="shared" si="36"/>
        <v>359.77667288574526</v>
      </c>
      <c r="EK52" s="717">
        <f t="shared" si="37"/>
        <v>2960.3553779962249</v>
      </c>
      <c r="EL52" s="717">
        <f t="shared" si="38"/>
        <v>1611.5136384954587</v>
      </c>
      <c r="EM52" s="717">
        <f t="shared" si="39"/>
        <v>125.90627564896016</v>
      </c>
      <c r="EN52" s="716"/>
      <c r="EO52" s="269">
        <f t="shared" si="181"/>
        <v>1.6900031936350302</v>
      </c>
      <c r="EP52" s="269">
        <f t="shared" si="182"/>
        <v>0.47064432690479996</v>
      </c>
      <c r="EQ52" s="269">
        <f t="shared" si="183"/>
        <v>0.90586161081764338</v>
      </c>
      <c r="ER52" s="269">
        <f t="shared" si="184"/>
        <v>2.4065776094920865</v>
      </c>
      <c r="ES52" s="716"/>
      <c r="ET52" s="718">
        <f t="shared" si="40"/>
        <v>1241.6412617841786</v>
      </c>
      <c r="EU52" s="718">
        <f t="shared" si="41"/>
        <v>1482.6902384214984</v>
      </c>
      <c r="EV52" s="718">
        <f t="shared" si="42"/>
        <v>879.56498604449257</v>
      </c>
      <c r="EW52" s="718">
        <f t="shared" si="43"/>
        <v>2762.2700163736563</v>
      </c>
      <c r="EX52" s="716"/>
      <c r="EY52" s="705">
        <v>41612</v>
      </c>
      <c r="EZ52" s="716"/>
      <c r="FA52" s="766">
        <f t="shared" si="44"/>
        <v>0.8999968063649697</v>
      </c>
      <c r="FB52" s="766">
        <f t="shared" si="45"/>
        <v>1.3393556730952001</v>
      </c>
      <c r="FC52" s="766">
        <f t="shared" si="46"/>
        <v>0.53413838918235657</v>
      </c>
      <c r="FD52" s="766">
        <f t="shared" si="47"/>
        <v>4.3422390507913633E-2</v>
      </c>
      <c r="FE52" s="760"/>
      <c r="FF52" s="705">
        <v>41612</v>
      </c>
      <c r="FG52" s="760"/>
      <c r="FH52" s="766">
        <v>661.22547842833205</v>
      </c>
      <c r="FI52" s="766">
        <f t="shared" si="185"/>
        <v>4219.4274290581188</v>
      </c>
      <c r="FJ52" s="766">
        <f t="shared" si="186"/>
        <v>518.63266884988172</v>
      </c>
      <c r="FK52" s="766">
        <f t="shared" si="187"/>
        <v>49.840224086765446</v>
      </c>
      <c r="FL52" s="760"/>
      <c r="FM52" s="759">
        <f t="shared" si="95"/>
        <v>661.22547842833205</v>
      </c>
      <c r="FN52" s="759">
        <f t="shared" si="96"/>
        <v>4219.4274290581188</v>
      </c>
      <c r="FO52" s="759">
        <f t="shared" si="97"/>
        <v>518.63266884988172</v>
      </c>
      <c r="FP52" s="759">
        <f t="shared" si="49"/>
        <v>49.840224086765446</v>
      </c>
      <c r="FQ52" s="760"/>
      <c r="FR52" s="759">
        <f t="shared" si="50"/>
        <v>2262.6434130982561</v>
      </c>
      <c r="FS52" s="759">
        <f t="shared" si="51"/>
        <v>8662.4730454758428</v>
      </c>
      <c r="FT52" s="759">
        <f t="shared" si="52"/>
        <v>3009.7112933898334</v>
      </c>
      <c r="FU52" s="759">
        <f t="shared" si="53"/>
        <v>2938.0165161093819</v>
      </c>
      <c r="FV52" s="761"/>
      <c r="FW52" s="754">
        <v>41612</v>
      </c>
      <c r="FX52" s="761"/>
      <c r="FY52" s="759">
        <f t="shared" si="76"/>
        <v>325810.09837877622</v>
      </c>
      <c r="FZ52" s="759">
        <f t="shared" si="77"/>
        <v>534059.93761062773</v>
      </c>
      <c r="GA52" s="759">
        <f t="shared" si="78"/>
        <v>265227.86577832093</v>
      </c>
      <c r="GB52" s="759">
        <f t="shared" si="79"/>
        <v>298766.39561648882</v>
      </c>
      <c r="GC52" s="760"/>
      <c r="GD52" s="759">
        <f t="shared" si="54"/>
        <v>0.86168984605563559</v>
      </c>
      <c r="GE52" s="759">
        <f t="shared" si="54"/>
        <v>0.70014946686027768</v>
      </c>
      <c r="GF52" s="759">
        <f t="shared" si="55"/>
        <v>0.71208626736713354</v>
      </c>
      <c r="GG52" s="759">
        <f t="shared" si="56"/>
        <v>0.77974878590374053</v>
      </c>
      <c r="GH52" s="716"/>
      <c r="GI52" s="756">
        <f t="shared" si="57"/>
        <v>0</v>
      </c>
      <c r="GJ52" s="756">
        <f t="shared" si="58"/>
        <v>0</v>
      </c>
      <c r="GK52" s="756">
        <f t="shared" si="59"/>
        <v>0</v>
      </c>
      <c r="GL52" s="756">
        <f t="shared" si="60"/>
        <v>0</v>
      </c>
      <c r="GM52" s="716"/>
    </row>
    <row r="53" spans="1:195" s="134" customFormat="1">
      <c r="A53" s="705">
        <v>41613</v>
      </c>
      <c r="B53" s="706">
        <v>0</v>
      </c>
      <c r="C53" s="497">
        <f t="shared" si="199"/>
        <v>2</v>
      </c>
      <c r="D53" s="274">
        <v>1.0554734185815755</v>
      </c>
      <c r="E53" s="270">
        <v>1.8910806892071093</v>
      </c>
      <c r="F53" s="274">
        <v>1.1272754696107128</v>
      </c>
      <c r="G53" s="274">
        <v>-0.51649129679547001</v>
      </c>
      <c r="H53" s="729"/>
      <c r="I53" s="705">
        <v>41613</v>
      </c>
      <c r="J53" s="270">
        <f t="shared" si="200"/>
        <v>1.0554734185815755</v>
      </c>
      <c r="K53" s="270">
        <f t="shared" si="200"/>
        <v>1.8910806892071093</v>
      </c>
      <c r="L53" s="270">
        <f t="shared" si="200"/>
        <v>1.1272754696107128</v>
      </c>
      <c r="M53" s="270">
        <f t="shared" si="200"/>
        <v>-0.51649129679547001</v>
      </c>
      <c r="N53" s="729"/>
      <c r="O53" s="705">
        <v>41613</v>
      </c>
      <c r="P53" s="270">
        <f t="shared" si="201"/>
        <v>1.0554734185815755</v>
      </c>
      <c r="Q53" s="270">
        <f t="shared" si="201"/>
        <v>1.8910806892071093</v>
      </c>
      <c r="R53" s="270">
        <f t="shared" si="201"/>
        <v>1.1272754696107128</v>
      </c>
      <c r="S53" s="270">
        <f t="shared" si="201"/>
        <v>-0.51649129679547001</v>
      </c>
      <c r="T53" s="705">
        <v>41613</v>
      </c>
      <c r="U53" s="291">
        <v>1.0554734185815755</v>
      </c>
      <c r="V53" s="291">
        <v>1.8910806892071093</v>
      </c>
      <c r="W53" s="291">
        <v>1.1272754696107128</v>
      </c>
      <c r="X53" s="291">
        <v>-0.51649129679547001</v>
      </c>
      <c r="Y53" s="729"/>
      <c r="Z53" s="705">
        <v>41613</v>
      </c>
      <c r="AA53" s="707">
        <v>41613</v>
      </c>
      <c r="AB53" s="497">
        <f t="shared" si="202"/>
        <v>2</v>
      </c>
      <c r="AC53" s="266">
        <v>1.567169367742697</v>
      </c>
      <c r="AD53" s="291">
        <v>1.0554734185815755</v>
      </c>
      <c r="AE53" s="291">
        <f t="shared" si="82"/>
        <v>758.77226736898615</v>
      </c>
      <c r="AF53" s="161">
        <v>2.8481693677426971</v>
      </c>
      <c r="AG53" s="291">
        <v>1.8910806892071093</v>
      </c>
      <c r="AH53" s="291">
        <f t="shared" si="83"/>
        <v>5834.8676023295502</v>
      </c>
      <c r="AI53" s="161">
        <v>3.2027693677426976</v>
      </c>
      <c r="AJ53" s="291">
        <v>1.1272754696107128</v>
      </c>
      <c r="AK53" s="291">
        <f t="shared" si="84"/>
        <v>1077.8767332637417</v>
      </c>
      <c r="AL53" s="161">
        <v>2.7505693677426968</v>
      </c>
      <c r="AM53" s="291">
        <v>-0.51649129679547001</v>
      </c>
      <c r="AN53" s="291">
        <f t="shared" si="85"/>
        <v>-578.118150415522</v>
      </c>
      <c r="AO53" s="705">
        <v>41613</v>
      </c>
      <c r="AP53" s="463">
        <v>7.1889282478442835</v>
      </c>
      <c r="AQ53" s="463">
        <v>30.854672863144661</v>
      </c>
      <c r="AR53" s="463">
        <v>9.5617864694241046</v>
      </c>
      <c r="AS53" s="463">
        <v>11.193182808740652</v>
      </c>
      <c r="AT53" s="463">
        <f t="shared" si="86"/>
        <v>0.25674743742301015</v>
      </c>
      <c r="AU53" s="463">
        <f t="shared" si="87"/>
        <v>0.52296055700245192</v>
      </c>
      <c r="AV53" s="463">
        <f t="shared" si="88"/>
        <v>0.47808932347120525</v>
      </c>
      <c r="AW53" s="463">
        <f t="shared" si="89"/>
        <v>0.58911488467056061</v>
      </c>
      <c r="AY53" s="266">
        <v>1.567169367742697</v>
      </c>
      <c r="AZ53" s="161">
        <v>2.8481693677426971</v>
      </c>
      <c r="BA53" s="161">
        <v>3.2027693677426976</v>
      </c>
      <c r="BB53" s="161">
        <v>2.7505693677426968</v>
      </c>
      <c r="BE53" s="134">
        <v>-1.6517265814184244E-2</v>
      </c>
      <c r="BF53" s="134">
        <v>-4.4171931079289078E-3</v>
      </c>
      <c r="BG53" s="134">
        <v>-9.0312453038928712E-3</v>
      </c>
      <c r="BH53" s="134">
        <v>-2.38849129679547E-2</v>
      </c>
      <c r="BJ53" s="508">
        <v>5.0813036592609473</v>
      </c>
      <c r="BK53" s="508">
        <v>7.0099190438768355</v>
      </c>
      <c r="BL53" s="508">
        <v>16.31084212079902</v>
      </c>
      <c r="BM53" s="508">
        <v>11.540995966953085</v>
      </c>
      <c r="BO53" s="705">
        <v>41613</v>
      </c>
      <c r="BP53" s="324">
        <v>0</v>
      </c>
      <c r="BQ53" s="1">
        <v>5035950</v>
      </c>
      <c r="BR53" s="1">
        <v>11127132</v>
      </c>
      <c r="BS53" s="1">
        <v>6310099.7999999998</v>
      </c>
      <c r="BT53" s="1">
        <v>5970600</v>
      </c>
      <c r="BU53" s="708">
        <v>153402.67665978591</v>
      </c>
      <c r="BV53" s="708">
        <v>509866.00211189309</v>
      </c>
      <c r="BW53" s="708">
        <v>144414.10030668529</v>
      </c>
      <c r="BX53" s="708">
        <v>214415.58927759767</v>
      </c>
      <c r="BY53" s="709">
        <f t="shared" si="18"/>
        <v>0</v>
      </c>
      <c r="BZ53" s="709">
        <f t="shared" si="19"/>
        <v>0</v>
      </c>
      <c r="CA53" s="709">
        <f t="shared" si="20"/>
        <v>0</v>
      </c>
      <c r="CB53" s="709">
        <f t="shared" si="21"/>
        <v>0</v>
      </c>
      <c r="CC53" s="475">
        <f t="shared" si="22"/>
        <v>0</v>
      </c>
      <c r="CD53" s="475">
        <f t="shared" si="23"/>
        <v>0</v>
      </c>
      <c r="CE53" s="475">
        <f t="shared" si="24"/>
        <v>0</v>
      </c>
      <c r="CF53" s="475">
        <f t="shared" si="25"/>
        <v>0</v>
      </c>
      <c r="CG53" s="302">
        <f t="shared" si="90"/>
        <v>0</v>
      </c>
      <c r="CH53" s="302">
        <f t="shared" si="91"/>
        <v>0</v>
      </c>
      <c r="CI53" s="302">
        <f t="shared" si="92"/>
        <v>0</v>
      </c>
      <c r="CJ53" s="302">
        <f t="shared" si="93"/>
        <v>0</v>
      </c>
      <c r="CK53" s="302">
        <f t="shared" si="94"/>
        <v>0</v>
      </c>
      <c r="CL53" s="302">
        <f t="shared" si="94"/>
        <v>0</v>
      </c>
      <c r="CM53" s="302">
        <f t="shared" si="94"/>
        <v>0</v>
      </c>
      <c r="CN53" s="302">
        <f t="shared" si="94"/>
        <v>0</v>
      </c>
      <c r="CO53" s="710">
        <f t="shared" si="203"/>
        <v>0</v>
      </c>
      <c r="CP53" s="710">
        <f t="shared" si="203"/>
        <v>0</v>
      </c>
      <c r="CQ53" s="710">
        <f t="shared" si="203"/>
        <v>0</v>
      </c>
      <c r="CR53" s="710">
        <f t="shared" si="203"/>
        <v>0</v>
      </c>
      <c r="CS53" s="705">
        <v>41613</v>
      </c>
      <c r="CT53" s="711">
        <v>0.94199999999999995</v>
      </c>
      <c r="CU53" s="711">
        <v>0.94099999999999995</v>
      </c>
      <c r="CV53" s="713">
        <v>0.91400000000000003</v>
      </c>
      <c r="CW53" s="714">
        <v>0.94099999999999995</v>
      </c>
      <c r="CY53" s="715">
        <v>3.2153303659260946E-2</v>
      </c>
      <c r="CZ53" s="715">
        <v>3.0337919043876838E-2</v>
      </c>
      <c r="DA53" s="715">
        <v>3.6614842120799018E-2</v>
      </c>
      <c r="DB53" s="715">
        <v>3.0260995966953086E-2</v>
      </c>
      <c r="DC53" s="463">
        <f t="shared" si="161"/>
        <v>-3.2114323380591614</v>
      </c>
      <c r="DD53" s="463">
        <f t="shared" si="162"/>
        <v>-3.031432338059048</v>
      </c>
      <c r="DE53" s="463">
        <f t="shared" si="163"/>
        <v>-3.6914323380591085</v>
      </c>
      <c r="DF53" s="463">
        <f t="shared" si="164"/>
        <v>-3.031432338059048</v>
      </c>
      <c r="DG53" s="483">
        <f t="shared" si="30"/>
        <v>3.2114323380591614</v>
      </c>
      <c r="DH53" s="483">
        <f t="shared" si="31"/>
        <v>3.031432338059048</v>
      </c>
      <c r="DI53" s="483">
        <f t="shared" si="32"/>
        <v>3.6914323380591085</v>
      </c>
      <c r="DJ53" s="483">
        <f t="shared" si="33"/>
        <v>3.031432338059048</v>
      </c>
      <c r="DK53" s="483">
        <f t="shared" si="121"/>
        <v>0.15804758309205091</v>
      </c>
      <c r="DL53" s="483">
        <f t="shared" si="122"/>
        <v>0.64873966436703867</v>
      </c>
      <c r="DM53" s="483">
        <f t="shared" si="123"/>
        <v>0.14791946734238515</v>
      </c>
      <c r="DN53" s="483">
        <f t="shared" si="124"/>
        <v>0.28481817273045706</v>
      </c>
      <c r="DO53" s="483">
        <f t="shared" si="100"/>
        <v>12.688977982347616</v>
      </c>
      <c r="DP53" s="483">
        <f t="shared" si="101"/>
        <v>49.165259938595355</v>
      </c>
      <c r="DQ53" s="483">
        <f t="shared" si="102"/>
        <v>13.650867629403969</v>
      </c>
      <c r="DR53" s="483">
        <f t="shared" si="103"/>
        <v>21.58517548204988</v>
      </c>
      <c r="DS53" s="324">
        <v>2.7071999999999998</v>
      </c>
      <c r="DT53" s="324">
        <v>2.3328000000000002</v>
      </c>
      <c r="DU53" s="324">
        <v>2.0303999999999998</v>
      </c>
      <c r="DV53" s="324">
        <v>1.8720000000000001</v>
      </c>
      <c r="DW53" s="716"/>
      <c r="DX53" s="705">
        <v>41613</v>
      </c>
      <c r="DY53" s="716"/>
      <c r="DZ53" s="269">
        <f t="shared" si="204"/>
        <v>0.50423233805916157</v>
      </c>
      <c r="EA53" s="269">
        <f t="shared" si="204"/>
        <v>0.69863233805904779</v>
      </c>
      <c r="EB53" s="269">
        <f t="shared" si="204"/>
        <v>1.6610323380591088</v>
      </c>
      <c r="EC53" s="716">
        <f t="shared" si="204"/>
        <v>1.1594323380590479</v>
      </c>
      <c r="ED53" s="716"/>
      <c r="EE53" s="269">
        <f t="shared" si="205"/>
        <v>0.50423233805916157</v>
      </c>
      <c r="EF53" s="269">
        <f t="shared" si="206"/>
        <v>0.69863233805904779</v>
      </c>
      <c r="EG53" s="269">
        <f t="shared" si="207"/>
        <v>1.6610323380591088</v>
      </c>
      <c r="EH53" s="269">
        <f t="shared" si="208"/>
        <v>1.1594323380590479</v>
      </c>
      <c r="EI53" s="716"/>
      <c r="EJ53" s="717">
        <f t="shared" si="36"/>
        <v>362.48900985500751</v>
      </c>
      <c r="EK53" s="717">
        <f t="shared" si="37"/>
        <v>2155.6072242425807</v>
      </c>
      <c r="EL53" s="717">
        <f t="shared" si="38"/>
        <v>1588.2436535329468</v>
      </c>
      <c r="EM53" s="717">
        <f t="shared" si="39"/>
        <v>1297.7738114260515</v>
      </c>
      <c r="EN53" s="716"/>
      <c r="EO53" s="269">
        <f t="shared" si="181"/>
        <v>1.6517265814184243</v>
      </c>
      <c r="EP53" s="269">
        <f t="shared" si="182"/>
        <v>0.44171931079289078</v>
      </c>
      <c r="EQ53" s="269">
        <f t="shared" si="183"/>
        <v>0.90312453038928708</v>
      </c>
      <c r="ER53" s="269">
        <f t="shared" si="184"/>
        <v>2.3884912967954701</v>
      </c>
      <c r="ES53" s="716"/>
      <c r="ET53" s="718">
        <f t="shared" si="40"/>
        <v>1187.4143878874183</v>
      </c>
      <c r="EU53" s="718">
        <f t="shared" si="41"/>
        <v>1362.9104831848367</v>
      </c>
      <c r="EV53" s="718">
        <f t="shared" si="42"/>
        <v>863.54839148812835</v>
      </c>
      <c r="EW53" s="718">
        <f t="shared" si="43"/>
        <v>2673.4819722117718</v>
      </c>
      <c r="EX53" s="716"/>
      <c r="EY53" s="705">
        <v>41613</v>
      </c>
      <c r="EZ53" s="716"/>
      <c r="FA53" s="766">
        <f t="shared" si="44"/>
        <v>1.0554734185815757</v>
      </c>
      <c r="FB53" s="766">
        <f t="shared" si="45"/>
        <v>1.8910806892071095</v>
      </c>
      <c r="FC53" s="766">
        <f t="shared" si="46"/>
        <v>1.1272754696107126</v>
      </c>
      <c r="FD53" s="766">
        <f t="shared" si="47"/>
        <v>-0.51649129679547023</v>
      </c>
      <c r="FE53" s="760"/>
      <c r="FF53" s="705">
        <v>41613</v>
      </c>
      <c r="FG53" s="760"/>
      <c r="FH53" s="766">
        <v>758.77226736898626</v>
      </c>
      <c r="FI53" s="766">
        <f t="shared" si="185"/>
        <v>5834.8676023295511</v>
      </c>
      <c r="FJ53" s="766">
        <f t="shared" si="186"/>
        <v>1077.8767332637415</v>
      </c>
      <c r="FK53" s="766">
        <f t="shared" si="187"/>
        <v>-578.11815041552234</v>
      </c>
      <c r="FL53" s="760"/>
      <c r="FM53" s="759">
        <f t="shared" si="95"/>
        <v>758.77226736898626</v>
      </c>
      <c r="FN53" s="759">
        <f t="shared" si="96"/>
        <v>5834.8676023295511</v>
      </c>
      <c r="FO53" s="759">
        <f t="shared" si="97"/>
        <v>1077.8767332637415</v>
      </c>
      <c r="FP53" s="759">
        <f t="shared" si="49"/>
        <v>-578.11815041552234</v>
      </c>
      <c r="FQ53" s="760"/>
      <c r="FR53" s="759">
        <f t="shared" si="50"/>
        <v>2308.6756651114124</v>
      </c>
      <c r="FS53" s="759">
        <f t="shared" si="51"/>
        <v>9353.3853097569699</v>
      </c>
      <c r="FT53" s="759">
        <f t="shared" si="52"/>
        <v>3529.6687782848167</v>
      </c>
      <c r="FU53" s="759">
        <f t="shared" si="53"/>
        <v>3971.2557836378232</v>
      </c>
      <c r="FV53" s="761"/>
      <c r="FW53" s="754">
        <v>41613</v>
      </c>
      <c r="FX53" s="761"/>
      <c r="FY53" s="759">
        <f t="shared" si="76"/>
        <v>328118.77404388762</v>
      </c>
      <c r="FZ53" s="759">
        <f t="shared" si="77"/>
        <v>543413.3229203847</v>
      </c>
      <c r="GA53" s="759">
        <f t="shared" si="78"/>
        <v>268757.53455660574</v>
      </c>
      <c r="GB53" s="759">
        <f t="shared" si="79"/>
        <v>302737.65140012663</v>
      </c>
      <c r="GC53" s="760"/>
      <c r="GD53" s="759">
        <f t="shared" si="54"/>
        <v>0.86779574144795546</v>
      </c>
      <c r="GE53" s="759">
        <f t="shared" si="54"/>
        <v>0.71241170051005143</v>
      </c>
      <c r="GF53" s="759">
        <f t="shared" si="55"/>
        <v>0.72156275528440195</v>
      </c>
      <c r="GG53" s="759">
        <f t="shared" si="56"/>
        <v>0.79011334470699934</v>
      </c>
      <c r="GH53" s="716"/>
      <c r="GI53" s="756">
        <f t="shared" si="57"/>
        <v>0</v>
      </c>
      <c r="GJ53" s="756">
        <f t="shared" si="58"/>
        <v>0</v>
      </c>
      <c r="GK53" s="756">
        <f t="shared" si="59"/>
        <v>0</v>
      </c>
      <c r="GL53" s="756">
        <f t="shared" si="60"/>
        <v>0</v>
      </c>
      <c r="GM53" s="716"/>
    </row>
    <row r="54" spans="1:195" s="134" customFormat="1">
      <c r="A54" s="705">
        <v>41614</v>
      </c>
      <c r="B54" s="706">
        <v>0</v>
      </c>
      <c r="C54" s="497">
        <f t="shared" si="199"/>
        <v>3</v>
      </c>
      <c r="D54" s="274">
        <v>0.6796651099452381</v>
      </c>
      <c r="E54" s="274">
        <v>1.7955597399709997</v>
      </c>
      <c r="F54" s="274">
        <v>1.5340212544321055</v>
      </c>
      <c r="G54" s="274">
        <v>0.63153638159846492</v>
      </c>
      <c r="H54" s="729"/>
      <c r="I54" s="705">
        <v>41614</v>
      </c>
      <c r="J54" s="270">
        <f t="shared" si="200"/>
        <v>0.6796651099452381</v>
      </c>
      <c r="K54" s="270">
        <f t="shared" si="200"/>
        <v>1.7955597399709997</v>
      </c>
      <c r="L54" s="270">
        <f t="shared" si="200"/>
        <v>1.5340212544321055</v>
      </c>
      <c r="M54" s="270">
        <f t="shared" si="200"/>
        <v>0.63153638159846492</v>
      </c>
      <c r="N54" s="729"/>
      <c r="O54" s="705">
        <v>41614</v>
      </c>
      <c r="P54" s="270">
        <f t="shared" si="201"/>
        <v>0.6796651099452381</v>
      </c>
      <c r="Q54" s="270">
        <f t="shared" si="201"/>
        <v>1.7955597399709997</v>
      </c>
      <c r="R54" s="270">
        <f t="shared" si="201"/>
        <v>1.5340212544321055</v>
      </c>
      <c r="S54" s="270">
        <f t="shared" si="201"/>
        <v>0.63153638159846492</v>
      </c>
      <c r="T54" s="705">
        <v>41614</v>
      </c>
      <c r="U54" s="291">
        <v>0.6796651099452381</v>
      </c>
      <c r="V54" s="291">
        <v>1.7955597399709997</v>
      </c>
      <c r="W54" s="291">
        <v>1.5340212544321055</v>
      </c>
      <c r="X54" s="291">
        <v>0.63153638159846492</v>
      </c>
      <c r="Y54" s="729"/>
      <c r="Z54" s="705">
        <v>41614</v>
      </c>
      <c r="AA54" s="707">
        <v>41614</v>
      </c>
      <c r="AB54" s="497">
        <f t="shared" si="202"/>
        <v>3</v>
      </c>
      <c r="AC54" s="266">
        <v>1.5350550443621054</v>
      </c>
      <c r="AD54" s="291">
        <v>0.6796651099452381</v>
      </c>
      <c r="AE54" s="291">
        <f t="shared" si="82"/>
        <v>478.26454915960005</v>
      </c>
      <c r="AF54" s="161">
        <v>2.8178550443621067</v>
      </c>
      <c r="AG54" s="291">
        <v>1.7955597399709997</v>
      </c>
      <c r="AH54" s="291">
        <f t="shared" si="83"/>
        <v>5388.7606056227742</v>
      </c>
      <c r="AI54" s="161">
        <v>3.1658550443621065</v>
      </c>
      <c r="AJ54" s="291">
        <v>1.5340212544321055</v>
      </c>
      <c r="AK54" s="291">
        <f t="shared" si="84"/>
        <v>1441.702990438602</v>
      </c>
      <c r="AL54" s="161">
        <v>2.7202550443621063</v>
      </c>
      <c r="AM54" s="291">
        <v>0.63153638159846492</v>
      </c>
      <c r="AN54" s="291">
        <f t="shared" si="85"/>
        <v>686.18966065299492</v>
      </c>
      <c r="AO54" s="705">
        <v>41614</v>
      </c>
      <c r="AP54" s="463">
        <v>7.0367676986999488</v>
      </c>
      <c r="AQ54" s="463">
        <v>30.011591848844912</v>
      </c>
      <c r="AR54" s="463">
        <v>9.3981943618657375</v>
      </c>
      <c r="AS54" s="463">
        <v>10.865401909486174</v>
      </c>
      <c r="AT54" s="463">
        <f t="shared" si="86"/>
        <v>0.25131313209642675</v>
      </c>
      <c r="AU54" s="463">
        <f t="shared" si="87"/>
        <v>0.50867104828550702</v>
      </c>
      <c r="AV54" s="463">
        <f t="shared" si="88"/>
        <v>0.46990971809328685</v>
      </c>
      <c r="AW54" s="463">
        <f t="shared" si="89"/>
        <v>0.5718632583940092</v>
      </c>
      <c r="AY54" s="266">
        <v>1.5350550443621054</v>
      </c>
      <c r="AZ54" s="161">
        <v>2.8178550443621067</v>
      </c>
      <c r="BA54" s="161">
        <v>3.1658550443621065</v>
      </c>
      <c r="BB54" s="161">
        <v>2.7202550443621063</v>
      </c>
      <c r="BE54" s="134">
        <v>-1.6099348900547619E-2</v>
      </c>
      <c r="BF54" s="134">
        <v>-4.0764026002900024E-3</v>
      </c>
      <c r="BG54" s="134">
        <v>-8.9957874556789458E-3</v>
      </c>
      <c r="BH54" s="134">
        <v>-2.3636636184015351E-2</v>
      </c>
      <c r="BJ54" s="508">
        <v>7.9002418090683699</v>
      </c>
      <c r="BK54" s="508">
        <v>15.302703347529086</v>
      </c>
      <c r="BL54" s="508">
        <v>15.475626424453461</v>
      </c>
      <c r="BM54" s="508">
        <v>7.7057802706070664</v>
      </c>
      <c r="BO54" s="705">
        <v>41614</v>
      </c>
      <c r="BP54" s="324">
        <v>0</v>
      </c>
      <c r="BQ54" s="1">
        <v>5035950</v>
      </c>
      <c r="BR54" s="1">
        <v>11127132</v>
      </c>
      <c r="BS54" s="1">
        <v>6310099.7999999998</v>
      </c>
      <c r="BT54" s="1">
        <v>5970600</v>
      </c>
      <c r="BU54" s="708">
        <v>153402.67665978591</v>
      </c>
      <c r="BV54" s="708">
        <v>509866.00211189309</v>
      </c>
      <c r="BW54" s="708">
        <v>144414.10030668529</v>
      </c>
      <c r="BX54" s="708">
        <v>214415.58927759767</v>
      </c>
      <c r="BY54" s="709">
        <f t="shared" si="18"/>
        <v>0</v>
      </c>
      <c r="BZ54" s="709">
        <f t="shared" si="19"/>
        <v>0</v>
      </c>
      <c r="CA54" s="709">
        <f t="shared" si="20"/>
        <v>0</v>
      </c>
      <c r="CB54" s="709">
        <f t="shared" si="21"/>
        <v>0</v>
      </c>
      <c r="CC54" s="475">
        <f t="shared" si="22"/>
        <v>0</v>
      </c>
      <c r="CD54" s="475">
        <f t="shared" si="23"/>
        <v>0</v>
      </c>
      <c r="CE54" s="475">
        <f t="shared" si="24"/>
        <v>0</v>
      </c>
      <c r="CF54" s="475">
        <f t="shared" si="25"/>
        <v>0</v>
      </c>
      <c r="CG54" s="302">
        <f t="shared" si="90"/>
        <v>0</v>
      </c>
      <c r="CH54" s="302">
        <f t="shared" si="91"/>
        <v>0</v>
      </c>
      <c r="CI54" s="302">
        <f t="shared" si="92"/>
        <v>0</v>
      </c>
      <c r="CJ54" s="302">
        <f t="shared" si="93"/>
        <v>0</v>
      </c>
      <c r="CK54" s="302">
        <f t="shared" si="94"/>
        <v>0</v>
      </c>
      <c r="CL54" s="302">
        <f t="shared" si="94"/>
        <v>0</v>
      </c>
      <c r="CM54" s="302">
        <f t="shared" si="94"/>
        <v>0</v>
      </c>
      <c r="CN54" s="302">
        <f t="shared" si="94"/>
        <v>0</v>
      </c>
      <c r="CO54" s="710">
        <f t="shared" si="203"/>
        <v>0</v>
      </c>
      <c r="CP54" s="710">
        <f t="shared" si="203"/>
        <v>0</v>
      </c>
      <c r="CQ54" s="710">
        <f t="shared" si="203"/>
        <v>0</v>
      </c>
      <c r="CR54" s="710">
        <f t="shared" si="203"/>
        <v>0</v>
      </c>
      <c r="CS54" s="705">
        <v>41614</v>
      </c>
      <c r="CT54" s="711">
        <v>0.95699999999999996</v>
      </c>
      <c r="CU54" s="711">
        <v>0.96599999999999997</v>
      </c>
      <c r="CV54" s="713">
        <v>0.93300000000000005</v>
      </c>
      <c r="CW54" s="714">
        <v>0.97799999999999998</v>
      </c>
      <c r="CY54" s="727">
        <v>3.079624180906837E-2</v>
      </c>
      <c r="CZ54" s="727">
        <v>3.7334703347529086E-2</v>
      </c>
      <c r="DA54" s="727">
        <v>3.9811626424453461E-2</v>
      </c>
      <c r="DB54" s="727">
        <v>3.7657780270607066E-2</v>
      </c>
      <c r="DC54" s="463">
        <f t="shared" si="161"/>
        <v>-3.1329245078810075</v>
      </c>
      <c r="DD54" s="463">
        <f t="shared" si="162"/>
        <v>-3.8129245078811991</v>
      </c>
      <c r="DE54" s="463">
        <f t="shared" si="163"/>
        <v>-3.9829245078811581</v>
      </c>
      <c r="DF54" s="463">
        <f t="shared" si="164"/>
        <v>-3.762924507881138</v>
      </c>
      <c r="DG54" s="483">
        <f t="shared" si="30"/>
        <v>3.1329245078810075</v>
      </c>
      <c r="DH54" s="483">
        <f t="shared" si="31"/>
        <v>3.8129245078811991</v>
      </c>
      <c r="DI54" s="483">
        <f t="shared" si="32"/>
        <v>3.9829245078811581</v>
      </c>
      <c r="DJ54" s="483">
        <f t="shared" si="33"/>
        <v>3.762924507881138</v>
      </c>
      <c r="DK54" s="483">
        <f t="shared" si="121"/>
        <v>0.15216054914433474</v>
      </c>
      <c r="DL54" s="483">
        <f t="shared" si="122"/>
        <v>0.84308101429974869</v>
      </c>
      <c r="DM54" s="483">
        <f t="shared" si="123"/>
        <v>0.16359210755836706</v>
      </c>
      <c r="DN54" s="483">
        <f t="shared" si="124"/>
        <v>0.32778089925447773</v>
      </c>
      <c r="DO54" s="483">
        <f t="shared" si="100"/>
        <v>11.91768783867297</v>
      </c>
      <c r="DP54" s="483">
        <f t="shared" si="101"/>
        <v>80.36510653882128</v>
      </c>
      <c r="DQ54" s="483">
        <f t="shared" si="102"/>
        <v>16.289375362253764</v>
      </c>
      <c r="DR54" s="483">
        <f t="shared" si="103"/>
        <v>30.835369475499814</v>
      </c>
      <c r="DS54" s="324">
        <v>2.2896000000000001</v>
      </c>
      <c r="DT54" s="324">
        <v>2.2031999999999998</v>
      </c>
      <c r="DU54" s="324">
        <v>2.4336000000000002</v>
      </c>
      <c r="DV54" s="324">
        <v>2.9952000000000001</v>
      </c>
      <c r="DW54" s="716"/>
      <c r="DX54" s="705">
        <v>41614</v>
      </c>
      <c r="DY54" s="716"/>
      <c r="DZ54" s="269">
        <f t="shared" si="204"/>
        <v>0.84332450788100743</v>
      </c>
      <c r="EA54" s="269">
        <f t="shared" si="204"/>
        <v>1.6097245078811993</v>
      </c>
      <c r="EB54" s="269">
        <f t="shared" si="204"/>
        <v>1.5493245078811579</v>
      </c>
      <c r="EC54" s="716">
        <f t="shared" si="204"/>
        <v>0.76772450788113789</v>
      </c>
      <c r="ED54" s="716"/>
      <c r="EE54" s="269">
        <f t="shared" si="205"/>
        <v>0.84332450788100743</v>
      </c>
      <c r="EF54" s="269">
        <f t="shared" si="206"/>
        <v>1.6097245078811993</v>
      </c>
      <c r="EG54" s="269">
        <f t="shared" si="207"/>
        <v>1.5493245078811579</v>
      </c>
      <c r="EH54" s="269">
        <f t="shared" si="208"/>
        <v>0.76772450788113789</v>
      </c>
      <c r="EI54" s="716"/>
      <c r="EJ54" s="717">
        <f t="shared" si="36"/>
        <v>593.42786565791039</v>
      </c>
      <c r="EK54" s="717">
        <f t="shared" si="37"/>
        <v>4831.0394919613282</v>
      </c>
      <c r="EL54" s="717">
        <f t="shared" si="38"/>
        <v>1456.0852854669106</v>
      </c>
      <c r="EM54" s="717">
        <f t="shared" si="39"/>
        <v>834.16353338910483</v>
      </c>
      <c r="EN54" s="716"/>
      <c r="EO54" s="269">
        <f t="shared" si="181"/>
        <v>1.6099348900547619</v>
      </c>
      <c r="EP54" s="269">
        <f t="shared" si="182"/>
        <v>0.40764026002900022</v>
      </c>
      <c r="EQ54" s="269">
        <f t="shared" si="183"/>
        <v>0.89957874556789463</v>
      </c>
      <c r="ER54" s="269">
        <f t="shared" si="184"/>
        <v>2.3636636184015352</v>
      </c>
      <c r="ES54" s="716"/>
      <c r="ET54" s="718">
        <f t="shared" si="40"/>
        <v>1132.8737831347403</v>
      </c>
      <c r="EU54" s="718">
        <f t="shared" si="41"/>
        <v>1223.3933105147364</v>
      </c>
      <c r="EV54" s="718">
        <f t="shared" si="42"/>
        <v>845.44158946504399</v>
      </c>
      <c r="EW54" s="718">
        <f t="shared" si="43"/>
        <v>2568.2155192763039</v>
      </c>
      <c r="EX54" s="716"/>
      <c r="EY54" s="705">
        <v>41614</v>
      </c>
      <c r="EZ54" s="716"/>
      <c r="FA54" s="766">
        <f t="shared" si="44"/>
        <v>0.67966510994523821</v>
      </c>
      <c r="FB54" s="766">
        <f t="shared" si="45"/>
        <v>1.7955597399709995</v>
      </c>
      <c r="FC54" s="766">
        <f t="shared" si="46"/>
        <v>1.5340212544321057</v>
      </c>
      <c r="FD54" s="766">
        <f t="shared" si="47"/>
        <v>0.63153638159846492</v>
      </c>
      <c r="FE54" s="760"/>
      <c r="FF54" s="705">
        <v>41614</v>
      </c>
      <c r="FG54" s="760"/>
      <c r="FH54" s="766">
        <v>478.26454915960011</v>
      </c>
      <c r="FI54" s="766">
        <f t="shared" si="185"/>
        <v>5388.7606056227733</v>
      </c>
      <c r="FJ54" s="766">
        <f t="shared" si="186"/>
        <v>1441.7029904386022</v>
      </c>
      <c r="FK54" s="766">
        <f t="shared" si="187"/>
        <v>686.18966065299492</v>
      </c>
      <c r="FL54" s="760"/>
      <c r="FM54" s="759">
        <f t="shared" si="95"/>
        <v>478.26454915960011</v>
      </c>
      <c r="FN54" s="759">
        <f t="shared" si="96"/>
        <v>5388.7606056227733</v>
      </c>
      <c r="FO54" s="759">
        <f t="shared" si="97"/>
        <v>1441.7029904386022</v>
      </c>
      <c r="FP54" s="759">
        <f t="shared" si="49"/>
        <v>686.18966065299492</v>
      </c>
      <c r="FQ54" s="760"/>
      <c r="FR54" s="759">
        <f t="shared" si="50"/>
        <v>2204.5661979522511</v>
      </c>
      <c r="FS54" s="759">
        <f t="shared" si="51"/>
        <v>11443.193408098838</v>
      </c>
      <c r="FT54" s="759">
        <f t="shared" si="52"/>
        <v>3743.229865370557</v>
      </c>
      <c r="FU54" s="759">
        <f t="shared" si="53"/>
        <v>4088.5687133184038</v>
      </c>
      <c r="FV54" s="761"/>
      <c r="FW54" s="754">
        <v>41614</v>
      </c>
      <c r="FX54" s="761"/>
      <c r="FY54" s="759">
        <f t="shared" si="76"/>
        <v>330323.34024183988</v>
      </c>
      <c r="FZ54" s="759">
        <f t="shared" si="77"/>
        <v>554856.51632848359</v>
      </c>
      <c r="GA54" s="759">
        <f t="shared" si="78"/>
        <v>272500.76442197629</v>
      </c>
      <c r="GB54" s="759">
        <f t="shared" si="79"/>
        <v>306826.22011344502</v>
      </c>
      <c r="GC54" s="760"/>
      <c r="GD54" s="759">
        <f t="shared" si="54"/>
        <v>0.87362629218037768</v>
      </c>
      <c r="GE54" s="759">
        <f t="shared" si="54"/>
        <v>0.72741366040186572</v>
      </c>
      <c r="GF54" s="759">
        <f t="shared" si="55"/>
        <v>0.73161261401590016</v>
      </c>
      <c r="GG54" s="759">
        <f t="shared" si="56"/>
        <v>0.8007840778853933</v>
      </c>
      <c r="GH54" s="716"/>
      <c r="GI54" s="756">
        <f t="shared" si="57"/>
        <v>0</v>
      </c>
      <c r="GJ54" s="756">
        <f t="shared" si="58"/>
        <v>0</v>
      </c>
      <c r="GK54" s="756">
        <f t="shared" si="59"/>
        <v>0</v>
      </c>
      <c r="GL54" s="756">
        <f t="shared" si="60"/>
        <v>0</v>
      </c>
      <c r="GM54" s="716"/>
    </row>
    <row r="55" spans="1:195" s="134" customFormat="1">
      <c r="A55" s="705">
        <v>41615</v>
      </c>
      <c r="B55" s="706">
        <v>0</v>
      </c>
      <c r="C55" s="497">
        <f t="shared" si="199"/>
        <v>4</v>
      </c>
      <c r="D55" s="274">
        <v>0.23280580405790169</v>
      </c>
      <c r="E55" s="274">
        <v>2.1155167385857632</v>
      </c>
      <c r="F55" s="274">
        <v>2.1430160008998009</v>
      </c>
      <c r="G55" s="274">
        <v>0.94155290821139181</v>
      </c>
      <c r="H55" s="729"/>
      <c r="I55" s="705">
        <v>41615</v>
      </c>
      <c r="J55" s="270">
        <f t="shared" si="200"/>
        <v>0.23280580405790169</v>
      </c>
      <c r="K55" s="270">
        <f t="shared" si="200"/>
        <v>2.1155167385857632</v>
      </c>
      <c r="L55" s="270">
        <f t="shared" si="200"/>
        <v>2.1430160008998009</v>
      </c>
      <c r="M55" s="270">
        <f t="shared" si="200"/>
        <v>0.94155290821139181</v>
      </c>
      <c r="N55" s="729"/>
      <c r="O55" s="705">
        <v>41615</v>
      </c>
      <c r="P55" s="270">
        <f t="shared" si="201"/>
        <v>0.23280580405790169</v>
      </c>
      <c r="Q55" s="270">
        <f t="shared" si="201"/>
        <v>2.1155167385857632</v>
      </c>
      <c r="R55" s="270">
        <f t="shared" si="201"/>
        <v>2.1430160008998009</v>
      </c>
      <c r="S55" s="270">
        <f t="shared" si="201"/>
        <v>0.94155290821139181</v>
      </c>
      <c r="T55" s="705">
        <v>41615</v>
      </c>
      <c r="U55" s="291">
        <v>0.23280580405790169</v>
      </c>
      <c r="V55" s="291">
        <v>2.1155167385857632</v>
      </c>
      <c r="W55" s="291">
        <v>2.1430160008998009</v>
      </c>
      <c r="X55" s="291">
        <v>0.94155290821139181</v>
      </c>
      <c r="Y55" s="729"/>
      <c r="Z55" s="705">
        <v>41615</v>
      </c>
      <c r="AA55" s="707">
        <v>41615</v>
      </c>
      <c r="AB55" s="497">
        <f t="shared" si="202"/>
        <v>4</v>
      </c>
      <c r="AC55" s="266">
        <v>1.5037257992832953</v>
      </c>
      <c r="AD55" s="291">
        <v>0.23280580405790169</v>
      </c>
      <c r="AE55" s="291">
        <f t="shared" si="82"/>
        <v>160.13347666306251</v>
      </c>
      <c r="AF55" s="161">
        <v>2.7797257992832947</v>
      </c>
      <c r="AG55" s="291">
        <v>2.1155167385857632</v>
      </c>
      <c r="AH55" s="291">
        <f t="shared" si="83"/>
        <v>6156.0962797790362</v>
      </c>
      <c r="AI55" s="161">
        <v>3.1260257992832949</v>
      </c>
      <c r="AJ55" s="291">
        <v>2.1430160008998009</v>
      </c>
      <c r="AK55" s="291">
        <f t="shared" si="84"/>
        <v>1972.6465217869327</v>
      </c>
      <c r="AL55" s="161">
        <v>2.6826257992832949</v>
      </c>
      <c r="AM55" s="291">
        <v>0.94155290821139181</v>
      </c>
      <c r="AN55" s="291">
        <f t="shared" si="85"/>
        <v>987.29651523423797</v>
      </c>
      <c r="AO55" s="705">
        <v>41615</v>
      </c>
      <c r="AP55" s="463">
        <v>6.8784142779891919</v>
      </c>
      <c r="AQ55" s="463">
        <v>29.099728532020155</v>
      </c>
      <c r="AR55" s="463">
        <v>9.2050013670390971</v>
      </c>
      <c r="AS55" s="463">
        <v>10.485831509030568</v>
      </c>
      <c r="AT55" s="463">
        <f t="shared" si="86"/>
        <v>0.24565765278532828</v>
      </c>
      <c r="AU55" s="463">
        <f t="shared" si="87"/>
        <v>0.4932157378308501</v>
      </c>
      <c r="AV55" s="463">
        <f t="shared" si="88"/>
        <v>0.46025006835195487</v>
      </c>
      <c r="AW55" s="463">
        <f t="shared" si="89"/>
        <v>0.55188586889634572</v>
      </c>
      <c r="AY55" s="266">
        <v>1.5037257992832953</v>
      </c>
      <c r="AZ55" s="161">
        <v>2.7797257992832947</v>
      </c>
      <c r="BA55" s="161">
        <v>3.1260257992832949</v>
      </c>
      <c r="BB55" s="161">
        <v>2.6826257992832949</v>
      </c>
      <c r="BE55" s="134">
        <v>-1.5671941959420985E-2</v>
      </c>
      <c r="BF55" s="134">
        <v>-3.6128326141423683E-3</v>
      </c>
      <c r="BG55" s="134">
        <v>-8.9538399910019904E-3</v>
      </c>
      <c r="BH55" s="134">
        <v>-2.3272470917886083E-2</v>
      </c>
      <c r="BJ55" s="508">
        <v>9.1569587758471158</v>
      </c>
      <c r="BK55" s="508">
        <v>9.612035698925224</v>
      </c>
      <c r="BL55" s="508">
        <v>-1.0731950703062667</v>
      </c>
      <c r="BM55" s="508">
        <v>2.2766510835404081</v>
      </c>
      <c r="BO55" s="705">
        <v>41615</v>
      </c>
      <c r="BP55" s="324">
        <v>0</v>
      </c>
      <c r="BQ55" s="1">
        <v>5035950</v>
      </c>
      <c r="BR55" s="1">
        <v>11127132</v>
      </c>
      <c r="BS55" s="1">
        <v>6310099.7999999998</v>
      </c>
      <c r="BT55" s="1">
        <v>5970600</v>
      </c>
      <c r="BU55" s="708">
        <v>153402.67665978591</v>
      </c>
      <c r="BV55" s="708">
        <v>509866.00211189309</v>
      </c>
      <c r="BW55" s="708">
        <v>144414.10030668529</v>
      </c>
      <c r="BX55" s="708">
        <v>214415.58927759767</v>
      </c>
      <c r="BY55" s="709">
        <f t="shared" si="18"/>
        <v>0</v>
      </c>
      <c r="BZ55" s="709">
        <f t="shared" si="19"/>
        <v>0</v>
      </c>
      <c r="CA55" s="709">
        <f t="shared" si="20"/>
        <v>0</v>
      </c>
      <c r="CB55" s="709">
        <f t="shared" si="21"/>
        <v>0</v>
      </c>
      <c r="CC55" s="475">
        <f t="shared" si="22"/>
        <v>0</v>
      </c>
      <c r="CD55" s="475">
        <f t="shared" si="23"/>
        <v>0</v>
      </c>
      <c r="CE55" s="475">
        <f t="shared" si="24"/>
        <v>0</v>
      </c>
      <c r="CF55" s="475">
        <f t="shared" si="25"/>
        <v>0</v>
      </c>
      <c r="CG55" s="302">
        <f t="shared" si="90"/>
        <v>0</v>
      </c>
      <c r="CH55" s="302">
        <f t="shared" si="91"/>
        <v>0</v>
      </c>
      <c r="CI55" s="302">
        <f t="shared" si="92"/>
        <v>0</v>
      </c>
      <c r="CJ55" s="302">
        <f t="shared" si="93"/>
        <v>0</v>
      </c>
      <c r="CK55" s="302">
        <f t="shared" si="94"/>
        <v>0</v>
      </c>
      <c r="CL55" s="302">
        <f t="shared" si="94"/>
        <v>0</v>
      </c>
      <c r="CM55" s="302">
        <f t="shared" si="94"/>
        <v>0</v>
      </c>
      <c r="CN55" s="302">
        <f t="shared" si="94"/>
        <v>0</v>
      </c>
      <c r="CO55" s="710">
        <f t="shared" si="203"/>
        <v>0</v>
      </c>
      <c r="CP55" s="710">
        <f t="shared" si="203"/>
        <v>0</v>
      </c>
      <c r="CQ55" s="710">
        <f t="shared" si="203"/>
        <v>0</v>
      </c>
      <c r="CR55" s="710">
        <f t="shared" si="203"/>
        <v>0</v>
      </c>
      <c r="CS55" s="705">
        <v>41615</v>
      </c>
      <c r="CT55" s="711">
        <v>0.91500000000000004</v>
      </c>
      <c r="CU55" s="711">
        <v>0.96799999999999997</v>
      </c>
      <c r="CV55" s="713">
        <v>0.91300000000000003</v>
      </c>
      <c r="CW55" s="714">
        <v>0.96599999999999997</v>
      </c>
      <c r="CY55" s="727">
        <v>2.7156958775847118E-2</v>
      </c>
      <c r="CZ55" s="727">
        <v>3.4380035698925226E-2</v>
      </c>
      <c r="DA55" s="727">
        <v>2.9310804929693735E-2</v>
      </c>
      <c r="DB55" s="727">
        <v>3.496465108354041E-2</v>
      </c>
      <c r="DC55" s="463">
        <f t="shared" si="161"/>
        <v>-2.7590794965675514</v>
      </c>
      <c r="DD55" s="463">
        <f t="shared" si="162"/>
        <v>-3.449079496567542</v>
      </c>
      <c r="DE55" s="463">
        <f t="shared" si="163"/>
        <v>-2.9590794965676182</v>
      </c>
      <c r="DF55" s="463">
        <f t="shared" si="164"/>
        <v>-3.5390794965675099</v>
      </c>
      <c r="DG55" s="483">
        <f t="shared" si="30"/>
        <v>2.7590794965675514</v>
      </c>
      <c r="DH55" s="483">
        <f t="shared" si="31"/>
        <v>3.449079496567542</v>
      </c>
      <c r="DI55" s="483">
        <f t="shared" si="32"/>
        <v>2.9590794965676182</v>
      </c>
      <c r="DJ55" s="483">
        <f t="shared" si="33"/>
        <v>3.5390794965675099</v>
      </c>
      <c r="DK55" s="483">
        <f t="shared" si="121"/>
        <v>0.15835342071075686</v>
      </c>
      <c r="DL55" s="483">
        <f t="shared" si="122"/>
        <v>0.91186331682475696</v>
      </c>
      <c r="DM55" s="483">
        <f t="shared" si="123"/>
        <v>0.19319299482664043</v>
      </c>
      <c r="DN55" s="483">
        <f t="shared" si="124"/>
        <v>0.37957040045560575</v>
      </c>
      <c r="DO55" s="483">
        <f t="shared" si="100"/>
        <v>10.922741907359619</v>
      </c>
      <c r="DP55" s="483">
        <f t="shared" si="101"/>
        <v>78.62722674330854</v>
      </c>
      <c r="DQ55" s="483">
        <f t="shared" si="102"/>
        <v>14.291835746800141</v>
      </c>
      <c r="DR55" s="483">
        <f t="shared" si="103"/>
        <v>33.583245543908831</v>
      </c>
      <c r="DS55" s="324">
        <v>1.8000000000000003</v>
      </c>
      <c r="DT55" s="324">
        <v>2.4768000000000003</v>
      </c>
      <c r="DU55" s="324">
        <v>3.0384000000000002</v>
      </c>
      <c r="DV55" s="324">
        <v>3.2688000000000001</v>
      </c>
      <c r="DW55" s="716"/>
      <c r="DX55" s="705">
        <v>41615</v>
      </c>
      <c r="DY55" s="716"/>
      <c r="DZ55" s="269">
        <f>-DC55-DS55</f>
        <v>0.95907949656755109</v>
      </c>
      <c r="EA55" s="269">
        <f>-DD55-DT55</f>
        <v>0.97227949656754165</v>
      </c>
      <c r="EB55" s="269"/>
      <c r="EC55" s="716">
        <f>-DF55-DV55</f>
        <v>0.27027949656750971</v>
      </c>
      <c r="ED55" s="716"/>
      <c r="EE55" s="269">
        <f t="shared" si="205"/>
        <v>0.95907949656755109</v>
      </c>
      <c r="EF55" s="269">
        <f t="shared" si="206"/>
        <v>0.97227949656754165</v>
      </c>
      <c r="EG55" s="269">
        <f>-(EG$54-EG$59)/5+EG54</f>
        <v>1.4833666980809801</v>
      </c>
      <c r="EH55" s="269">
        <f t="shared" si="208"/>
        <v>0.27027949656750971</v>
      </c>
      <c r="EI55" s="716"/>
      <c r="EJ55" s="717">
        <f t="shared" si="36"/>
        <v>659.69461029169304</v>
      </c>
      <c r="EK55" s="717">
        <f t="shared" si="37"/>
        <v>2829.3069407364683</v>
      </c>
      <c r="EL55" s="717">
        <f t="shared" si="38"/>
        <v>1365.4392483655693</v>
      </c>
      <c r="EM55" s="717">
        <f t="shared" si="39"/>
        <v>283.4105261352513</v>
      </c>
      <c r="EN55" s="716"/>
      <c r="EO55" s="269">
        <f t="shared" si="181"/>
        <v>1.5671941959420985</v>
      </c>
      <c r="EP55" s="269">
        <f t="shared" si="182"/>
        <v>0.36128326141423683</v>
      </c>
      <c r="EQ55" s="269">
        <f t="shared" si="183"/>
        <v>0.89538399910019906</v>
      </c>
      <c r="ER55" s="269">
        <f t="shared" si="184"/>
        <v>2.3272470917886081</v>
      </c>
      <c r="ES55" s="716"/>
      <c r="ET55" s="718">
        <f t="shared" si="40"/>
        <v>1077.981093374992</v>
      </c>
      <c r="EU55" s="718">
        <f t="shared" si="41"/>
        <v>1051.3244830317165</v>
      </c>
      <c r="EV55" s="718">
        <f t="shared" si="42"/>
        <v>824.20109357422655</v>
      </c>
      <c r="EW55" s="718">
        <f t="shared" si="43"/>
        <v>2440.312088437674</v>
      </c>
      <c r="EX55" s="716"/>
      <c r="EY55" s="705">
        <v>41615</v>
      </c>
      <c r="EZ55" s="716"/>
      <c r="FA55" s="766">
        <f t="shared" si="44"/>
        <v>0.23280580405790197</v>
      </c>
      <c r="FB55" s="766">
        <f t="shared" si="45"/>
        <v>2.1155167385857636</v>
      </c>
      <c r="FC55" s="766">
        <f t="shared" si="46"/>
        <v>0.580328799386439</v>
      </c>
      <c r="FD55" s="766">
        <f t="shared" si="47"/>
        <v>0.94155290821139204</v>
      </c>
      <c r="FE55" s="760"/>
      <c r="FF55" s="705">
        <v>41615</v>
      </c>
      <c r="FG55" s="760"/>
      <c r="FH55" s="766">
        <v>160.13347666306271</v>
      </c>
      <c r="FI55" s="766">
        <f t="shared" si="185"/>
        <v>6156.0962797790371</v>
      </c>
      <c r="FJ55" s="766">
        <f t="shared" si="186"/>
        <v>534.19273916843292</v>
      </c>
      <c r="FK55" s="766">
        <f t="shared" si="187"/>
        <v>987.29651523423809</v>
      </c>
      <c r="FL55" s="760"/>
      <c r="FM55" s="759">
        <f t="shared" si="95"/>
        <v>160.13347666306271</v>
      </c>
      <c r="FN55" s="759">
        <f t="shared" si="96"/>
        <v>6156.0962797790371</v>
      </c>
      <c r="FO55" s="759">
        <f t="shared" si="97"/>
        <v>534.19273916843292</v>
      </c>
      <c r="FP55" s="759">
        <f t="shared" si="49"/>
        <v>987.29651523423809</v>
      </c>
      <c r="FQ55" s="760"/>
      <c r="FR55" s="759">
        <f t="shared" si="50"/>
        <v>1897.809180329748</v>
      </c>
      <c r="FS55" s="759">
        <f t="shared" si="51"/>
        <v>10036.727703547222</v>
      </c>
      <c r="FT55" s="759">
        <f t="shared" si="52"/>
        <v>2723.8330811082287</v>
      </c>
      <c r="FU55" s="759">
        <f t="shared" si="53"/>
        <v>3711.0191298071632</v>
      </c>
      <c r="FV55" s="761"/>
      <c r="FW55" s="754">
        <v>41615</v>
      </c>
      <c r="FX55" s="761"/>
      <c r="FY55" s="759">
        <f t="shared" si="76"/>
        <v>332221.1494221696</v>
      </c>
      <c r="FZ55" s="759">
        <f t="shared" si="77"/>
        <v>564893.24403203081</v>
      </c>
      <c r="GA55" s="759">
        <f t="shared" si="78"/>
        <v>275224.59750308451</v>
      </c>
      <c r="GB55" s="759">
        <f t="shared" si="79"/>
        <v>310537.2392432522</v>
      </c>
      <c r="GC55" s="760"/>
      <c r="GD55" s="759">
        <f t="shared" si="54"/>
        <v>0.87864554391191896</v>
      </c>
      <c r="GE55" s="759">
        <f t="shared" si="54"/>
        <v>0.74057175194885561</v>
      </c>
      <c r="GF55" s="759">
        <f t="shared" si="55"/>
        <v>0.73892558667797559</v>
      </c>
      <c r="GG55" s="759">
        <f t="shared" si="56"/>
        <v>0.81046944646562391</v>
      </c>
      <c r="GH55" s="716"/>
      <c r="GI55" s="756">
        <f t="shared" si="57"/>
        <v>0</v>
      </c>
      <c r="GJ55" s="756">
        <f t="shared" si="58"/>
        <v>0</v>
      </c>
      <c r="GK55" s="756">
        <f t="shared" si="59"/>
        <v>0</v>
      </c>
      <c r="GL55" s="756">
        <f t="shared" si="60"/>
        <v>0</v>
      </c>
      <c r="GM55" s="716"/>
    </row>
    <row r="56" spans="1:195" s="472" customFormat="1">
      <c r="A56" s="464">
        <v>41616</v>
      </c>
      <c r="B56" s="465">
        <v>1.6500000000000001</v>
      </c>
      <c r="C56" s="466">
        <v>0</v>
      </c>
      <c r="D56" s="485">
        <v>0.64656391290947091</v>
      </c>
      <c r="E56" s="485">
        <v>2.2906588531654606</v>
      </c>
      <c r="F56" s="485">
        <v>2.1751945026621589</v>
      </c>
      <c r="G56" s="485">
        <v>0.85241886971706882</v>
      </c>
      <c r="H56" s="487"/>
      <c r="I56" s="464">
        <v>41616</v>
      </c>
      <c r="J56" s="467"/>
      <c r="K56" s="467"/>
      <c r="L56" s="467"/>
      <c r="M56" s="467"/>
      <c r="N56" s="487"/>
      <c r="O56" s="464">
        <v>41616</v>
      </c>
      <c r="P56" s="467">
        <f t="shared" ref="P56:S58" si="209">D56+CO56</f>
        <v>0.81156391290947094</v>
      </c>
      <c r="Q56" s="467">
        <f t="shared" si="209"/>
        <v>2.4556588531654606</v>
      </c>
      <c r="R56" s="467">
        <f t="shared" si="209"/>
        <v>2.3401945026621589</v>
      </c>
      <c r="S56" s="467">
        <f t="shared" si="209"/>
        <v>1.0174188697170687</v>
      </c>
      <c r="T56" s="464">
        <v>41616</v>
      </c>
      <c r="U56" s="468">
        <v>1.0229842819484782</v>
      </c>
      <c r="V56" s="468">
        <v>2.591343904873546</v>
      </c>
      <c r="W56" s="468">
        <v>2.4399965208552561</v>
      </c>
      <c r="X56" s="468">
        <v>1.2052346005942227</v>
      </c>
      <c r="Y56" s="487"/>
      <c r="Z56" s="464">
        <v>41616</v>
      </c>
      <c r="AA56" s="469">
        <v>41616</v>
      </c>
      <c r="AB56" s="466">
        <v>0</v>
      </c>
      <c r="AC56" s="470">
        <v>1.4761350043176198</v>
      </c>
      <c r="AD56" s="468">
        <v>1.0229842819484782</v>
      </c>
      <c r="AE56" s="468">
        <f t="shared" si="82"/>
        <v>687.88006946460951</v>
      </c>
      <c r="AF56" s="471">
        <v>2.7452350043176192</v>
      </c>
      <c r="AG56" s="468">
        <v>2.591343904873546</v>
      </c>
      <c r="AH56" s="468">
        <f t="shared" si="83"/>
        <v>7250.2538668268498</v>
      </c>
      <c r="AI56" s="471">
        <v>3.0964350043176188</v>
      </c>
      <c r="AJ56" s="468">
        <v>2.4399965208552561</v>
      </c>
      <c r="AK56" s="468">
        <f t="shared" si="84"/>
        <v>2195.6416449544258</v>
      </c>
      <c r="AL56" s="471">
        <v>2.6472350043176198</v>
      </c>
      <c r="AM56" s="468">
        <v>1.2052346005942227</v>
      </c>
      <c r="AN56" s="468">
        <f t="shared" si="85"/>
        <v>1208.5481354864251</v>
      </c>
      <c r="AO56" s="464">
        <v>41616</v>
      </c>
      <c r="AP56" s="483">
        <v>6.7242486673832795</v>
      </c>
      <c r="AQ56" s="483">
        <v>27.978740502915425</v>
      </c>
      <c r="AR56" s="483">
        <v>8.9985441626155271</v>
      </c>
      <c r="AS56" s="483">
        <v>10.027492862307211</v>
      </c>
      <c r="AT56" s="530">
        <f t="shared" si="86"/>
        <v>0.2401517381208314</v>
      </c>
      <c r="AU56" s="483">
        <f t="shared" si="87"/>
        <v>0.4742159407273801</v>
      </c>
      <c r="AV56" s="483">
        <f t="shared" si="88"/>
        <v>0.44992720813077636</v>
      </c>
      <c r="AW56" s="483">
        <f t="shared" si="89"/>
        <v>0.52776278222669537</v>
      </c>
      <c r="AY56" s="470">
        <v>1.4761350043176198</v>
      </c>
      <c r="AZ56" s="471">
        <v>2.7452350043176192</v>
      </c>
      <c r="BA56" s="471">
        <v>3.0964350043176188</v>
      </c>
      <c r="BB56" s="471">
        <v>2.6472350043176198</v>
      </c>
      <c r="BD56" s="232"/>
      <c r="BE56" s="472">
        <v>-1.527836087090529E-2</v>
      </c>
      <c r="BF56" s="472">
        <v>-3.1574114683453947E-3</v>
      </c>
      <c r="BG56" s="472">
        <v>-8.9200549733784076E-3</v>
      </c>
      <c r="BH56" s="472">
        <v>-2.2867811302829315E-2</v>
      </c>
      <c r="BI56" s="232"/>
      <c r="BJ56" s="507">
        <v>6.8927596532204349</v>
      </c>
      <c r="BK56" s="507">
        <v>9.5496827301432035</v>
      </c>
      <c r="BL56" s="507">
        <v>-3.4813941929336609</v>
      </c>
      <c r="BM56" s="507">
        <v>4.7216827301429234</v>
      </c>
      <c r="BN56" s="232"/>
      <c r="BO56" s="464">
        <v>41616</v>
      </c>
      <c r="BP56" s="473">
        <v>0</v>
      </c>
      <c r="BQ56" s="1">
        <v>5035950</v>
      </c>
      <c r="BR56" s="1">
        <v>11127132</v>
      </c>
      <c r="BS56" s="1">
        <v>6310099.7999999998</v>
      </c>
      <c r="BT56" s="1">
        <v>5970600</v>
      </c>
      <c r="BU56" s="474">
        <v>153402.67665978591</v>
      </c>
      <c r="BV56" s="474">
        <v>509866.00211189309</v>
      </c>
      <c r="BW56" s="474">
        <v>144414.10030668529</v>
      </c>
      <c r="BX56" s="474">
        <v>214415.58927759767</v>
      </c>
      <c r="BY56" s="556">
        <f t="shared" si="18"/>
        <v>8309.317500000001</v>
      </c>
      <c r="BZ56" s="556">
        <f t="shared" si="19"/>
        <v>18359.767800000001</v>
      </c>
      <c r="CA56" s="556">
        <f t="shared" si="20"/>
        <v>10411.66467</v>
      </c>
      <c r="CB56" s="556">
        <f t="shared" si="21"/>
        <v>9851.4900000000016</v>
      </c>
      <c r="CC56" s="475">
        <f t="shared" si="22"/>
        <v>0</v>
      </c>
      <c r="CD56" s="475">
        <f t="shared" si="23"/>
        <v>0</v>
      </c>
      <c r="CE56" s="475">
        <f t="shared" si="24"/>
        <v>0</v>
      </c>
      <c r="CF56" s="475">
        <f t="shared" si="25"/>
        <v>0</v>
      </c>
      <c r="CG56" s="476">
        <f t="shared" si="90"/>
        <v>253.11441648864678</v>
      </c>
      <c r="CH56" s="476">
        <f t="shared" si="91"/>
        <v>841.2789034846237</v>
      </c>
      <c r="CI56" s="476">
        <f t="shared" si="92"/>
        <v>238.28326550603074</v>
      </c>
      <c r="CJ56" s="476">
        <f t="shared" si="93"/>
        <v>353.78572230803621</v>
      </c>
      <c r="CK56" s="476">
        <f t="shared" si="94"/>
        <v>253.11441648864678</v>
      </c>
      <c r="CL56" s="476">
        <f t="shared" si="94"/>
        <v>841.2789034846237</v>
      </c>
      <c r="CM56" s="476">
        <f t="shared" si="94"/>
        <v>238.28326550603074</v>
      </c>
      <c r="CN56" s="476">
        <f t="shared" si="94"/>
        <v>353.78572230803621</v>
      </c>
      <c r="CO56" s="477">
        <f t="shared" ref="CO56:CO58" si="210">CK56/BU56*100</f>
        <v>0.16500000000000001</v>
      </c>
      <c r="CP56" s="477">
        <f t="shared" ref="CP56:CP58" si="211">CL56/BV56*100</f>
        <v>0.16500000000000001</v>
      </c>
      <c r="CQ56" s="477">
        <f t="shared" ref="CQ56:CQ58" si="212">CM56/BW56*100</f>
        <v>0.16500000000000001</v>
      </c>
      <c r="CR56" s="477">
        <f t="shared" ref="CR56:CR58" si="213">CN56/BX56*100</f>
        <v>0.16500000000000001</v>
      </c>
      <c r="CS56" s="464">
        <v>41616</v>
      </c>
      <c r="CT56" s="478">
        <v>0.90400000000000003</v>
      </c>
      <c r="CU56" s="478">
        <v>0.95399999999999996</v>
      </c>
      <c r="CV56" s="480">
        <v>0.98299999999999998</v>
      </c>
      <c r="CW56" s="481">
        <v>0.95599999999999996</v>
      </c>
      <c r="CY56" s="521">
        <v>2.8636759653220434E-2</v>
      </c>
      <c r="CZ56" s="521">
        <v>3.5613682730143204E-2</v>
      </c>
      <c r="DA56" s="521">
        <v>2.7190605807066337E-2</v>
      </c>
      <c r="DB56" s="521">
        <v>3.6113682730142926E-2</v>
      </c>
      <c r="DC56" s="483">
        <f t="shared" si="161"/>
        <v>-2.7764619014869041</v>
      </c>
      <c r="DD56" s="483">
        <f t="shared" si="162"/>
        <v>-3.4464619014869413</v>
      </c>
      <c r="DE56" s="483">
        <f t="shared" si="163"/>
        <v>-2.6764619014867819</v>
      </c>
      <c r="DF56" s="483">
        <f t="shared" si="164"/>
        <v>-3.5764619014869936</v>
      </c>
      <c r="DG56" s="483">
        <f t="shared" si="30"/>
        <v>2.7764619014869041</v>
      </c>
      <c r="DH56" s="483">
        <f t="shared" si="31"/>
        <v>3.4464619014869413</v>
      </c>
      <c r="DI56" s="483">
        <f t="shared" si="32"/>
        <v>2.6764619014867819</v>
      </c>
      <c r="DJ56" s="483">
        <f t="shared" si="33"/>
        <v>3.5764619014869936</v>
      </c>
      <c r="DK56" s="483">
        <f t="shared" si="121"/>
        <v>0.15416561060591238</v>
      </c>
      <c r="DL56" s="483">
        <f t="shared" si="122"/>
        <v>1.1209880291047298</v>
      </c>
      <c r="DM56" s="483">
        <f t="shared" si="123"/>
        <v>0.20645720442356996</v>
      </c>
      <c r="DN56" s="483">
        <f t="shared" si="124"/>
        <v>0.458338646723357</v>
      </c>
      <c r="DO56" s="483">
        <f t="shared" si="100"/>
        <v>10.700873609169527</v>
      </c>
      <c r="DP56" s="483">
        <f t="shared" si="101"/>
        <v>96.586063358309659</v>
      </c>
      <c r="DQ56" s="483">
        <f t="shared" si="102"/>
        <v>13.814371048178833</v>
      </c>
      <c r="DR56" s="483">
        <f t="shared" si="103"/>
        <v>40.980767699629823</v>
      </c>
      <c r="DS56" s="473"/>
      <c r="DT56" s="473"/>
      <c r="DU56" s="473"/>
      <c r="DV56" s="473"/>
      <c r="DW56" s="552"/>
      <c r="DX56" s="532">
        <v>41616</v>
      </c>
      <c r="DY56" s="552"/>
      <c r="DZ56" s="473"/>
      <c r="EA56" s="473"/>
      <c r="EB56" s="473"/>
      <c r="EC56" s="545"/>
      <c r="ED56" s="552"/>
      <c r="EE56" s="473">
        <f t="shared" ref="EE56:EF58" si="214">-(EE$55-EE$59)/4+EE55</f>
        <v>0.77129348714572143</v>
      </c>
      <c r="EF56" s="473">
        <f t="shared" si="214"/>
        <v>1.0662934871457539</v>
      </c>
      <c r="EG56" s="527">
        <f t="shared" ref="EG56:EG58" si="215">-(EG$54-EG$59)/5+EG55</f>
        <v>1.4174088882808022</v>
      </c>
      <c r="EH56" s="473">
        <f>-(EH$55-EH$63)/8+EH55</f>
        <v>0.32848152816306686</v>
      </c>
      <c r="EI56" s="552"/>
      <c r="EJ56" s="503">
        <f t="shared" si="36"/>
        <v>518.63692031010203</v>
      </c>
      <c r="EK56" s="503">
        <f t="shared" si="37"/>
        <v>2983.3548776799835</v>
      </c>
      <c r="EL56" s="503">
        <f t="shared" si="38"/>
        <v>1275.4616477678576</v>
      </c>
      <c r="EM56" s="503">
        <f t="shared" si="39"/>
        <v>329.38461790549178</v>
      </c>
      <c r="EN56" s="552"/>
      <c r="EO56" s="503">
        <f t="shared" si="181"/>
        <v>1.527836087090529</v>
      </c>
      <c r="EP56" s="503">
        <f t="shared" si="182"/>
        <v>0.31574114683453947</v>
      </c>
      <c r="EQ56" s="503">
        <f t="shared" si="183"/>
        <v>0.89200549733784074</v>
      </c>
      <c r="ER56" s="503">
        <f t="shared" si="184"/>
        <v>2.2867811302829315</v>
      </c>
      <c r="ES56" s="552"/>
      <c r="ET56" s="554">
        <f t="shared" si="40"/>
        <v>1027.3549772598574</v>
      </c>
      <c r="EU56" s="554">
        <f t="shared" si="41"/>
        <v>883.40396133764955</v>
      </c>
      <c r="EV56" s="554">
        <f t="shared" si="42"/>
        <v>802.67508610903872</v>
      </c>
      <c r="EW56" s="554">
        <f t="shared" si="43"/>
        <v>2293.0681461570912</v>
      </c>
      <c r="EX56" s="552"/>
      <c r="EY56" s="532">
        <v>41616</v>
      </c>
      <c r="EZ56" s="552"/>
      <c r="FA56" s="745">
        <f t="shared" si="44"/>
        <v>0.64233232725065381</v>
      </c>
      <c r="FB56" s="745">
        <f t="shared" si="45"/>
        <v>2.2294272675066482</v>
      </c>
      <c r="FC56" s="745">
        <f t="shared" si="46"/>
        <v>0.53204751586813881</v>
      </c>
      <c r="FD56" s="745">
        <f t="shared" si="47"/>
        <v>1.1261992430409951</v>
      </c>
      <c r="FE56" s="761"/>
      <c r="FF56" s="532">
        <v>41616</v>
      </c>
      <c r="FG56" s="761"/>
      <c r="FH56" s="745">
        <v>431.92022955324092</v>
      </c>
      <c r="FI56" s="745">
        <f t="shared" si="185"/>
        <v>6237.6566987692313</v>
      </c>
      <c r="FJ56" s="745">
        <f t="shared" si="186"/>
        <v>478.7653068149333</v>
      </c>
      <c r="FK56" s="745">
        <f t="shared" si="187"/>
        <v>1129.2954871129364</v>
      </c>
      <c r="FL56" s="761"/>
      <c r="FM56" s="756">
        <f t="shared" si="95"/>
        <v>431.92022955324092</v>
      </c>
      <c r="FN56" s="756">
        <f t="shared" si="96"/>
        <v>6237.6566987692313</v>
      </c>
      <c r="FO56" s="756">
        <f t="shared" si="97"/>
        <v>478.7653068149333</v>
      </c>
      <c r="FP56" s="756">
        <f t="shared" si="49"/>
        <v>1129.2954871129364</v>
      </c>
      <c r="FQ56" s="761"/>
      <c r="FR56" s="756">
        <f t="shared" si="50"/>
        <v>1977.9121271232002</v>
      </c>
      <c r="FS56" s="756">
        <f t="shared" si="51"/>
        <v>10104.415537786865</v>
      </c>
      <c r="FT56" s="756">
        <f t="shared" si="52"/>
        <v>2556.9020406918298</v>
      </c>
      <c r="FU56" s="756">
        <f t="shared" si="53"/>
        <v>3751.7482511755193</v>
      </c>
      <c r="FV56" s="761"/>
      <c r="FW56" s="755">
        <v>41616</v>
      </c>
      <c r="FX56" s="761"/>
      <c r="FY56" s="756">
        <f t="shared" si="76"/>
        <v>334199.06154929282</v>
      </c>
      <c r="FZ56" s="756">
        <f t="shared" si="77"/>
        <v>574997.65956981771</v>
      </c>
      <c r="GA56" s="756">
        <f t="shared" si="78"/>
        <v>277781.49954377633</v>
      </c>
      <c r="GB56" s="756">
        <f t="shared" si="79"/>
        <v>314288.98749442771</v>
      </c>
      <c r="GC56" s="761"/>
      <c r="GD56" s="756">
        <f t="shared" si="54"/>
        <v>0.88387664879422045</v>
      </c>
      <c r="GE56" s="756">
        <f t="shared" si="54"/>
        <v>0.75381858185219541</v>
      </c>
      <c r="GF56" s="756">
        <f t="shared" si="55"/>
        <v>0.74579038131347375</v>
      </c>
      <c r="GG56" s="756">
        <f t="shared" si="56"/>
        <v>0.8202611137575031</v>
      </c>
      <c r="GH56" s="552"/>
      <c r="GI56" s="756">
        <f t="shared" si="57"/>
        <v>0</v>
      </c>
      <c r="GJ56" s="756">
        <f t="shared" si="58"/>
        <v>0</v>
      </c>
      <c r="GK56" s="756">
        <f t="shared" si="59"/>
        <v>0</v>
      </c>
      <c r="GL56" s="756">
        <f t="shared" si="60"/>
        <v>0</v>
      </c>
      <c r="GM56" s="552"/>
    </row>
    <row r="57" spans="1:195" s="472" customFormat="1">
      <c r="A57" s="464">
        <v>41617</v>
      </c>
      <c r="B57" s="465">
        <v>0.1</v>
      </c>
      <c r="C57" s="489">
        <v>0</v>
      </c>
      <c r="D57" s="485">
        <v>0.3278971863330154</v>
      </c>
      <c r="E57" s="485">
        <v>2.5126653192386073</v>
      </c>
      <c r="F57" s="485">
        <v>1.9768526543968914</v>
      </c>
      <c r="G57" s="485">
        <v>0.65526965992834463</v>
      </c>
      <c r="H57" s="487"/>
      <c r="I57" s="464">
        <v>41617</v>
      </c>
      <c r="J57" s="467"/>
      <c r="K57" s="467"/>
      <c r="L57" s="467"/>
      <c r="M57" s="467"/>
      <c r="N57" s="487"/>
      <c r="O57" s="464">
        <v>41617</v>
      </c>
      <c r="P57" s="467">
        <f t="shared" si="209"/>
        <v>0.33789718633301541</v>
      </c>
      <c r="Q57" s="467">
        <f t="shared" si="209"/>
        <v>2.522665319238607</v>
      </c>
      <c r="R57" s="467">
        <f t="shared" si="209"/>
        <v>1.9868526543968914</v>
      </c>
      <c r="S57" s="467">
        <f t="shared" si="209"/>
        <v>0.66526965992834464</v>
      </c>
      <c r="T57" s="464">
        <v>41617</v>
      </c>
      <c r="U57" s="468">
        <v>0.35117972705717326</v>
      </c>
      <c r="V57" s="468">
        <v>2.5315566899617452</v>
      </c>
      <c r="W57" s="468">
        <v>1.9931770880777431</v>
      </c>
      <c r="X57" s="468">
        <v>0.67758327403646434</v>
      </c>
      <c r="Y57" s="487"/>
      <c r="Z57" s="464">
        <v>41617</v>
      </c>
      <c r="AA57" s="469">
        <v>41617</v>
      </c>
      <c r="AB57" s="489">
        <v>0</v>
      </c>
      <c r="AC57" s="470">
        <v>1.4483703853027508</v>
      </c>
      <c r="AD57" s="468">
        <v>0.35117972705717326</v>
      </c>
      <c r="AE57" s="468">
        <f t="shared" si="82"/>
        <v>231.38329599624035</v>
      </c>
      <c r="AF57" s="471">
        <v>2.7107703853027498</v>
      </c>
      <c r="AG57" s="468">
        <v>2.5315566899617452</v>
      </c>
      <c r="AH57" s="468">
        <f t="shared" si="83"/>
        <v>6832.5094433168852</v>
      </c>
      <c r="AI57" s="471">
        <v>3.0696703853027509</v>
      </c>
      <c r="AJ57" s="468">
        <v>1.9931770880777431</v>
      </c>
      <c r="AK57" s="468">
        <f t="shared" si="84"/>
        <v>1763.2640834841509</v>
      </c>
      <c r="AL57" s="471">
        <v>2.6114703853027499</v>
      </c>
      <c r="AM57" s="468">
        <v>0.67758327403646434</v>
      </c>
      <c r="AN57" s="468">
        <f t="shared" si="85"/>
        <v>651.10213111691542</v>
      </c>
      <c r="AO57" s="464">
        <v>41617</v>
      </c>
      <c r="AP57" s="483">
        <v>6.588742976002437</v>
      </c>
      <c r="AQ57" s="483">
        <v>26.989359829110256</v>
      </c>
      <c r="AR57" s="483">
        <v>8.8464998621104733</v>
      </c>
      <c r="AS57" s="483">
        <v>9.6091824586844243</v>
      </c>
      <c r="AT57" s="530">
        <f t="shared" si="86"/>
        <v>0.23531224914294419</v>
      </c>
      <c r="AU57" s="483">
        <f t="shared" si="87"/>
        <v>0.45744677676458062</v>
      </c>
      <c r="AV57" s="483">
        <f t="shared" si="88"/>
        <v>0.44232499310552365</v>
      </c>
      <c r="AW57" s="483">
        <f t="shared" si="89"/>
        <v>0.50574644519391709</v>
      </c>
      <c r="AY57" s="470">
        <v>1.4483703853027508</v>
      </c>
      <c r="AZ57" s="471">
        <v>2.7107703853027498</v>
      </c>
      <c r="BA57" s="471">
        <v>3.0696703853027509</v>
      </c>
      <c r="BB57" s="471">
        <v>2.6114703853027499</v>
      </c>
      <c r="BD57" s="232"/>
      <c r="BE57" s="472">
        <v>-1.4865028136669846E-2</v>
      </c>
      <c r="BF57" s="472">
        <v>-2.665346807613927E-3</v>
      </c>
      <c r="BG57" s="472">
        <v>-8.8874734560310843E-3</v>
      </c>
      <c r="BH57" s="472">
        <v>-2.2391303400716555E-2</v>
      </c>
      <c r="BI57" s="232"/>
      <c r="BJ57" s="507">
        <v>8.8411082015024611</v>
      </c>
      <c r="BK57" s="507">
        <v>7.7854158938095814</v>
      </c>
      <c r="BL57" s="507">
        <v>9.8214158938094887</v>
      </c>
      <c r="BM57" s="507">
        <v>6.1411082015015683</v>
      </c>
      <c r="BN57" s="232"/>
      <c r="BO57" s="464">
        <v>41617</v>
      </c>
      <c r="BP57" s="473">
        <v>0</v>
      </c>
      <c r="BQ57" s="1">
        <v>5035950</v>
      </c>
      <c r="BR57" s="1">
        <v>11127132</v>
      </c>
      <c r="BS57" s="1">
        <v>6310099.7999999998</v>
      </c>
      <c r="BT57" s="1">
        <v>5970600</v>
      </c>
      <c r="BU57" s="474">
        <v>153402.67665978591</v>
      </c>
      <c r="BV57" s="474">
        <v>509866.00211189309</v>
      </c>
      <c r="BW57" s="474">
        <v>144414.10030668529</v>
      </c>
      <c r="BX57" s="474">
        <v>214415.58927759767</v>
      </c>
      <c r="BY57" s="556">
        <f t="shared" si="18"/>
        <v>503.59500000000003</v>
      </c>
      <c r="BZ57" s="556">
        <f t="shared" si="19"/>
        <v>1112.7132000000001</v>
      </c>
      <c r="CA57" s="556">
        <f t="shared" si="20"/>
        <v>631.00998000000004</v>
      </c>
      <c r="CB57" s="556">
        <f t="shared" si="21"/>
        <v>597.06000000000006</v>
      </c>
      <c r="CC57" s="475">
        <f t="shared" si="22"/>
        <v>0</v>
      </c>
      <c r="CD57" s="475">
        <f t="shared" si="23"/>
        <v>0</v>
      </c>
      <c r="CE57" s="475">
        <f t="shared" si="24"/>
        <v>0</v>
      </c>
      <c r="CF57" s="475">
        <f t="shared" si="25"/>
        <v>0</v>
      </c>
      <c r="CG57" s="476">
        <f t="shared" si="90"/>
        <v>15.340267665978592</v>
      </c>
      <c r="CH57" s="476">
        <f t="shared" si="91"/>
        <v>50.986600211189312</v>
      </c>
      <c r="CI57" s="476">
        <f t="shared" si="92"/>
        <v>14.441410030668528</v>
      </c>
      <c r="CJ57" s="476">
        <f t="shared" si="93"/>
        <v>21.441558927759768</v>
      </c>
      <c r="CK57" s="476">
        <f t="shared" si="94"/>
        <v>15.340267665978592</v>
      </c>
      <c r="CL57" s="476">
        <f t="shared" si="94"/>
        <v>50.986600211189312</v>
      </c>
      <c r="CM57" s="476">
        <f t="shared" si="94"/>
        <v>14.441410030668528</v>
      </c>
      <c r="CN57" s="476">
        <f t="shared" si="94"/>
        <v>21.441558927759768</v>
      </c>
      <c r="CO57" s="477">
        <f t="shared" si="210"/>
        <v>0.01</v>
      </c>
      <c r="CP57" s="477">
        <f t="shared" si="211"/>
        <v>0.01</v>
      </c>
      <c r="CQ57" s="477">
        <f t="shared" si="212"/>
        <v>0.01</v>
      </c>
      <c r="CR57" s="477">
        <f t="shared" si="213"/>
        <v>0.01</v>
      </c>
      <c r="CS57" s="464">
        <v>41617</v>
      </c>
      <c r="CT57" s="478">
        <v>0.89500000000000002</v>
      </c>
      <c r="CU57" s="478">
        <v>0.97599999999999998</v>
      </c>
      <c r="CV57" s="480">
        <v>0.97799999999999998</v>
      </c>
      <c r="CW57" s="481">
        <v>0.97299999999999998</v>
      </c>
      <c r="CY57" s="521">
        <v>2.6985108201502461E-2</v>
      </c>
      <c r="CZ57" s="521">
        <v>3.5577415893809583E-2</v>
      </c>
      <c r="DA57" s="521">
        <v>3.8477415893809486E-2</v>
      </c>
      <c r="DB57" s="521">
        <v>3.5085108201501569E-2</v>
      </c>
      <c r="DC57" s="483">
        <f t="shared" si="161"/>
        <v>-2.6834565997212678</v>
      </c>
      <c r="DD57" s="483">
        <f t="shared" si="162"/>
        <v>-3.6034565997210777</v>
      </c>
      <c r="DE57" s="483">
        <f t="shared" si="163"/>
        <v>-3.8634565997211823</v>
      </c>
      <c r="DF57" s="483">
        <f t="shared" si="164"/>
        <v>-3.5134565997211098</v>
      </c>
      <c r="DG57" s="483">
        <f t="shared" si="30"/>
        <v>2.6834565997212678</v>
      </c>
      <c r="DH57" s="483">
        <f t="shared" si="31"/>
        <v>3.6034565997210777</v>
      </c>
      <c r="DI57" s="483">
        <f t="shared" si="32"/>
        <v>3.8634565997211823</v>
      </c>
      <c r="DJ57" s="483">
        <f t="shared" si="33"/>
        <v>3.5134565997211098</v>
      </c>
      <c r="DK57" s="483">
        <f t="shared" si="121"/>
        <v>0.13550569138084256</v>
      </c>
      <c r="DL57" s="483">
        <f t="shared" si="122"/>
        <v>0.9893806738051687</v>
      </c>
      <c r="DM57" s="483">
        <f t="shared" si="123"/>
        <v>0.1520443005050538</v>
      </c>
      <c r="DN57" s="483">
        <f t="shared" si="124"/>
        <v>0.41831040362278671</v>
      </c>
      <c r="DO57" s="483">
        <f t="shared" si="100"/>
        <v>9.0905910458928822</v>
      </c>
      <c r="DP57" s="483">
        <f t="shared" si="101"/>
        <v>89.129757966493059</v>
      </c>
      <c r="DQ57" s="483">
        <f t="shared" si="102"/>
        <v>14.685413905906019</v>
      </c>
      <c r="DR57" s="483">
        <f t="shared" si="103"/>
        <v>36.742886208512033</v>
      </c>
      <c r="DS57" s="473"/>
      <c r="DT57" s="473"/>
      <c r="DU57" s="473"/>
      <c r="DV57" s="473"/>
      <c r="DW57" s="552"/>
      <c r="DX57" s="532">
        <v>41617</v>
      </c>
      <c r="DY57" s="552"/>
      <c r="DZ57" s="473"/>
      <c r="EA57" s="473"/>
      <c r="EB57" s="473"/>
      <c r="EC57" s="545"/>
      <c r="ED57" s="552"/>
      <c r="EE57" s="473">
        <f t="shared" si="214"/>
        <v>0.58350747772389178</v>
      </c>
      <c r="EF57" s="473">
        <f t="shared" si="214"/>
        <v>1.1603074777239661</v>
      </c>
      <c r="EG57" s="527">
        <f t="shared" si="215"/>
        <v>1.3514510784806244</v>
      </c>
      <c r="EH57" s="473">
        <f t="shared" ref="EH57:EH58" si="216">-(EH$55-EH$63)/8+EH56</f>
        <v>0.38668355975862401</v>
      </c>
      <c r="EI57" s="552"/>
      <c r="EJ57" s="503">
        <f t="shared" si="36"/>
        <v>384.45807952981909</v>
      </c>
      <c r="EK57" s="503">
        <f t="shared" si="37"/>
        <v>3131.5956028699457</v>
      </c>
      <c r="EL57" s="503">
        <f t="shared" si="38"/>
        <v>1195.5611779427895</v>
      </c>
      <c r="EM57" s="503">
        <f t="shared" si="39"/>
        <v>371.57128794942201</v>
      </c>
      <c r="EN57" s="552"/>
      <c r="EO57" s="503">
        <f t="shared" si="181"/>
        <v>1.4865028136669847</v>
      </c>
      <c r="EP57" s="503">
        <f t="shared" si="182"/>
        <v>0.26653468076139269</v>
      </c>
      <c r="EQ57" s="503">
        <f t="shared" si="183"/>
        <v>0.88874734560310842</v>
      </c>
      <c r="ER57" s="503">
        <f t="shared" si="184"/>
        <v>2.2391303400716556</v>
      </c>
      <c r="ES57" s="552"/>
      <c r="ET57" s="554">
        <f t="shared" si="40"/>
        <v>979.41849723562041</v>
      </c>
      <c r="EU57" s="554">
        <f t="shared" si="41"/>
        <v>719.36004060062578</v>
      </c>
      <c r="EV57" s="554">
        <f t="shared" si="42"/>
        <v>786.23032703289482</v>
      </c>
      <c r="EW57" s="554">
        <f t="shared" si="43"/>
        <v>2151.621198652464</v>
      </c>
      <c r="EX57" s="552"/>
      <c r="EY57" s="532">
        <v>41617</v>
      </c>
      <c r="EZ57" s="552"/>
      <c r="FA57" s="745">
        <f t="shared" si="44"/>
        <v>0.62344630833039139</v>
      </c>
      <c r="FB57" s="745">
        <f t="shared" si="45"/>
        <v>2.1866144412357187</v>
      </c>
      <c r="FC57" s="745">
        <f t="shared" si="46"/>
        <v>1.6332581756374496</v>
      </c>
      <c r="FD57" s="745">
        <f t="shared" si="47"/>
        <v>0.89764269989083001</v>
      </c>
      <c r="FE57" s="761"/>
      <c r="FF57" s="532">
        <v>41617</v>
      </c>
      <c r="FG57" s="761"/>
      <c r="FH57" s="745">
        <v>410.7727484926516</v>
      </c>
      <c r="FI57" s="745">
        <f t="shared" si="185"/>
        <v>5901.5323962039674</v>
      </c>
      <c r="FJ57" s="745">
        <f t="shared" si="186"/>
        <v>1444.8618225567502</v>
      </c>
      <c r="FK57" s="745">
        <f t="shared" si="187"/>
        <v>862.56124859570923</v>
      </c>
      <c r="FL57" s="761"/>
      <c r="FM57" s="756">
        <f t="shared" si="95"/>
        <v>410.7727484926516</v>
      </c>
      <c r="FN57" s="756">
        <f t="shared" si="96"/>
        <v>5901.5323962039674</v>
      </c>
      <c r="FO57" s="756">
        <f t="shared" si="97"/>
        <v>1444.8618225567502</v>
      </c>
      <c r="FP57" s="756">
        <f t="shared" si="49"/>
        <v>862.56124859570923</v>
      </c>
      <c r="FQ57" s="761"/>
      <c r="FR57" s="756">
        <f t="shared" si="50"/>
        <v>1774.649325258091</v>
      </c>
      <c r="FS57" s="756">
        <f t="shared" si="51"/>
        <v>9752.4880396745393</v>
      </c>
      <c r="FT57" s="756">
        <f t="shared" si="52"/>
        <v>3426.6533275324346</v>
      </c>
      <c r="FU57" s="756">
        <f t="shared" si="53"/>
        <v>3385.7537351975952</v>
      </c>
      <c r="FV57" s="761"/>
      <c r="FW57" s="755">
        <v>41617</v>
      </c>
      <c r="FX57" s="761"/>
      <c r="FY57" s="756">
        <f t="shared" si="76"/>
        <v>335973.71087455092</v>
      </c>
      <c r="FZ57" s="756">
        <f t="shared" si="77"/>
        <v>584750.1476094923</v>
      </c>
      <c r="GA57" s="756">
        <f t="shared" si="78"/>
        <v>281208.15287130879</v>
      </c>
      <c r="GB57" s="756">
        <f t="shared" si="79"/>
        <v>317674.7412296253</v>
      </c>
      <c r="GC57" s="761"/>
      <c r="GD57" s="756">
        <f t="shared" si="54"/>
        <v>0.8885701721426178</v>
      </c>
      <c r="GE57" s="756">
        <f t="shared" si="54"/>
        <v>0.76660403685578282</v>
      </c>
      <c r="GF57" s="756">
        <f t="shared" si="55"/>
        <v>0.7549902923801457</v>
      </c>
      <c r="GG57" s="756">
        <f t="shared" si="56"/>
        <v>0.82909757395893169</v>
      </c>
      <c r="GH57" s="552"/>
      <c r="GI57" s="756">
        <f t="shared" si="57"/>
        <v>0</v>
      </c>
      <c r="GJ57" s="756">
        <f t="shared" si="58"/>
        <v>0</v>
      </c>
      <c r="GK57" s="756">
        <f t="shared" si="59"/>
        <v>0</v>
      </c>
      <c r="GL57" s="756">
        <f t="shared" si="60"/>
        <v>0</v>
      </c>
      <c r="GM57" s="552"/>
    </row>
    <row r="58" spans="1:195" s="472" customFormat="1">
      <c r="A58" s="464">
        <v>41618</v>
      </c>
      <c r="B58" s="465">
        <v>0.95</v>
      </c>
      <c r="C58" s="466">
        <v>0</v>
      </c>
      <c r="D58" s="485">
        <v>0.29759363842409781</v>
      </c>
      <c r="E58" s="485">
        <v>2.1075812217741396</v>
      </c>
      <c r="F58" s="485">
        <v>1.9099120904236586</v>
      </c>
      <c r="G58" s="485">
        <v>0.6949683494215666</v>
      </c>
      <c r="H58" s="487"/>
      <c r="I58" s="464">
        <v>41618</v>
      </c>
      <c r="J58" s="467"/>
      <c r="K58" s="467"/>
      <c r="L58" s="467"/>
      <c r="M58" s="467"/>
      <c r="N58" s="487"/>
      <c r="O58" s="464">
        <v>41618</v>
      </c>
      <c r="P58" s="467">
        <f t="shared" si="209"/>
        <v>0.39259363842409778</v>
      </c>
      <c r="Q58" s="467">
        <f t="shared" si="209"/>
        <v>2.2025812217741398</v>
      </c>
      <c r="R58" s="467">
        <f t="shared" si="209"/>
        <v>2.0049120904236588</v>
      </c>
      <c r="S58" s="467">
        <f t="shared" si="209"/>
        <v>0.78996834942156657</v>
      </c>
      <c r="T58" s="464">
        <v>41618</v>
      </c>
      <c r="U58" s="468">
        <v>0.52344322039709068</v>
      </c>
      <c r="V58" s="468">
        <v>2.2937077389417553</v>
      </c>
      <c r="W58" s="468">
        <v>2.0674252486948252</v>
      </c>
      <c r="X58" s="468">
        <v>0.91640422321728754</v>
      </c>
      <c r="Y58" s="487"/>
      <c r="Z58" s="464">
        <v>41618</v>
      </c>
      <c r="AA58" s="469">
        <v>41618</v>
      </c>
      <c r="AB58" s="466">
        <v>0</v>
      </c>
      <c r="AC58" s="470">
        <v>1.4215358193055381</v>
      </c>
      <c r="AD58" s="468">
        <v>0.52344322039709068</v>
      </c>
      <c r="AE58" s="468">
        <f t="shared" si="82"/>
        <v>337.75892285263234</v>
      </c>
      <c r="AF58" s="471">
        <v>2.6747358193055391</v>
      </c>
      <c r="AG58" s="468">
        <v>2.2937077389417553</v>
      </c>
      <c r="AH58" s="468">
        <f t="shared" si="83"/>
        <v>5969.1087118095011</v>
      </c>
      <c r="AI58" s="471">
        <v>3.0310358193055391</v>
      </c>
      <c r="AJ58" s="468">
        <v>2.0674252486948252</v>
      </c>
      <c r="AK58" s="468">
        <f t="shared" si="84"/>
        <v>1800.7199683674271</v>
      </c>
      <c r="AL58" s="471">
        <v>2.5763358193055388</v>
      </c>
      <c r="AM58" s="468">
        <v>0.91640422321728754</v>
      </c>
      <c r="AN58" s="468">
        <f t="shared" si="85"/>
        <v>842.9834821296256</v>
      </c>
      <c r="AO58" s="464">
        <v>41618</v>
      </c>
      <c r="AP58" s="483">
        <v>6.4526372620970065</v>
      </c>
      <c r="AQ58" s="483">
        <v>26.02384170602075</v>
      </c>
      <c r="AR58" s="483">
        <v>8.7099640942482903</v>
      </c>
      <c r="AS58" s="483">
        <v>9.1988170806339333</v>
      </c>
      <c r="AT58" s="530">
        <f t="shared" si="86"/>
        <v>0.23045133078917882</v>
      </c>
      <c r="AU58" s="483">
        <f t="shared" si="87"/>
        <v>0.44108206281391105</v>
      </c>
      <c r="AV58" s="483">
        <f t="shared" si="88"/>
        <v>0.43549820471241452</v>
      </c>
      <c r="AW58" s="483">
        <f t="shared" si="89"/>
        <v>0.48414826740178596</v>
      </c>
      <c r="AY58" s="470">
        <v>1.4215358193055381</v>
      </c>
      <c r="AZ58" s="471">
        <v>2.6747358193055391</v>
      </c>
      <c r="BA58" s="471">
        <v>3.0310358193055391</v>
      </c>
      <c r="BB58" s="471">
        <v>2.5763358193055388</v>
      </c>
      <c r="BD58" s="232"/>
      <c r="BE58" s="472">
        <v>-1.4448063615759021E-2</v>
      </c>
      <c r="BF58" s="472">
        <v>-2.1081877822585996E-3</v>
      </c>
      <c r="BG58" s="472">
        <v>-8.8368790957634186E-3</v>
      </c>
      <c r="BH58" s="472">
        <v>-2.1850316505784336E-2</v>
      </c>
      <c r="BI58" s="232"/>
      <c r="BJ58" s="507">
        <v>9.3850724217455745</v>
      </c>
      <c r="BK58" s="507">
        <v>16.663533960207133</v>
      </c>
      <c r="BL58" s="507">
        <v>7.4038416525147994</v>
      </c>
      <c r="BM58" s="507">
        <v>7.5321493448229813</v>
      </c>
      <c r="BN58" s="232"/>
      <c r="BO58" s="464">
        <v>41618</v>
      </c>
      <c r="BP58" s="473">
        <v>0</v>
      </c>
      <c r="BQ58" s="1">
        <v>5035950</v>
      </c>
      <c r="BR58" s="1">
        <v>11127132</v>
      </c>
      <c r="BS58" s="1">
        <v>6310099.7999999998</v>
      </c>
      <c r="BT58" s="1">
        <v>5970600</v>
      </c>
      <c r="BU58" s="474">
        <v>153402.67665978591</v>
      </c>
      <c r="BV58" s="474">
        <v>509866.00211189309</v>
      </c>
      <c r="BW58" s="474">
        <v>144414.10030668529</v>
      </c>
      <c r="BX58" s="474">
        <v>214415.58927759767</v>
      </c>
      <c r="BY58" s="556">
        <f t="shared" si="18"/>
        <v>4784.1525000000001</v>
      </c>
      <c r="BZ58" s="556">
        <f t="shared" si="19"/>
        <v>10570.7754</v>
      </c>
      <c r="CA58" s="556">
        <f t="shared" si="20"/>
        <v>5994.5948099999996</v>
      </c>
      <c r="CB58" s="556">
        <f t="shared" si="21"/>
        <v>5672.07</v>
      </c>
      <c r="CC58" s="475">
        <f t="shared" si="22"/>
        <v>0</v>
      </c>
      <c r="CD58" s="475">
        <f t="shared" si="23"/>
        <v>0</v>
      </c>
      <c r="CE58" s="475">
        <f t="shared" si="24"/>
        <v>0</v>
      </c>
      <c r="CF58" s="475">
        <f t="shared" si="25"/>
        <v>0</v>
      </c>
      <c r="CG58" s="476">
        <f t="shared" si="90"/>
        <v>145.73254282679662</v>
      </c>
      <c r="CH58" s="476">
        <f t="shared" si="91"/>
        <v>484.37270200629843</v>
      </c>
      <c r="CI58" s="476">
        <f t="shared" si="92"/>
        <v>137.19339529135101</v>
      </c>
      <c r="CJ58" s="476">
        <f t="shared" si="93"/>
        <v>203.6948098137178</v>
      </c>
      <c r="CK58" s="476">
        <f t="shared" si="94"/>
        <v>145.73254282679662</v>
      </c>
      <c r="CL58" s="476">
        <f t="shared" si="94"/>
        <v>484.37270200629843</v>
      </c>
      <c r="CM58" s="476">
        <f t="shared" si="94"/>
        <v>137.19339529135101</v>
      </c>
      <c r="CN58" s="476">
        <f t="shared" si="94"/>
        <v>203.6948098137178</v>
      </c>
      <c r="CO58" s="477">
        <f t="shared" si="210"/>
        <v>9.5000000000000001E-2</v>
      </c>
      <c r="CP58" s="477">
        <f t="shared" si="211"/>
        <v>9.5000000000000001E-2</v>
      </c>
      <c r="CQ58" s="477">
        <f t="shared" si="212"/>
        <v>9.4999999999999987E-2</v>
      </c>
      <c r="CR58" s="477">
        <f t="shared" si="213"/>
        <v>9.5000000000000015E-2</v>
      </c>
      <c r="CS58" s="464">
        <v>41618</v>
      </c>
      <c r="CT58" s="478">
        <v>0.86799999999999999</v>
      </c>
      <c r="CU58" s="478">
        <v>0.91200000000000003</v>
      </c>
      <c r="CV58" s="480">
        <v>0.98099999999999998</v>
      </c>
      <c r="CW58" s="481">
        <v>0.96799999999999997</v>
      </c>
      <c r="CY58" s="521">
        <v>2.6809072421745572E-2</v>
      </c>
      <c r="CZ58" s="521">
        <v>3.9847533960207127E-2</v>
      </c>
      <c r="DA58" s="521">
        <v>3.5339841652514803E-2</v>
      </c>
      <c r="DB58" s="521">
        <v>3.6332149344822984E-2</v>
      </c>
      <c r="DC58" s="483">
        <f t="shared" si="161"/>
        <v>-2.7036191273666077</v>
      </c>
      <c r="DD58" s="483">
        <f t="shared" si="162"/>
        <v>-3.9336191273665833</v>
      </c>
      <c r="DE58" s="483">
        <f t="shared" si="163"/>
        <v>-3.4936191273667205</v>
      </c>
      <c r="DF58" s="483">
        <f t="shared" si="164"/>
        <v>-3.6636191273666796</v>
      </c>
      <c r="DG58" s="483">
        <f t="shared" si="30"/>
        <v>2.7036191273666077</v>
      </c>
      <c r="DH58" s="483">
        <f t="shared" si="31"/>
        <v>3.9336191273665833</v>
      </c>
      <c r="DI58" s="483">
        <f t="shared" si="32"/>
        <v>3.4936191273667205</v>
      </c>
      <c r="DJ58" s="483">
        <f t="shared" si="33"/>
        <v>3.6636191273666796</v>
      </c>
      <c r="DK58" s="483">
        <f t="shared" si="121"/>
        <v>0.13610571390543047</v>
      </c>
      <c r="DL58" s="483">
        <f t="shared" si="122"/>
        <v>0.96551812308950602</v>
      </c>
      <c r="DM58" s="483">
        <f t="shared" si="123"/>
        <v>0.13653576786218302</v>
      </c>
      <c r="DN58" s="483">
        <f t="shared" si="124"/>
        <v>0.410365378050491</v>
      </c>
      <c r="DO58" s="483">
        <f t="shared" si="100"/>
        <v>9.199450286465229</v>
      </c>
      <c r="DP58" s="483">
        <f t="shared" si="101"/>
        <v>94.949513920099093</v>
      </c>
      <c r="DQ58" s="483">
        <f t="shared" si="102"/>
        <v>11.925099254325625</v>
      </c>
      <c r="DR58" s="483">
        <f t="shared" si="103"/>
        <v>37.585561205870938</v>
      </c>
      <c r="DS58" s="473"/>
      <c r="DT58" s="473"/>
      <c r="DU58" s="473"/>
      <c r="DV58" s="473"/>
      <c r="DW58" s="552"/>
      <c r="DX58" s="532">
        <v>41618</v>
      </c>
      <c r="DY58" s="552"/>
      <c r="DZ58" s="473"/>
      <c r="EA58" s="473"/>
      <c r="EB58" s="473"/>
      <c r="EC58" s="545"/>
      <c r="ED58" s="552"/>
      <c r="EE58" s="473">
        <f t="shared" si="214"/>
        <v>0.39572146830206212</v>
      </c>
      <c r="EF58" s="473">
        <f t="shared" si="214"/>
        <v>1.2543214683021784</v>
      </c>
      <c r="EG58" s="527">
        <f t="shared" si="215"/>
        <v>1.2854932686804466</v>
      </c>
      <c r="EH58" s="473">
        <f t="shared" si="216"/>
        <v>0.44488559135418115</v>
      </c>
      <c r="EI58" s="552"/>
      <c r="EJ58" s="503">
        <f t="shared" si="36"/>
        <v>255.34470917776258</v>
      </c>
      <c r="EK58" s="503">
        <f t="shared" si="37"/>
        <v>3264.2263339559413</v>
      </c>
      <c r="EL58" s="503">
        <f t="shared" si="38"/>
        <v>1119.6600213604561</v>
      </c>
      <c r="EM58" s="503">
        <f t="shared" si="39"/>
        <v>409.24211766767701</v>
      </c>
      <c r="EN58" s="552"/>
      <c r="EO58" s="503">
        <f t="shared" si="181"/>
        <v>1.4448063615759021</v>
      </c>
      <c r="EP58" s="503">
        <f t="shared" si="182"/>
        <v>0.21081877822585995</v>
      </c>
      <c r="EQ58" s="503">
        <f t="shared" si="183"/>
        <v>0.88368790957634191</v>
      </c>
      <c r="ER58" s="503">
        <f t="shared" si="184"/>
        <v>2.1850316505784337</v>
      </c>
      <c r="ES58" s="552"/>
      <c r="ET58" s="554">
        <f t="shared" si="40"/>
        <v>932.28113652194656</v>
      </c>
      <c r="EU58" s="554">
        <f t="shared" si="41"/>
        <v>548.63145132064733</v>
      </c>
      <c r="EV58" s="554">
        <f t="shared" si="42"/>
        <v>769.68899629312682</v>
      </c>
      <c r="EW58" s="554">
        <f t="shared" si="43"/>
        <v>2009.9706469066653</v>
      </c>
      <c r="EX58" s="552"/>
      <c r="EY58" s="532">
        <v>41618</v>
      </c>
      <c r="EZ58" s="552"/>
      <c r="FA58" s="745">
        <f t="shared" si="44"/>
        <v>0.95809129748864352</v>
      </c>
      <c r="FB58" s="745">
        <f t="shared" si="45"/>
        <v>2.5634788808385451</v>
      </c>
      <c r="FC58" s="745">
        <f t="shared" si="46"/>
        <v>1.4194379491099323</v>
      </c>
      <c r="FD58" s="745">
        <f t="shared" si="47"/>
        <v>1.1287018854340647</v>
      </c>
      <c r="FE58" s="761"/>
      <c r="FF58" s="532">
        <v>41618</v>
      </c>
      <c r="FG58" s="761"/>
      <c r="FH58" s="745">
        <v>618.22156066660898</v>
      </c>
      <c r="FI58" s="745">
        <f t="shared" si="185"/>
        <v>6671.1568611669527</v>
      </c>
      <c r="FJ58" s="745">
        <f t="shared" si="186"/>
        <v>1236.3253570760942</v>
      </c>
      <c r="FK58" s="745">
        <f t="shared" si="187"/>
        <v>1038.2722182674599</v>
      </c>
      <c r="FL58" s="761"/>
      <c r="FM58" s="756">
        <f t="shared" si="95"/>
        <v>618.22156066660898</v>
      </c>
      <c r="FN58" s="756">
        <f t="shared" si="96"/>
        <v>6671.1568611669527</v>
      </c>
      <c r="FO58" s="756">
        <f t="shared" si="97"/>
        <v>1236.3253570760942</v>
      </c>
      <c r="FP58" s="756">
        <f t="shared" si="49"/>
        <v>1038.2722182674599</v>
      </c>
      <c r="FQ58" s="761"/>
      <c r="FR58" s="756">
        <f t="shared" si="50"/>
        <v>1805.847406366318</v>
      </c>
      <c r="FS58" s="756">
        <f t="shared" si="51"/>
        <v>10484.014646443542</v>
      </c>
      <c r="FT58" s="756">
        <f t="shared" si="52"/>
        <v>3125.6743747296769</v>
      </c>
      <c r="FU58" s="756">
        <f t="shared" si="53"/>
        <v>3457.4849828418023</v>
      </c>
      <c r="FV58" s="761"/>
      <c r="FW58" s="755">
        <v>41618</v>
      </c>
      <c r="FX58" s="761"/>
      <c r="FY58" s="756">
        <f t="shared" si="76"/>
        <v>337779.55828091723</v>
      </c>
      <c r="FZ58" s="756">
        <f t="shared" si="77"/>
        <v>595234.16225593584</v>
      </c>
      <c r="GA58" s="756">
        <f t="shared" si="78"/>
        <v>284333.82724603848</v>
      </c>
      <c r="GB58" s="756">
        <f t="shared" si="79"/>
        <v>321132.22621246713</v>
      </c>
      <c r="GC58" s="761"/>
      <c r="GD58" s="756">
        <f t="shared" si="54"/>
        <v>0.89334620695963163</v>
      </c>
      <c r="GE58" s="756">
        <f t="shared" si="54"/>
        <v>0.78034851897908808</v>
      </c>
      <c r="GF58" s="756">
        <f t="shared" si="55"/>
        <v>0.76338213232492225</v>
      </c>
      <c r="GG58" s="756">
        <f t="shared" si="56"/>
        <v>0.83812124515223418</v>
      </c>
      <c r="GH58" s="552"/>
      <c r="GI58" s="756">
        <f t="shared" si="57"/>
        <v>0</v>
      </c>
      <c r="GJ58" s="756">
        <f t="shared" si="58"/>
        <v>0</v>
      </c>
      <c r="GK58" s="756">
        <f t="shared" si="59"/>
        <v>0</v>
      </c>
      <c r="GL58" s="756">
        <f t="shared" si="60"/>
        <v>0</v>
      </c>
      <c r="GM58" s="552"/>
    </row>
    <row r="59" spans="1:195" s="134" customFormat="1">
      <c r="A59" s="705">
        <v>41619</v>
      </c>
      <c r="B59" s="706">
        <v>0</v>
      </c>
      <c r="C59" s="732">
        <f>C58+1</f>
        <v>1</v>
      </c>
      <c r="D59" s="274">
        <v>0.75904884507735049</v>
      </c>
      <c r="E59" s="274">
        <v>2.8650014306715583</v>
      </c>
      <c r="F59" s="274">
        <v>2.1596694523603741</v>
      </c>
      <c r="G59" s="274">
        <v>1.7822660783882269</v>
      </c>
      <c r="H59" s="729"/>
      <c r="I59" s="705">
        <v>41619</v>
      </c>
      <c r="J59" s="270">
        <f t="shared" ref="J59:M61" si="217">D59</f>
        <v>0.75904884507735049</v>
      </c>
      <c r="K59" s="270">
        <f t="shared" si="217"/>
        <v>2.8650014306715583</v>
      </c>
      <c r="L59" s="270">
        <f t="shared" si="217"/>
        <v>2.1596694523603741</v>
      </c>
      <c r="M59" s="270">
        <f t="shared" si="217"/>
        <v>1.7822660783882269</v>
      </c>
      <c r="N59" s="729"/>
      <c r="O59" s="705">
        <v>41619</v>
      </c>
      <c r="P59" s="270">
        <f t="shared" ref="P59:S61" si="218">J59</f>
        <v>0.75904884507735049</v>
      </c>
      <c r="Q59" s="270">
        <f t="shared" si="218"/>
        <v>2.8650014306715583</v>
      </c>
      <c r="R59" s="270">
        <f t="shared" si="218"/>
        <v>2.1596694523603741</v>
      </c>
      <c r="S59" s="270">
        <f t="shared" si="218"/>
        <v>1.7822660783882269</v>
      </c>
      <c r="T59" s="705">
        <v>41619</v>
      </c>
      <c r="U59" s="291">
        <v>0.75904884507735049</v>
      </c>
      <c r="V59" s="291">
        <v>2.8650014306715583</v>
      </c>
      <c r="W59" s="291">
        <v>2.1596694523603741</v>
      </c>
      <c r="X59" s="291">
        <v>1.7822660783882269</v>
      </c>
      <c r="Y59" s="729"/>
      <c r="Z59" s="705">
        <v>41619</v>
      </c>
      <c r="AA59" s="707">
        <v>41619</v>
      </c>
      <c r="AB59" s="732">
        <f>AB58+1</f>
        <v>1</v>
      </c>
      <c r="AC59" s="266">
        <v>1.394499628031872</v>
      </c>
      <c r="AD59" s="291">
        <v>0.75904884507735049</v>
      </c>
      <c r="AE59" s="291">
        <f t="shared" si="82"/>
        <v>479.82033434369515</v>
      </c>
      <c r="AF59" s="161">
        <v>2.6353996280318732</v>
      </c>
      <c r="AG59" s="291">
        <v>2.8650014306715583</v>
      </c>
      <c r="AH59" s="291">
        <f t="shared" si="83"/>
        <v>7173.6108706819559</v>
      </c>
      <c r="AI59" s="161">
        <v>2.9960996280318719</v>
      </c>
      <c r="AJ59" s="291">
        <v>2.1596694523603741</v>
      </c>
      <c r="AK59" s="291">
        <f t="shared" si="84"/>
        <v>1838.857559497126</v>
      </c>
      <c r="AL59" s="161">
        <v>2.539699628031872</v>
      </c>
      <c r="AM59" s="291">
        <v>1.7822660783882269</v>
      </c>
      <c r="AN59" s="291">
        <f t="shared" si="85"/>
        <v>1569.7464379448884</v>
      </c>
      <c r="AO59" s="705">
        <v>41619</v>
      </c>
      <c r="AP59" s="463">
        <v>6.3213367289268358</v>
      </c>
      <c r="AQ59" s="463">
        <v>25.03876889513614</v>
      </c>
      <c r="AR59" s="463">
        <v>8.5145324322079841</v>
      </c>
      <c r="AS59" s="463">
        <v>8.8075874695683574</v>
      </c>
      <c r="AT59" s="463">
        <f t="shared" si="86"/>
        <v>0.22576202603310128</v>
      </c>
      <c r="AU59" s="463">
        <f t="shared" si="87"/>
        <v>0.42438591347688376</v>
      </c>
      <c r="AV59" s="463">
        <f t="shared" si="88"/>
        <v>0.4257266216103992</v>
      </c>
      <c r="AW59" s="463">
        <f t="shared" si="89"/>
        <v>0.46355723524043985</v>
      </c>
      <c r="AY59" s="266">
        <v>1.394499628031872</v>
      </c>
      <c r="AZ59" s="161">
        <v>2.6353996280318732</v>
      </c>
      <c r="BA59" s="161">
        <v>2.9960996280318719</v>
      </c>
      <c r="BB59" s="161">
        <v>2.539699628031872</v>
      </c>
      <c r="BE59" s="134">
        <v>-1.4009511549226496E-2</v>
      </c>
      <c r="BF59" s="134">
        <v>-1.4459856932844163E-3</v>
      </c>
      <c r="BG59" s="134">
        <v>-8.7873054763962614E-3</v>
      </c>
      <c r="BH59" s="134">
        <v>-2.1201339216117734E-2</v>
      </c>
      <c r="BJ59" s="508">
        <v>2.0153617647361082</v>
      </c>
      <c r="BK59" s="508">
        <v>13.080900226274739</v>
      </c>
      <c r="BL59" s="508">
        <v>11.739054072428887</v>
      </c>
      <c r="BM59" s="508">
        <v>-0.84709977372471323</v>
      </c>
      <c r="BO59" s="705">
        <v>41619</v>
      </c>
      <c r="BP59" s="324">
        <v>0</v>
      </c>
      <c r="BQ59" s="1">
        <v>5035950</v>
      </c>
      <c r="BR59" s="1">
        <v>11127132</v>
      </c>
      <c r="BS59" s="1">
        <v>6310099.7999999998</v>
      </c>
      <c r="BT59" s="1">
        <v>5970600</v>
      </c>
      <c r="BU59" s="708">
        <v>153402.67665978591</v>
      </c>
      <c r="BV59" s="708">
        <v>509866.00211189309</v>
      </c>
      <c r="BW59" s="708">
        <v>144414.10030668529</v>
      </c>
      <c r="BX59" s="708">
        <v>214415.58927759767</v>
      </c>
      <c r="BY59" s="709">
        <f t="shared" si="18"/>
        <v>0</v>
      </c>
      <c r="BZ59" s="709">
        <f t="shared" si="19"/>
        <v>0</v>
      </c>
      <c r="CA59" s="709">
        <f t="shared" si="20"/>
        <v>0</v>
      </c>
      <c r="CB59" s="709">
        <f t="shared" si="21"/>
        <v>0</v>
      </c>
      <c r="CC59" s="475">
        <f t="shared" si="22"/>
        <v>0</v>
      </c>
      <c r="CD59" s="475">
        <f t="shared" si="23"/>
        <v>0</v>
      </c>
      <c r="CE59" s="475">
        <f t="shared" si="24"/>
        <v>0</v>
      </c>
      <c r="CF59" s="475">
        <f t="shared" si="25"/>
        <v>0</v>
      </c>
      <c r="CG59" s="302">
        <f t="shared" si="90"/>
        <v>0</v>
      </c>
      <c r="CH59" s="302">
        <f t="shared" si="91"/>
        <v>0</v>
      </c>
      <c r="CI59" s="302">
        <f t="shared" si="92"/>
        <v>0</v>
      </c>
      <c r="CJ59" s="302">
        <f t="shared" si="93"/>
        <v>0</v>
      </c>
      <c r="CK59" s="302">
        <f t="shared" si="94"/>
        <v>0</v>
      </c>
      <c r="CL59" s="302">
        <f t="shared" si="94"/>
        <v>0</v>
      </c>
      <c r="CM59" s="302">
        <f t="shared" si="94"/>
        <v>0</v>
      </c>
      <c r="CN59" s="302">
        <f t="shared" si="94"/>
        <v>0</v>
      </c>
      <c r="CO59" s="710">
        <f t="shared" ref="CO59:CR60" si="219">CK59/AP59/10000*100</f>
        <v>0</v>
      </c>
      <c r="CP59" s="710">
        <f t="shared" si="219"/>
        <v>0</v>
      </c>
      <c r="CQ59" s="710">
        <f t="shared" si="219"/>
        <v>0</v>
      </c>
      <c r="CR59" s="710">
        <f t="shared" si="219"/>
        <v>0</v>
      </c>
      <c r="CS59" s="705">
        <v>41619</v>
      </c>
      <c r="CT59" s="711">
        <v>0.92100000000000004</v>
      </c>
      <c r="CU59" s="711">
        <v>0.96599999999999997</v>
      </c>
      <c r="CV59" s="713">
        <v>0.91300000000000003</v>
      </c>
      <c r="CW59" s="714">
        <v>0.96199999999999997</v>
      </c>
      <c r="CY59" s="727">
        <v>2.3615361764736109E-2</v>
      </c>
      <c r="CZ59" s="727">
        <v>4.3176900226274739E-2</v>
      </c>
      <c r="DA59" s="727">
        <v>4.2123054072428889E-2</v>
      </c>
      <c r="DB59" s="727">
        <v>3.817690022627529E-2</v>
      </c>
      <c r="DC59" s="463">
        <f t="shared" si="161"/>
        <v>-2.3679354588802326</v>
      </c>
      <c r="DD59" s="463">
        <f t="shared" si="162"/>
        <v>-4.3579354588803909</v>
      </c>
      <c r="DE59" s="463">
        <f t="shared" si="163"/>
        <v>-4.2579354588802687</v>
      </c>
      <c r="DF59" s="463">
        <f t="shared" si="164"/>
        <v>-3.7779354588803216</v>
      </c>
      <c r="DG59" s="483">
        <f t="shared" si="30"/>
        <v>2.3679354588802326</v>
      </c>
      <c r="DH59" s="483">
        <f t="shared" si="31"/>
        <v>4.3579354588803909</v>
      </c>
      <c r="DI59" s="483">
        <f t="shared" si="32"/>
        <v>4.2579354588802687</v>
      </c>
      <c r="DJ59" s="483">
        <f t="shared" si="33"/>
        <v>3.7779354588803216</v>
      </c>
      <c r="DK59" s="483">
        <f t="shared" si="121"/>
        <v>0.13130053317017065</v>
      </c>
      <c r="DL59" s="483">
        <f t="shared" si="122"/>
        <v>0.98507281088460985</v>
      </c>
      <c r="DM59" s="483">
        <f t="shared" si="123"/>
        <v>0.19543166204030626</v>
      </c>
      <c r="DN59" s="483">
        <f t="shared" si="124"/>
        <v>0.39122961106557597</v>
      </c>
      <c r="DO59" s="483">
        <f t="shared" si="100"/>
        <v>7.7727797065881816</v>
      </c>
      <c r="DP59" s="483">
        <f t="shared" si="101"/>
        <v>107.32209330332547</v>
      </c>
      <c r="DQ59" s="483">
        <f t="shared" si="102"/>
        <v>20.803385089733123</v>
      </c>
      <c r="DR59" s="483">
        <f t="shared" si="103"/>
        <v>36.951005505214908</v>
      </c>
      <c r="DS59" s="324">
        <v>2.16</v>
      </c>
      <c r="DT59" s="324">
        <v>3.0096000000000003</v>
      </c>
      <c r="DU59" s="324">
        <v>3.0384000000000002</v>
      </c>
      <c r="DV59" s="324">
        <v>3.9024000000000001</v>
      </c>
      <c r="DW59" s="716"/>
      <c r="DX59" s="705">
        <v>41619</v>
      </c>
      <c r="DY59" s="716"/>
      <c r="DZ59" s="269">
        <f>-DC59-DS59</f>
        <v>0.20793545888023246</v>
      </c>
      <c r="EA59" s="269">
        <f>-DD59-DT59</f>
        <v>1.3483354588803906</v>
      </c>
      <c r="EB59" s="269">
        <f>-DE59-DU59</f>
        <v>1.2195354588802685</v>
      </c>
      <c r="EC59" s="716"/>
      <c r="ED59" s="716"/>
      <c r="EE59" s="269">
        <f t="shared" ref="EE59" si="220">DZ59</f>
        <v>0.20793545888023246</v>
      </c>
      <c r="EF59" s="269">
        <f t="shared" ref="EF59" si="221">EA59</f>
        <v>1.3483354588803906</v>
      </c>
      <c r="EG59" s="269">
        <f t="shared" ref="EG59" si="222">EB59</f>
        <v>1.2195354588802685</v>
      </c>
      <c r="EH59" s="324">
        <f>-(EH$55-EH$63)/8+EH58</f>
        <v>0.5030876229497383</v>
      </c>
      <c r="EI59" s="716"/>
      <c r="EJ59" s="717">
        <f t="shared" si="36"/>
        <v>131.44300534658692</v>
      </c>
      <c r="EK59" s="717">
        <f t="shared" si="37"/>
        <v>3376.065994802344</v>
      </c>
      <c r="EL59" s="717">
        <f t="shared" si="38"/>
        <v>1038.3774216863694</v>
      </c>
      <c r="EM59" s="717">
        <f t="shared" si="39"/>
        <v>443.09882439870455</v>
      </c>
      <c r="EN59" s="716"/>
      <c r="EO59" s="269">
        <f t="shared" si="181"/>
        <v>1.4009511549226497</v>
      </c>
      <c r="EP59" s="269">
        <f t="shared" si="182"/>
        <v>0.14459856932844162</v>
      </c>
      <c r="EQ59" s="269">
        <f t="shared" si="183"/>
        <v>0.8787305476396261</v>
      </c>
      <c r="ER59" s="269">
        <f t="shared" si="184"/>
        <v>2.1201339216117736</v>
      </c>
      <c r="ES59" s="716"/>
      <c r="ET59" s="718">
        <f t="shared" si="40"/>
        <v>885.58839910450149</v>
      </c>
      <c r="EU59" s="718">
        <f t="shared" si="41"/>
        <v>362.05701599821708</v>
      </c>
      <c r="EV59" s="718">
        <f t="shared" si="42"/>
        <v>748.19797470494802</v>
      </c>
      <c r="EW59" s="718">
        <f t="shared" si="43"/>
        <v>1867.3264961794678</v>
      </c>
      <c r="EX59" s="716"/>
      <c r="EY59" s="705">
        <v>41619</v>
      </c>
      <c r="EZ59" s="716"/>
      <c r="FA59" s="766">
        <f t="shared" si="44"/>
        <v>0.75904884507735049</v>
      </c>
      <c r="FB59" s="766">
        <f t="shared" si="45"/>
        <v>2.8650014306715588</v>
      </c>
      <c r="FC59" s="766">
        <f t="shared" si="46"/>
        <v>2.1596694523603741</v>
      </c>
      <c r="FD59" s="766">
        <f t="shared" si="47"/>
        <v>1.1547139143188097</v>
      </c>
      <c r="FE59" s="760"/>
      <c r="FF59" s="705">
        <v>41619</v>
      </c>
      <c r="FG59" s="760"/>
      <c r="FH59" s="766">
        <v>479.82033434369515</v>
      </c>
      <c r="FI59" s="766">
        <f t="shared" si="185"/>
        <v>7173.6108706819568</v>
      </c>
      <c r="FJ59" s="766">
        <f t="shared" si="186"/>
        <v>1838.857559497126</v>
      </c>
      <c r="FK59" s="766">
        <f t="shared" si="187"/>
        <v>1017.0243802690577</v>
      </c>
      <c r="FL59" s="760"/>
      <c r="FM59" s="759">
        <f t="shared" si="95"/>
        <v>479.82033434369515</v>
      </c>
      <c r="FN59" s="759">
        <f t="shared" si="96"/>
        <v>7173.6108706819568</v>
      </c>
      <c r="FO59" s="759">
        <f t="shared" si="97"/>
        <v>1838.857559497126</v>
      </c>
      <c r="FP59" s="759">
        <f t="shared" si="49"/>
        <v>1017.0243802690577</v>
      </c>
      <c r="FQ59" s="760"/>
      <c r="FR59" s="759">
        <f t="shared" si="50"/>
        <v>1496.8517387947836</v>
      </c>
      <c r="FS59" s="759">
        <f t="shared" si="51"/>
        <v>10911.733881482518</v>
      </c>
      <c r="FT59" s="759">
        <f t="shared" si="52"/>
        <v>3625.4329558884433</v>
      </c>
      <c r="FU59" s="759">
        <f t="shared" si="53"/>
        <v>3327.4497008472299</v>
      </c>
      <c r="FV59" s="761"/>
      <c r="FW59" s="754">
        <v>41619</v>
      </c>
      <c r="FX59" s="761"/>
      <c r="FY59" s="759">
        <f t="shared" si="76"/>
        <v>339276.410019712</v>
      </c>
      <c r="FZ59" s="759">
        <f t="shared" si="77"/>
        <v>606145.89613741834</v>
      </c>
      <c r="GA59" s="759">
        <f t="shared" si="78"/>
        <v>287959.26020192693</v>
      </c>
      <c r="GB59" s="759">
        <f t="shared" si="79"/>
        <v>324459.67591331434</v>
      </c>
      <c r="GC59" s="760"/>
      <c r="GD59" s="759">
        <f t="shared" si="54"/>
        <v>0.89730502208165608</v>
      </c>
      <c r="GE59" s="759">
        <f t="shared" si="54"/>
        <v>0.79465373852770593</v>
      </c>
      <c r="GF59" s="759">
        <f t="shared" si="55"/>
        <v>0.7731157288064705</v>
      </c>
      <c r="GG59" s="759">
        <f t="shared" si="56"/>
        <v>0.84680553797250802</v>
      </c>
      <c r="GH59" s="716"/>
      <c r="GI59" s="756">
        <f t="shared" si="57"/>
        <v>0</v>
      </c>
      <c r="GJ59" s="756">
        <f t="shared" si="58"/>
        <v>0</v>
      </c>
      <c r="GK59" s="756">
        <f t="shared" si="59"/>
        <v>0</v>
      </c>
      <c r="GL59" s="756">
        <f t="shared" si="60"/>
        <v>0</v>
      </c>
      <c r="GM59" s="716"/>
    </row>
    <row r="60" spans="1:195" s="134" customFormat="1">
      <c r="A60" s="705">
        <v>41620</v>
      </c>
      <c r="B60" s="706">
        <v>0</v>
      </c>
      <c r="C60" s="732">
        <f t="shared" ref="C60:C61" si="223">C59+1</f>
        <v>2</v>
      </c>
      <c r="D60" s="274">
        <v>4.7392024050065332E-2</v>
      </c>
      <c r="E60" s="274">
        <v>3.8552695079968808</v>
      </c>
      <c r="F60" s="274">
        <v>2.195033567448692</v>
      </c>
      <c r="G60" s="274">
        <v>0.99522285914351061</v>
      </c>
      <c r="H60" s="729"/>
      <c r="I60" s="705">
        <v>41620</v>
      </c>
      <c r="J60" s="270">
        <f t="shared" si="217"/>
        <v>4.7392024050065332E-2</v>
      </c>
      <c r="K60" s="270">
        <f t="shared" si="217"/>
        <v>3.8552695079968808</v>
      </c>
      <c r="L60" s="270">
        <f t="shared" si="217"/>
        <v>2.195033567448692</v>
      </c>
      <c r="M60" s="270">
        <f t="shared" si="217"/>
        <v>0.99522285914351061</v>
      </c>
      <c r="N60" s="729"/>
      <c r="O60" s="705">
        <v>41620</v>
      </c>
      <c r="P60" s="270">
        <f t="shared" si="218"/>
        <v>4.7392024050065332E-2</v>
      </c>
      <c r="Q60" s="270">
        <f t="shared" si="218"/>
        <v>3.8552695079968808</v>
      </c>
      <c r="R60" s="270">
        <f t="shared" si="218"/>
        <v>2.195033567448692</v>
      </c>
      <c r="S60" s="270">
        <f t="shared" si="218"/>
        <v>0.99522285914351061</v>
      </c>
      <c r="T60" s="705">
        <v>41620</v>
      </c>
      <c r="U60" s="291">
        <v>4.7392024050065332E-2</v>
      </c>
      <c r="V60" s="291">
        <v>3.8552695079968808</v>
      </c>
      <c r="W60" s="291">
        <v>2.195033567448692</v>
      </c>
      <c r="X60" s="291">
        <v>0.99522285914351061</v>
      </c>
      <c r="Y60" s="729"/>
      <c r="Z60" s="705">
        <v>41620</v>
      </c>
      <c r="AA60" s="707">
        <v>41620</v>
      </c>
      <c r="AB60" s="732">
        <f t="shared" ref="AB60:AB61" si="224">AB59+1</f>
        <v>2</v>
      </c>
      <c r="AC60" s="266">
        <v>1.3708202734430697</v>
      </c>
      <c r="AD60" s="291">
        <v>4.7392024050065332E-2</v>
      </c>
      <c r="AE60" s="291">
        <f t="shared" si="82"/>
        <v>29.332337608532324</v>
      </c>
      <c r="AF60" s="161">
        <v>2.5918202734430693</v>
      </c>
      <c r="AG60" s="291">
        <v>3.8552695079968808</v>
      </c>
      <c r="AH60" s="291">
        <f t="shared" si="83"/>
        <v>9249.4111329055177</v>
      </c>
      <c r="AI60" s="161">
        <v>2.9535202734430692</v>
      </c>
      <c r="AJ60" s="291">
        <v>2.195033567448692</v>
      </c>
      <c r="AK60" s="291">
        <f t="shared" si="84"/>
        <v>1830.5478542684914</v>
      </c>
      <c r="AL60" s="161">
        <v>2.5019202734430688</v>
      </c>
      <c r="AM60" s="291">
        <v>0.99522285914351061</v>
      </c>
      <c r="AN60" s="291">
        <f t="shared" si="85"/>
        <v>837.18115260448212</v>
      </c>
      <c r="AO60" s="705">
        <v>41620</v>
      </c>
      <c r="AP60" s="463">
        <v>6.1892983463937723</v>
      </c>
      <c r="AQ60" s="463">
        <v>23.99160710741419</v>
      </c>
      <c r="AR60" s="463">
        <v>8.3394982264264605</v>
      </c>
      <c r="AS60" s="463">
        <v>8.4119968197370465</v>
      </c>
      <c r="AT60" s="463">
        <f t="shared" si="86"/>
        <v>0.22104636951406328</v>
      </c>
      <c r="AU60" s="463">
        <f t="shared" si="87"/>
        <v>0.4066374086002405</v>
      </c>
      <c r="AV60" s="463">
        <f t="shared" si="88"/>
        <v>0.41697491132132303</v>
      </c>
      <c r="AW60" s="463">
        <f t="shared" si="89"/>
        <v>0.44273667472300243</v>
      </c>
      <c r="AY60" s="266">
        <v>1.3708202734430697</v>
      </c>
      <c r="AZ60" s="161">
        <v>2.5918202734430693</v>
      </c>
      <c r="BA60" s="161">
        <v>2.9535202734430692</v>
      </c>
      <c r="BB60" s="161">
        <v>2.5019202734430688</v>
      </c>
      <c r="BE60" s="134">
        <v>-1.3609279759499346E-2</v>
      </c>
      <c r="BF60" s="134">
        <v>-7.5930492003119167E-4</v>
      </c>
      <c r="BG60" s="134">
        <v>-8.7216643255130753E-3</v>
      </c>
      <c r="BH60" s="134">
        <v>-2.0431771408564895E-2</v>
      </c>
      <c r="BJ60" s="508">
        <v>-9.5091973137948855</v>
      </c>
      <c r="BK60" s="508">
        <v>-35.876458852257308</v>
      </c>
      <c r="BL60" s="508">
        <v>-23.990305006103405</v>
      </c>
      <c r="BM60" s="508">
        <v>-26.886920390719638</v>
      </c>
      <c r="BO60" s="705">
        <v>41620</v>
      </c>
      <c r="BP60" s="324">
        <v>0</v>
      </c>
      <c r="BQ60" s="1">
        <v>5035950</v>
      </c>
      <c r="BR60" s="1">
        <v>11127132</v>
      </c>
      <c r="BS60" s="1">
        <v>6310099.7999999998</v>
      </c>
      <c r="BT60" s="1">
        <v>5970600</v>
      </c>
      <c r="BU60" s="708">
        <v>153402.67665978591</v>
      </c>
      <c r="BV60" s="708">
        <v>509866.00211189309</v>
      </c>
      <c r="BW60" s="708">
        <v>144414.10030668529</v>
      </c>
      <c r="BX60" s="708">
        <v>214415.58927759767</v>
      </c>
      <c r="BY60" s="709">
        <f t="shared" si="18"/>
        <v>0</v>
      </c>
      <c r="BZ60" s="709">
        <f t="shared" si="19"/>
        <v>0</v>
      </c>
      <c r="CA60" s="709">
        <f t="shared" si="20"/>
        <v>0</v>
      </c>
      <c r="CB60" s="709">
        <f t="shared" si="21"/>
        <v>0</v>
      </c>
      <c r="CC60" s="475">
        <f t="shared" si="22"/>
        <v>0</v>
      </c>
      <c r="CD60" s="475">
        <f t="shared" si="23"/>
        <v>0</v>
      </c>
      <c r="CE60" s="475">
        <f t="shared" si="24"/>
        <v>0</v>
      </c>
      <c r="CF60" s="475">
        <f t="shared" si="25"/>
        <v>0</v>
      </c>
      <c r="CG60" s="302">
        <f t="shared" si="90"/>
        <v>0</v>
      </c>
      <c r="CH60" s="302">
        <f t="shared" si="91"/>
        <v>0</v>
      </c>
      <c r="CI60" s="302">
        <f t="shared" si="92"/>
        <v>0</v>
      </c>
      <c r="CJ60" s="302">
        <f t="shared" si="93"/>
        <v>0</v>
      </c>
      <c r="CK60" s="302">
        <f t="shared" si="94"/>
        <v>0</v>
      </c>
      <c r="CL60" s="302">
        <f t="shared" si="94"/>
        <v>0</v>
      </c>
      <c r="CM60" s="302">
        <f t="shared" si="94"/>
        <v>0</v>
      </c>
      <c r="CN60" s="302">
        <f t="shared" si="94"/>
        <v>0</v>
      </c>
      <c r="CO60" s="710">
        <f t="shared" si="219"/>
        <v>0</v>
      </c>
      <c r="CP60" s="710">
        <f t="shared" si="219"/>
        <v>0</v>
      </c>
      <c r="CQ60" s="710">
        <f t="shared" si="219"/>
        <v>0</v>
      </c>
      <c r="CR60" s="710">
        <f t="shared" si="219"/>
        <v>0</v>
      </c>
      <c r="CS60" s="705">
        <v>41620</v>
      </c>
      <c r="CT60" s="711">
        <v>0.82899999999999996</v>
      </c>
      <c r="CU60" s="711">
        <v>0.97499999999999998</v>
      </c>
      <c r="CV60" s="713">
        <v>0.98299999999999998</v>
      </c>
      <c r="CW60" s="714">
        <v>0.96699999999999997</v>
      </c>
      <c r="CY60" s="727">
        <v>4.5740026862051142E-3</v>
      </c>
      <c r="CZ60" s="727">
        <v>3.4355411477426934E-3</v>
      </c>
      <c r="DA60" s="727">
        <v>6.6816949938965919E-3</v>
      </c>
      <c r="DB60" s="727">
        <v>3.4970796092803624E-3</v>
      </c>
      <c r="DC60" s="463">
        <f t="shared" si="161"/>
        <v>-0.37629913887204935</v>
      </c>
      <c r="DD60" s="463">
        <f t="shared" si="162"/>
        <v>-0.30629913887203486</v>
      </c>
      <c r="DE60" s="463">
        <f t="shared" si="163"/>
        <v>-0.75629913887187428</v>
      </c>
      <c r="DF60" s="463">
        <f t="shared" si="164"/>
        <v>-0.32629913887198825</v>
      </c>
      <c r="DG60" s="483">
        <f t="shared" si="30"/>
        <v>0.37629913887204935</v>
      </c>
      <c r="DH60" s="483">
        <f t="shared" si="31"/>
        <v>0.30629913887203486</v>
      </c>
      <c r="DI60" s="483">
        <f t="shared" si="32"/>
        <v>0.75629913887187428</v>
      </c>
      <c r="DJ60" s="483">
        <f t="shared" si="33"/>
        <v>0.32629913887198825</v>
      </c>
      <c r="DK60" s="483">
        <f t="shared" si="121"/>
        <v>0.13203838253306355</v>
      </c>
      <c r="DL60" s="483">
        <f t="shared" si="122"/>
        <v>1.0471617877219508</v>
      </c>
      <c r="DM60" s="483">
        <f t="shared" si="123"/>
        <v>0.17503420578152351</v>
      </c>
      <c r="DN60" s="483">
        <f t="shared" si="124"/>
        <v>0.39559064983131087</v>
      </c>
      <c r="DO60" s="483">
        <f t="shared" si="100"/>
        <v>1.2421482411312514</v>
      </c>
      <c r="DP60" s="483">
        <f t="shared" si="101"/>
        <v>8.0186188459733518</v>
      </c>
      <c r="DQ60" s="483">
        <f t="shared" si="102"/>
        <v>3.3094554776422171</v>
      </c>
      <c r="DR60" s="483">
        <f t="shared" si="103"/>
        <v>3.2270222096441743</v>
      </c>
      <c r="DS60" s="324">
        <v>1.4083199999999998</v>
      </c>
      <c r="DT60" s="324">
        <v>3.9312</v>
      </c>
      <c r="DU60" s="324">
        <v>3.0671999999999997</v>
      </c>
      <c r="DV60" s="324">
        <v>3.0384000000000002</v>
      </c>
      <c r="DW60" s="716"/>
      <c r="DX60" s="705">
        <v>41620</v>
      </c>
      <c r="DY60" s="716"/>
      <c r="DZ60" s="269"/>
      <c r="EA60" s="269"/>
      <c r="EB60" s="269"/>
      <c r="EC60" s="716"/>
      <c r="ED60" s="716"/>
      <c r="EE60" s="269">
        <f>(EE$63-EE$59)/4+EE59</f>
        <v>0.34052553149323217</v>
      </c>
      <c r="EF60" s="267">
        <f>-(EF59-EF63)/4+EF59</f>
        <v>1.2188455314933204</v>
      </c>
      <c r="EG60" s="269">
        <f>-(EG$59-EG$63)/4+EG59</f>
        <v>1.2785255314932047</v>
      </c>
      <c r="EH60" s="324">
        <f>-(EH$55-EH$63)/8+EH59</f>
        <v>0.56128965454529545</v>
      </c>
      <c r="EI60" s="716"/>
      <c r="EJ60" s="717">
        <f t="shared" si="36"/>
        <v>210.76141089759224</v>
      </c>
      <c r="EK60" s="717">
        <f t="shared" si="37"/>
        <v>2924.2063116215172</v>
      </c>
      <c r="EL60" s="717">
        <f t="shared" si="38"/>
        <v>1066.2261402328529</v>
      </c>
      <c r="EM60" s="717">
        <f t="shared" si="39"/>
        <v>472.15667889863312</v>
      </c>
      <c r="EN60" s="716"/>
      <c r="EO60" s="269">
        <f t="shared" si="181"/>
        <v>1.3609279759499346</v>
      </c>
      <c r="EP60" s="269">
        <f t="shared" si="182"/>
        <v>7.5930492003119174E-2</v>
      </c>
      <c r="EQ60" s="269">
        <f t="shared" si="183"/>
        <v>0.87216643255130755</v>
      </c>
      <c r="ER60" s="269">
        <f t="shared" si="184"/>
        <v>2.0431771408564896</v>
      </c>
      <c r="ES60" s="716"/>
      <c r="ET60" s="718">
        <f t="shared" si="40"/>
        <v>842.31892711079547</v>
      </c>
      <c r="EU60" s="718">
        <f t="shared" si="41"/>
        <v>182.16945316114902</v>
      </c>
      <c r="EV60" s="718">
        <f t="shared" si="42"/>
        <v>727.34304174103215</v>
      </c>
      <c r="EW60" s="718">
        <f t="shared" si="43"/>
        <v>1718.7199611044221</v>
      </c>
      <c r="EX60" s="716"/>
      <c r="EY60" s="705">
        <v>41620</v>
      </c>
      <c r="EZ60" s="716"/>
      <c r="FA60" s="766">
        <f t="shared" si="44"/>
        <v>-1.3251543685711176</v>
      </c>
      <c r="FB60" s="766">
        <f t="shared" si="45"/>
        <v>-0.98847688462440475</v>
      </c>
      <c r="FC60" s="766">
        <f t="shared" si="46"/>
        <v>-1.3943928251726381</v>
      </c>
      <c r="FD60" s="766">
        <f t="shared" si="47"/>
        <v>-2.2781676565297966</v>
      </c>
      <c r="FE60" s="760"/>
      <c r="FF60" s="705">
        <v>41620</v>
      </c>
      <c r="FG60" s="760"/>
      <c r="FH60" s="766">
        <v>-820.17757421137026</v>
      </c>
      <c r="FI60" s="766">
        <f t="shared" si="185"/>
        <v>-2371.5149050669502</v>
      </c>
      <c r="FJ60" s="766">
        <f t="shared" si="186"/>
        <v>-1162.8536492468997</v>
      </c>
      <c r="FK60" s="766">
        <f t="shared" si="187"/>
        <v>-1916.393908155645</v>
      </c>
      <c r="FL60" s="760"/>
      <c r="FM60" s="759">
        <f t="shared" si="95"/>
        <v>-820.17757421137026</v>
      </c>
      <c r="FN60" s="759">
        <f t="shared" si="96"/>
        <v>-2371.5149050669502</v>
      </c>
      <c r="FO60" s="759">
        <f t="shared" si="97"/>
        <v>-1162.8536492468997</v>
      </c>
      <c r="FP60" s="759">
        <f t="shared" si="49"/>
        <v>-1916.393908155645</v>
      </c>
      <c r="FQ60" s="760"/>
      <c r="FR60" s="759">
        <f t="shared" si="50"/>
        <v>1053.0803380083878</v>
      </c>
      <c r="FS60" s="759">
        <f t="shared" si="51"/>
        <v>3106.375764782666</v>
      </c>
      <c r="FT60" s="759">
        <f t="shared" si="52"/>
        <v>1793.569181973885</v>
      </c>
      <c r="FU60" s="759">
        <f t="shared" si="53"/>
        <v>2190.8766400030554</v>
      </c>
      <c r="FV60" s="761"/>
      <c r="FW60" s="754">
        <v>41620</v>
      </c>
      <c r="FX60" s="761"/>
      <c r="FY60" s="759">
        <f t="shared" si="76"/>
        <v>340329.49035772041</v>
      </c>
      <c r="FZ60" s="759">
        <f t="shared" si="77"/>
        <v>609252.271902201</v>
      </c>
      <c r="GA60" s="759">
        <f t="shared" si="78"/>
        <v>289752.8293839008</v>
      </c>
      <c r="GB60" s="759">
        <f t="shared" si="79"/>
        <v>326650.55255331739</v>
      </c>
      <c r="GC60" s="760"/>
      <c r="GD60" s="759">
        <f t="shared" si="54"/>
        <v>0.9000901679038944</v>
      </c>
      <c r="GE60" s="759">
        <f t="shared" si="54"/>
        <v>0.79872617905809074</v>
      </c>
      <c r="GF60" s="759">
        <f t="shared" si="55"/>
        <v>0.77793112020702548</v>
      </c>
      <c r="GG60" s="759">
        <f t="shared" si="56"/>
        <v>0.85252349496222302</v>
      </c>
      <c r="GH60" s="716"/>
      <c r="GI60" s="756">
        <f t="shared" si="57"/>
        <v>0</v>
      </c>
      <c r="GJ60" s="756">
        <f t="shared" si="58"/>
        <v>0</v>
      </c>
      <c r="GK60" s="756">
        <f t="shared" si="59"/>
        <v>0</v>
      </c>
      <c r="GL60" s="756">
        <f t="shared" si="60"/>
        <v>0</v>
      </c>
      <c r="GM60" s="716"/>
    </row>
    <row r="61" spans="1:195" s="472" customFormat="1">
      <c r="A61" s="464">
        <v>41621</v>
      </c>
      <c r="B61" s="465">
        <v>0</v>
      </c>
      <c r="C61" s="489">
        <f t="shared" si="223"/>
        <v>3</v>
      </c>
      <c r="D61" s="485">
        <v>-1.3544231449485595</v>
      </c>
      <c r="E61" s="467">
        <v>-7.5916511839244916E-2</v>
      </c>
      <c r="F61" s="467">
        <v>-0.87093771878579362</v>
      </c>
      <c r="G61" s="467">
        <v>-2.0360173030996389</v>
      </c>
      <c r="H61" s="468"/>
      <c r="I61" s="464">
        <v>41621</v>
      </c>
      <c r="J61" s="467">
        <f t="shared" si="217"/>
        <v>-1.3544231449485595</v>
      </c>
      <c r="K61" s="467">
        <f t="shared" si="217"/>
        <v>-7.5916511839244916E-2</v>
      </c>
      <c r="L61" s="467">
        <f t="shared" si="217"/>
        <v>-0.87093771878579362</v>
      </c>
      <c r="M61" s="467">
        <f t="shared" si="217"/>
        <v>-2.0360173030996389</v>
      </c>
      <c r="N61" s="468"/>
      <c r="O61" s="464">
        <v>41621</v>
      </c>
      <c r="P61" s="484">
        <f t="shared" si="218"/>
        <v>-1.3544231449485595</v>
      </c>
      <c r="Q61" s="467">
        <f t="shared" si="218"/>
        <v>-7.5916511839244916E-2</v>
      </c>
      <c r="R61" s="467">
        <f t="shared" si="218"/>
        <v>-0.87093771878579362</v>
      </c>
      <c r="S61" s="467">
        <f t="shared" si="218"/>
        <v>-2.0360173030996389</v>
      </c>
      <c r="T61" s="464">
        <v>41621</v>
      </c>
      <c r="U61" s="468">
        <v>-1.3544231449485595</v>
      </c>
      <c r="V61" s="468">
        <v>-7.5916511839244916E-2</v>
      </c>
      <c r="W61" s="468">
        <v>-0.87093771878579362</v>
      </c>
      <c r="X61" s="468">
        <v>-2.0360173030996389</v>
      </c>
      <c r="Y61" s="468"/>
      <c r="Z61" s="464">
        <v>41621</v>
      </c>
      <c r="AA61" s="469">
        <v>41621</v>
      </c>
      <c r="AB61" s="489">
        <f t="shared" si="224"/>
        <v>3</v>
      </c>
      <c r="AC61" s="470">
        <v>1.3670572820543492</v>
      </c>
      <c r="AD61" s="468">
        <v>-1.3544231449485595</v>
      </c>
      <c r="AE61" s="468">
        <f t="shared" si="82"/>
        <v>-822.65798672248707</v>
      </c>
      <c r="AF61" s="471">
        <v>2.588757282054349</v>
      </c>
      <c r="AG61" s="468">
        <v>-7.5916511839244916E-2</v>
      </c>
      <c r="AH61" s="468">
        <f t="shared" si="83"/>
        <v>-173.58589741151874</v>
      </c>
      <c r="AI61" s="471">
        <v>2.9459572820543505</v>
      </c>
      <c r="AJ61" s="468">
        <v>-0.87093771878579362</v>
      </c>
      <c r="AK61" s="468">
        <f t="shared" si="84"/>
        <v>-707.92831876944297</v>
      </c>
      <c r="AL61" s="471">
        <v>2.4986572820543489</v>
      </c>
      <c r="AM61" s="468">
        <v>-2.0360173030996389</v>
      </c>
      <c r="AN61" s="468">
        <f t="shared" si="85"/>
        <v>-1632.2855758539042</v>
      </c>
      <c r="AO61" s="464">
        <v>41621</v>
      </c>
      <c r="AP61" s="483">
        <v>6.0738624394500533</v>
      </c>
      <c r="AQ61" s="483">
        <v>22.86536791615125</v>
      </c>
      <c r="AR61" s="483">
        <v>8.1283460745780065</v>
      </c>
      <c r="AS61" s="483">
        <v>8.0170515907154023</v>
      </c>
      <c r="AT61" s="530">
        <f t="shared" si="86"/>
        <v>0.21692365855178761</v>
      </c>
      <c r="AU61" s="483">
        <f t="shared" si="87"/>
        <v>0.38754860874832625</v>
      </c>
      <c r="AV61" s="483">
        <f t="shared" si="88"/>
        <v>0.40641730372890034</v>
      </c>
      <c r="AW61" s="483">
        <f t="shared" si="89"/>
        <v>0.42195008372186327</v>
      </c>
      <c r="AY61" s="470">
        <v>1.3670572820543492</v>
      </c>
      <c r="AZ61" s="471">
        <v>2.588757282054349</v>
      </c>
      <c r="BA61" s="471">
        <v>2.9459572820543505</v>
      </c>
      <c r="BB61" s="471">
        <v>2.4986572820543489</v>
      </c>
      <c r="BD61" s="232"/>
      <c r="BE61" s="472">
        <v>-1.3544231449485595E-2</v>
      </c>
      <c r="BF61" s="472">
        <v>-7.5916511839244918E-4</v>
      </c>
      <c r="BG61" s="472">
        <v>-8.7093771878579366E-3</v>
      </c>
      <c r="BH61" s="472">
        <v>-2.0360173030996388E-2</v>
      </c>
      <c r="BI61" s="232"/>
      <c r="BJ61" s="507">
        <v>-7.8437534225097583</v>
      </c>
      <c r="BK61" s="507">
        <v>-33.905291884047003</v>
      </c>
      <c r="BL61" s="507">
        <v>-11.982214960970516</v>
      </c>
      <c r="BM61" s="507">
        <v>-23.682214960970782</v>
      </c>
      <c r="BN61" s="232"/>
      <c r="BO61" s="464">
        <v>41621</v>
      </c>
      <c r="BP61" s="473">
        <v>0</v>
      </c>
      <c r="BQ61" s="1">
        <v>5035950</v>
      </c>
      <c r="BR61" s="1">
        <v>11127132</v>
      </c>
      <c r="BS61" s="1">
        <v>6310099.7999999998</v>
      </c>
      <c r="BT61" s="1">
        <v>5970600</v>
      </c>
      <c r="BU61" s="474">
        <v>153402.67665978591</v>
      </c>
      <c r="BV61" s="474">
        <v>509866.00211189309</v>
      </c>
      <c r="BW61" s="474">
        <v>144414.10030668529</v>
      </c>
      <c r="BX61" s="474">
        <v>214415.58927759767</v>
      </c>
      <c r="BY61" s="556">
        <f t="shared" si="18"/>
        <v>0</v>
      </c>
      <c r="BZ61" s="556">
        <f t="shared" si="19"/>
        <v>0</v>
      </c>
      <c r="CA61" s="556">
        <f t="shared" si="20"/>
        <v>0</v>
      </c>
      <c r="CB61" s="556">
        <f t="shared" si="21"/>
        <v>0</v>
      </c>
      <c r="CC61" s="475">
        <f t="shared" si="22"/>
        <v>0</v>
      </c>
      <c r="CD61" s="475">
        <f t="shared" si="23"/>
        <v>0</v>
      </c>
      <c r="CE61" s="475">
        <f t="shared" si="24"/>
        <v>0</v>
      </c>
      <c r="CF61" s="475">
        <f t="shared" si="25"/>
        <v>0</v>
      </c>
      <c r="CG61" s="476">
        <f t="shared" si="90"/>
        <v>0</v>
      </c>
      <c r="CH61" s="476">
        <f t="shared" si="91"/>
        <v>0</v>
      </c>
      <c r="CI61" s="476">
        <f t="shared" si="92"/>
        <v>0</v>
      </c>
      <c r="CJ61" s="476">
        <f t="shared" si="93"/>
        <v>0</v>
      </c>
      <c r="CK61" s="476">
        <f t="shared" si="94"/>
        <v>0</v>
      </c>
      <c r="CL61" s="476">
        <f t="shared" si="94"/>
        <v>0</v>
      </c>
      <c r="CM61" s="476">
        <f t="shared" si="94"/>
        <v>0</v>
      </c>
      <c r="CN61" s="476">
        <f t="shared" si="94"/>
        <v>0</v>
      </c>
      <c r="CO61" s="477">
        <f t="shared" ref="CO61:CO62" si="225">CK61/BU61*100</f>
        <v>0</v>
      </c>
      <c r="CP61" s="477">
        <f t="shared" ref="CP61:CP62" si="226">CL61/BV61*100</f>
        <v>0</v>
      </c>
      <c r="CQ61" s="477">
        <f t="shared" ref="CQ61:CQ62" si="227">CM61/BW61*100</f>
        <v>0</v>
      </c>
      <c r="CR61" s="477">
        <f t="shared" ref="CR61:CR62" si="228">CN61/BX61*100</f>
        <v>0</v>
      </c>
      <c r="CS61" s="464">
        <v>41621</v>
      </c>
      <c r="CT61" s="478">
        <v>0.20699999999999999</v>
      </c>
      <c r="CU61" s="478">
        <v>0.79800000000000004</v>
      </c>
      <c r="CV61" s="480">
        <v>0.16900000000000001</v>
      </c>
      <c r="CW61" s="481">
        <v>0.44</v>
      </c>
      <c r="CY61" s="521">
        <v>-7.8437534225097583E-3</v>
      </c>
      <c r="CZ61" s="521">
        <v>-3.3905291884047006E-2</v>
      </c>
      <c r="DA61" s="521">
        <v>-1.1982214960970516E-2</v>
      </c>
      <c r="DB61" s="521">
        <v>-2.3682214960970782E-2</v>
      </c>
      <c r="DC61" s="483">
        <f t="shared" si="161"/>
        <v>0.74949098500383116</v>
      </c>
      <c r="DD61" s="483">
        <f t="shared" si="162"/>
        <v>3.3194909850038812</v>
      </c>
      <c r="DE61" s="483">
        <f t="shared" si="163"/>
        <v>1.2994909850037928</v>
      </c>
      <c r="DF61" s="483">
        <f t="shared" si="164"/>
        <v>2.3794909850039403</v>
      </c>
      <c r="DG61" s="483">
        <f t="shared" si="30"/>
        <v>0</v>
      </c>
      <c r="DH61" s="483">
        <f t="shared" si="31"/>
        <v>0</v>
      </c>
      <c r="DI61" s="483">
        <f t="shared" si="32"/>
        <v>0</v>
      </c>
      <c r="DJ61" s="483">
        <f t="shared" si="33"/>
        <v>0</v>
      </c>
      <c r="DK61" s="483">
        <f t="shared" si="121"/>
        <v>0</v>
      </c>
      <c r="DL61" s="483">
        <f t="shared" si="122"/>
        <v>0</v>
      </c>
      <c r="DM61" s="483">
        <f t="shared" si="123"/>
        <v>0</v>
      </c>
      <c r="DN61" s="483">
        <f t="shared" si="124"/>
        <v>0</v>
      </c>
      <c r="DO61" s="483">
        <f t="shared" si="100"/>
        <v>0</v>
      </c>
      <c r="DP61" s="483">
        <f t="shared" si="101"/>
        <v>0</v>
      </c>
      <c r="DQ61" s="483">
        <f t="shared" si="102"/>
        <v>0</v>
      </c>
      <c r="DR61" s="483">
        <f t="shared" si="103"/>
        <v>0</v>
      </c>
      <c r="DS61" s="473"/>
      <c r="DT61" s="473"/>
      <c r="DU61" s="473"/>
      <c r="DV61" s="473"/>
      <c r="DW61" s="551"/>
      <c r="DX61" s="532">
        <v>41621</v>
      </c>
      <c r="DY61" s="551"/>
      <c r="DZ61" s="527"/>
      <c r="EA61" s="527"/>
      <c r="EB61" s="527"/>
      <c r="EC61" s="544"/>
      <c r="ED61" s="551"/>
      <c r="EE61" s="527">
        <f>(EE$63-EE$59)/4+EE60</f>
        <v>0.47311560410623188</v>
      </c>
      <c r="EF61" s="527">
        <f>-(EF60-EF64)/4+EF60</f>
        <v>1.2022078454866851</v>
      </c>
      <c r="EG61" s="527">
        <f>-(EG$59-EG$63)/4+EG60</f>
        <v>1.3375156041061409</v>
      </c>
      <c r="EH61" s="473">
        <f>-(EH$55-EH$63)/8+EH60</f>
        <v>0.61949168614085259</v>
      </c>
      <c r="EI61" s="551"/>
      <c r="EJ61" s="503">
        <f t="shared" si="36"/>
        <v>287.36390972985635</v>
      </c>
      <c r="EK61" s="503">
        <f t="shared" si="37"/>
        <v>2748.8924698736569</v>
      </c>
      <c r="EL61" s="503">
        <f t="shared" si="38"/>
        <v>1087.178971032298</v>
      </c>
      <c r="EM61" s="503">
        <f t="shared" si="39"/>
        <v>496.64968078104897</v>
      </c>
      <c r="EN61" s="551"/>
      <c r="EO61" s="503">
        <f t="shared" si="181"/>
        <v>1.3544231449485595</v>
      </c>
      <c r="EP61" s="503">
        <f t="shared" si="182"/>
        <v>7.5916511839244916E-2</v>
      </c>
      <c r="EQ61" s="503">
        <f t="shared" si="183"/>
        <v>0.87093771878579362</v>
      </c>
      <c r="ER61" s="503">
        <f t="shared" si="184"/>
        <v>2.0360173030996389</v>
      </c>
      <c r="ES61" s="551"/>
      <c r="ET61" s="554">
        <f t="shared" si="40"/>
        <v>822.65798672248707</v>
      </c>
      <c r="EU61" s="554">
        <f t="shared" si="41"/>
        <v>173.58589741151874</v>
      </c>
      <c r="EV61" s="554">
        <f t="shared" si="42"/>
        <v>707.92831876944297</v>
      </c>
      <c r="EW61" s="554">
        <f t="shared" si="43"/>
        <v>1632.2855758539042</v>
      </c>
      <c r="EX61" s="551"/>
      <c r="EY61" s="532">
        <v>41621</v>
      </c>
      <c r="EZ61" s="551"/>
      <c r="FA61" s="745">
        <f t="shared" si="44"/>
        <v>-2.5770297340586223</v>
      </c>
      <c r="FB61" s="745">
        <f t="shared" si="45"/>
        <v>-4.597615342329811</v>
      </c>
      <c r="FC61" s="745">
        <f t="shared" si="46"/>
        <v>-3.5079443078957273</v>
      </c>
      <c r="FD61" s="745">
        <f t="shared" si="47"/>
        <v>-5.0349999742444318</v>
      </c>
      <c r="FE61" s="761"/>
      <c r="FF61" s="532">
        <v>41621</v>
      </c>
      <c r="FG61" s="761"/>
      <c r="FH61" s="745">
        <v>-1565.2524107044626</v>
      </c>
      <c r="FI61" s="745">
        <f t="shared" si="185"/>
        <v>-10512.61663393128</v>
      </c>
      <c r="FJ61" s="745">
        <f t="shared" si="186"/>
        <v>-2851.3785344922499</v>
      </c>
      <c r="FK61" s="745">
        <f t="shared" si="187"/>
        <v>-4036.5854552768333</v>
      </c>
      <c r="FL61" s="761"/>
      <c r="FM61" s="756">
        <f t="shared" si="95"/>
        <v>-1565.2524107044626</v>
      </c>
      <c r="FN61" s="756">
        <f t="shared" si="96"/>
        <v>-10512.61663393128</v>
      </c>
      <c r="FO61" s="756">
        <f t="shared" si="97"/>
        <v>-2851.3785344922499</v>
      </c>
      <c r="FP61" s="756">
        <f t="shared" si="49"/>
        <v>-4036.5854552768333</v>
      </c>
      <c r="FQ61" s="761"/>
      <c r="FR61" s="756">
        <f t="shared" si="50"/>
        <v>1110.0218964523433</v>
      </c>
      <c r="FS61" s="756">
        <f t="shared" si="51"/>
        <v>2922.4783672851754</v>
      </c>
      <c r="FT61" s="756">
        <f t="shared" si="52"/>
        <v>1795.107289801741</v>
      </c>
      <c r="FU61" s="756">
        <f t="shared" si="53"/>
        <v>2128.935256634953</v>
      </c>
      <c r="FV61" s="761"/>
      <c r="FW61" s="755">
        <v>41621</v>
      </c>
      <c r="FX61" s="761"/>
      <c r="FY61" s="756">
        <f t="shared" si="76"/>
        <v>341439.51225417276</v>
      </c>
      <c r="FZ61" s="756">
        <f t="shared" si="77"/>
        <v>612174.75026948622</v>
      </c>
      <c r="GA61" s="756">
        <f t="shared" si="78"/>
        <v>291547.93667370256</v>
      </c>
      <c r="GB61" s="756">
        <f t="shared" si="79"/>
        <v>328779.48780995235</v>
      </c>
      <c r="GC61" s="761"/>
      <c r="GD61" s="756">
        <f t="shared" si="54"/>
        <v>0.90302591053996339</v>
      </c>
      <c r="GE61" s="756">
        <f t="shared" si="54"/>
        <v>0.80255753117171291</v>
      </c>
      <c r="GF61" s="756">
        <f t="shared" si="55"/>
        <v>0.78275064113393622</v>
      </c>
      <c r="GG61" s="756">
        <f t="shared" si="56"/>
        <v>0.85807979147342661</v>
      </c>
      <c r="GH61" s="551"/>
      <c r="GI61" s="756">
        <f t="shared" si="57"/>
        <v>0</v>
      </c>
      <c r="GJ61" s="756">
        <f t="shared" si="58"/>
        <v>0</v>
      </c>
      <c r="GK61" s="756">
        <f t="shared" si="59"/>
        <v>0</v>
      </c>
      <c r="GL61" s="756">
        <f t="shared" si="60"/>
        <v>0</v>
      </c>
      <c r="GM61" s="551"/>
    </row>
    <row r="62" spans="1:195" s="472" customFormat="1">
      <c r="A62" s="464">
        <v>41622</v>
      </c>
      <c r="B62" s="465">
        <v>0.5</v>
      </c>
      <c r="C62" s="466">
        <v>0</v>
      </c>
      <c r="D62" s="485">
        <v>0.51906066699788345</v>
      </c>
      <c r="E62" s="485">
        <v>1.765819430275458</v>
      </c>
      <c r="F62" s="485">
        <v>-0.68727700252423785</v>
      </c>
      <c r="G62" s="485">
        <v>-0.85800801115005854</v>
      </c>
      <c r="H62" s="487"/>
      <c r="I62" s="464">
        <v>41622</v>
      </c>
      <c r="J62" s="467"/>
      <c r="K62" s="467"/>
      <c r="L62" s="467"/>
      <c r="M62" s="467"/>
      <c r="N62" s="487"/>
      <c r="O62" s="464">
        <v>41622</v>
      </c>
      <c r="P62" s="467">
        <f>D62+CO62</f>
        <v>0.56906066699788349</v>
      </c>
      <c r="Q62" s="467">
        <f>E62+CP62</f>
        <v>1.815819430275458</v>
      </c>
      <c r="R62" s="467">
        <f>F62+CQ62</f>
        <v>-0.6372770025242378</v>
      </c>
      <c r="S62" s="467">
        <f>G62+CR62</f>
        <v>-0.80800801115005849</v>
      </c>
      <c r="T62" s="464">
        <v>41622</v>
      </c>
      <c r="U62" s="468">
        <v>0.64572383353403107</v>
      </c>
      <c r="V62" s="468">
        <v>1.8776933058828862</v>
      </c>
      <c r="W62" s="468">
        <v>-0.59803434481955664</v>
      </c>
      <c r="X62" s="468">
        <v>-0.72372216629408659</v>
      </c>
      <c r="Y62" s="487"/>
      <c r="Z62" s="464">
        <v>41622</v>
      </c>
      <c r="AA62" s="469">
        <v>41622</v>
      </c>
      <c r="AB62" s="466">
        <v>0</v>
      </c>
      <c r="AC62" s="470">
        <v>1.3745521919043875</v>
      </c>
      <c r="AD62" s="468">
        <v>0.64572383353403107</v>
      </c>
      <c r="AE62" s="468">
        <f t="shared" si="82"/>
        <v>391.02040141586662</v>
      </c>
      <c r="AF62" s="471">
        <v>2.6219521919043878</v>
      </c>
      <c r="AG62" s="468">
        <v>1.8776933058828862</v>
      </c>
      <c r="AH62" s="468">
        <f t="shared" si="83"/>
        <v>4278.8004521370258</v>
      </c>
      <c r="AI62" s="471">
        <v>2.9589521919043884</v>
      </c>
      <c r="AJ62" s="468">
        <v>-0.59803434481955664</v>
      </c>
      <c r="AK62" s="468">
        <f t="shared" si="84"/>
        <v>-483.87505527574649</v>
      </c>
      <c r="AL62" s="471">
        <v>2.5224521919043883</v>
      </c>
      <c r="AM62" s="468">
        <v>-0.72372216629408659</v>
      </c>
      <c r="AN62" s="468">
        <f t="shared" si="85"/>
        <v>-577.78731230250378</v>
      </c>
      <c r="AO62" s="464">
        <v>41622</v>
      </c>
      <c r="AP62" s="483">
        <v>6.0555361457826535</v>
      </c>
      <c r="AQ62" s="483">
        <v>22.787536381641122</v>
      </c>
      <c r="AR62" s="483">
        <v>8.0910914141853318</v>
      </c>
      <c r="AS62" s="483">
        <v>7.9835514125695335</v>
      </c>
      <c r="AT62" s="530">
        <f t="shared" si="86"/>
        <v>0.21626914806366621</v>
      </c>
      <c r="AU62" s="483">
        <f t="shared" si="87"/>
        <v>0.38622943019730716</v>
      </c>
      <c r="AV62" s="483">
        <f t="shared" si="88"/>
        <v>0.40455457070926659</v>
      </c>
      <c r="AW62" s="483">
        <f t="shared" si="89"/>
        <v>0.42018691645102807</v>
      </c>
      <c r="AY62" s="470">
        <v>1.3745521919043875</v>
      </c>
      <c r="AZ62" s="471">
        <v>2.6219521919043878</v>
      </c>
      <c r="BA62" s="471">
        <v>2.9589521919043884</v>
      </c>
      <c r="BB62" s="471">
        <v>2.5224521919043883</v>
      </c>
      <c r="BD62" s="232"/>
      <c r="BE62" s="472">
        <v>-1.3673393330021164E-2</v>
      </c>
      <c r="BF62" s="472">
        <v>-1.2058056972454173E-3</v>
      </c>
      <c r="BG62" s="472">
        <v>-8.7303700252423788E-3</v>
      </c>
      <c r="BH62" s="472">
        <v>-2.0863280111500584E-2</v>
      </c>
      <c r="BI62" s="232"/>
      <c r="BJ62" s="507">
        <v>9.4007915065321619</v>
      </c>
      <c r="BK62" s="507">
        <v>6.1315607373006937</v>
      </c>
      <c r="BL62" s="507">
        <v>16.97642227576214</v>
      </c>
      <c r="BM62" s="507">
        <v>9.9508222757631</v>
      </c>
      <c r="BN62" s="232"/>
      <c r="BO62" s="464">
        <v>41622</v>
      </c>
      <c r="BP62" s="473">
        <v>0</v>
      </c>
      <c r="BQ62" s="1">
        <v>5035950</v>
      </c>
      <c r="BR62" s="1">
        <v>11127132</v>
      </c>
      <c r="BS62" s="1">
        <v>6310099.7999999998</v>
      </c>
      <c r="BT62" s="1">
        <v>5970600</v>
      </c>
      <c r="BU62" s="474">
        <v>153402.67665978591</v>
      </c>
      <c r="BV62" s="474">
        <v>509866.00211189309</v>
      </c>
      <c r="BW62" s="474">
        <v>144414.10030668529</v>
      </c>
      <c r="BX62" s="474">
        <v>214415.58927759767</v>
      </c>
      <c r="BY62" s="556">
        <f t="shared" si="18"/>
        <v>2517.9749999999999</v>
      </c>
      <c r="BZ62" s="556">
        <f t="shared" si="19"/>
        <v>5563.5659999999998</v>
      </c>
      <c r="CA62" s="556">
        <f t="shared" si="20"/>
        <v>3155.0499</v>
      </c>
      <c r="CB62" s="556">
        <f t="shared" si="21"/>
        <v>2985.3</v>
      </c>
      <c r="CC62" s="475">
        <f t="shared" si="22"/>
        <v>0</v>
      </c>
      <c r="CD62" s="475">
        <f t="shared" si="23"/>
        <v>0</v>
      </c>
      <c r="CE62" s="475">
        <f t="shared" si="24"/>
        <v>0</v>
      </c>
      <c r="CF62" s="475">
        <f t="shared" si="25"/>
        <v>0</v>
      </c>
      <c r="CG62" s="476">
        <f t="shared" si="90"/>
        <v>76.701338329892963</v>
      </c>
      <c r="CH62" s="476">
        <f t="shared" si="91"/>
        <v>254.93300105594656</v>
      </c>
      <c r="CI62" s="476">
        <f t="shared" si="92"/>
        <v>72.207050153342649</v>
      </c>
      <c r="CJ62" s="476">
        <f t="shared" si="93"/>
        <v>107.20779463879883</v>
      </c>
      <c r="CK62" s="476">
        <f t="shared" si="94"/>
        <v>76.701338329892963</v>
      </c>
      <c r="CL62" s="476">
        <f t="shared" si="94"/>
        <v>254.93300105594656</v>
      </c>
      <c r="CM62" s="476">
        <f t="shared" si="94"/>
        <v>72.207050153342649</v>
      </c>
      <c r="CN62" s="476">
        <f t="shared" si="94"/>
        <v>107.20779463879883</v>
      </c>
      <c r="CO62" s="477">
        <f t="shared" si="225"/>
        <v>0.05</v>
      </c>
      <c r="CP62" s="477">
        <f t="shared" si="226"/>
        <v>0.05</v>
      </c>
      <c r="CQ62" s="477">
        <f t="shared" si="227"/>
        <v>0.05</v>
      </c>
      <c r="CR62" s="477">
        <f t="shared" si="228"/>
        <v>0.05</v>
      </c>
      <c r="CS62" s="464">
        <v>41622</v>
      </c>
      <c r="CT62" s="478">
        <v>0.93</v>
      </c>
      <c r="CU62" s="478">
        <v>0.876</v>
      </c>
      <c r="CV62" s="480">
        <v>7.3999999999999996E-2</v>
      </c>
      <c r="CW62" s="481">
        <v>0.871</v>
      </c>
      <c r="CY62" s="522">
        <v>2.8264791506532161E-2</v>
      </c>
      <c r="CZ62" s="522">
        <v>2.4995560737300693E-2</v>
      </c>
      <c r="DA62" s="522">
        <v>1.8834022275762141E-2</v>
      </c>
      <c r="DB62" s="522">
        <v>2.2234022275763099E-2</v>
      </c>
      <c r="DC62" s="483">
        <f t="shared" si="161"/>
        <v>-2.8435988701531301</v>
      </c>
      <c r="DD62" s="483">
        <f t="shared" si="162"/>
        <v>-2.4635988701531275</v>
      </c>
      <c r="DE62" s="483">
        <f t="shared" si="163"/>
        <v>-1.8635988701532824</v>
      </c>
      <c r="DF62" s="483">
        <f t="shared" si="164"/>
        <v>-2.2235988701533316</v>
      </c>
      <c r="DG62" s="483">
        <f t="shared" si="30"/>
        <v>2.8435988701531301</v>
      </c>
      <c r="DH62" s="483">
        <f t="shared" si="31"/>
        <v>2.4635988701531275</v>
      </c>
      <c r="DI62" s="483">
        <f t="shared" si="32"/>
        <v>1.8635988701532824</v>
      </c>
      <c r="DJ62" s="483">
        <f t="shared" si="33"/>
        <v>2.2235988701533316</v>
      </c>
      <c r="DK62" s="483">
        <f t="shared" si="121"/>
        <v>1.8326293667399796E-2</v>
      </c>
      <c r="DL62" s="483">
        <f t="shared" si="122"/>
        <v>7.7831534510128364E-2</v>
      </c>
      <c r="DM62" s="483">
        <f t="shared" si="123"/>
        <v>3.7254660392674666E-2</v>
      </c>
      <c r="DN62" s="483">
        <f t="shared" si="124"/>
        <v>3.3500178145868809E-2</v>
      </c>
      <c r="DO62" s="483">
        <f t="shared" si="100"/>
        <v>1.302815699167813</v>
      </c>
      <c r="DP62" s="483">
        <f t="shared" si="101"/>
        <v>4.7936420120359093</v>
      </c>
      <c r="DQ62" s="483">
        <f t="shared" si="102"/>
        <v>1.7356935753933189</v>
      </c>
      <c r="DR62" s="483">
        <f t="shared" si="103"/>
        <v>1.8622739568772304</v>
      </c>
      <c r="DS62" s="473"/>
      <c r="DT62" s="473"/>
      <c r="DU62" s="473"/>
      <c r="DV62" s="473"/>
      <c r="DW62" s="552"/>
      <c r="DX62" s="532">
        <v>41622</v>
      </c>
      <c r="DY62" s="552"/>
      <c r="DZ62" s="473"/>
      <c r="EA62" s="473"/>
      <c r="EB62" s="473"/>
      <c r="EC62" s="545"/>
      <c r="ED62" s="552"/>
      <c r="EE62" s="527">
        <f>(EE$63-EE$59)/4+EE61</f>
        <v>0.60570567671923159</v>
      </c>
      <c r="EF62" s="527">
        <f>-(EF61-EF65)/4+EF61</f>
        <v>1.2469155681592889</v>
      </c>
      <c r="EG62" s="527">
        <f>-(EG$59-EG$63)/4+EG61</f>
        <v>1.3965056767190771</v>
      </c>
      <c r="EH62" s="473">
        <f>-(EH$55-EH$63)/8+EH61</f>
        <v>0.67769371773640974</v>
      </c>
      <c r="EI62" s="552"/>
      <c r="EJ62" s="503">
        <f t="shared" si="36"/>
        <v>366.78726190790496</v>
      </c>
      <c r="EK62" s="503">
        <f t="shared" si="37"/>
        <v>2841.4133874264508</v>
      </c>
      <c r="EL62" s="503">
        <f t="shared" si="38"/>
        <v>1129.9255090762802</v>
      </c>
      <c r="EM62" s="503">
        <f t="shared" si="39"/>
        <v>541.0402637524013</v>
      </c>
      <c r="EN62" s="552"/>
      <c r="EO62" s="503">
        <f t="shared" si="181"/>
        <v>1.3673393330021164</v>
      </c>
      <c r="EP62" s="503">
        <f t="shared" si="182"/>
        <v>0.12058056972454173</v>
      </c>
      <c r="EQ62" s="503">
        <f t="shared" si="183"/>
        <v>0.87303700252423788</v>
      </c>
      <c r="ER62" s="503">
        <f t="shared" si="184"/>
        <v>2.0863280111500586</v>
      </c>
      <c r="ES62" s="552"/>
      <c r="ET62" s="554">
        <f t="shared" si="40"/>
        <v>827.99727545446592</v>
      </c>
      <c r="EU62" s="554">
        <f t="shared" si="41"/>
        <v>274.77341195170089</v>
      </c>
      <c r="EV62" s="554">
        <f t="shared" si="42"/>
        <v>706.38221953899586</v>
      </c>
      <c r="EW62" s="554">
        <f t="shared" si="43"/>
        <v>1665.6306940500435</v>
      </c>
      <c r="EX62" s="552"/>
      <c r="EY62" s="532">
        <v>41622</v>
      </c>
      <c r="EZ62" s="552"/>
      <c r="FA62" s="745">
        <f t="shared" si="44"/>
        <v>0.92055386043178222</v>
      </c>
      <c r="FB62" s="745">
        <f t="shared" si="45"/>
        <v>1.1461027322692969</v>
      </c>
      <c r="FC62" s="745">
        <f t="shared" si="46"/>
        <v>-0.35594380909003265</v>
      </c>
      <c r="FD62" s="745">
        <f t="shared" si="47"/>
        <v>-0.49042285873313674</v>
      </c>
      <c r="FE62" s="761"/>
      <c r="FF62" s="532">
        <v>41622</v>
      </c>
      <c r="FG62" s="761"/>
      <c r="FH62" s="745">
        <v>557.4447175984418</v>
      </c>
      <c r="FI62" s="745">
        <f t="shared" si="185"/>
        <v>2611.6857708684897</v>
      </c>
      <c r="FJ62" s="745">
        <f t="shared" si="186"/>
        <v>-287.99738976607864</v>
      </c>
      <c r="FK62" s="745">
        <f t="shared" si="187"/>
        <v>-391.5316106595323</v>
      </c>
      <c r="FL62" s="761"/>
      <c r="FM62" s="756">
        <f t="shared" si="95"/>
        <v>557.4447175984418</v>
      </c>
      <c r="FN62" s="756">
        <f t="shared" si="96"/>
        <v>2611.6857708684897</v>
      </c>
      <c r="FO62" s="756">
        <f t="shared" si="97"/>
        <v>-287.99738976607864</v>
      </c>
      <c r="FP62" s="756">
        <f t="shared" si="49"/>
        <v>-391.5316106595323</v>
      </c>
      <c r="FQ62" s="761"/>
      <c r="FR62" s="756">
        <f t="shared" si="50"/>
        <v>1752.2292549608128</v>
      </c>
      <c r="FS62" s="756">
        <f t="shared" si="51"/>
        <v>5727.8725702466418</v>
      </c>
      <c r="FT62" s="756">
        <f t="shared" si="52"/>
        <v>1836.3077286152761</v>
      </c>
      <c r="FU62" s="756">
        <f t="shared" si="53"/>
        <v>2206.6709578024447</v>
      </c>
      <c r="FV62" s="761"/>
      <c r="FW62" s="755">
        <v>41622</v>
      </c>
      <c r="FX62" s="761"/>
      <c r="FY62" s="756">
        <f t="shared" si="76"/>
        <v>343191.7415091336</v>
      </c>
      <c r="FZ62" s="756">
        <f t="shared" si="77"/>
        <v>617902.62283973291</v>
      </c>
      <c r="GA62" s="756">
        <f t="shared" si="78"/>
        <v>293384.24440231785</v>
      </c>
      <c r="GB62" s="756">
        <f t="shared" si="79"/>
        <v>330986.15876775479</v>
      </c>
      <c r="GC62" s="761"/>
      <c r="GD62" s="756">
        <f t="shared" si="54"/>
        <v>0.90766013816051438</v>
      </c>
      <c r="GE62" s="756">
        <f t="shared" si="54"/>
        <v>0.81006673874164248</v>
      </c>
      <c r="GF62" s="756">
        <f t="shared" si="55"/>
        <v>0.78768077738628606</v>
      </c>
      <c r="GG62" s="756">
        <f t="shared" si="56"/>
        <v>0.86383896996699527</v>
      </c>
      <c r="GH62" s="552"/>
      <c r="GI62" s="756">
        <f t="shared" si="57"/>
        <v>0</v>
      </c>
      <c r="GJ62" s="756">
        <f t="shared" si="58"/>
        <v>0</v>
      </c>
      <c r="GK62" s="756">
        <f t="shared" si="59"/>
        <v>0</v>
      </c>
      <c r="GL62" s="756">
        <f t="shared" si="60"/>
        <v>0</v>
      </c>
      <c r="GM62" s="552"/>
    </row>
    <row r="63" spans="1:195" s="134" customFormat="1">
      <c r="A63" s="705">
        <v>41623</v>
      </c>
      <c r="B63" s="706">
        <v>0</v>
      </c>
      <c r="C63" s="497">
        <f>C62+1</f>
        <v>1</v>
      </c>
      <c r="D63" s="274">
        <v>0.87132815394478991</v>
      </c>
      <c r="E63" s="274">
        <v>1.3107660964389327</v>
      </c>
      <c r="F63" s="274">
        <v>0.77159145993558076</v>
      </c>
      <c r="G63" s="274">
        <v>-0.26824852694965379</v>
      </c>
      <c r="H63" s="729"/>
      <c r="I63" s="705">
        <v>41623</v>
      </c>
      <c r="J63" s="270">
        <f t="shared" ref="J63:J79" si="229">D63</f>
        <v>0.87132815394478991</v>
      </c>
      <c r="K63" s="270">
        <f t="shared" ref="K63:K79" si="230">E63</f>
        <v>1.3107660964389327</v>
      </c>
      <c r="L63" s="270">
        <f t="shared" ref="L63:L79" si="231">F63</f>
        <v>0.77159145993558076</v>
      </c>
      <c r="M63" s="270">
        <f t="shared" ref="M63:M79" si="232">G63</f>
        <v>-0.26824852694965379</v>
      </c>
      <c r="N63" s="729"/>
      <c r="O63" s="705">
        <v>41623</v>
      </c>
      <c r="P63" s="270">
        <f t="shared" ref="P63:P79" si="233">J63</f>
        <v>0.87132815394478991</v>
      </c>
      <c r="Q63" s="270">
        <f t="shared" ref="Q63:Q79" si="234">K63</f>
        <v>1.3107660964389327</v>
      </c>
      <c r="R63" s="270">
        <f t="shared" ref="R63:R79" si="235">L63</f>
        <v>0.77159145993558076</v>
      </c>
      <c r="S63" s="270">
        <f t="shared" ref="S63:S79" si="236">M63</f>
        <v>-0.26824852694965379</v>
      </c>
      <c r="T63" s="705">
        <v>41623</v>
      </c>
      <c r="U63" s="291">
        <v>0.87132815394478991</v>
      </c>
      <c r="V63" s="291">
        <v>1.3107660964389327</v>
      </c>
      <c r="W63" s="291">
        <v>0.77159145993558076</v>
      </c>
      <c r="X63" s="291">
        <v>-0.26824852694965379</v>
      </c>
      <c r="Y63" s="729"/>
      <c r="Z63" s="705">
        <v>41623</v>
      </c>
      <c r="AA63" s="707">
        <v>41623</v>
      </c>
      <c r="AB63" s="497">
        <f>AB62+1</f>
        <v>1</v>
      </c>
      <c r="AC63" s="266">
        <v>1.3461162032028562</v>
      </c>
      <c r="AD63" s="291">
        <v>0.87132815394478991</v>
      </c>
      <c r="AE63" s="291">
        <f t="shared" si="82"/>
        <v>530.81680042106973</v>
      </c>
      <c r="AF63" s="161">
        <v>2.5973162032028565</v>
      </c>
      <c r="AG63" s="291">
        <v>1.3107660964389327</v>
      </c>
      <c r="AH63" s="291">
        <f t="shared" si="83"/>
        <v>3098.6907421475885</v>
      </c>
      <c r="AI63" s="161">
        <v>2.9403162032028556</v>
      </c>
      <c r="AJ63" s="291">
        <v>0.77159145993558076</v>
      </c>
      <c r="AK63" s="291">
        <f t="shared" si="84"/>
        <v>629.24440175740119</v>
      </c>
      <c r="AL63" s="161">
        <v>2.500216203202855</v>
      </c>
      <c r="AM63" s="291">
        <v>-0.26824852694965379</v>
      </c>
      <c r="AN63" s="291">
        <f t="shared" si="85"/>
        <v>-220.77041684231153</v>
      </c>
      <c r="AO63" s="705">
        <v>41623</v>
      </c>
      <c r="AP63" s="463">
        <v>6.0920423381005993</v>
      </c>
      <c r="AQ63" s="463">
        <v>23.640302801285898</v>
      </c>
      <c r="AR63" s="463">
        <v>8.1551499003104055</v>
      </c>
      <c r="AS63" s="463">
        <v>8.2300700530499764</v>
      </c>
      <c r="AT63" s="463">
        <f t="shared" si="86"/>
        <v>0.21757294064644997</v>
      </c>
      <c r="AU63" s="463">
        <f t="shared" si="87"/>
        <v>0.40068309832687965</v>
      </c>
      <c r="AV63" s="463">
        <f t="shared" si="88"/>
        <v>0.40775749501552028</v>
      </c>
      <c r="AW63" s="463">
        <f t="shared" si="89"/>
        <v>0.43316158173947245</v>
      </c>
      <c r="AY63" s="266">
        <v>1.3461162032028562</v>
      </c>
      <c r="AZ63" s="161">
        <v>2.5973162032028565</v>
      </c>
      <c r="BA63" s="161">
        <v>2.9403162032028556</v>
      </c>
      <c r="BB63" s="161">
        <v>2.500216203202855</v>
      </c>
      <c r="BE63" s="134">
        <v>-1.3174718460552102E-2</v>
      </c>
      <c r="BF63" s="134">
        <v>-7.5953903561067244E-4</v>
      </c>
      <c r="BG63" s="134">
        <v>-8.7000854006441929E-3</v>
      </c>
      <c r="BH63" s="134">
        <v>-2.039448526949654E-2</v>
      </c>
      <c r="BJ63" s="508">
        <v>7.2537772748328022</v>
      </c>
      <c r="BK63" s="508">
        <v>8.0822695825259707</v>
      </c>
      <c r="BL63" s="508">
        <v>14.633469582525635</v>
      </c>
      <c r="BM63" s="508">
        <v>7.7143926594480137</v>
      </c>
      <c r="BO63" s="705">
        <v>41623</v>
      </c>
      <c r="BP63" s="324">
        <v>0</v>
      </c>
      <c r="BQ63" s="1">
        <v>5035950</v>
      </c>
      <c r="BR63" s="1">
        <v>11127132</v>
      </c>
      <c r="BS63" s="1">
        <v>6310099.7999999998</v>
      </c>
      <c r="BT63" s="1">
        <v>5970600</v>
      </c>
      <c r="BU63" s="708">
        <v>153402.67665978591</v>
      </c>
      <c r="BV63" s="708">
        <v>509866.00211189309</v>
      </c>
      <c r="BW63" s="708">
        <v>144414.10030668529</v>
      </c>
      <c r="BX63" s="708">
        <v>214415.58927759767</v>
      </c>
      <c r="BY63" s="709">
        <f t="shared" si="18"/>
        <v>0</v>
      </c>
      <c r="BZ63" s="709">
        <f t="shared" si="19"/>
        <v>0</v>
      </c>
      <c r="CA63" s="709">
        <f t="shared" si="20"/>
        <v>0</v>
      </c>
      <c r="CB63" s="709">
        <f t="shared" si="21"/>
        <v>0</v>
      </c>
      <c r="CC63" s="475">
        <f t="shared" si="22"/>
        <v>0</v>
      </c>
      <c r="CD63" s="475">
        <f t="shared" si="23"/>
        <v>0</v>
      </c>
      <c r="CE63" s="475">
        <f t="shared" si="24"/>
        <v>0</v>
      </c>
      <c r="CF63" s="475">
        <f t="shared" si="25"/>
        <v>0</v>
      </c>
      <c r="CG63" s="302">
        <f t="shared" si="90"/>
        <v>0</v>
      </c>
      <c r="CH63" s="302">
        <f t="shared" si="91"/>
        <v>0</v>
      </c>
      <c r="CI63" s="302">
        <f t="shared" si="92"/>
        <v>0</v>
      </c>
      <c r="CJ63" s="302">
        <f t="shared" si="93"/>
        <v>0</v>
      </c>
      <c r="CK63" s="302">
        <f t="shared" si="94"/>
        <v>0</v>
      </c>
      <c r="CL63" s="302">
        <f t="shared" si="94"/>
        <v>0</v>
      </c>
      <c r="CM63" s="302">
        <f t="shared" si="94"/>
        <v>0</v>
      </c>
      <c r="CN63" s="302">
        <f t="shared" si="94"/>
        <v>0</v>
      </c>
      <c r="CO63" s="710">
        <f t="shared" ref="CO63:CO79" si="237">CK63/AP63/10000*100</f>
        <v>0</v>
      </c>
      <c r="CP63" s="710">
        <f t="shared" ref="CP63:CP79" si="238">CL63/AQ63/10000*100</f>
        <v>0</v>
      </c>
      <c r="CQ63" s="710">
        <f t="shared" ref="CQ63:CQ79" si="239">CM63/AR63/10000*100</f>
        <v>0</v>
      </c>
      <c r="CR63" s="710">
        <f t="shared" ref="CR63:CR79" si="240">CN63/AS63/10000*100</f>
        <v>0</v>
      </c>
      <c r="CS63" s="705">
        <v>41623</v>
      </c>
      <c r="CT63" s="711">
        <v>0.95299999999999996</v>
      </c>
      <c r="CU63" s="711">
        <v>0.874</v>
      </c>
      <c r="CV63" s="713">
        <v>0.83199999999999996</v>
      </c>
      <c r="CW63" s="714">
        <v>0.93600000000000005</v>
      </c>
      <c r="CY63" s="727">
        <v>2.9141777274832803E-2</v>
      </c>
      <c r="CZ63" s="727">
        <v>2.1949469582525971E-2</v>
      </c>
      <c r="DA63" s="727">
        <v>3.1049469582525635E-2</v>
      </c>
      <c r="DB63" s="727">
        <v>2.5426392659448016E-2</v>
      </c>
      <c r="DC63" s="463">
        <f t="shared" si="161"/>
        <v>-2.9270957493322314</v>
      </c>
      <c r="DD63" s="463">
        <f t="shared" si="162"/>
        <v>-2.2170957493321097</v>
      </c>
      <c r="DE63" s="463">
        <f t="shared" si="163"/>
        <v>-3.0970957493320128</v>
      </c>
      <c r="DF63" s="463">
        <f t="shared" si="164"/>
        <v>-2.5070957493319668</v>
      </c>
      <c r="DG63" s="483">
        <f t="shared" si="30"/>
        <v>2.9270957493322314</v>
      </c>
      <c r="DH63" s="483">
        <f t="shared" si="31"/>
        <v>2.2170957493321097</v>
      </c>
      <c r="DI63" s="483">
        <f t="shared" si="32"/>
        <v>3.0970957493320128</v>
      </c>
      <c r="DJ63" s="483">
        <f t="shared" si="33"/>
        <v>2.5070957493319668</v>
      </c>
      <c r="DK63" s="483" t="s">
        <v>106</v>
      </c>
      <c r="DL63" s="483" t="s">
        <v>106</v>
      </c>
      <c r="DM63" s="483" t="s">
        <v>106</v>
      </c>
      <c r="DN63" s="483" t="s">
        <v>106</v>
      </c>
      <c r="DO63" s="483" t="s">
        <v>106</v>
      </c>
      <c r="DP63" s="483" t="s">
        <v>106</v>
      </c>
      <c r="DQ63" s="483" t="s">
        <v>106</v>
      </c>
      <c r="DR63" s="483" t="s">
        <v>106</v>
      </c>
      <c r="DS63" s="324">
        <v>2.1888000000000001</v>
      </c>
      <c r="DT63" s="324">
        <v>1.38672</v>
      </c>
      <c r="DU63" s="324">
        <v>1.6415999999999999</v>
      </c>
      <c r="DV63" s="324">
        <v>1.7712000000000001</v>
      </c>
      <c r="DW63" s="716"/>
      <c r="DX63" s="705">
        <v>41623</v>
      </c>
      <c r="DY63" s="716"/>
      <c r="DZ63" s="269">
        <f t="shared" ref="DZ63:EC66" si="241">-DC63-DS63</f>
        <v>0.7382957493322313</v>
      </c>
      <c r="EA63" s="269">
        <f t="shared" si="241"/>
        <v>0.83037574933210978</v>
      </c>
      <c r="EB63" s="269">
        <f t="shared" si="241"/>
        <v>1.4554957493320129</v>
      </c>
      <c r="EC63" s="716">
        <f t="shared" si="241"/>
        <v>0.73589574933196666</v>
      </c>
      <c r="ED63" s="716"/>
      <c r="EE63" s="269">
        <f t="shared" ref="EE63:EE79" si="242">DZ63</f>
        <v>0.7382957493322313</v>
      </c>
      <c r="EF63" s="269">
        <f t="shared" ref="EF63:EF79" si="243">EA63</f>
        <v>0.83037574933210978</v>
      </c>
      <c r="EG63" s="269">
        <f t="shared" ref="EG63:EG79" si="244">EB63</f>
        <v>1.4554957493320129</v>
      </c>
      <c r="EH63" s="269">
        <f t="shared" ref="EH63:EH79" si="245">EC63</f>
        <v>0.73589574933196666</v>
      </c>
      <c r="EI63" s="716"/>
      <c r="EJ63" s="717">
        <f t="shared" si="36"/>
        <v>449.77289629716603</v>
      </c>
      <c r="EK63" s="717">
        <f t="shared" si="37"/>
        <v>1963.0334153055751</v>
      </c>
      <c r="EL63" s="717">
        <f t="shared" si="38"/>
        <v>1186.9786015067184</v>
      </c>
      <c r="EM63" s="717">
        <f t="shared" si="39"/>
        <v>605.64735687437906</v>
      </c>
      <c r="EN63" s="716"/>
      <c r="EO63" s="269">
        <f t="shared" si="181"/>
        <v>1.3174718460552102</v>
      </c>
      <c r="EP63" s="269">
        <f t="shared" si="182"/>
        <v>7.5953903561067238E-2</v>
      </c>
      <c r="EQ63" s="269">
        <f t="shared" si="183"/>
        <v>0.8700085400644193</v>
      </c>
      <c r="ER63" s="269">
        <f t="shared" si="184"/>
        <v>2.0394485269496538</v>
      </c>
      <c r="ES63" s="716"/>
      <c r="ET63" s="718">
        <f t="shared" si="40"/>
        <v>802.60942654238954</v>
      </c>
      <c r="EU63" s="718">
        <f t="shared" si="41"/>
        <v>179.55732791232967</v>
      </c>
      <c r="EV63" s="718">
        <f t="shared" si="42"/>
        <v>709.50500587755505</v>
      </c>
      <c r="EW63" s="718">
        <f t="shared" si="43"/>
        <v>1678.4804246385236</v>
      </c>
      <c r="EX63" s="716"/>
      <c r="EY63" s="705">
        <v>41623</v>
      </c>
      <c r="EZ63" s="716"/>
      <c r="FA63" s="766">
        <f t="shared" si="44"/>
        <v>0.87132815394478991</v>
      </c>
      <c r="FB63" s="766">
        <f t="shared" si="45"/>
        <v>1.3107660964389327</v>
      </c>
      <c r="FC63" s="766">
        <f t="shared" si="46"/>
        <v>0.77159145993558065</v>
      </c>
      <c r="FD63" s="766">
        <f t="shared" si="47"/>
        <v>-0.26824852694965351</v>
      </c>
      <c r="FE63" s="760"/>
      <c r="FF63" s="705">
        <v>41623</v>
      </c>
      <c r="FG63" s="760"/>
      <c r="FH63" s="766">
        <v>530.81680042106973</v>
      </c>
      <c r="FI63" s="766">
        <f t="shared" si="185"/>
        <v>3098.6907421475885</v>
      </c>
      <c r="FJ63" s="766">
        <f t="shared" si="186"/>
        <v>629.24440175740096</v>
      </c>
      <c r="FK63" s="766">
        <f t="shared" si="187"/>
        <v>-220.77041684231128</v>
      </c>
      <c r="FL63" s="760"/>
      <c r="FM63" s="759">
        <f t="shared" si="95"/>
        <v>530.81680042106973</v>
      </c>
      <c r="FN63" s="759">
        <f t="shared" si="96"/>
        <v>3098.6907421475885</v>
      </c>
      <c r="FO63" s="759">
        <f t="shared" si="97"/>
        <v>629.24440175740096</v>
      </c>
      <c r="FP63" s="759">
        <f t="shared" si="49"/>
        <v>-220.77041684231128</v>
      </c>
      <c r="FQ63" s="760"/>
      <c r="FR63" s="759">
        <f t="shared" si="50"/>
        <v>1783.1991232606251</v>
      </c>
      <c r="FS63" s="759">
        <f t="shared" si="51"/>
        <v>5241.2814853654927</v>
      </c>
      <c r="FT63" s="759">
        <f t="shared" si="52"/>
        <v>2525.7280091416742</v>
      </c>
      <c r="FU63" s="759">
        <f t="shared" si="53"/>
        <v>2284.1277815129024</v>
      </c>
      <c r="FV63" s="761"/>
      <c r="FW63" s="754">
        <v>41623</v>
      </c>
      <c r="FX63" s="761"/>
      <c r="FY63" s="759">
        <f t="shared" si="76"/>
        <v>344974.94063239422</v>
      </c>
      <c r="FZ63" s="759">
        <f t="shared" si="77"/>
        <v>623143.90432509838</v>
      </c>
      <c r="GA63" s="759">
        <f t="shared" si="78"/>
        <v>295909.97241145954</v>
      </c>
      <c r="GB63" s="759">
        <f t="shared" si="79"/>
        <v>333270.28654926771</v>
      </c>
      <c r="GC63" s="760"/>
      <c r="GD63" s="759">
        <f t="shared" si="54"/>
        <v>0.91237627368134355</v>
      </c>
      <c r="GE63" s="759">
        <f t="shared" si="54"/>
        <v>0.81693802823409412</v>
      </c>
      <c r="GF63" s="759">
        <f t="shared" si="55"/>
        <v>0.79446187568882098</v>
      </c>
      <c r="GG63" s="759">
        <f t="shared" si="56"/>
        <v>0.86980030260217533</v>
      </c>
      <c r="GH63" s="716"/>
      <c r="GI63" s="756">
        <f t="shared" si="57"/>
        <v>0</v>
      </c>
      <c r="GJ63" s="756">
        <f t="shared" si="58"/>
        <v>0</v>
      </c>
      <c r="GK63" s="756">
        <f t="shared" si="59"/>
        <v>0</v>
      </c>
      <c r="GL63" s="756">
        <f t="shared" si="60"/>
        <v>0</v>
      </c>
      <c r="GM63" s="716"/>
    </row>
    <row r="64" spans="1:195" s="134" customFormat="1">
      <c r="A64" s="705">
        <v>41624</v>
      </c>
      <c r="B64" s="706">
        <v>0</v>
      </c>
      <c r="C64" s="497">
        <f t="shared" ref="C64:C92" si="246">C63+1</f>
        <v>2</v>
      </c>
      <c r="D64" s="274">
        <v>0.89640674203299264</v>
      </c>
      <c r="E64" s="274">
        <v>0.9307138643597147</v>
      </c>
      <c r="F64" s="274">
        <v>1.5112910128221568</v>
      </c>
      <c r="G64" s="274">
        <v>0.23573368904136854</v>
      </c>
      <c r="H64" s="729"/>
      <c r="I64" s="705">
        <v>41624</v>
      </c>
      <c r="J64" s="270">
        <f t="shared" si="229"/>
        <v>0.89640674203299264</v>
      </c>
      <c r="K64" s="270">
        <f t="shared" si="230"/>
        <v>0.9307138643597147</v>
      </c>
      <c r="L64" s="270">
        <f t="shared" si="231"/>
        <v>1.5112910128221568</v>
      </c>
      <c r="M64" s="270">
        <f t="shared" si="232"/>
        <v>0.23573368904136854</v>
      </c>
      <c r="N64" s="729"/>
      <c r="O64" s="705">
        <v>41624</v>
      </c>
      <c r="P64" s="270">
        <f t="shared" si="233"/>
        <v>0.89640674203299264</v>
      </c>
      <c r="Q64" s="270">
        <f t="shared" si="234"/>
        <v>0.9307138643597147</v>
      </c>
      <c r="R64" s="270">
        <f t="shared" si="235"/>
        <v>1.5112910128221568</v>
      </c>
      <c r="S64" s="270">
        <f t="shared" si="236"/>
        <v>0.23573368904136854</v>
      </c>
      <c r="T64" s="705">
        <v>41624</v>
      </c>
      <c r="U64" s="291">
        <v>0.89640674203299264</v>
      </c>
      <c r="V64" s="291">
        <v>0.9307138643597147</v>
      </c>
      <c r="W64" s="291">
        <v>1.5112910128221568</v>
      </c>
      <c r="X64" s="291">
        <v>0.23573368904136854</v>
      </c>
      <c r="Y64" s="729"/>
      <c r="Z64" s="705">
        <v>41624</v>
      </c>
      <c r="AA64" s="707">
        <v>41624</v>
      </c>
      <c r="AB64" s="497">
        <f t="shared" ref="AB64:AB95" si="247">AB63+1</f>
        <v>2</v>
      </c>
      <c r="AC64" s="266">
        <v>1.3168452457095339</v>
      </c>
      <c r="AD64" s="291">
        <v>0.89640674203299264</v>
      </c>
      <c r="AE64" s="291">
        <f t="shared" si="82"/>
        <v>533.68848341837133</v>
      </c>
      <c r="AF64" s="161">
        <v>2.5751452457095354</v>
      </c>
      <c r="AG64" s="291">
        <v>0.9307138643597147</v>
      </c>
      <c r="AH64" s="291">
        <f t="shared" si="83"/>
        <v>2141.149691367998</v>
      </c>
      <c r="AI64" s="161">
        <v>2.9093452457095355</v>
      </c>
      <c r="AJ64" s="291">
        <v>1.5112910128221568</v>
      </c>
      <c r="AK64" s="291">
        <f t="shared" si="84"/>
        <v>1218.6073198512522</v>
      </c>
      <c r="AL64" s="161">
        <v>2.4751452457095353</v>
      </c>
      <c r="AM64" s="291">
        <v>0.23573368904136854</v>
      </c>
      <c r="AN64" s="291">
        <f t="shared" si="85"/>
        <v>188.57621012746787</v>
      </c>
      <c r="AO64" s="705">
        <v>41624</v>
      </c>
      <c r="AP64" s="463">
        <v>5.953642006395448</v>
      </c>
      <c r="AQ64" s="463">
        <v>23.005456062922235</v>
      </c>
      <c r="AR64" s="463">
        <v>8.063353182889955</v>
      </c>
      <c r="AS64" s="463">
        <v>7.999544354238437</v>
      </c>
      <c r="AT64" s="463">
        <f t="shared" si="86"/>
        <v>0.21263007165698028</v>
      </c>
      <c r="AU64" s="463">
        <f t="shared" si="87"/>
        <v>0.38992298411732601</v>
      </c>
      <c r="AV64" s="463">
        <f t="shared" si="88"/>
        <v>0.40316765914449776</v>
      </c>
      <c r="AW64" s="463">
        <f t="shared" si="89"/>
        <v>0.42102865022307562</v>
      </c>
      <c r="AY64" s="266">
        <v>1.3168452457095339</v>
      </c>
      <c r="AZ64" s="161">
        <v>2.5751452457095354</v>
      </c>
      <c r="BA64" s="161">
        <v>2.9093452457095355</v>
      </c>
      <c r="BB64" s="161">
        <v>2.4751452457095353</v>
      </c>
      <c r="BE64" s="134">
        <v>-1.2635932579670075E-2</v>
      </c>
      <c r="BF64" s="134">
        <v>-7.5846135640285231E-4</v>
      </c>
      <c r="BG64" s="134">
        <v>-8.6470898717784343E-3</v>
      </c>
      <c r="BH64" s="134">
        <v>-1.9818663109586316E-2</v>
      </c>
      <c r="BJ64" s="508">
        <v>7.5948872568470449</v>
      </c>
      <c r="BK64" s="508">
        <v>11.890825718384409</v>
      </c>
      <c r="BL64" s="508">
        <v>3.881041103000582</v>
      </c>
      <c r="BM64" s="508">
        <v>7.8496564876164578</v>
      </c>
      <c r="BO64" s="705">
        <v>41624</v>
      </c>
      <c r="BP64" s="324">
        <v>0</v>
      </c>
      <c r="BQ64" s="1">
        <v>5035950</v>
      </c>
      <c r="BR64" s="1">
        <v>11127132</v>
      </c>
      <c r="BS64" s="1">
        <v>6310099.7999999998</v>
      </c>
      <c r="BT64" s="1">
        <v>5970600</v>
      </c>
      <c r="BU64" s="708">
        <v>153402.67665978591</v>
      </c>
      <c r="BV64" s="708">
        <v>509866.00211189309</v>
      </c>
      <c r="BW64" s="708">
        <v>144414.10030668529</v>
      </c>
      <c r="BX64" s="708">
        <v>214415.58927759767</v>
      </c>
      <c r="BY64" s="709">
        <f t="shared" si="18"/>
        <v>0</v>
      </c>
      <c r="BZ64" s="709">
        <f t="shared" si="19"/>
        <v>0</v>
      </c>
      <c r="CA64" s="709">
        <f t="shared" si="20"/>
        <v>0</v>
      </c>
      <c r="CB64" s="709">
        <f t="shared" si="21"/>
        <v>0</v>
      </c>
      <c r="CC64" s="475">
        <f t="shared" si="22"/>
        <v>0</v>
      </c>
      <c r="CD64" s="475">
        <f t="shared" si="23"/>
        <v>0</v>
      </c>
      <c r="CE64" s="475">
        <f t="shared" si="24"/>
        <v>0</v>
      </c>
      <c r="CF64" s="475">
        <f t="shared" si="25"/>
        <v>0</v>
      </c>
      <c r="CG64" s="302">
        <f t="shared" si="90"/>
        <v>0</v>
      </c>
      <c r="CH64" s="302">
        <f t="shared" si="91"/>
        <v>0</v>
      </c>
      <c r="CI64" s="302">
        <f t="shared" si="92"/>
        <v>0</v>
      </c>
      <c r="CJ64" s="302">
        <f t="shared" si="93"/>
        <v>0</v>
      </c>
      <c r="CK64" s="302">
        <f t="shared" si="94"/>
        <v>0</v>
      </c>
      <c r="CL64" s="302">
        <f t="shared" si="94"/>
        <v>0</v>
      </c>
      <c r="CM64" s="302">
        <f t="shared" si="94"/>
        <v>0</v>
      </c>
      <c r="CN64" s="302">
        <f t="shared" si="94"/>
        <v>0</v>
      </c>
      <c r="CO64" s="710">
        <f t="shared" si="237"/>
        <v>0</v>
      </c>
      <c r="CP64" s="710">
        <f t="shared" si="238"/>
        <v>0</v>
      </c>
      <c r="CQ64" s="710">
        <f t="shared" si="239"/>
        <v>0</v>
      </c>
      <c r="CR64" s="710">
        <f t="shared" si="240"/>
        <v>0</v>
      </c>
      <c r="CS64" s="705">
        <v>41624</v>
      </c>
      <c r="CT64" s="711">
        <v>0.95</v>
      </c>
      <c r="CU64" s="712">
        <v>0.69099999999999995</v>
      </c>
      <c r="CV64" s="713">
        <v>0.92500000000000004</v>
      </c>
      <c r="CW64" s="714">
        <v>0.92300000000000004</v>
      </c>
      <c r="CY64" s="727">
        <v>2.9194887256847046E-2</v>
      </c>
      <c r="CZ64" s="727">
        <v>2.1956425718384409E-2</v>
      </c>
      <c r="DA64" s="727">
        <v>2.7641041103000585E-2</v>
      </c>
      <c r="DB64" s="727">
        <v>3.0025656487616459E-2</v>
      </c>
      <c r="DC64" s="463">
        <f t="shared" si="161"/>
        <v>-2.9088547874666304</v>
      </c>
      <c r="DD64" s="463">
        <f t="shared" si="162"/>
        <v>-2.1588547874667796</v>
      </c>
      <c r="DE64" s="463">
        <f t="shared" si="163"/>
        <v>-2.768854787466779</v>
      </c>
      <c r="DF64" s="463">
        <f t="shared" si="164"/>
        <v>-3.0388547874668603</v>
      </c>
      <c r="DG64" s="483">
        <f t="shared" si="30"/>
        <v>2.9088547874666304</v>
      </c>
      <c r="DH64" s="483">
        <f t="shared" si="31"/>
        <v>2.1588547874667796</v>
      </c>
      <c r="DI64" s="483">
        <f t="shared" si="32"/>
        <v>2.768854787466779</v>
      </c>
      <c r="DJ64" s="483">
        <f t="shared" si="33"/>
        <v>3.0388547874668603</v>
      </c>
      <c r="DK64" s="483">
        <f t="shared" si="121"/>
        <v>0.1384003317051512</v>
      </c>
      <c r="DL64" s="483">
        <f t="shared" si="122"/>
        <v>0.63484673836366312</v>
      </c>
      <c r="DM64" s="483">
        <f t="shared" si="123"/>
        <v>9.1796717420450591E-2</v>
      </c>
      <c r="DN64" s="483">
        <f t="shared" si="124"/>
        <v>0.23052569881153939</v>
      </c>
      <c r="DO64" s="483">
        <f t="shared" si="100"/>
        <v>10.064661686687469</v>
      </c>
      <c r="DP64" s="483">
        <f t="shared" si="101"/>
        <v>34.263548010601603</v>
      </c>
      <c r="DQ64" s="483">
        <f t="shared" si="102"/>
        <v>6.354294512583742</v>
      </c>
      <c r="DR64" s="483">
        <f t="shared" si="103"/>
        <v>17.513353086689751</v>
      </c>
      <c r="DS64" s="324">
        <v>2.16</v>
      </c>
      <c r="DT64" s="324">
        <v>1.0065599999999999</v>
      </c>
      <c r="DU64" s="324">
        <v>2.3760000000000003</v>
      </c>
      <c r="DV64" s="324">
        <v>2.2176</v>
      </c>
      <c r="DW64" s="716"/>
      <c r="DX64" s="705">
        <v>41624</v>
      </c>
      <c r="DY64" s="716"/>
      <c r="DZ64" s="269">
        <f t="shared" si="241"/>
        <v>0.74885478746663026</v>
      </c>
      <c r="EA64" s="269">
        <f t="shared" si="241"/>
        <v>1.1522947874667797</v>
      </c>
      <c r="EB64" s="269">
        <f t="shared" si="241"/>
        <v>0.39285478746677871</v>
      </c>
      <c r="EC64" s="716">
        <f t="shared" si="241"/>
        <v>0.82125478746686031</v>
      </c>
      <c r="ED64" s="716"/>
      <c r="EE64" s="269">
        <f t="shared" si="242"/>
        <v>0.74885478746663026</v>
      </c>
      <c r="EF64" s="269">
        <f t="shared" si="243"/>
        <v>1.1522947874667797</v>
      </c>
      <c r="EG64" s="269">
        <f t="shared" si="244"/>
        <v>0.39285478746677871</v>
      </c>
      <c r="EH64" s="269">
        <f t="shared" si="245"/>
        <v>0.82125478746686031</v>
      </c>
      <c r="EI64" s="716"/>
      <c r="EJ64" s="717">
        <f t="shared" si="36"/>
        <v>445.84133193516652</v>
      </c>
      <c r="EK64" s="717">
        <f t="shared" si="37"/>
        <v>2650.9067104601313</v>
      </c>
      <c r="EL64" s="717">
        <f t="shared" si="38"/>
        <v>316.77269009338067</v>
      </c>
      <c r="EM64" s="717">
        <f t="shared" si="39"/>
        <v>656.96640984718101</v>
      </c>
      <c r="EN64" s="716"/>
      <c r="EO64" s="269">
        <f t="shared" si="181"/>
        <v>1.2635932579670075</v>
      </c>
      <c r="EP64" s="269">
        <f t="shared" si="182"/>
        <v>7.5846135640285237E-2</v>
      </c>
      <c r="EQ64" s="269">
        <f t="shared" si="183"/>
        <v>0.86470898717784339</v>
      </c>
      <c r="ER64" s="269">
        <f t="shared" si="184"/>
        <v>1.9818663109586316</v>
      </c>
      <c r="ES64" s="716"/>
      <c r="ET64" s="718">
        <f t="shared" si="40"/>
        <v>752.29818996304562</v>
      </c>
      <c r="EU64" s="718">
        <f t="shared" si="41"/>
        <v>174.48749410150222</v>
      </c>
      <c r="EV64" s="718">
        <f t="shared" si="42"/>
        <v>697.24539640340129</v>
      </c>
      <c r="EW64" s="718">
        <f t="shared" si="43"/>
        <v>1585.4027458684479</v>
      </c>
      <c r="EX64" s="716"/>
      <c r="EY64" s="705">
        <v>41624</v>
      </c>
      <c r="EZ64" s="716"/>
      <c r="FA64" s="766">
        <f t="shared" si="44"/>
        <v>0.89640674203299264</v>
      </c>
      <c r="FB64" s="766">
        <f t="shared" si="45"/>
        <v>0.93071386435971459</v>
      </c>
      <c r="FC64" s="766">
        <f t="shared" si="46"/>
        <v>1.5112910128221571</v>
      </c>
      <c r="FD64" s="766">
        <f t="shared" si="47"/>
        <v>0.2357336890413686</v>
      </c>
      <c r="FE64" s="760"/>
      <c r="FF64" s="705">
        <v>41624</v>
      </c>
      <c r="FG64" s="760"/>
      <c r="FH64" s="766">
        <v>533.68848341837133</v>
      </c>
      <c r="FI64" s="766">
        <f t="shared" si="185"/>
        <v>2141.149691367998</v>
      </c>
      <c r="FJ64" s="766">
        <f t="shared" si="186"/>
        <v>1218.6073198512524</v>
      </c>
      <c r="FK64" s="766">
        <f t="shared" si="187"/>
        <v>188.57621012746796</v>
      </c>
      <c r="FL64" s="760"/>
      <c r="FM64" s="759">
        <f t="shared" si="95"/>
        <v>533.68848341837133</v>
      </c>
      <c r="FN64" s="759">
        <f t="shared" si="96"/>
        <v>2141.149691367998</v>
      </c>
      <c r="FO64" s="759">
        <f t="shared" si="97"/>
        <v>1218.6073198512524</v>
      </c>
      <c r="FP64" s="759">
        <f t="shared" si="49"/>
        <v>188.57621012746796</v>
      </c>
      <c r="FQ64" s="760"/>
      <c r="FR64" s="759">
        <f t="shared" si="50"/>
        <v>1731.8280053165836</v>
      </c>
      <c r="FS64" s="759">
        <f t="shared" si="51"/>
        <v>4966.5438959296316</v>
      </c>
      <c r="FT64" s="759">
        <f t="shared" si="52"/>
        <v>2232.6254063480346</v>
      </c>
      <c r="FU64" s="759">
        <f t="shared" si="53"/>
        <v>2430.9453658430966</v>
      </c>
      <c r="FV64" s="761"/>
      <c r="FW64" s="754">
        <v>41624</v>
      </c>
      <c r="FX64" s="761"/>
      <c r="FY64" s="759">
        <f t="shared" si="76"/>
        <v>346706.76863771083</v>
      </c>
      <c r="FZ64" s="759">
        <f t="shared" si="77"/>
        <v>628110.44822102797</v>
      </c>
      <c r="GA64" s="759">
        <f t="shared" si="78"/>
        <v>298142.59781780757</v>
      </c>
      <c r="GB64" s="759">
        <f t="shared" si="79"/>
        <v>335701.23191511078</v>
      </c>
      <c r="GC64" s="760"/>
      <c r="GD64" s="759">
        <f t="shared" si="54"/>
        <v>0.91695654487220524</v>
      </c>
      <c r="GE64" s="759">
        <f t="shared" si="54"/>
        <v>0.82344913834737232</v>
      </c>
      <c r="GF64" s="759">
        <f t="shared" si="55"/>
        <v>0.80045604936800807</v>
      </c>
      <c r="GG64" s="759">
        <f t="shared" si="56"/>
        <v>0.87614481364968833</v>
      </c>
      <c r="GH64" s="716"/>
      <c r="GI64" s="756">
        <f t="shared" si="57"/>
        <v>0</v>
      </c>
      <c r="GJ64" s="756">
        <f t="shared" si="58"/>
        <v>0</v>
      </c>
      <c r="GK64" s="756">
        <f t="shared" si="59"/>
        <v>0</v>
      </c>
      <c r="GL64" s="756">
        <f t="shared" si="60"/>
        <v>0</v>
      </c>
      <c r="GM64" s="716"/>
    </row>
    <row r="65" spans="1:195" s="134" customFormat="1">
      <c r="A65" s="705">
        <v>41625</v>
      </c>
      <c r="B65" s="706">
        <v>0</v>
      </c>
      <c r="C65" s="497">
        <f t="shared" si="246"/>
        <v>3</v>
      </c>
      <c r="D65" s="274">
        <v>0.70789213415719776</v>
      </c>
      <c r="E65" s="274">
        <v>1.2231741351618473</v>
      </c>
      <c r="F65" s="274">
        <v>1.573922799789395</v>
      </c>
      <c r="G65" s="274">
        <v>9.6746017342390703E-2</v>
      </c>
      <c r="H65" s="729"/>
      <c r="I65" s="705">
        <v>41625</v>
      </c>
      <c r="J65" s="270">
        <f t="shared" si="229"/>
        <v>0.70789213415719776</v>
      </c>
      <c r="K65" s="270">
        <f t="shared" si="230"/>
        <v>1.2231741351618473</v>
      </c>
      <c r="L65" s="270">
        <f t="shared" si="231"/>
        <v>1.573922799789395</v>
      </c>
      <c r="M65" s="270">
        <f t="shared" si="232"/>
        <v>9.6746017342390703E-2</v>
      </c>
      <c r="N65" s="729"/>
      <c r="O65" s="705">
        <v>41625</v>
      </c>
      <c r="P65" s="270">
        <f t="shared" si="233"/>
        <v>0.70789213415719776</v>
      </c>
      <c r="Q65" s="270">
        <f t="shared" si="234"/>
        <v>1.2231741351618473</v>
      </c>
      <c r="R65" s="270">
        <f t="shared" si="235"/>
        <v>1.573922799789395</v>
      </c>
      <c r="S65" s="270">
        <f t="shared" si="236"/>
        <v>9.6746017342390703E-2</v>
      </c>
      <c r="T65" s="705">
        <v>41625</v>
      </c>
      <c r="U65" s="291">
        <v>0.70789213415719776</v>
      </c>
      <c r="V65" s="291">
        <v>1.2231741351618473</v>
      </c>
      <c r="W65" s="291">
        <v>1.573922799789395</v>
      </c>
      <c r="X65" s="291">
        <v>9.6746017342390703E-2</v>
      </c>
      <c r="Y65" s="729"/>
      <c r="Z65" s="705">
        <v>41625</v>
      </c>
      <c r="AA65" s="707">
        <v>41625</v>
      </c>
      <c r="AB65" s="497">
        <f t="shared" si="247"/>
        <v>3</v>
      </c>
      <c r="AC65" s="266">
        <v>1.2877566978348676</v>
      </c>
      <c r="AD65" s="291">
        <v>0.70789213415719776</v>
      </c>
      <c r="AE65" s="291">
        <f t="shared" si="82"/>
        <v>411.39015470387005</v>
      </c>
      <c r="AF65" s="161">
        <v>2.5535566978348676</v>
      </c>
      <c r="AG65" s="291">
        <v>1.2231741351618473</v>
      </c>
      <c r="AH65" s="291">
        <f t="shared" si="83"/>
        <v>2745.2606873348645</v>
      </c>
      <c r="AI65" s="161">
        <v>2.8816566978348677</v>
      </c>
      <c r="AJ65" s="291">
        <v>1.573922799789395</v>
      </c>
      <c r="AK65" s="291">
        <f t="shared" si="84"/>
        <v>1245.2584063773224</v>
      </c>
      <c r="AL65" s="161">
        <v>2.4447566978348667</v>
      </c>
      <c r="AM65" s="291">
        <v>9.6746017342390703E-2</v>
      </c>
      <c r="AN65" s="291">
        <f t="shared" si="85"/>
        <v>74.929822097634258</v>
      </c>
      <c r="AO65" s="705">
        <v>41625</v>
      </c>
      <c r="AP65" s="463">
        <v>5.8114808012899166</v>
      </c>
      <c r="AQ65" s="463">
        <v>22.443743768107218</v>
      </c>
      <c r="AR65" s="463">
        <v>7.9118137595055433</v>
      </c>
      <c r="AS65" s="463">
        <v>7.7450032731014185</v>
      </c>
      <c r="AT65" s="463">
        <f t="shared" si="86"/>
        <v>0.20755288576035416</v>
      </c>
      <c r="AU65" s="463">
        <f t="shared" si="87"/>
        <v>0.38040243674757995</v>
      </c>
      <c r="AV65" s="463">
        <f t="shared" si="88"/>
        <v>0.39559068797527719</v>
      </c>
      <c r="AW65" s="463">
        <f t="shared" si="89"/>
        <v>0.40763175121586415</v>
      </c>
      <c r="AY65" s="266">
        <v>1.2877566978348676</v>
      </c>
      <c r="AZ65" s="161">
        <v>2.5535566978348676</v>
      </c>
      <c r="BA65" s="161">
        <v>2.8816566978348677</v>
      </c>
      <c r="BB65" s="161">
        <v>2.4447566978348667</v>
      </c>
      <c r="BE65" s="134">
        <v>-1.2073078658428021E-2</v>
      </c>
      <c r="BF65" s="134">
        <v>-7.5705864838152654E-4</v>
      </c>
      <c r="BG65" s="134">
        <v>-8.5967720021060488E-3</v>
      </c>
      <c r="BH65" s="134">
        <v>-1.9048539826576096E-2</v>
      </c>
      <c r="BJ65" s="508">
        <v>8.7093239218437066</v>
      </c>
      <c r="BK65" s="508">
        <v>13.0802162295365</v>
      </c>
      <c r="BL65" s="508">
        <v>12.125323921844091</v>
      </c>
      <c r="BM65" s="508">
        <v>17.637631614150028</v>
      </c>
      <c r="BO65" s="705">
        <v>41625</v>
      </c>
      <c r="BP65" s="324">
        <v>0</v>
      </c>
      <c r="BQ65" s="1">
        <v>5035950</v>
      </c>
      <c r="BR65" s="1">
        <v>11127132</v>
      </c>
      <c r="BS65" s="1">
        <v>6310099.7999999998</v>
      </c>
      <c r="BT65" s="1">
        <v>5970600</v>
      </c>
      <c r="BU65" s="708">
        <v>153402.67665978591</v>
      </c>
      <c r="BV65" s="708">
        <v>509866.00211189309</v>
      </c>
      <c r="BW65" s="708">
        <v>144414.10030668529</v>
      </c>
      <c r="BX65" s="708">
        <v>214415.58927759767</v>
      </c>
      <c r="BY65" s="709">
        <f t="shared" si="18"/>
        <v>0</v>
      </c>
      <c r="BZ65" s="709">
        <f t="shared" si="19"/>
        <v>0</v>
      </c>
      <c r="CA65" s="709">
        <f t="shared" si="20"/>
        <v>0</v>
      </c>
      <c r="CB65" s="709">
        <f t="shared" si="21"/>
        <v>0</v>
      </c>
      <c r="CC65" s="475">
        <f t="shared" si="22"/>
        <v>0</v>
      </c>
      <c r="CD65" s="475">
        <f t="shared" si="23"/>
        <v>0</v>
      </c>
      <c r="CE65" s="475">
        <f t="shared" si="24"/>
        <v>0</v>
      </c>
      <c r="CF65" s="475">
        <f t="shared" si="25"/>
        <v>0</v>
      </c>
      <c r="CG65" s="302">
        <f t="shared" si="90"/>
        <v>0</v>
      </c>
      <c r="CH65" s="302">
        <f t="shared" si="91"/>
        <v>0</v>
      </c>
      <c r="CI65" s="302">
        <f t="shared" si="92"/>
        <v>0</v>
      </c>
      <c r="CJ65" s="302">
        <f t="shared" si="93"/>
        <v>0</v>
      </c>
      <c r="CK65" s="302">
        <f t="shared" si="94"/>
        <v>0</v>
      </c>
      <c r="CL65" s="302">
        <f t="shared" si="94"/>
        <v>0</v>
      </c>
      <c r="CM65" s="302">
        <f t="shared" si="94"/>
        <v>0</v>
      </c>
      <c r="CN65" s="302">
        <f t="shared" si="94"/>
        <v>0</v>
      </c>
      <c r="CO65" s="710">
        <f t="shared" si="237"/>
        <v>0</v>
      </c>
      <c r="CP65" s="710">
        <f t="shared" si="238"/>
        <v>0</v>
      </c>
      <c r="CQ65" s="710">
        <f t="shared" si="239"/>
        <v>0</v>
      </c>
      <c r="CR65" s="710">
        <f t="shared" si="240"/>
        <v>0</v>
      </c>
      <c r="CS65" s="705">
        <v>41625</v>
      </c>
      <c r="CT65" s="711">
        <v>0.89100000000000001</v>
      </c>
      <c r="CU65" s="712">
        <v>0.88300000000000001</v>
      </c>
      <c r="CV65" s="713">
        <v>0.94499999999999995</v>
      </c>
      <c r="CW65" s="714">
        <v>0.95199999999999996</v>
      </c>
      <c r="CY65" s="727">
        <v>2.7861323921843706E-2</v>
      </c>
      <c r="CZ65" s="727">
        <v>2.6069016229536501E-2</v>
      </c>
      <c r="DA65" s="727">
        <v>3.6461323921844091E-2</v>
      </c>
      <c r="DB65" s="727">
        <v>3.7653631614150029E-2</v>
      </c>
      <c r="DC65" s="463">
        <f t="shared" si="161"/>
        <v>-2.7799187361772226</v>
      </c>
      <c r="DD65" s="463">
        <f t="shared" si="162"/>
        <v>-2.6799187361771004</v>
      </c>
      <c r="DE65" s="463">
        <f t="shared" si="163"/>
        <v>-3.6999187361772101</v>
      </c>
      <c r="DF65" s="463">
        <f t="shared" si="164"/>
        <v>-3.7899187361770004</v>
      </c>
      <c r="DG65" s="483">
        <f t="shared" si="30"/>
        <v>2.7799187361772226</v>
      </c>
      <c r="DH65" s="483">
        <f t="shared" si="31"/>
        <v>2.6799187361771004</v>
      </c>
      <c r="DI65" s="483">
        <f t="shared" si="32"/>
        <v>3.6999187361772101</v>
      </c>
      <c r="DJ65" s="483">
        <f t="shared" si="33"/>
        <v>3.7899187361770004</v>
      </c>
      <c r="DK65" s="483">
        <f t="shared" si="121"/>
        <v>0.14216120510553143</v>
      </c>
      <c r="DL65" s="483">
        <f t="shared" si="122"/>
        <v>0.56171229481501683</v>
      </c>
      <c r="DM65" s="483">
        <f t="shared" si="123"/>
        <v>0.15153942338441162</v>
      </c>
      <c r="DN65" s="483">
        <f t="shared" si="124"/>
        <v>0.25454108113701857</v>
      </c>
      <c r="DO65" s="483">
        <f t="shared" si="100"/>
        <v>9.8799149407599973</v>
      </c>
      <c r="DP65" s="483">
        <f t="shared" si="101"/>
        <v>37.633582580394972</v>
      </c>
      <c r="DQ65" s="483">
        <f t="shared" si="102"/>
        <v>14.017088796236886</v>
      </c>
      <c r="DR65" s="483">
        <f t="shared" si="103"/>
        <v>24.117250313198415</v>
      </c>
      <c r="DS65" s="324">
        <v>1.9151999999999998</v>
      </c>
      <c r="DT65" s="324">
        <v>1.29888</v>
      </c>
      <c r="DU65" s="324">
        <v>2.4336000000000002</v>
      </c>
      <c r="DV65" s="324">
        <v>2.0016000000000003</v>
      </c>
      <c r="DW65" s="716"/>
      <c r="DX65" s="705">
        <v>41625</v>
      </c>
      <c r="DY65" s="716"/>
      <c r="DZ65" s="269">
        <f t="shared" si="241"/>
        <v>0.86471873617722284</v>
      </c>
      <c r="EA65" s="269">
        <f t="shared" si="241"/>
        <v>1.3810387361771004</v>
      </c>
      <c r="EB65" s="269">
        <f t="shared" si="241"/>
        <v>1.2663187361772099</v>
      </c>
      <c r="EC65" s="716">
        <f t="shared" si="241"/>
        <v>1.7883187361770001</v>
      </c>
      <c r="ED65" s="716"/>
      <c r="EE65" s="269">
        <f t="shared" si="242"/>
        <v>0.86471873617722284</v>
      </c>
      <c r="EF65" s="269">
        <f t="shared" si="243"/>
        <v>1.3810387361771004</v>
      </c>
      <c r="EG65" s="269">
        <f t="shared" si="244"/>
        <v>1.2663187361772099</v>
      </c>
      <c r="EH65" s="269">
        <f t="shared" si="245"/>
        <v>1.7883187361770001</v>
      </c>
      <c r="EI65" s="716"/>
      <c r="EJ65" s="717">
        <f t="shared" si="36"/>
        <v>502.52963338096112</v>
      </c>
      <c r="EK65" s="717">
        <f t="shared" si="37"/>
        <v>3099.5679528589467</v>
      </c>
      <c r="EL65" s="717">
        <f t="shared" si="38"/>
        <v>1001.8878000806519</v>
      </c>
      <c r="EM65" s="717">
        <f t="shared" si="39"/>
        <v>1385.0534465039457</v>
      </c>
      <c r="EN65" s="716"/>
      <c r="EO65" s="269">
        <f t="shared" si="181"/>
        <v>1.207307865842802</v>
      </c>
      <c r="EP65" s="269">
        <f t="shared" si="182"/>
        <v>7.5705864838152656E-2</v>
      </c>
      <c r="EQ65" s="269">
        <f t="shared" si="183"/>
        <v>0.8596772002106049</v>
      </c>
      <c r="ER65" s="269">
        <f t="shared" si="184"/>
        <v>1.9048539826576096</v>
      </c>
      <c r="ES65" s="716"/>
      <c r="ET65" s="718">
        <f t="shared" si="40"/>
        <v>701.62464835917456</v>
      </c>
      <c r="EU65" s="718">
        <f t="shared" si="41"/>
        <v>169.9123032170456</v>
      </c>
      <c r="EV65" s="718">
        <f t="shared" si="42"/>
        <v>680.16059013594656</v>
      </c>
      <c r="EW65" s="718">
        <f t="shared" si="43"/>
        <v>1475.3100330463458</v>
      </c>
      <c r="EX65" s="716"/>
      <c r="EY65" s="705">
        <v>41625</v>
      </c>
      <c r="EZ65" s="716"/>
      <c r="FA65" s="766">
        <f t="shared" si="44"/>
        <v>0.70789213415719754</v>
      </c>
      <c r="FB65" s="766">
        <f t="shared" si="45"/>
        <v>1.2231741351618475</v>
      </c>
      <c r="FC65" s="766">
        <f t="shared" si="46"/>
        <v>1.5739227997893952</v>
      </c>
      <c r="FD65" s="766">
        <f t="shared" si="47"/>
        <v>9.6746017342390633E-2</v>
      </c>
      <c r="FE65" s="760"/>
      <c r="FF65" s="705">
        <v>41625</v>
      </c>
      <c r="FG65" s="760"/>
      <c r="FH65" s="766">
        <v>411.39015470386994</v>
      </c>
      <c r="FI65" s="766">
        <f t="shared" si="185"/>
        <v>2745.260687334865</v>
      </c>
      <c r="FJ65" s="766">
        <f t="shared" si="186"/>
        <v>1245.2584063773227</v>
      </c>
      <c r="FK65" s="766">
        <f t="shared" si="187"/>
        <v>74.929822097634201</v>
      </c>
      <c r="FL65" s="760"/>
      <c r="FM65" s="759">
        <f t="shared" si="95"/>
        <v>411.39015470386994</v>
      </c>
      <c r="FN65" s="759">
        <f t="shared" si="96"/>
        <v>2745.260687334865</v>
      </c>
      <c r="FO65" s="759">
        <f t="shared" si="97"/>
        <v>1245.2584063773227</v>
      </c>
      <c r="FP65" s="759">
        <f t="shared" si="49"/>
        <v>74.929822097634201</v>
      </c>
      <c r="FQ65" s="760"/>
      <c r="FR65" s="759">
        <f t="shared" si="50"/>
        <v>1615.5444364440054</v>
      </c>
      <c r="FS65" s="759">
        <f t="shared" si="51"/>
        <v>6014.7409434108577</v>
      </c>
      <c r="FT65" s="759">
        <f t="shared" si="52"/>
        <v>2927.3067965939208</v>
      </c>
      <c r="FU65" s="759">
        <f t="shared" si="53"/>
        <v>2935.2933016479255</v>
      </c>
      <c r="FV65" s="761"/>
      <c r="FW65" s="754">
        <v>41625</v>
      </c>
      <c r="FX65" s="761"/>
      <c r="FY65" s="759">
        <f t="shared" si="76"/>
        <v>348322.31307415484</v>
      </c>
      <c r="FZ65" s="759">
        <f t="shared" si="77"/>
        <v>634125.18916443887</v>
      </c>
      <c r="GA65" s="759">
        <f t="shared" si="78"/>
        <v>301069.90461440152</v>
      </c>
      <c r="GB65" s="759">
        <f t="shared" si="79"/>
        <v>338636.52521675872</v>
      </c>
      <c r="GC65" s="760"/>
      <c r="GD65" s="759">
        <f t="shared" si="54"/>
        <v>0.921229273813581</v>
      </c>
      <c r="GE65" s="759">
        <f t="shared" si="54"/>
        <v>0.83133442868327112</v>
      </c>
      <c r="GF65" s="759">
        <f t="shared" si="55"/>
        <v>0.80831531017421332</v>
      </c>
      <c r="GG65" s="759">
        <f t="shared" si="56"/>
        <v>0.88380561962322679</v>
      </c>
      <c r="GH65" s="716"/>
      <c r="GI65" s="756">
        <f t="shared" si="57"/>
        <v>0</v>
      </c>
      <c r="GJ65" s="756">
        <f t="shared" si="58"/>
        <v>0</v>
      </c>
      <c r="GK65" s="756">
        <f t="shared" si="59"/>
        <v>0</v>
      </c>
      <c r="GL65" s="756">
        <f t="shared" si="60"/>
        <v>0</v>
      </c>
      <c r="GM65" s="716"/>
    </row>
    <row r="66" spans="1:195" s="134" customFormat="1">
      <c r="A66" s="705">
        <v>41626</v>
      </c>
      <c r="B66" s="706">
        <v>0</v>
      </c>
      <c r="C66" s="497">
        <f t="shared" si="246"/>
        <v>4</v>
      </c>
      <c r="D66" s="274">
        <v>0.83642274920172555</v>
      </c>
      <c r="E66" s="274">
        <v>1.6957201727489404</v>
      </c>
      <c r="F66" s="274">
        <v>1.6099028971229741</v>
      </c>
      <c r="G66" s="274">
        <v>1.1696818889693983</v>
      </c>
      <c r="H66" s="729"/>
      <c r="I66" s="705">
        <v>41626</v>
      </c>
      <c r="J66" s="270">
        <f t="shared" si="229"/>
        <v>0.83642274920172555</v>
      </c>
      <c r="K66" s="270">
        <f t="shared" si="230"/>
        <v>1.6957201727489404</v>
      </c>
      <c r="L66" s="270">
        <f t="shared" si="231"/>
        <v>1.6099028971229741</v>
      </c>
      <c r="M66" s="270">
        <f t="shared" si="232"/>
        <v>1.1696818889693983</v>
      </c>
      <c r="N66" s="729"/>
      <c r="O66" s="705">
        <v>41626</v>
      </c>
      <c r="P66" s="270">
        <f t="shared" si="233"/>
        <v>0.83642274920172555</v>
      </c>
      <c r="Q66" s="270">
        <f t="shared" si="234"/>
        <v>1.6957201727489404</v>
      </c>
      <c r="R66" s="270">
        <f t="shared" si="235"/>
        <v>1.6099028971229741</v>
      </c>
      <c r="S66" s="270">
        <f t="shared" si="236"/>
        <v>1.1696818889693983</v>
      </c>
      <c r="T66" s="705">
        <v>41626</v>
      </c>
      <c r="U66" s="291">
        <v>0.83642274920172555</v>
      </c>
      <c r="V66" s="291">
        <v>1.6957201727489404</v>
      </c>
      <c r="W66" s="291">
        <v>1.6099028971229741</v>
      </c>
      <c r="X66" s="291">
        <v>1.1696818889693983</v>
      </c>
      <c r="Y66" s="729"/>
      <c r="Z66" s="705">
        <v>41626</v>
      </c>
      <c r="AA66" s="707">
        <v>41626</v>
      </c>
      <c r="AB66" s="497">
        <f t="shared" si="247"/>
        <v>4</v>
      </c>
      <c r="AC66" s="266">
        <v>1.2599575104730953</v>
      </c>
      <c r="AD66" s="291">
        <v>0.83642274920172555</v>
      </c>
      <c r="AE66" s="291">
        <f t="shared" si="82"/>
        <v>474.29486134595044</v>
      </c>
      <c r="AF66" s="161">
        <v>2.5267575104730966</v>
      </c>
      <c r="AG66" s="291">
        <v>1.6957201727489404</v>
      </c>
      <c r="AH66" s="291">
        <f t="shared" si="83"/>
        <v>3714.5547634656546</v>
      </c>
      <c r="AI66" s="161">
        <v>2.8446575104730956</v>
      </c>
      <c r="AJ66" s="291">
        <v>1.6099028971229741</v>
      </c>
      <c r="AK66" s="291">
        <f t="shared" si="84"/>
        <v>1252.0877613789037</v>
      </c>
      <c r="AL66" s="161">
        <v>2.4068575104730967</v>
      </c>
      <c r="AM66" s="291">
        <v>1.1696818889693983</v>
      </c>
      <c r="AN66" s="291">
        <f t="shared" si="85"/>
        <v>870.71312145870615</v>
      </c>
      <c r="AO66" s="705">
        <v>41626</v>
      </c>
      <c r="AP66" s="463">
        <v>5.6705160374776185</v>
      </c>
      <c r="AQ66" s="463">
        <v>21.905470154571383</v>
      </c>
      <c r="AR66" s="463">
        <v>7.7774116912050104</v>
      </c>
      <c r="AS66" s="463">
        <v>7.4440164430167233</v>
      </c>
      <c r="AT66" s="463">
        <f t="shared" si="86"/>
        <v>0.20251842990991495</v>
      </c>
      <c r="AU66" s="463">
        <f t="shared" si="87"/>
        <v>0.37127915516222681</v>
      </c>
      <c r="AV66" s="463">
        <f t="shared" si="88"/>
        <v>0.38887058456025053</v>
      </c>
      <c r="AW66" s="463">
        <f t="shared" si="89"/>
        <v>0.3917903391061433</v>
      </c>
      <c r="AY66" s="266">
        <v>1.2599575104730953</v>
      </c>
      <c r="AZ66" s="161">
        <v>2.5267575104730966</v>
      </c>
      <c r="BA66" s="161">
        <v>2.8446575104730956</v>
      </c>
      <c r="BB66" s="161">
        <v>2.4068575104730967</v>
      </c>
      <c r="BE66" s="134">
        <v>-1.1507772507982746E-2</v>
      </c>
      <c r="BF66" s="134">
        <v>-7.5479827251059817E-4</v>
      </c>
      <c r="BG66" s="134">
        <v>-8.5249710287702597E-3</v>
      </c>
      <c r="BH66" s="134">
        <v>-1.7967181110306017E-2</v>
      </c>
      <c r="BJ66" s="508">
        <v>8.8308636639425906</v>
      </c>
      <c r="BK66" s="508">
        <v>15.367786740865645</v>
      </c>
      <c r="BL66" s="508">
        <v>14.178863663943034</v>
      </c>
      <c r="BM66" s="508">
        <v>7.1080944331741964</v>
      </c>
      <c r="BO66" s="705">
        <v>41626</v>
      </c>
      <c r="BP66" s="324">
        <v>0</v>
      </c>
      <c r="BQ66" s="1">
        <v>5035950</v>
      </c>
      <c r="BR66" s="1">
        <v>11127132</v>
      </c>
      <c r="BS66" s="1">
        <v>6310099.7999999998</v>
      </c>
      <c r="BT66" s="1">
        <v>5970600</v>
      </c>
      <c r="BU66" s="708">
        <v>153402.67665978591</v>
      </c>
      <c r="BV66" s="708">
        <v>509866.00211189309</v>
      </c>
      <c r="BW66" s="708">
        <v>144414.10030668529</v>
      </c>
      <c r="BX66" s="708">
        <v>214415.58927759767</v>
      </c>
      <c r="BY66" s="709">
        <f t="shared" si="18"/>
        <v>0</v>
      </c>
      <c r="BZ66" s="709">
        <f t="shared" si="19"/>
        <v>0</v>
      </c>
      <c r="CA66" s="709">
        <f t="shared" si="20"/>
        <v>0</v>
      </c>
      <c r="CB66" s="709">
        <f t="shared" si="21"/>
        <v>0</v>
      </c>
      <c r="CC66" s="475">
        <f t="shared" si="22"/>
        <v>0</v>
      </c>
      <c r="CD66" s="475">
        <f t="shared" si="23"/>
        <v>0</v>
      </c>
      <c r="CE66" s="475">
        <f t="shared" si="24"/>
        <v>0</v>
      </c>
      <c r="CF66" s="475">
        <f t="shared" si="25"/>
        <v>0</v>
      </c>
      <c r="CG66" s="302">
        <f t="shared" si="90"/>
        <v>0</v>
      </c>
      <c r="CH66" s="302">
        <f t="shared" si="91"/>
        <v>0</v>
      </c>
      <c r="CI66" s="302">
        <f t="shared" si="92"/>
        <v>0</v>
      </c>
      <c r="CJ66" s="302">
        <f t="shared" si="93"/>
        <v>0</v>
      </c>
      <c r="CK66" s="302">
        <f t="shared" si="94"/>
        <v>0</v>
      </c>
      <c r="CL66" s="302">
        <f t="shared" si="94"/>
        <v>0</v>
      </c>
      <c r="CM66" s="302">
        <f t="shared" si="94"/>
        <v>0</v>
      </c>
      <c r="CN66" s="302">
        <f t="shared" si="94"/>
        <v>0</v>
      </c>
      <c r="CO66" s="710">
        <f t="shared" si="237"/>
        <v>0</v>
      </c>
      <c r="CP66" s="710">
        <f t="shared" si="238"/>
        <v>0</v>
      </c>
      <c r="CQ66" s="710">
        <f t="shared" si="239"/>
        <v>0</v>
      </c>
      <c r="CR66" s="710">
        <f t="shared" si="240"/>
        <v>0</v>
      </c>
      <c r="CS66" s="705">
        <v>41626</v>
      </c>
      <c r="CT66" s="711">
        <v>0.94399999999999995</v>
      </c>
      <c r="CU66" s="712">
        <v>0.93799999999999994</v>
      </c>
      <c r="CV66" s="713">
        <v>-0.94499999999999995</v>
      </c>
      <c r="CW66" s="714">
        <v>0.97799999999999998</v>
      </c>
      <c r="CY66" s="727">
        <v>2.870286366394259E-2</v>
      </c>
      <c r="CZ66" s="727">
        <v>3.3079786740865647E-2</v>
      </c>
      <c r="DA66" s="727">
        <v>3.8802863663943032E-2</v>
      </c>
      <c r="DB66" s="727">
        <v>3.6772094433174196E-2</v>
      </c>
      <c r="DC66" s="463">
        <f t="shared" ref="DC66:DC98" si="248">(AY67-AY66)*100</f>
        <v>-2.8949285123301749</v>
      </c>
      <c r="DD66" s="463">
        <f t="shared" ref="DD66:DD93" si="249">(AZ67-AZ66)*100</f>
        <v>-3.2149285123303173</v>
      </c>
      <c r="DE66" s="463">
        <f t="shared" ref="DE66:DE98" si="250">(BA67-BA66)*100</f>
        <v>-3.8149285123301624</v>
      </c>
      <c r="DF66" s="463">
        <f t="shared" ref="DF66:DF98" si="251">(BB67-BB66)*100</f>
        <v>-3.674928512330311</v>
      </c>
      <c r="DG66" s="483">
        <f t="shared" si="30"/>
        <v>2.8949285123301749</v>
      </c>
      <c r="DH66" s="483">
        <f t="shared" si="31"/>
        <v>3.2149285123303173</v>
      </c>
      <c r="DI66" s="483">
        <f t="shared" si="32"/>
        <v>3.8149285123301624</v>
      </c>
      <c r="DJ66" s="483">
        <f t="shared" si="33"/>
        <v>3.674928512330311</v>
      </c>
      <c r="DK66" s="483">
        <f t="shared" si="121"/>
        <v>0.14096476381229817</v>
      </c>
      <c r="DL66" s="483">
        <f t="shared" si="122"/>
        <v>0.53827361353583569</v>
      </c>
      <c r="DM66" s="483">
        <f t="shared" si="123"/>
        <v>0.13440206830053292</v>
      </c>
      <c r="DN66" s="483">
        <f t="shared" si="124"/>
        <v>0.30098683008469518</v>
      </c>
      <c r="DO66" s="483">
        <f t="shared" si="100"/>
        <v>10.202072849852769</v>
      </c>
      <c r="DP66" s="483">
        <f t="shared" si="101"/>
        <v>43.262779689785702</v>
      </c>
      <c r="DQ66" s="483">
        <f t="shared" si="102"/>
        <v>12.818357061896222</v>
      </c>
      <c r="DR66" s="483">
        <f t="shared" si="103"/>
        <v>27.652627092854122</v>
      </c>
      <c r="DS66" s="324">
        <v>1.9872000000000001</v>
      </c>
      <c r="DT66" s="324">
        <v>1.7712000000000001</v>
      </c>
      <c r="DU66" s="324">
        <v>2.4624000000000001</v>
      </c>
      <c r="DV66" s="324">
        <v>2.9664000000000001</v>
      </c>
      <c r="DW66" s="716"/>
      <c r="DX66" s="705">
        <v>41626</v>
      </c>
      <c r="DY66" s="716"/>
      <c r="DZ66" s="269">
        <f t="shared" si="241"/>
        <v>0.90772851233017482</v>
      </c>
      <c r="EA66" s="269">
        <f t="shared" si="241"/>
        <v>1.4437285123303172</v>
      </c>
      <c r="EB66" s="269">
        <f t="shared" si="241"/>
        <v>1.3525285123301622</v>
      </c>
      <c r="EC66" s="716">
        <f t="shared" si="241"/>
        <v>0.70852851233031089</v>
      </c>
      <c r="ED66" s="716"/>
      <c r="EE66" s="269">
        <f t="shared" si="242"/>
        <v>0.90772851233017482</v>
      </c>
      <c r="EF66" s="269">
        <f t="shared" si="243"/>
        <v>1.4437285123303172</v>
      </c>
      <c r="EG66" s="269">
        <f t="shared" si="244"/>
        <v>1.3525285123301622</v>
      </c>
      <c r="EH66" s="269">
        <f t="shared" si="245"/>
        <v>0.70852851233031089</v>
      </c>
      <c r="EI66" s="716"/>
      <c r="EJ66" s="717">
        <f t="shared" si="36"/>
        <v>514.72890868439561</v>
      </c>
      <c r="EK66" s="717">
        <f t="shared" si="37"/>
        <v>3162.5551838155507</v>
      </c>
      <c r="EL66" s="717">
        <f t="shared" si="38"/>
        <v>1051.9171064484724</v>
      </c>
      <c r="EM66" s="717">
        <f t="shared" si="39"/>
        <v>527.42978961330118</v>
      </c>
      <c r="EN66" s="716"/>
      <c r="EO66" s="269">
        <f t="shared" si="181"/>
        <v>1.1507772507982745</v>
      </c>
      <c r="EP66" s="269">
        <f t="shared" si="182"/>
        <v>7.5479827251059811E-2</v>
      </c>
      <c r="EQ66" s="269">
        <f t="shared" si="183"/>
        <v>0.85249710287702596</v>
      </c>
      <c r="ER66" s="269">
        <f t="shared" si="184"/>
        <v>1.7967181110306016</v>
      </c>
      <c r="ES66" s="716"/>
      <c r="ET66" s="718">
        <f t="shared" si="40"/>
        <v>652.55008562160197</v>
      </c>
      <c r="EU66" s="718">
        <f t="shared" si="41"/>
        <v>165.34211031202943</v>
      </c>
      <c r="EV66" s="718">
        <f t="shared" si="42"/>
        <v>663.02209346341817</v>
      </c>
      <c r="EW66" s="718">
        <f t="shared" si="43"/>
        <v>1337.4799161977746</v>
      </c>
      <c r="EX66" s="716"/>
      <c r="EY66" s="705">
        <v>41626</v>
      </c>
      <c r="EZ66" s="716"/>
      <c r="FA66" s="766">
        <f t="shared" si="44"/>
        <v>0.83642274920172532</v>
      </c>
      <c r="FB66" s="766">
        <f t="shared" si="45"/>
        <v>1.6957201727489404</v>
      </c>
      <c r="FC66" s="766">
        <f t="shared" si="46"/>
        <v>1.6099028971229741</v>
      </c>
      <c r="FD66" s="766">
        <f t="shared" si="47"/>
        <v>1.1696818889693983</v>
      </c>
      <c r="FE66" s="760"/>
      <c r="FF66" s="705">
        <v>41626</v>
      </c>
      <c r="FG66" s="760"/>
      <c r="FH66" s="766">
        <v>474.29486134595038</v>
      </c>
      <c r="FI66" s="766">
        <f t="shared" si="185"/>
        <v>3714.5547634656546</v>
      </c>
      <c r="FJ66" s="766">
        <f t="shared" si="186"/>
        <v>1252.0877613789037</v>
      </c>
      <c r="FK66" s="766">
        <f t="shared" si="187"/>
        <v>870.71312145870615</v>
      </c>
      <c r="FL66" s="760"/>
      <c r="FM66" s="759">
        <f t="shared" si="95"/>
        <v>474.29486134595038</v>
      </c>
      <c r="FN66" s="759">
        <f t="shared" si="96"/>
        <v>3714.5547634656546</v>
      </c>
      <c r="FO66" s="759">
        <f t="shared" si="97"/>
        <v>1252.0877613789037</v>
      </c>
      <c r="FP66" s="759">
        <f t="shared" si="49"/>
        <v>870.71312145870615</v>
      </c>
      <c r="FQ66" s="760"/>
      <c r="FR66" s="759">
        <f t="shared" si="50"/>
        <v>1641.5738556519482</v>
      </c>
      <c r="FS66" s="759">
        <f t="shared" si="51"/>
        <v>7042.4520575932347</v>
      </c>
      <c r="FT66" s="759">
        <f t="shared" si="52"/>
        <v>2967.0269612907941</v>
      </c>
      <c r="FU66" s="759">
        <f t="shared" si="53"/>
        <v>2735.6228272697817</v>
      </c>
      <c r="FV66" s="761"/>
      <c r="FW66" s="754">
        <v>41626</v>
      </c>
      <c r="FX66" s="761"/>
      <c r="FY66" s="759">
        <f t="shared" si="76"/>
        <v>349963.88692980679</v>
      </c>
      <c r="FZ66" s="759">
        <f t="shared" si="77"/>
        <v>641167.64122203214</v>
      </c>
      <c r="GA66" s="759">
        <f t="shared" si="78"/>
        <v>304036.93157569232</v>
      </c>
      <c r="GB66" s="759">
        <f t="shared" si="79"/>
        <v>341372.14804402849</v>
      </c>
      <c r="GC66" s="760"/>
      <c r="GD66" s="759">
        <f t="shared" si="54"/>
        <v>0.92557084434808667</v>
      </c>
      <c r="GE66" s="759">
        <f t="shared" si="54"/>
        <v>0.8405670423025835</v>
      </c>
      <c r="GF66" s="759">
        <f t="shared" si="55"/>
        <v>0.81628121205199378</v>
      </c>
      <c r="GG66" s="759">
        <f t="shared" si="56"/>
        <v>0.89094530671505201</v>
      </c>
      <c r="GH66" s="716"/>
      <c r="GI66" s="756">
        <f t="shared" si="57"/>
        <v>0</v>
      </c>
      <c r="GJ66" s="756">
        <f t="shared" si="58"/>
        <v>0</v>
      </c>
      <c r="GK66" s="756">
        <f t="shared" si="59"/>
        <v>0</v>
      </c>
      <c r="GL66" s="756">
        <f t="shared" si="60"/>
        <v>0</v>
      </c>
      <c r="GM66" s="716"/>
    </row>
    <row r="67" spans="1:195" s="134" customFormat="1">
      <c r="A67" s="705">
        <v>41627</v>
      </c>
      <c r="B67" s="706">
        <v>0</v>
      </c>
      <c r="C67" s="497">
        <f t="shared" si="246"/>
        <v>5</v>
      </c>
      <c r="D67" s="274">
        <v>0.5959488818825418</v>
      </c>
      <c r="E67" s="274">
        <v>5.1088733172965268</v>
      </c>
      <c r="F67" s="274">
        <v>1.7906845772023492</v>
      </c>
      <c r="G67" s="274">
        <v>1.5622743532361143</v>
      </c>
      <c r="H67" s="729"/>
      <c r="I67" s="705">
        <v>41627</v>
      </c>
      <c r="J67" s="270">
        <f t="shared" si="229"/>
        <v>0.5959488818825418</v>
      </c>
      <c r="K67" s="270">
        <f t="shared" si="230"/>
        <v>5.1088733172965268</v>
      </c>
      <c r="L67" s="270">
        <f t="shared" si="231"/>
        <v>1.7906845772023492</v>
      </c>
      <c r="M67" s="270">
        <f t="shared" si="232"/>
        <v>1.5622743532361143</v>
      </c>
      <c r="N67" s="729"/>
      <c r="O67" s="705">
        <v>41627</v>
      </c>
      <c r="P67" s="270">
        <f t="shared" si="233"/>
        <v>0.5959488818825418</v>
      </c>
      <c r="Q67" s="270">
        <f t="shared" si="234"/>
        <v>5.1088733172965268</v>
      </c>
      <c r="R67" s="270">
        <f t="shared" si="235"/>
        <v>1.7906845772023492</v>
      </c>
      <c r="S67" s="270">
        <f t="shared" si="236"/>
        <v>1.5622743532361143</v>
      </c>
      <c r="T67" s="705">
        <v>41627</v>
      </c>
      <c r="U67" s="291">
        <v>0.5959488818825418</v>
      </c>
      <c r="V67" s="291">
        <v>5.1088733172965268</v>
      </c>
      <c r="W67" s="291">
        <v>1.7906845772023492</v>
      </c>
      <c r="X67" s="291">
        <v>1.5622743532361143</v>
      </c>
      <c r="Y67" s="729"/>
      <c r="Z67" s="705">
        <v>41627</v>
      </c>
      <c r="AA67" s="707">
        <v>41627</v>
      </c>
      <c r="AB67" s="497">
        <f t="shared" si="247"/>
        <v>5</v>
      </c>
      <c r="AC67" s="266">
        <v>1.2310082253497936</v>
      </c>
      <c r="AD67" s="291">
        <v>0.5959488818825418</v>
      </c>
      <c r="AE67" s="291">
        <f t="shared" si="82"/>
        <v>329.92294280227964</v>
      </c>
      <c r="AF67" s="161">
        <v>2.4946082253497934</v>
      </c>
      <c r="AG67" s="291">
        <f>0.78*AF67-0.57</f>
        <v>1.3757944157728388</v>
      </c>
      <c r="AH67" s="291">
        <f t="shared" si="83"/>
        <v>2923.4394117884276</v>
      </c>
      <c r="AI67" s="161">
        <v>2.8065082253497939</v>
      </c>
      <c r="AJ67" s="291">
        <v>1.7906845772023492</v>
      </c>
      <c r="AK67" s="291">
        <f t="shared" si="84"/>
        <v>1360.8138013730318</v>
      </c>
      <c r="AL67" s="161">
        <v>2.3701082253497936</v>
      </c>
      <c r="AM67" s="291">
        <v>1.5622743532361143</v>
      </c>
      <c r="AN67" s="291">
        <f t="shared" si="85"/>
        <v>1106.0975427334981</v>
      </c>
      <c r="AO67" s="705">
        <v>41627</v>
      </c>
      <c r="AP67" s="463">
        <v>5.5360946690609891</v>
      </c>
      <c r="AQ67" s="463">
        <v>21.249100725170592</v>
      </c>
      <c r="AR67" s="463">
        <v>7.5994053821532317</v>
      </c>
      <c r="AS67" s="463">
        <v>7.0800467308594932</v>
      </c>
      <c r="AT67" s="463">
        <f t="shared" si="86"/>
        <v>0.19771766675217819</v>
      </c>
      <c r="AU67" s="463">
        <f t="shared" si="87"/>
        <v>0.36015424957916259</v>
      </c>
      <c r="AV67" s="463">
        <f t="shared" si="88"/>
        <v>0.37997026910766157</v>
      </c>
      <c r="AW67" s="463">
        <f t="shared" si="89"/>
        <v>0.37263403846628912</v>
      </c>
      <c r="AY67" s="266">
        <v>1.2310082253497936</v>
      </c>
      <c r="AZ67" s="161">
        <v>2.4946082253497934</v>
      </c>
      <c r="BA67" s="161">
        <v>2.8065082253497939</v>
      </c>
      <c r="BB67" s="161">
        <v>2.3701082253497936</v>
      </c>
      <c r="BE67" s="134">
        <v>-1.0888511181174581E-2</v>
      </c>
      <c r="BF67" s="134">
        <v>-7.5126682703474277E-4</v>
      </c>
      <c r="BG67" s="134">
        <v>-8.4451542279765073E-3</v>
      </c>
      <c r="BH67" s="134">
        <v>-1.6777256467638862E-2</v>
      </c>
      <c r="BJ67" s="508">
        <v>8.245642685655838</v>
      </c>
      <c r="BK67" s="508">
        <v>-14.861741929729117</v>
      </c>
      <c r="BL67" s="508">
        <v>13.864719608730855</v>
      </c>
      <c r="BM67" s="508">
        <v>22.662873454886579</v>
      </c>
      <c r="BO67" s="705">
        <v>41627</v>
      </c>
      <c r="BP67" s="324">
        <v>0</v>
      </c>
      <c r="BQ67" s="1">
        <v>5035950</v>
      </c>
      <c r="BR67" s="1">
        <v>11127132</v>
      </c>
      <c r="BS67" s="1">
        <v>6310099.7999999998</v>
      </c>
      <c r="BT67" s="1">
        <v>5970600</v>
      </c>
      <c r="BU67" s="708">
        <v>153402.67665978591</v>
      </c>
      <c r="BV67" s="708">
        <v>509866.00211189309</v>
      </c>
      <c r="BW67" s="708">
        <v>144414.10030668529</v>
      </c>
      <c r="BX67" s="708">
        <v>214415.58927759767</v>
      </c>
      <c r="BY67" s="709">
        <f t="shared" ref="BY67:BY91" si="252">$B67/1000*BQ67</f>
        <v>0</v>
      </c>
      <c r="BZ67" s="709">
        <f t="shared" ref="BZ67:BZ91" si="253">$B67/1000*BR67</f>
        <v>0</v>
      </c>
      <c r="CA67" s="709">
        <f t="shared" ref="CA67:CA91" si="254">$B67/1000*BS67</f>
        <v>0</v>
      </c>
      <c r="CB67" s="709">
        <f t="shared" ref="CB67:CB91" si="255">$B67/1000*BT67</f>
        <v>0</v>
      </c>
      <c r="CC67" s="475">
        <f t="shared" ref="CC67:CC91" si="256">$BP67/1000*BQ67*1.25</f>
        <v>0</v>
      </c>
      <c r="CD67" s="475">
        <f t="shared" ref="CD67:CD91" si="257">$BP67/1000*BR67*1.5</f>
        <v>0</v>
      </c>
      <c r="CE67" s="475">
        <f t="shared" ref="CE67:CE91" si="258">$BP67/1000*BS67*1.25</f>
        <v>0</v>
      </c>
      <c r="CF67" s="475">
        <f t="shared" ref="CF67:CF91" si="259">$BP67/1000*BT67*1.5</f>
        <v>0</v>
      </c>
      <c r="CG67" s="302">
        <f t="shared" si="90"/>
        <v>0</v>
      </c>
      <c r="CH67" s="302">
        <f t="shared" si="91"/>
        <v>0</v>
      </c>
      <c r="CI67" s="302">
        <f t="shared" si="92"/>
        <v>0</v>
      </c>
      <c r="CJ67" s="302">
        <f t="shared" si="93"/>
        <v>0</v>
      </c>
      <c r="CK67" s="302">
        <f t="shared" si="94"/>
        <v>0</v>
      </c>
      <c r="CL67" s="302">
        <f t="shared" si="94"/>
        <v>0</v>
      </c>
      <c r="CM67" s="302">
        <f t="shared" si="94"/>
        <v>0</v>
      </c>
      <c r="CN67" s="302">
        <f t="shared" si="94"/>
        <v>0</v>
      </c>
      <c r="CO67" s="710">
        <f t="shared" si="237"/>
        <v>0</v>
      </c>
      <c r="CP67" s="710">
        <f t="shared" si="238"/>
        <v>0</v>
      </c>
      <c r="CQ67" s="710">
        <f t="shared" si="239"/>
        <v>0</v>
      </c>
      <c r="CR67" s="710">
        <f t="shared" si="240"/>
        <v>0</v>
      </c>
      <c r="CS67" s="705">
        <v>41627</v>
      </c>
      <c r="CT67" s="711">
        <v>0.90800000000000003</v>
      </c>
      <c r="CU67" s="712">
        <v>0.99099999999999999</v>
      </c>
      <c r="CV67" s="713">
        <v>0.94599999999999995</v>
      </c>
      <c r="CW67" s="714">
        <v>0.98299999999999998</v>
      </c>
      <c r="CY67" s="727">
        <v>2.5093642685655837E-2</v>
      </c>
      <c r="CZ67" s="727">
        <v>3.6978258070270886E-2</v>
      </c>
      <c r="DA67" s="727">
        <v>4.0216719608730855E-2</v>
      </c>
      <c r="DB67" s="727">
        <v>5.5062873454886585E-2</v>
      </c>
      <c r="DC67" s="463">
        <f t="shared" si="248"/>
        <v>-2.5220652460273385</v>
      </c>
      <c r="DD67" s="463">
        <f t="shared" si="249"/>
        <v>-3.7820652460272441</v>
      </c>
      <c r="DE67" s="463">
        <f t="shared" si="250"/>
        <v>-4.0820652460272555</v>
      </c>
      <c r="DF67" s="463">
        <f t="shared" si="251"/>
        <v>-5.5120652460272979</v>
      </c>
      <c r="DG67" s="483">
        <f t="shared" ref="DG67:DG98" si="260">IF(DC67&lt;0,ABS(DC67),0)</f>
        <v>2.5220652460273385</v>
      </c>
      <c r="DH67" s="483">
        <f t="shared" ref="DH67:DH92" si="261">IF(DD67&lt;0,ABS(DD67),0)</f>
        <v>3.7820652460272441</v>
      </c>
      <c r="DI67" s="483">
        <f t="shared" ref="DI67:DI130" si="262">IF(DE67&lt;0,ABS(DE67),0)</f>
        <v>4.0820652460272555</v>
      </c>
      <c r="DJ67" s="483">
        <f t="shared" ref="DJ67:DJ130" si="263">IF(DF67&lt;0,ABS(DF67),0)</f>
        <v>5.5120652460272979</v>
      </c>
      <c r="DK67" s="483">
        <f t="shared" si="121"/>
        <v>0.13442136841662933</v>
      </c>
      <c r="DL67" s="483">
        <f t="shared" si="122"/>
        <v>0.65636942940079024</v>
      </c>
      <c r="DM67" s="483">
        <f t="shared" si="123"/>
        <v>0.17800630905177872</v>
      </c>
      <c r="DN67" s="483">
        <f t="shared" si="124"/>
        <v>0.36396971215723006</v>
      </c>
      <c r="DO67" s="483">
        <f t="shared" si="100"/>
        <v>8.475486540175444</v>
      </c>
      <c r="DP67" s="483">
        <f t="shared" si="101"/>
        <v>62.060800187286539</v>
      </c>
      <c r="DQ67" s="483">
        <f t="shared" si="102"/>
        <v>18.165834193846319</v>
      </c>
      <c r="DR67" s="483">
        <f t="shared" si="103"/>
        <v>50.155620024710679</v>
      </c>
      <c r="DS67" s="324">
        <v>1.6847999999999999</v>
      </c>
      <c r="DT67" s="324">
        <v>5.1840000000000002</v>
      </c>
      <c r="DU67" s="324">
        <v>2.6352000000000002</v>
      </c>
      <c r="DV67" s="324">
        <v>3.2400000000000007</v>
      </c>
      <c r="DW67" s="716"/>
      <c r="DX67" s="705">
        <v>41627</v>
      </c>
      <c r="DY67" s="716"/>
      <c r="DZ67" s="269">
        <f t="shared" ref="DZ67:DZ79" si="264">-DC67-DS67</f>
        <v>0.83726524602733865</v>
      </c>
      <c r="EA67" s="269"/>
      <c r="EB67" s="269">
        <f>-DE67-DU67</f>
        <v>1.4468652460272553</v>
      </c>
      <c r="EC67" s="716">
        <f>-DF67-DV67</f>
        <v>2.2720652460272972</v>
      </c>
      <c r="ED67" s="716"/>
      <c r="EE67" s="269">
        <f t="shared" si="242"/>
        <v>0.83726524602733865</v>
      </c>
      <c r="EF67" s="267">
        <f>AVERAGE(EF66,EF68)</f>
        <v>1.1769984227147079</v>
      </c>
      <c r="EG67" s="269">
        <f t="shared" si="244"/>
        <v>1.4468652460272553</v>
      </c>
      <c r="EH67" s="269">
        <f t="shared" si="245"/>
        <v>2.2720652460272972</v>
      </c>
      <c r="EI67" s="716"/>
      <c r="EJ67" s="717">
        <f t="shared" ref="EJ67:EJ98" si="265">EE67/100*AP67*10^4</f>
        <v>463.51796651219871</v>
      </c>
      <c r="EK67" s="717">
        <f t="shared" ref="EK67:EK98" si="266">EF67/100*AQ67*10^4</f>
        <v>2501.0158037631745</v>
      </c>
      <c r="EL67" s="717">
        <f t="shared" ref="EL67:EL98" si="267">EG67/100*AR67*10^4</f>
        <v>1099.5315537909983</v>
      </c>
      <c r="EM67" s="717">
        <f t="shared" ref="EM67:EM98" si="268">EH67/100*AS67*10^4</f>
        <v>1608.6328117435037</v>
      </c>
      <c r="EN67" s="716"/>
      <c r="EO67" s="269">
        <f t="shared" si="181"/>
        <v>1.088851118117458</v>
      </c>
      <c r="EP67" s="269">
        <f t="shared" si="182"/>
        <v>7.5126682703474279E-2</v>
      </c>
      <c r="EQ67" s="269">
        <f t="shared" si="183"/>
        <v>0.84451542279765068</v>
      </c>
      <c r="ER67" s="269">
        <f t="shared" si="184"/>
        <v>1.6777256467638861</v>
      </c>
      <c r="ES67" s="716"/>
      <c r="ET67" s="718">
        <f t="shared" ref="ET67:ET70" si="269">EO67/100*AP67*10^4</f>
        <v>602.79828704111571</v>
      </c>
      <c r="EU67" s="718">
        <f t="shared" ref="EU67:EU70" si="270">EP67/100*AQ67*10^4</f>
        <v>159.63744479140561</v>
      </c>
      <c r="EV67" s="718">
        <f t="shared" ref="EV67:EV70" si="271">EQ67/100*AR67*10^4</f>
        <v>641.78150493198791</v>
      </c>
      <c r="EW67" s="718">
        <f t="shared" ref="EW67:EW70" si="272">ER67/100*AS67*10^4</f>
        <v>1187.8375980649782</v>
      </c>
      <c r="EX67" s="716"/>
      <c r="EY67" s="705">
        <v>41627</v>
      </c>
      <c r="EZ67" s="716"/>
      <c r="FA67" s="766">
        <f t="shared" ref="FA67:FA92" si="273">CO67-EE67-EO67-DC67</f>
        <v>0.5959488818825418</v>
      </c>
      <c r="FB67" s="766">
        <f t="shared" ref="FB67:FB92" si="274">CP67-EF67-EP67-DD67</f>
        <v>2.529940140609062</v>
      </c>
      <c r="FC67" s="766">
        <f t="shared" ref="FC67:FC92" si="275">CQ67-EG67-EQ67-DE67</f>
        <v>1.7906845772023496</v>
      </c>
      <c r="FD67" s="766">
        <f t="shared" ref="FD67:FD130" si="276">CR67-EH67-ER67-DF67</f>
        <v>1.5622743532361145</v>
      </c>
      <c r="FE67" s="760"/>
      <c r="FF67" s="705">
        <v>41627</v>
      </c>
      <c r="FG67" s="760"/>
      <c r="FH67" s="766">
        <v>329.92294280227964</v>
      </c>
      <c r="FI67" s="766">
        <f t="shared" si="185"/>
        <v>5375.8952876454205</v>
      </c>
      <c r="FJ67" s="766">
        <f t="shared" si="186"/>
        <v>1360.813801373032</v>
      </c>
      <c r="FK67" s="766">
        <f t="shared" si="187"/>
        <v>1106.0975427334981</v>
      </c>
      <c r="FL67" s="760"/>
      <c r="FM67" s="759">
        <f t="shared" ref="FM67:FM92" si="277">FH67</f>
        <v>329.92294280227964</v>
      </c>
      <c r="FN67" s="759">
        <f t="shared" ref="FN67:FN92" si="278">FI67</f>
        <v>5375.8952876454205</v>
      </c>
      <c r="FO67" s="759">
        <f t="shared" ref="FO67:FO92" si="279">FJ67</f>
        <v>1360.813801373032</v>
      </c>
      <c r="FP67" s="759">
        <f t="shared" ref="FP67:FP92" si="280">FK67</f>
        <v>1106.0975427334981</v>
      </c>
      <c r="FQ67" s="760"/>
      <c r="FR67" s="759">
        <f t="shared" ref="FR67:FR92" si="281">IF(FH67&gt;0,FH67+ET67+EJ67,EJ67+ET67)</f>
        <v>1396.239196355594</v>
      </c>
      <c r="FS67" s="759">
        <f t="shared" ref="FS67:FS92" si="282">IF(FI67&gt;0,FI67+EU67+EK67,EK67+EU67)</f>
        <v>8036.5485362000009</v>
      </c>
      <c r="FT67" s="759">
        <f t="shared" ref="FT67:FT92" si="283">IF(FJ67&gt;0,FJ67+EV67+EL67,EL67+EV67)</f>
        <v>3102.1268600960184</v>
      </c>
      <c r="FU67" s="759">
        <f t="shared" ref="FU67:FU92" si="284">IF(FK67&gt;0,FK67+EW67+EM67,EM67+EW67)</f>
        <v>3902.56795254198</v>
      </c>
      <c r="FV67" s="761"/>
      <c r="FW67" s="754">
        <v>41627</v>
      </c>
      <c r="FX67" s="761"/>
      <c r="FY67" s="759">
        <f t="shared" si="76"/>
        <v>351360.12612616236</v>
      </c>
      <c r="FZ67" s="759">
        <f t="shared" si="77"/>
        <v>649204.1897582321</v>
      </c>
      <c r="GA67" s="759">
        <f t="shared" si="78"/>
        <v>307139.05843578832</v>
      </c>
      <c r="GB67" s="759">
        <f t="shared" si="79"/>
        <v>345274.71599657048</v>
      </c>
      <c r="GC67" s="760"/>
      <c r="GD67" s="759">
        <f t="shared" ref="GD67:GE92" si="285">FY67/FY$92</f>
        <v>0.92926356334038063</v>
      </c>
      <c r="GE67" s="759">
        <f t="shared" si="285"/>
        <v>0.85110291061390309</v>
      </c>
      <c r="GF67" s="759">
        <f t="shared" ref="GF67:GF130" si="286">GA67/GA$146</f>
        <v>0.82460983140811894</v>
      </c>
      <c r="GG67" s="759">
        <f t="shared" ref="GG67:GG130" si="287">GB67/GB$146</f>
        <v>0.90113059752268232</v>
      </c>
      <c r="GH67" s="716"/>
      <c r="GI67" s="756">
        <f t="shared" ref="GI67:GI90" si="288">(BQ67+BU67)*$BP67/1000</f>
        <v>0</v>
      </c>
      <c r="GJ67" s="756">
        <f t="shared" ref="GJ67:GJ90" si="289">(BZ67+CH67)*$BP67</f>
        <v>0</v>
      </c>
      <c r="GK67" s="756">
        <f t="shared" ref="GK67:GK90" si="290">(BS67+BW67)*$BP67/1000</f>
        <v>0</v>
      </c>
      <c r="GL67" s="756">
        <f t="shared" ref="GL67:GL90" si="291">(BT67+BX67)*$BP67/1000</f>
        <v>0</v>
      </c>
      <c r="GM67" s="716"/>
    </row>
    <row r="68" spans="1:195" s="134" customFormat="1">
      <c r="A68" s="705">
        <v>41628</v>
      </c>
      <c r="B68" s="706">
        <v>0</v>
      </c>
      <c r="C68" s="497">
        <f t="shared" si="246"/>
        <v>6</v>
      </c>
      <c r="D68" s="274">
        <v>0.56622401522079313</v>
      </c>
      <c r="E68" s="274">
        <v>2.0710143984830864</v>
      </c>
      <c r="F68" s="274">
        <v>2.0015187029673589</v>
      </c>
      <c r="G68" s="274">
        <v>7.3862516395388251</v>
      </c>
      <c r="H68" s="729"/>
      <c r="I68" s="705">
        <v>41628</v>
      </c>
      <c r="J68" s="270">
        <f t="shared" si="229"/>
        <v>0.56622401522079313</v>
      </c>
      <c r="K68" s="270">
        <f t="shared" si="230"/>
        <v>2.0710143984830864</v>
      </c>
      <c r="L68" s="270">
        <f t="shared" si="231"/>
        <v>2.0015187029673589</v>
      </c>
      <c r="M68" s="270">
        <f t="shared" si="232"/>
        <v>7.3862516395388251</v>
      </c>
      <c r="N68" s="729"/>
      <c r="O68" s="705">
        <v>41628</v>
      </c>
      <c r="P68" s="270">
        <f t="shared" si="233"/>
        <v>0.56622401522079313</v>
      </c>
      <c r="Q68" s="270">
        <f t="shared" si="234"/>
        <v>2.0710143984830864</v>
      </c>
      <c r="R68" s="270">
        <f t="shared" si="235"/>
        <v>2.0015187029673589</v>
      </c>
      <c r="S68" s="270">
        <f t="shared" si="236"/>
        <v>7.3862516395388251</v>
      </c>
      <c r="T68" s="705">
        <v>41628</v>
      </c>
      <c r="U68" s="291">
        <v>0.56622401522079313</v>
      </c>
      <c r="V68" s="291">
        <v>2.0710143984830864</v>
      </c>
      <c r="W68" s="291">
        <v>2.0015187029673589</v>
      </c>
      <c r="X68" s="291">
        <v>7.3862516395388251</v>
      </c>
      <c r="Y68" s="729"/>
      <c r="Z68" s="705">
        <v>41628</v>
      </c>
      <c r="AA68" s="707">
        <v>41628</v>
      </c>
      <c r="AB68" s="497">
        <f t="shared" si="247"/>
        <v>6</v>
      </c>
      <c r="AC68" s="266">
        <v>1.2057875728895202</v>
      </c>
      <c r="AD68" s="291">
        <v>0.56622401522079313</v>
      </c>
      <c r="AE68" s="291">
        <f t="shared" si="82"/>
        <v>305.55853584819897</v>
      </c>
      <c r="AF68" s="161">
        <v>2.456787572889521</v>
      </c>
      <c r="AG68" s="291">
        <v>2.0710143984830864</v>
      </c>
      <c r="AH68" s="291">
        <f t="shared" si="83"/>
        <v>4241.1917624156895</v>
      </c>
      <c r="AI68" s="161">
        <v>2.7656875728895214</v>
      </c>
      <c r="AJ68" s="291">
        <v>2.0015187029673589</v>
      </c>
      <c r="AK68" s="291">
        <f t="shared" si="84"/>
        <v>1484.6816246012572</v>
      </c>
      <c r="AL68" s="161">
        <v>2.3149875728895206</v>
      </c>
      <c r="AM68" s="291">
        <f t="shared" ref="AM68:AM71" si="292">0.78*AL68-0.57</f>
        <v>1.2356903068538263</v>
      </c>
      <c r="AN68" s="291">
        <f t="shared" si="85"/>
        <v>832.73198987103558</v>
      </c>
      <c r="AO68" s="705">
        <v>41628</v>
      </c>
      <c r="AP68" s="463">
        <v>5.396424871330292</v>
      </c>
      <c r="AQ68" s="463">
        <v>20.478813500872562</v>
      </c>
      <c r="AR68" s="463">
        <v>7.4177754242322944</v>
      </c>
      <c r="AS68" s="463">
        <v>6.7390023637171907</v>
      </c>
      <c r="AT68" s="463">
        <f t="shared" si="86"/>
        <v>0.19272945969036756</v>
      </c>
      <c r="AU68" s="463">
        <f t="shared" si="87"/>
        <v>0.34709853391309425</v>
      </c>
      <c r="AV68" s="463">
        <f t="shared" si="88"/>
        <v>0.37088877121161473</v>
      </c>
      <c r="AW68" s="463">
        <f t="shared" si="89"/>
        <v>0.35468433493248375</v>
      </c>
      <c r="AY68" s="266">
        <v>1.2057875728895202</v>
      </c>
      <c r="AZ68" s="161">
        <v>2.456787572889521</v>
      </c>
      <c r="BA68" s="161">
        <v>2.7656875728895214</v>
      </c>
      <c r="BB68" s="161">
        <v>2.3149875728895206</v>
      </c>
      <c r="BE68" s="134">
        <v>-1.0321759847792071E-2</v>
      </c>
      <c r="BF68" s="134">
        <v>-7.4585601516913801E-4</v>
      </c>
      <c r="BG68" s="134">
        <v>-8.3528129703264141E-3</v>
      </c>
      <c r="BH68" s="134">
        <v>-1.4697483604611743E-2</v>
      </c>
      <c r="BJ68" s="508">
        <v>8.487488562582298</v>
      </c>
      <c r="BK68" s="508">
        <v>9.1077962548903635</v>
      </c>
      <c r="BL68" s="508">
        <v>14.988103947198576</v>
      </c>
      <c r="BM68" s="508">
        <v>-3.403896052802474</v>
      </c>
      <c r="BO68" s="705">
        <v>41628</v>
      </c>
      <c r="BP68" s="324">
        <v>0</v>
      </c>
      <c r="BQ68" s="1">
        <v>5035950</v>
      </c>
      <c r="BR68" s="1">
        <v>11127132</v>
      </c>
      <c r="BS68" s="1">
        <v>6310099.7999999998</v>
      </c>
      <c r="BT68" s="1">
        <v>5970600</v>
      </c>
      <c r="BU68" s="708">
        <v>153402.67665978591</v>
      </c>
      <c r="BV68" s="708">
        <v>509866.00211189309</v>
      </c>
      <c r="BW68" s="708">
        <v>144414.10030668529</v>
      </c>
      <c r="BX68" s="708">
        <v>214415.58927759767</v>
      </c>
      <c r="BY68" s="709">
        <f t="shared" si="252"/>
        <v>0</v>
      </c>
      <c r="BZ68" s="709">
        <f t="shared" si="253"/>
        <v>0</v>
      </c>
      <c r="CA68" s="709">
        <f t="shared" si="254"/>
        <v>0</v>
      </c>
      <c r="CB68" s="709">
        <f t="shared" si="255"/>
        <v>0</v>
      </c>
      <c r="CC68" s="475">
        <f t="shared" si="256"/>
        <v>0</v>
      </c>
      <c r="CD68" s="475">
        <f t="shared" si="257"/>
        <v>0</v>
      </c>
      <c r="CE68" s="475">
        <f t="shared" si="258"/>
        <v>0</v>
      </c>
      <c r="CF68" s="475">
        <f t="shared" si="259"/>
        <v>0</v>
      </c>
      <c r="CG68" s="302">
        <f t="shared" si="90"/>
        <v>0</v>
      </c>
      <c r="CH68" s="302">
        <f t="shared" si="91"/>
        <v>0</v>
      </c>
      <c r="CI68" s="302">
        <f t="shared" si="92"/>
        <v>0</v>
      </c>
      <c r="CJ68" s="302">
        <f t="shared" si="93"/>
        <v>0</v>
      </c>
      <c r="CK68" s="302">
        <f t="shared" si="94"/>
        <v>0</v>
      </c>
      <c r="CL68" s="302">
        <f t="shared" si="94"/>
        <v>0</v>
      </c>
      <c r="CM68" s="302">
        <f t="shared" si="94"/>
        <v>0</v>
      </c>
      <c r="CN68" s="302">
        <f t="shared" ref="CN68" si="293">CJ68+CF68</f>
        <v>0</v>
      </c>
      <c r="CO68" s="710">
        <f t="shared" si="237"/>
        <v>0</v>
      </c>
      <c r="CP68" s="710">
        <f t="shared" si="238"/>
        <v>0</v>
      </c>
      <c r="CQ68" s="710">
        <f t="shared" si="239"/>
        <v>0</v>
      </c>
      <c r="CR68" s="710">
        <f t="shared" si="240"/>
        <v>0</v>
      </c>
      <c r="CS68" s="705">
        <v>41628</v>
      </c>
      <c r="CT68" s="711">
        <v>0.89600000000000002</v>
      </c>
      <c r="CU68" s="712">
        <v>0.96899999999999997</v>
      </c>
      <c r="CV68" s="713">
        <v>0.94599999999999995</v>
      </c>
      <c r="CW68" s="714">
        <v>0.997</v>
      </c>
      <c r="CY68" s="727">
        <v>2.44714885625823E-2</v>
      </c>
      <c r="CZ68" s="727">
        <v>3.0563796254890363E-2</v>
      </c>
      <c r="DA68" s="727">
        <v>4.3356103947198577E-2</v>
      </c>
      <c r="DB68" s="727">
        <v>8.5156103947197526E-2</v>
      </c>
      <c r="DC68" s="463">
        <f t="shared" si="248"/>
        <v>-2.4458683330990993</v>
      </c>
      <c r="DD68" s="463">
        <f t="shared" si="249"/>
        <v>-3.0558683330990988</v>
      </c>
      <c r="DE68" s="463">
        <f t="shared" si="250"/>
        <v>-4.3458683330991121</v>
      </c>
      <c r="DF68" s="463">
        <f t="shared" si="251"/>
        <v>-8.535868333099117</v>
      </c>
      <c r="DG68" s="483">
        <f t="shared" si="260"/>
        <v>2.4458683330990993</v>
      </c>
      <c r="DH68" s="483">
        <f t="shared" si="261"/>
        <v>3.0558683330990988</v>
      </c>
      <c r="DI68" s="483">
        <f t="shared" si="262"/>
        <v>4.3458683330991121</v>
      </c>
      <c r="DJ68" s="483">
        <f t="shared" si="263"/>
        <v>8.535868333099117</v>
      </c>
      <c r="DK68" s="483">
        <f t="shared" si="121"/>
        <v>0.1396697977306971</v>
      </c>
      <c r="DL68" s="483">
        <f t="shared" si="122"/>
        <v>0.77028722429803054</v>
      </c>
      <c r="DM68" s="483">
        <f t="shared" si="123"/>
        <v>0.18162995792093728</v>
      </c>
      <c r="DN68" s="483">
        <f t="shared" si="124"/>
        <v>0.34104436714230246</v>
      </c>
      <c r="DO68" s="483">
        <f t="shared" si="100"/>
        <v>8.5403483839967116</v>
      </c>
      <c r="DP68" s="483">
        <f t="shared" si="101"/>
        <v>58.847408403078852</v>
      </c>
      <c r="DQ68" s="483">
        <f t="shared" si="102"/>
        <v>19.733497061768141</v>
      </c>
      <c r="DR68" s="483">
        <f t="shared" si="103"/>
        <v>72.77774534179521</v>
      </c>
      <c r="DS68" s="324">
        <v>1.5984000000000003</v>
      </c>
      <c r="DT68" s="324">
        <v>2.1456</v>
      </c>
      <c r="DU68" s="324">
        <v>2.8368000000000002</v>
      </c>
      <c r="DV68" s="324">
        <v>8.8559999999999999</v>
      </c>
      <c r="DW68" s="716"/>
      <c r="DX68" s="705">
        <v>41628</v>
      </c>
      <c r="DY68" s="716"/>
      <c r="DZ68" s="269">
        <f t="shared" si="264"/>
        <v>0.84746833309909908</v>
      </c>
      <c r="EA68" s="269">
        <f>-DD68-DT68</f>
        <v>0.91026833309909883</v>
      </c>
      <c r="EB68" s="269">
        <f>-DE68-DU68</f>
        <v>1.5090683330991119</v>
      </c>
      <c r="EC68" s="716"/>
      <c r="ED68" s="716"/>
      <c r="EE68" s="269">
        <f t="shared" si="242"/>
        <v>0.84746833309909908</v>
      </c>
      <c r="EF68" s="269">
        <f t="shared" si="243"/>
        <v>0.91026833309909883</v>
      </c>
      <c r="EG68" s="269">
        <f t="shared" si="244"/>
        <v>1.5090683330991119</v>
      </c>
      <c r="EH68" s="269">
        <f>-(EH$67-EH$71)/4+EH67</f>
        <v>1.8035059479308697</v>
      </c>
      <c r="EI68" s="716"/>
      <c r="EJ68" s="717">
        <f t="shared" si="265"/>
        <v>457.3299190400802</v>
      </c>
      <c r="EK68" s="717">
        <f t="shared" si="266"/>
        <v>1864.1215429286588</v>
      </c>
      <c r="EL68" s="717">
        <f t="shared" si="267"/>
        <v>1119.3929994749788</v>
      </c>
      <c r="EM68" s="717">
        <f t="shared" si="268"/>
        <v>1215.3830846084143</v>
      </c>
      <c r="EN68" s="716"/>
      <c r="EO68" s="269">
        <f t="shared" si="181"/>
        <v>1.0321759847792071</v>
      </c>
      <c r="EP68" s="269">
        <f t="shared" si="182"/>
        <v>7.4585601516913805E-2</v>
      </c>
      <c r="EQ68" s="269">
        <f t="shared" si="183"/>
        <v>0.83528129703264142</v>
      </c>
      <c r="ER68" s="269">
        <f t="shared" si="184"/>
        <v>1.4697483604611743</v>
      </c>
      <c r="ES68" s="716"/>
      <c r="ET68" s="718">
        <f t="shared" si="269"/>
        <v>557.00601558523499</v>
      </c>
      <c r="EU68" s="718">
        <f t="shared" si="270"/>
        <v>152.74246233152755</v>
      </c>
      <c r="EV68" s="718">
        <f t="shared" si="271"/>
        <v>619.59290774496026</v>
      </c>
      <c r="EW68" s="718">
        <f t="shared" si="272"/>
        <v>990.46376752173194</v>
      </c>
      <c r="EX68" s="716"/>
      <c r="EY68" s="705">
        <v>41628</v>
      </c>
      <c r="EZ68" s="716"/>
      <c r="FA68" s="766">
        <f t="shared" si="273"/>
        <v>0.56622401522079313</v>
      </c>
      <c r="FB68" s="766">
        <f t="shared" si="274"/>
        <v>2.071014398483086</v>
      </c>
      <c r="FC68" s="766">
        <f t="shared" si="275"/>
        <v>2.0015187029673589</v>
      </c>
      <c r="FD68" s="766">
        <f t="shared" si="276"/>
        <v>5.262614024707073</v>
      </c>
      <c r="FE68" s="760"/>
      <c r="FF68" s="705">
        <v>41628</v>
      </c>
      <c r="FG68" s="760"/>
      <c r="FH68" s="766">
        <v>305.55853584819897</v>
      </c>
      <c r="FI68" s="766">
        <f t="shared" ref="FI68:FI92" si="294">FB68/100*AQ68*10^4</f>
        <v>4241.1917624156886</v>
      </c>
      <c r="FJ68" s="766">
        <f t="shared" ref="FJ68:FJ92" si="295">FC68/100*AR68*10^4</f>
        <v>1484.6816246012572</v>
      </c>
      <c r="FK68" s="766">
        <f t="shared" ref="FK68:FK92" si="296">FD68/100*AS68*10^4</f>
        <v>3546.4768351832199</v>
      </c>
      <c r="FL68" s="760"/>
      <c r="FM68" s="759">
        <f t="shared" si="277"/>
        <v>305.55853584819897</v>
      </c>
      <c r="FN68" s="759">
        <f t="shared" si="278"/>
        <v>4241.1917624156886</v>
      </c>
      <c r="FO68" s="759">
        <f t="shared" si="279"/>
        <v>1484.6816246012572</v>
      </c>
      <c r="FP68" s="759">
        <f t="shared" si="280"/>
        <v>3546.4768351832199</v>
      </c>
      <c r="FQ68" s="760"/>
      <c r="FR68" s="759">
        <f t="shared" si="281"/>
        <v>1319.894470473514</v>
      </c>
      <c r="FS68" s="759">
        <f t="shared" si="282"/>
        <v>6258.0557676758744</v>
      </c>
      <c r="FT68" s="759">
        <f t="shared" si="283"/>
        <v>3223.6675318211965</v>
      </c>
      <c r="FU68" s="759">
        <f t="shared" si="284"/>
        <v>5752.3236873133665</v>
      </c>
      <c r="FV68" s="761"/>
      <c r="FW68" s="754">
        <v>41628</v>
      </c>
      <c r="FX68" s="761"/>
      <c r="FY68" s="759">
        <f t="shared" ref="FY68:FY92" si="297">FY67+FR68</f>
        <v>352680.02059663588</v>
      </c>
      <c r="FZ68" s="759">
        <f t="shared" ref="FZ68:FZ92" si="298">FZ67+FS68</f>
        <v>655462.24552590796</v>
      </c>
      <c r="GA68" s="759">
        <f t="shared" ref="GA68:GA92" si="299">GA67+FT68</f>
        <v>310362.7259676095</v>
      </c>
      <c r="GB68" s="759">
        <f t="shared" ref="GB68:GB92" si="300">GB67+FU68</f>
        <v>351027.03968388384</v>
      </c>
      <c r="GC68" s="760"/>
      <c r="GD68" s="759">
        <f t="shared" si="285"/>
        <v>0.93275436877806162</v>
      </c>
      <c r="GE68" s="759">
        <f t="shared" si="285"/>
        <v>0.85930718526690031</v>
      </c>
      <c r="GF68" s="759">
        <f t="shared" si="286"/>
        <v>0.83326476430225827</v>
      </c>
      <c r="GG68" s="759">
        <f t="shared" si="287"/>
        <v>0.91614355573055772</v>
      </c>
      <c r="GH68" s="716"/>
      <c r="GI68" s="756">
        <f t="shared" si="288"/>
        <v>0</v>
      </c>
      <c r="GJ68" s="756">
        <f t="shared" si="289"/>
        <v>0</v>
      </c>
      <c r="GK68" s="756">
        <f t="shared" si="290"/>
        <v>0</v>
      </c>
      <c r="GL68" s="756">
        <f t="shared" si="291"/>
        <v>0</v>
      </c>
      <c r="GM68" s="716"/>
    </row>
    <row r="69" spans="1:195" s="134" customFormat="1">
      <c r="A69" s="705">
        <v>41629</v>
      </c>
      <c r="B69" s="706">
        <v>0</v>
      </c>
      <c r="C69" s="497">
        <f t="shared" si="246"/>
        <v>7</v>
      </c>
      <c r="D69" s="274">
        <v>0.60938117859142304</v>
      </c>
      <c r="E69" s="274">
        <v>2.3595608248919042</v>
      </c>
      <c r="F69" s="274">
        <v>2.9193934360205995</v>
      </c>
      <c r="G69" s="274">
        <v>7.8199520547144363</v>
      </c>
      <c r="H69" s="729"/>
      <c r="I69" s="705">
        <v>41629</v>
      </c>
      <c r="J69" s="270">
        <f t="shared" si="229"/>
        <v>0.60938117859142304</v>
      </c>
      <c r="K69" s="270">
        <f t="shared" si="230"/>
        <v>2.3595608248919042</v>
      </c>
      <c r="L69" s="270">
        <f t="shared" si="231"/>
        <v>2.9193934360205995</v>
      </c>
      <c r="M69" s="270">
        <f t="shared" si="232"/>
        <v>7.8199520547144363</v>
      </c>
      <c r="N69" s="729"/>
      <c r="O69" s="705">
        <v>41629</v>
      </c>
      <c r="P69" s="270">
        <f t="shared" si="233"/>
        <v>0.60938117859142304</v>
      </c>
      <c r="Q69" s="270">
        <f t="shared" si="234"/>
        <v>2.3595608248919042</v>
      </c>
      <c r="R69" s="270">
        <f t="shared" si="235"/>
        <v>2.9193934360205995</v>
      </c>
      <c r="S69" s="270">
        <f t="shared" si="236"/>
        <v>7.8199520547144363</v>
      </c>
      <c r="T69" s="705">
        <v>41629</v>
      </c>
      <c r="U69" s="291">
        <v>0.60938117859142304</v>
      </c>
      <c r="V69" s="291">
        <v>2.3595608248919042</v>
      </c>
      <c r="W69" s="291">
        <v>2.9193934360205995</v>
      </c>
      <c r="X69" s="291">
        <v>7.8199520547144363</v>
      </c>
      <c r="Y69" s="729"/>
      <c r="Z69" s="705">
        <v>41629</v>
      </c>
      <c r="AA69" s="707">
        <v>41629</v>
      </c>
      <c r="AB69" s="497">
        <f t="shared" si="247"/>
        <v>7</v>
      </c>
      <c r="AC69" s="266">
        <v>1.1813288895585292</v>
      </c>
      <c r="AD69" s="291">
        <v>0.60938117859142304</v>
      </c>
      <c r="AE69" s="291">
        <f t="shared" ref="AE69:AE94" si="301">AD69/100*AP69*10^4</f>
        <v>321.44916239112581</v>
      </c>
      <c r="AF69" s="161">
        <v>2.42622888955853</v>
      </c>
      <c r="AG69" s="291">
        <v>2.3595608248919042</v>
      </c>
      <c r="AH69" s="291">
        <f t="shared" ref="AH69:AH92" si="302">AG69/100*AQ69*10^4</f>
        <v>4623.8601008470196</v>
      </c>
      <c r="AI69" s="161">
        <v>2.7222288895585303</v>
      </c>
      <c r="AJ69" s="291">
        <v>2.9193934360205995</v>
      </c>
      <c r="AK69" s="291">
        <f t="shared" ref="AK69:AK132" si="303">AJ69/100*AR69*10^4</f>
        <v>2109.4311771838675</v>
      </c>
      <c r="AL69" s="161">
        <v>2.2296288895585294</v>
      </c>
      <c r="AM69" s="291">
        <f t="shared" si="292"/>
        <v>1.1691105338556529</v>
      </c>
      <c r="AN69" s="291">
        <f t="shared" ref="AN69:AN132" si="304">AM69/100*AS69*10^4</f>
        <v>730.56834627816522</v>
      </c>
      <c r="AO69" s="705">
        <v>41629</v>
      </c>
      <c r="AP69" s="463">
        <v>5.2750096931800803</v>
      </c>
      <c r="AQ69" s="463">
        <v>19.596274239121797</v>
      </c>
      <c r="AR69" s="463">
        <v>7.2255803248609594</v>
      </c>
      <c r="AS69" s="463">
        <v>6.2489245039029528</v>
      </c>
      <c r="AT69" s="463">
        <f t="shared" ref="AT69:AT132" si="305">AP69/28</f>
        <v>0.18839320332786</v>
      </c>
      <c r="AU69" s="463">
        <f t="shared" ref="AU69:AU132" si="306">AQ69/59</f>
        <v>0.33214024134104742</v>
      </c>
      <c r="AV69" s="463">
        <f t="shared" ref="AV69:AV132" si="307">AR69/20</f>
        <v>0.36127901624304798</v>
      </c>
      <c r="AW69" s="463">
        <f t="shared" ref="AW69:AW132" si="308">AS69/19</f>
        <v>0.3288907633633133</v>
      </c>
      <c r="AY69" s="266">
        <v>1.1813288895585292</v>
      </c>
      <c r="AZ69" s="161">
        <v>2.42622888955853</v>
      </c>
      <c r="BA69" s="161">
        <v>2.7222288895585303</v>
      </c>
      <c r="BB69" s="161">
        <v>2.2296288895585294</v>
      </c>
      <c r="BE69" s="134">
        <v>-9.7461882140857693E-3</v>
      </c>
      <c r="BF69" s="134">
        <v>-7.4039175108095618E-4</v>
      </c>
      <c r="BG69" s="134">
        <v>-8.246065639794008E-3</v>
      </c>
      <c r="BH69" s="134">
        <v>-1.0648479452855636E-2</v>
      </c>
      <c r="BJ69" s="508">
        <v>10.613778763083189</v>
      </c>
      <c r="BK69" s="508">
        <v>8.8485479938523977</v>
      </c>
      <c r="BL69" s="508">
        <v>7.1445479938524734</v>
      </c>
      <c r="BM69" s="508">
        <v>-3.5711443138394943</v>
      </c>
      <c r="BO69" s="705">
        <v>41629</v>
      </c>
      <c r="BP69" s="324">
        <v>0</v>
      </c>
      <c r="BQ69" s="1">
        <v>5035950</v>
      </c>
      <c r="BR69" s="1">
        <v>11127132</v>
      </c>
      <c r="BS69" s="1">
        <v>6310099.7999999998</v>
      </c>
      <c r="BT69" s="1">
        <v>5970600</v>
      </c>
      <c r="BU69" s="708">
        <v>153402.67665978591</v>
      </c>
      <c r="BV69" s="708">
        <v>509866.00211189309</v>
      </c>
      <c r="BW69" s="708">
        <v>144414.10030668529</v>
      </c>
      <c r="BX69" s="708">
        <v>214415.58927759767</v>
      </c>
      <c r="BY69" s="709">
        <f t="shared" si="252"/>
        <v>0</v>
      </c>
      <c r="BZ69" s="709">
        <f t="shared" si="253"/>
        <v>0</v>
      </c>
      <c r="CA69" s="709">
        <f t="shared" si="254"/>
        <v>0</v>
      </c>
      <c r="CB69" s="709">
        <f t="shared" si="255"/>
        <v>0</v>
      </c>
      <c r="CC69" s="475">
        <f t="shared" si="256"/>
        <v>0</v>
      </c>
      <c r="CD69" s="475">
        <f t="shared" si="257"/>
        <v>0</v>
      </c>
      <c r="CE69" s="475">
        <f t="shared" si="258"/>
        <v>0</v>
      </c>
      <c r="CF69" s="475">
        <f t="shared" si="259"/>
        <v>0</v>
      </c>
      <c r="CG69" s="302">
        <f t="shared" ref="CG69:CG91" si="309">$B69/1000*BU69</f>
        <v>0</v>
      </c>
      <c r="CH69" s="302">
        <f t="shared" ref="CH69:CH91" si="310">$B69/1000*BV69</f>
        <v>0</v>
      </c>
      <c r="CI69" s="302">
        <f t="shared" ref="CI69:CI91" si="311">$B69/1000*BW69</f>
        <v>0</v>
      </c>
      <c r="CJ69" s="302">
        <f t="shared" ref="CJ69:CJ91" si="312">$B69/1000*BX69</f>
        <v>0</v>
      </c>
      <c r="CK69" s="302">
        <f t="shared" ref="CK69:CN91" si="313">CG69+CC69</f>
        <v>0</v>
      </c>
      <c r="CL69" s="302">
        <f t="shared" si="313"/>
        <v>0</v>
      </c>
      <c r="CM69" s="302">
        <f t="shared" si="313"/>
        <v>0</v>
      </c>
      <c r="CN69" s="302">
        <f t="shared" si="313"/>
        <v>0</v>
      </c>
      <c r="CO69" s="710">
        <f t="shared" si="237"/>
        <v>0</v>
      </c>
      <c r="CP69" s="710">
        <f t="shared" si="238"/>
        <v>0</v>
      </c>
      <c r="CQ69" s="710">
        <f t="shared" si="239"/>
        <v>0</v>
      </c>
      <c r="CR69" s="710">
        <f t="shared" si="240"/>
        <v>0</v>
      </c>
      <c r="CS69" s="705">
        <v>41629</v>
      </c>
      <c r="CT69" s="711">
        <v>0.879</v>
      </c>
      <c r="CU69" s="712">
        <v>0.96599999999999997</v>
      </c>
      <c r="CV69" s="713">
        <v>0.98</v>
      </c>
      <c r="CW69" s="714">
        <v>0.997</v>
      </c>
      <c r="CY69" s="727">
        <v>2.6453778763083191E-2</v>
      </c>
      <c r="CZ69" s="727">
        <v>3.3184547993852398E-2</v>
      </c>
      <c r="DA69" s="727">
        <v>4.4584547993852475E-2</v>
      </c>
      <c r="DB69" s="727">
        <v>8.5276855686160502E-2</v>
      </c>
      <c r="DC69" s="463">
        <f t="shared" si="248"/>
        <v>-2.5435578857880614</v>
      </c>
      <c r="DD69" s="463">
        <f t="shared" si="249"/>
        <v>-3.2635578857881598</v>
      </c>
      <c r="DE69" s="463">
        <f t="shared" si="250"/>
        <v>-4.4535578857882285</v>
      </c>
      <c r="DF69" s="463">
        <f t="shared" si="251"/>
        <v>-8.4835578857880733</v>
      </c>
      <c r="DG69" s="483">
        <f t="shared" si="260"/>
        <v>2.5435578857880614</v>
      </c>
      <c r="DH69" s="483">
        <f t="shared" si="261"/>
        <v>3.2635578857881598</v>
      </c>
      <c r="DI69" s="483">
        <f t="shared" si="262"/>
        <v>4.4535578857882285</v>
      </c>
      <c r="DJ69" s="483">
        <f t="shared" si="263"/>
        <v>8.4835578857880733</v>
      </c>
      <c r="DK69" s="483">
        <f t="shared" si="121"/>
        <v>0.12141517815021174</v>
      </c>
      <c r="DL69" s="483">
        <f t="shared" si="122"/>
        <v>0.88253926175076458</v>
      </c>
      <c r="DM69" s="483">
        <f t="shared" si="123"/>
        <v>0.19219509937133505</v>
      </c>
      <c r="DN69" s="483">
        <f t="shared" si="124"/>
        <v>0.4900778598142379</v>
      </c>
      <c r="DO69" s="483">
        <f t="shared" si="100"/>
        <v>7.7206633459583358</v>
      </c>
      <c r="DP69" s="483">
        <f t="shared" si="101"/>
        <v>72.00544918010921</v>
      </c>
      <c r="DQ69" s="483">
        <f t="shared" si="102"/>
        <v>21.398800010376537</v>
      </c>
      <c r="DR69" s="483">
        <f t="shared" si="103"/>
        <v>103.94009730693051</v>
      </c>
      <c r="DS69" s="324">
        <v>1.5840000000000001</v>
      </c>
      <c r="DT69" s="324">
        <v>2.4336000000000002</v>
      </c>
      <c r="DU69" s="324">
        <v>3.7440000000000002</v>
      </c>
      <c r="DV69" s="324">
        <v>8.8848000000000003</v>
      </c>
      <c r="DW69" s="716"/>
      <c r="DX69" s="705">
        <v>41629</v>
      </c>
      <c r="DY69" s="716"/>
      <c r="DZ69" s="269">
        <f t="shared" si="264"/>
        <v>0.95955788578806134</v>
      </c>
      <c r="EA69" s="269">
        <f>-DD69-DT69</f>
        <v>0.82995788578815954</v>
      </c>
      <c r="EB69" s="269">
        <f>-DE69-DU69</f>
        <v>0.70955788578822832</v>
      </c>
      <c r="EC69" s="716"/>
      <c r="ED69" s="716"/>
      <c r="EE69" s="269">
        <f t="shared" si="242"/>
        <v>0.95955788578806134</v>
      </c>
      <c r="EF69" s="269">
        <f t="shared" si="243"/>
        <v>0.82995788578815954</v>
      </c>
      <c r="EG69" s="269">
        <f t="shared" si="244"/>
        <v>0.70955788578822832</v>
      </c>
      <c r="EH69" s="269">
        <f>-(EH$67-EH$71)/4+EH68</f>
        <v>1.3349466498344422</v>
      </c>
      <c r="EI69" s="716"/>
      <c r="EJ69" s="717">
        <f t="shared" si="265"/>
        <v>506.16771486994082</v>
      </c>
      <c r="EK69" s="717">
        <f t="shared" si="266"/>
        <v>1626.4082336826502</v>
      </c>
      <c r="EL69" s="717">
        <f t="shared" si="267"/>
        <v>512.69674989013618</v>
      </c>
      <c r="EM69" s="717">
        <f t="shared" si="268"/>
        <v>834.19808315536011</v>
      </c>
      <c r="EN69" s="716"/>
      <c r="EO69" s="269">
        <f t="shared" si="181"/>
        <v>0.97461882140857692</v>
      </c>
      <c r="EP69" s="269">
        <f t="shared" si="182"/>
        <v>7.4039175108095615E-2</v>
      </c>
      <c r="EQ69" s="269">
        <f t="shared" si="183"/>
        <v>0.8246065639794008</v>
      </c>
      <c r="ER69" s="269">
        <f t="shared" si="184"/>
        <v>1.0648479452855635</v>
      </c>
      <c r="ES69" s="716"/>
      <c r="ET69" s="718">
        <f t="shared" si="269"/>
        <v>514.11237300859887</v>
      </c>
      <c r="EU69" s="718">
        <f t="shared" si="270"/>
        <v>145.08919798566018</v>
      </c>
      <c r="EV69" s="718">
        <f t="shared" si="271"/>
        <v>595.8260964440758</v>
      </c>
      <c r="EW69" s="718">
        <f t="shared" si="272"/>
        <v>665.41544182256689</v>
      </c>
      <c r="EX69" s="716"/>
      <c r="EY69" s="705">
        <v>41629</v>
      </c>
      <c r="EZ69" s="716"/>
      <c r="FA69" s="766">
        <f t="shared" si="273"/>
        <v>0.60938117859142316</v>
      </c>
      <c r="FB69" s="766">
        <f t="shared" si="274"/>
        <v>2.3595608248919047</v>
      </c>
      <c r="FC69" s="766">
        <f t="shared" si="275"/>
        <v>2.9193934360205995</v>
      </c>
      <c r="FD69" s="766">
        <f t="shared" si="276"/>
        <v>6.0837632906680676</v>
      </c>
      <c r="FE69" s="760"/>
      <c r="FF69" s="705">
        <v>41629</v>
      </c>
      <c r="FG69" s="760"/>
      <c r="FH69" s="766">
        <v>321.44916239112587</v>
      </c>
      <c r="FI69" s="766">
        <f t="shared" si="294"/>
        <v>4623.8601008470205</v>
      </c>
      <c r="FJ69" s="766">
        <f t="shared" si="295"/>
        <v>2109.4311771838675</v>
      </c>
      <c r="FK69" s="766">
        <f t="shared" si="296"/>
        <v>3801.6977503000953</v>
      </c>
      <c r="FL69" s="760"/>
      <c r="FM69" s="759">
        <f t="shared" si="277"/>
        <v>321.44916239112587</v>
      </c>
      <c r="FN69" s="759">
        <f t="shared" si="278"/>
        <v>4623.8601008470205</v>
      </c>
      <c r="FO69" s="759">
        <f t="shared" si="279"/>
        <v>2109.4311771838675</v>
      </c>
      <c r="FP69" s="759">
        <f t="shared" si="280"/>
        <v>3801.6977503000953</v>
      </c>
      <c r="FQ69" s="760"/>
      <c r="FR69" s="759">
        <f t="shared" si="281"/>
        <v>1341.7292502696655</v>
      </c>
      <c r="FS69" s="759">
        <f t="shared" si="282"/>
        <v>6395.3575325153315</v>
      </c>
      <c r="FT69" s="759">
        <f t="shared" si="283"/>
        <v>3217.9540235180798</v>
      </c>
      <c r="FU69" s="759">
        <f t="shared" si="284"/>
        <v>5301.3112752780225</v>
      </c>
      <c r="FV69" s="761"/>
      <c r="FW69" s="754">
        <v>41629</v>
      </c>
      <c r="FX69" s="761"/>
      <c r="FY69" s="759">
        <f t="shared" si="297"/>
        <v>354021.74984690553</v>
      </c>
      <c r="FZ69" s="759">
        <f t="shared" si="298"/>
        <v>661857.60305842326</v>
      </c>
      <c r="GA69" s="759">
        <f t="shared" si="299"/>
        <v>313580.67999112757</v>
      </c>
      <c r="GB69" s="759">
        <f t="shared" si="300"/>
        <v>356328.35095916188</v>
      </c>
      <c r="GC69" s="760"/>
      <c r="GD69" s="759">
        <f t="shared" si="285"/>
        <v>0.93630292199008969</v>
      </c>
      <c r="GE69" s="759">
        <f t="shared" si="285"/>
        <v>0.86769146173370404</v>
      </c>
      <c r="GF69" s="759">
        <f t="shared" si="286"/>
        <v>0.84190435751559445</v>
      </c>
      <c r="GG69" s="759">
        <f t="shared" si="287"/>
        <v>0.92997941910490478</v>
      </c>
      <c r="GH69" s="716"/>
      <c r="GI69" s="756">
        <f t="shared" si="288"/>
        <v>0</v>
      </c>
      <c r="GJ69" s="756">
        <f t="shared" si="289"/>
        <v>0</v>
      </c>
      <c r="GK69" s="756">
        <f t="shared" si="290"/>
        <v>0</v>
      </c>
      <c r="GL69" s="756">
        <f t="shared" si="291"/>
        <v>0</v>
      </c>
      <c r="GM69" s="716"/>
    </row>
    <row r="70" spans="1:195" s="134" customFormat="1">
      <c r="A70" s="705">
        <v>41630</v>
      </c>
      <c r="B70" s="706">
        <v>0</v>
      </c>
      <c r="C70" s="497">
        <f t="shared" si="246"/>
        <v>8</v>
      </c>
      <c r="D70" s="274">
        <v>1.1015175688425534</v>
      </c>
      <c r="E70" s="274">
        <v>4.7218631547601193</v>
      </c>
      <c r="F70" s="274">
        <v>1.5777037055302721</v>
      </c>
      <c r="G70" s="274">
        <v>7.1657100245320375</v>
      </c>
      <c r="H70" s="729"/>
      <c r="I70" s="705">
        <v>41630</v>
      </c>
      <c r="J70" s="270">
        <f t="shared" si="229"/>
        <v>1.1015175688425534</v>
      </c>
      <c r="K70" s="270">
        <f t="shared" si="230"/>
        <v>4.7218631547601193</v>
      </c>
      <c r="L70" s="270">
        <f t="shared" si="231"/>
        <v>1.5777037055302721</v>
      </c>
      <c r="M70" s="270">
        <f t="shared" si="232"/>
        <v>7.1657100245320375</v>
      </c>
      <c r="N70" s="729"/>
      <c r="O70" s="705">
        <v>41630</v>
      </c>
      <c r="P70" s="270">
        <f t="shared" si="233"/>
        <v>1.1015175688425534</v>
      </c>
      <c r="Q70" s="270">
        <f t="shared" si="234"/>
        <v>4.7218631547601193</v>
      </c>
      <c r="R70" s="270">
        <f t="shared" si="235"/>
        <v>1.5777037055302721</v>
      </c>
      <c r="S70" s="270">
        <f t="shared" si="236"/>
        <v>7.1657100245320375</v>
      </c>
      <c r="T70" s="705">
        <v>41630</v>
      </c>
      <c r="U70" s="291">
        <v>1.1015175688425534</v>
      </c>
      <c r="V70" s="291">
        <v>4.7218631547601193</v>
      </c>
      <c r="W70" s="291">
        <v>1.5777037055302721</v>
      </c>
      <c r="X70" s="291">
        <v>7.1657100245320375</v>
      </c>
      <c r="Y70" s="729"/>
      <c r="Z70" s="705">
        <v>41630</v>
      </c>
      <c r="AA70" s="707">
        <v>41630</v>
      </c>
      <c r="AB70" s="497">
        <f t="shared" si="247"/>
        <v>8</v>
      </c>
      <c r="AC70" s="266">
        <v>1.1558933107006486</v>
      </c>
      <c r="AD70" s="291">
        <v>1.1015175688425534</v>
      </c>
      <c r="AE70" s="291">
        <f t="shared" si="301"/>
        <v>568.10805067826686</v>
      </c>
      <c r="AF70" s="161">
        <v>2.3935933107006484</v>
      </c>
      <c r="AG70" s="291">
        <v>4.7218631547601193</v>
      </c>
      <c r="AH70" s="291">
        <f t="shared" si="302"/>
        <v>8925.0913330977164</v>
      </c>
      <c r="AI70" s="161">
        <v>2.677693310700648</v>
      </c>
      <c r="AJ70" s="291">
        <v>1.5777037055302721</v>
      </c>
      <c r="AK70" s="291">
        <f t="shared" si="303"/>
        <v>1108.0873752534862</v>
      </c>
      <c r="AL70" s="161">
        <v>2.1447933107006487</v>
      </c>
      <c r="AM70" s="291">
        <f t="shared" si="292"/>
        <v>1.1029387823465062</v>
      </c>
      <c r="AN70" s="291">
        <f t="shared" si="304"/>
        <v>610.94892929604976</v>
      </c>
      <c r="AO70" s="705">
        <v>41630</v>
      </c>
      <c r="AP70" s="463">
        <v>5.1575033095043619</v>
      </c>
      <c r="AQ70" s="463">
        <v>18.901630649969842</v>
      </c>
      <c r="AR70" s="463">
        <v>7.0234187279230227</v>
      </c>
      <c r="AS70" s="463">
        <v>5.5392823162519846</v>
      </c>
      <c r="AT70" s="463">
        <f t="shared" si="305"/>
        <v>0.18419654676801292</v>
      </c>
      <c r="AU70" s="463">
        <f t="shared" si="306"/>
        <v>0.32036662118592951</v>
      </c>
      <c r="AV70" s="463">
        <f t="shared" si="307"/>
        <v>0.35117093639615116</v>
      </c>
      <c r="AW70" s="463">
        <f t="shared" si="308"/>
        <v>0.29154117453957812</v>
      </c>
      <c r="AY70" s="266">
        <v>1.1558933107006486</v>
      </c>
      <c r="AZ70" s="161">
        <v>2.3935933107006484</v>
      </c>
      <c r="BA70" s="161">
        <v>2.677693310700648</v>
      </c>
      <c r="BB70" s="161">
        <v>2.1447933107006487</v>
      </c>
      <c r="BE70" s="134">
        <v>-9.2888243115744652E-3</v>
      </c>
      <c r="BF70" s="134">
        <v>-7.3336845239881327E-4</v>
      </c>
      <c r="BG70" s="134">
        <v>-8.1269629446972785E-3</v>
      </c>
      <c r="BH70" s="134">
        <v>-5.3828997546796209E-3</v>
      </c>
      <c r="BJ70" s="508">
        <v>5.1696809150173397</v>
      </c>
      <c r="BK70" s="508">
        <v>-5.1629344695975981</v>
      </c>
      <c r="BL70" s="508">
        <v>9.4542962996330484</v>
      </c>
      <c r="BM70" s="508">
        <v>-9.0432421619055514</v>
      </c>
      <c r="BO70" s="705">
        <v>41630</v>
      </c>
      <c r="BP70" s="324">
        <v>0</v>
      </c>
      <c r="BQ70" s="1">
        <v>5035950</v>
      </c>
      <c r="BR70" s="1">
        <v>11127132</v>
      </c>
      <c r="BS70" s="1">
        <v>6310099.7999999998</v>
      </c>
      <c r="BT70" s="1">
        <v>5970600</v>
      </c>
      <c r="BU70" s="708">
        <v>153402.67665978591</v>
      </c>
      <c r="BV70" s="708">
        <v>509866.00211189309</v>
      </c>
      <c r="BW70" s="708">
        <v>144414.10030668529</v>
      </c>
      <c r="BX70" s="708">
        <v>214415.58927759767</v>
      </c>
      <c r="BY70" s="709">
        <f t="shared" si="252"/>
        <v>0</v>
      </c>
      <c r="BZ70" s="709">
        <f t="shared" si="253"/>
        <v>0</v>
      </c>
      <c r="CA70" s="709">
        <f t="shared" si="254"/>
        <v>0</v>
      </c>
      <c r="CB70" s="709">
        <f t="shared" si="255"/>
        <v>0</v>
      </c>
      <c r="CC70" s="475">
        <f t="shared" si="256"/>
        <v>0</v>
      </c>
      <c r="CD70" s="475">
        <f t="shared" si="257"/>
        <v>0</v>
      </c>
      <c r="CE70" s="475">
        <f t="shared" si="258"/>
        <v>0</v>
      </c>
      <c r="CF70" s="475">
        <f t="shared" si="259"/>
        <v>0</v>
      </c>
      <c r="CG70" s="302">
        <f t="shared" si="309"/>
        <v>0</v>
      </c>
      <c r="CH70" s="302">
        <f t="shared" si="310"/>
        <v>0</v>
      </c>
      <c r="CI70" s="302">
        <f t="shared" si="311"/>
        <v>0</v>
      </c>
      <c r="CJ70" s="302">
        <f t="shared" si="312"/>
        <v>0</v>
      </c>
      <c r="CK70" s="302">
        <f t="shared" si="313"/>
        <v>0</v>
      </c>
      <c r="CL70" s="302">
        <f t="shared" si="313"/>
        <v>0</v>
      </c>
      <c r="CM70" s="302">
        <f t="shared" si="313"/>
        <v>0</v>
      </c>
      <c r="CN70" s="302">
        <f t="shared" si="313"/>
        <v>0</v>
      </c>
      <c r="CO70" s="710">
        <f t="shared" si="237"/>
        <v>0</v>
      </c>
      <c r="CP70" s="710">
        <f t="shared" si="238"/>
        <v>0</v>
      </c>
      <c r="CQ70" s="710">
        <f t="shared" si="239"/>
        <v>0</v>
      </c>
      <c r="CR70" s="710">
        <f t="shared" si="240"/>
        <v>0</v>
      </c>
      <c r="CS70" s="705">
        <v>41630</v>
      </c>
      <c r="CT70" s="711">
        <v>0.94099999999999995</v>
      </c>
      <c r="CU70" s="733">
        <v>0.97699999999999998</v>
      </c>
      <c r="CV70" s="713">
        <v>0.94199999999999995</v>
      </c>
      <c r="CW70" s="714">
        <v>0.996</v>
      </c>
      <c r="CY70" s="727">
        <v>2.5473680915017338E-2</v>
      </c>
      <c r="CZ70" s="727">
        <v>4.2789065530402404E-2</v>
      </c>
      <c r="DA70" s="727">
        <v>3.335829629963305E-2</v>
      </c>
      <c r="DB70" s="727">
        <v>6.7996757838094446E-2</v>
      </c>
      <c r="DC70" s="463">
        <f t="shared" si="248"/>
        <v>-2.6419425279010866</v>
      </c>
      <c r="DD70" s="463">
        <f t="shared" si="249"/>
        <v>-4.3019425279009482</v>
      </c>
      <c r="DE70" s="463">
        <f t="shared" si="250"/>
        <v>-3.3119425279009462</v>
      </c>
      <c r="DF70" s="463">
        <f t="shared" si="251"/>
        <v>-6.8419425279010682</v>
      </c>
      <c r="DG70" s="483">
        <f t="shared" si="260"/>
        <v>2.6419425279010866</v>
      </c>
      <c r="DH70" s="483">
        <f t="shared" si="261"/>
        <v>4.3019425279009482</v>
      </c>
      <c r="DI70" s="483">
        <f t="shared" si="262"/>
        <v>3.3119425279009462</v>
      </c>
      <c r="DJ70" s="483">
        <f t="shared" si="263"/>
        <v>6.8419425279010682</v>
      </c>
      <c r="DK70" s="483">
        <f t="shared" si="121"/>
        <v>0.11750638367571842</v>
      </c>
      <c r="DL70" s="483">
        <f t="shared" si="122"/>
        <v>0.6946435891519549</v>
      </c>
      <c r="DM70" s="483">
        <f t="shared" si="123"/>
        <v>0.20216159693793667</v>
      </c>
      <c r="DN70" s="483">
        <f t="shared" si="124"/>
        <v>0.7096421876509682</v>
      </c>
      <c r="DO70" s="483">
        <f t="shared" si="100"/>
        <v>7.7611278083185615</v>
      </c>
      <c r="DP70" s="483">
        <f t="shared" si="101"/>
        <v>74.707919947663711</v>
      </c>
      <c r="DQ70" s="483">
        <f t="shared" si="102"/>
        <v>16.738689760178055</v>
      </c>
      <c r="DR70" s="483">
        <f t="shared" si="103"/>
        <v>121.38327658204774</v>
      </c>
      <c r="DS70" s="324">
        <v>2.0303999999999998</v>
      </c>
      <c r="DT70" s="324">
        <v>4.7952000000000004</v>
      </c>
      <c r="DU70" s="324">
        <v>2.3904000000000001</v>
      </c>
      <c r="DV70" s="324">
        <v>7.7039999999999997</v>
      </c>
      <c r="DW70" s="716"/>
      <c r="DX70" s="705">
        <v>41630</v>
      </c>
      <c r="DY70" s="716"/>
      <c r="DZ70" s="269">
        <f t="shared" si="264"/>
        <v>0.61154252790108687</v>
      </c>
      <c r="EA70" s="269"/>
      <c r="EB70" s="269">
        <f t="shared" ref="EB70:EB79" si="314">-DE70-DU70</f>
        <v>0.92154252790094615</v>
      </c>
      <c r="EC70" s="716"/>
      <c r="ED70" s="716"/>
      <c r="EE70" s="269">
        <f t="shared" si="242"/>
        <v>0.61154252790108687</v>
      </c>
      <c r="EF70" s="269">
        <f>AVERAGE(EF69,EF71)</f>
        <v>0.99929296971483272</v>
      </c>
      <c r="EG70" s="269">
        <f t="shared" si="244"/>
        <v>0.92154252790094615</v>
      </c>
      <c r="EH70" s="269">
        <f>-(EH$67-EH$71)/4+EH69</f>
        <v>0.86638735173801462</v>
      </c>
      <c r="EI70" s="716"/>
      <c r="EJ70" s="717">
        <f t="shared" si="265"/>
        <v>315.40326115525193</v>
      </c>
      <c r="EK70" s="717">
        <f t="shared" si="266"/>
        <v>1888.8266624661269</v>
      </c>
      <c r="EL70" s="717">
        <f t="shared" si="267"/>
        <v>647.23790490370288</v>
      </c>
      <c r="EM70" s="717">
        <f t="shared" si="268"/>
        <v>479.91641365067727</v>
      </c>
      <c r="EN70" s="716"/>
      <c r="EO70" s="269">
        <f t="shared" si="181"/>
        <v>0.92888243115744651</v>
      </c>
      <c r="EP70" s="269">
        <f t="shared" si="182"/>
        <v>7.3336845239881321E-2</v>
      </c>
      <c r="EQ70" s="269">
        <f t="shared" si="183"/>
        <v>0.8126962944697278</v>
      </c>
      <c r="ER70" s="269">
        <f t="shared" si="184"/>
        <v>0.53828997546796209</v>
      </c>
      <c r="ES70" s="716"/>
      <c r="ET70" s="718">
        <f t="shared" si="269"/>
        <v>479.07142128349881</v>
      </c>
      <c r="EU70" s="718">
        <f t="shared" si="270"/>
        <v>138.61859617582357</v>
      </c>
      <c r="EV70" s="718">
        <f t="shared" si="271"/>
        <v>570.79063746923305</v>
      </c>
      <c r="EW70" s="718">
        <f t="shared" si="272"/>
        <v>298.1740142125397</v>
      </c>
      <c r="EX70" s="716"/>
      <c r="EY70" s="705">
        <v>41630</v>
      </c>
      <c r="EZ70" s="716"/>
      <c r="FA70" s="766">
        <f t="shared" si="273"/>
        <v>1.1015175688425534</v>
      </c>
      <c r="FB70" s="766">
        <f t="shared" si="274"/>
        <v>3.2293127129462342</v>
      </c>
      <c r="FC70" s="766">
        <f t="shared" si="275"/>
        <v>1.5777037055302723</v>
      </c>
      <c r="FD70" s="766">
        <f t="shared" si="276"/>
        <v>5.4372652006950917</v>
      </c>
      <c r="FE70" s="760"/>
      <c r="FF70" s="705">
        <v>41630</v>
      </c>
      <c r="FG70" s="760"/>
      <c r="FH70" s="766">
        <v>568.10805067826686</v>
      </c>
      <c r="FI70" s="766">
        <f t="shared" si="294"/>
        <v>6103.9276153361798</v>
      </c>
      <c r="FJ70" s="766">
        <f t="shared" si="295"/>
        <v>1108.0873752534862</v>
      </c>
      <c r="FK70" s="766">
        <f t="shared" si="296"/>
        <v>3011.8546974982619</v>
      </c>
      <c r="FL70" s="760"/>
      <c r="FM70" s="759">
        <f t="shared" si="277"/>
        <v>568.10805067826686</v>
      </c>
      <c r="FN70" s="759">
        <f t="shared" si="278"/>
        <v>6103.9276153361798</v>
      </c>
      <c r="FO70" s="759">
        <f t="shared" si="279"/>
        <v>1108.0873752534862</v>
      </c>
      <c r="FP70" s="759">
        <f t="shared" si="280"/>
        <v>3011.8546974982619</v>
      </c>
      <c r="FQ70" s="760"/>
      <c r="FR70" s="759">
        <f t="shared" si="281"/>
        <v>1362.5827331170176</v>
      </c>
      <c r="FS70" s="759">
        <f t="shared" si="282"/>
        <v>8131.3728739781309</v>
      </c>
      <c r="FT70" s="759">
        <f t="shared" si="283"/>
        <v>2326.1159176264218</v>
      </c>
      <c r="FU70" s="759">
        <f t="shared" si="284"/>
        <v>3789.9451253614789</v>
      </c>
      <c r="FV70" s="761"/>
      <c r="FW70" s="754">
        <v>41630</v>
      </c>
      <c r="FX70" s="761"/>
      <c r="FY70" s="759">
        <f t="shared" si="297"/>
        <v>355384.33258002257</v>
      </c>
      <c r="FZ70" s="759">
        <f t="shared" si="298"/>
        <v>669988.97593240137</v>
      </c>
      <c r="GA70" s="759">
        <f t="shared" si="299"/>
        <v>315906.79590875399</v>
      </c>
      <c r="GB70" s="759">
        <f t="shared" si="300"/>
        <v>360118.29608452338</v>
      </c>
      <c r="GC70" s="760"/>
      <c r="GD70" s="759">
        <f t="shared" si="285"/>
        <v>0.939906627680552</v>
      </c>
      <c r="GE70" s="759">
        <f t="shared" si="285"/>
        <v>0.87835164419941947</v>
      </c>
      <c r="GF70" s="759">
        <f t="shared" si="286"/>
        <v>0.84814953539833737</v>
      </c>
      <c r="GG70" s="759">
        <f t="shared" si="287"/>
        <v>0.93987077621032655</v>
      </c>
      <c r="GH70" s="716"/>
      <c r="GI70" s="756">
        <f t="shared" si="288"/>
        <v>0</v>
      </c>
      <c r="GJ70" s="756">
        <f t="shared" si="289"/>
        <v>0</v>
      </c>
      <c r="GK70" s="756">
        <f t="shared" si="290"/>
        <v>0</v>
      </c>
      <c r="GL70" s="756">
        <f t="shared" si="291"/>
        <v>0</v>
      </c>
      <c r="GM70" s="716"/>
    </row>
    <row r="71" spans="1:195" s="134" customFormat="1">
      <c r="A71" s="705">
        <v>41631</v>
      </c>
      <c r="B71" s="706">
        <v>0</v>
      </c>
      <c r="C71" s="497">
        <f t="shared" si="246"/>
        <v>9</v>
      </c>
      <c r="D71" s="274">
        <v>0.56947444958647375</v>
      </c>
      <c r="E71" s="274">
        <v>2.6349965501658628</v>
      </c>
      <c r="F71" s="274">
        <v>1.4864436727347066</v>
      </c>
      <c r="G71" s="276">
        <v>4.9679999999999991</v>
      </c>
      <c r="H71" s="734"/>
      <c r="I71" s="705">
        <v>41631</v>
      </c>
      <c r="J71" s="270">
        <f t="shared" si="229"/>
        <v>0.56947444958647375</v>
      </c>
      <c r="K71" s="270">
        <f t="shared" si="230"/>
        <v>2.6349965501658628</v>
      </c>
      <c r="L71" s="270">
        <f t="shared" si="231"/>
        <v>1.4864436727347066</v>
      </c>
      <c r="M71" s="270">
        <f t="shared" si="232"/>
        <v>4.9679999999999991</v>
      </c>
      <c r="N71" s="734"/>
      <c r="O71" s="705">
        <v>41631</v>
      </c>
      <c r="P71" s="270">
        <f t="shared" si="233"/>
        <v>0.56947444958647375</v>
      </c>
      <c r="Q71" s="270">
        <f t="shared" si="234"/>
        <v>2.6349965501658628</v>
      </c>
      <c r="R71" s="270">
        <f t="shared" si="235"/>
        <v>1.4864436727347066</v>
      </c>
      <c r="S71" s="270">
        <f t="shared" si="236"/>
        <v>4.9679999999999991</v>
      </c>
      <c r="T71" s="705">
        <v>41631</v>
      </c>
      <c r="U71" s="291">
        <v>0.56947444958647375</v>
      </c>
      <c r="V71" s="291">
        <v>2.6349965501658628</v>
      </c>
      <c r="W71" s="291">
        <v>1.4864436727347066</v>
      </c>
      <c r="X71" s="291">
        <v>4.9679999999999991</v>
      </c>
      <c r="Y71" s="734"/>
      <c r="Z71" s="705">
        <v>41631</v>
      </c>
      <c r="AA71" s="707">
        <v>41631</v>
      </c>
      <c r="AB71" s="497">
        <f t="shared" si="247"/>
        <v>9</v>
      </c>
      <c r="AC71" s="266">
        <v>1.1294738854216377</v>
      </c>
      <c r="AD71" s="291">
        <v>0.56947444958647375</v>
      </c>
      <c r="AE71" s="291">
        <f t="shared" si="301"/>
        <v>286.76225980654766</v>
      </c>
      <c r="AF71" s="161">
        <v>2.3505738854216389</v>
      </c>
      <c r="AG71" s="291">
        <v>2.6349965501658628</v>
      </c>
      <c r="AH71" s="291">
        <f t="shared" si="302"/>
        <v>4789.832052815872</v>
      </c>
      <c r="AI71" s="161">
        <v>2.6445738854216385</v>
      </c>
      <c r="AJ71" s="291">
        <v>1.4864436727347066</v>
      </c>
      <c r="AK71" s="291">
        <f t="shared" si="303"/>
        <v>1013.5883931309401</v>
      </c>
      <c r="AL71" s="161">
        <v>2.076373885421638</v>
      </c>
      <c r="AM71" s="291">
        <f t="shared" si="292"/>
        <v>1.0495716306288778</v>
      </c>
      <c r="AN71" s="291">
        <f t="shared" si="304"/>
        <v>513.34562065962996</v>
      </c>
      <c r="AO71" s="705">
        <v>41631</v>
      </c>
      <c r="AP71" s="463">
        <v>5.0355597167665955</v>
      </c>
      <c r="AQ71" s="463">
        <v>18.177754549676244</v>
      </c>
      <c r="AR71" s="463">
        <v>6.8188819510811056</v>
      </c>
      <c r="AS71" s="463">
        <v>4.8910012969009626</v>
      </c>
      <c r="AT71" s="463">
        <f t="shared" si="305"/>
        <v>0.17984141845594984</v>
      </c>
      <c r="AU71" s="463">
        <f t="shared" si="306"/>
        <v>0.30809753474027535</v>
      </c>
      <c r="AV71" s="463">
        <f t="shared" si="307"/>
        <v>0.3409440975540553</v>
      </c>
      <c r="AW71" s="463">
        <f t="shared" si="308"/>
        <v>0.25742112088952435</v>
      </c>
      <c r="AY71" s="266">
        <v>1.1294738854216377</v>
      </c>
      <c r="AZ71" s="161">
        <v>2.3505738854216389</v>
      </c>
      <c r="BA71" s="161">
        <v>2.6445738854216385</v>
      </c>
      <c r="BB71" s="161">
        <v>2.076373885421638</v>
      </c>
      <c r="BE71" s="134">
        <v>-8.8492555041352616E-3</v>
      </c>
      <c r="BF71" s="134">
        <v>-7.2203449834137216E-4</v>
      </c>
      <c r="BG71" s="134">
        <v>-8.0315632726529335E-3</v>
      </c>
      <c r="BH71" s="134">
        <v>0</v>
      </c>
      <c r="BJ71" s="508">
        <v>12.636932394859748</v>
      </c>
      <c r="BK71" s="508">
        <v>12.332009317936418</v>
      </c>
      <c r="BL71" s="508">
        <v>9.1387785487058455</v>
      </c>
      <c r="BM71" s="508">
        <v>4.2317016256285322</v>
      </c>
      <c r="BO71" s="705">
        <v>41631</v>
      </c>
      <c r="BP71" s="324">
        <v>0</v>
      </c>
      <c r="BQ71" s="1">
        <v>5035950</v>
      </c>
      <c r="BR71" s="1">
        <v>11127132</v>
      </c>
      <c r="BS71" s="1">
        <v>6310099.7999999998</v>
      </c>
      <c r="BT71" s="1">
        <v>5970600</v>
      </c>
      <c r="BU71" s="708">
        <v>153402.67665978591</v>
      </c>
      <c r="BV71" s="708">
        <v>509866.00211189309</v>
      </c>
      <c r="BW71" s="708">
        <v>144414.10030668529</v>
      </c>
      <c r="BX71" s="708">
        <v>214415.58927759767</v>
      </c>
      <c r="BY71" s="709">
        <f t="shared" si="252"/>
        <v>0</v>
      </c>
      <c r="BZ71" s="709">
        <f t="shared" si="253"/>
        <v>0</v>
      </c>
      <c r="CA71" s="709">
        <f t="shared" si="254"/>
        <v>0</v>
      </c>
      <c r="CB71" s="709">
        <f t="shared" si="255"/>
        <v>0</v>
      </c>
      <c r="CC71" s="475">
        <f t="shared" si="256"/>
        <v>0</v>
      </c>
      <c r="CD71" s="475">
        <f t="shared" si="257"/>
        <v>0</v>
      </c>
      <c r="CE71" s="475">
        <f t="shared" si="258"/>
        <v>0</v>
      </c>
      <c r="CF71" s="475">
        <f t="shared" si="259"/>
        <v>0</v>
      </c>
      <c r="CG71" s="302">
        <f t="shared" si="309"/>
        <v>0</v>
      </c>
      <c r="CH71" s="302">
        <f t="shared" si="310"/>
        <v>0</v>
      </c>
      <c r="CI71" s="302">
        <f t="shared" si="311"/>
        <v>0</v>
      </c>
      <c r="CJ71" s="302">
        <f t="shared" si="312"/>
        <v>0</v>
      </c>
      <c r="CK71" s="302">
        <f t="shared" si="313"/>
        <v>0</v>
      </c>
      <c r="CL71" s="302">
        <f t="shared" si="313"/>
        <v>0</v>
      </c>
      <c r="CM71" s="302">
        <f t="shared" si="313"/>
        <v>0</v>
      </c>
      <c r="CN71" s="302">
        <f t="shared" si="313"/>
        <v>0</v>
      </c>
      <c r="CO71" s="710">
        <f t="shared" si="237"/>
        <v>0</v>
      </c>
      <c r="CP71" s="710">
        <f t="shared" si="238"/>
        <v>0</v>
      </c>
      <c r="CQ71" s="710">
        <f t="shared" si="239"/>
        <v>0</v>
      </c>
      <c r="CR71" s="710">
        <f t="shared" si="240"/>
        <v>0</v>
      </c>
      <c r="CS71" s="705">
        <v>41631</v>
      </c>
      <c r="CT71" s="711">
        <v>0.89300000000000002</v>
      </c>
      <c r="CU71" s="735">
        <v>0.96799999999999997</v>
      </c>
      <c r="CV71" s="713">
        <v>0.88300000000000001</v>
      </c>
      <c r="CW71" s="714">
        <v>0.99099999999999999</v>
      </c>
      <c r="CY71" s="727">
        <v>2.7180932394859747E-2</v>
      </c>
      <c r="CZ71" s="727">
        <v>3.9404009317936417E-2</v>
      </c>
      <c r="DA71" s="727">
        <v>3.2034778548705845E-2</v>
      </c>
      <c r="DB71" s="727">
        <v>5.3911701625628528E-2</v>
      </c>
      <c r="DC71" s="463">
        <f t="shared" si="248"/>
        <v>-2.6658280536414836</v>
      </c>
      <c r="DD71" s="463">
        <f t="shared" si="249"/>
        <v>-3.8758280536415057</v>
      </c>
      <c r="DE71" s="463">
        <f t="shared" si="250"/>
        <v>-3.1958280536414918</v>
      </c>
      <c r="DF71" s="463">
        <f t="shared" si="251"/>
        <v>-5.3658280536415859</v>
      </c>
      <c r="DG71" s="483">
        <f t="shared" si="260"/>
        <v>2.6658280536414836</v>
      </c>
      <c r="DH71" s="483">
        <f t="shared" si="261"/>
        <v>3.8758280536415057</v>
      </c>
      <c r="DI71" s="483">
        <f t="shared" si="262"/>
        <v>3.1958280536414918</v>
      </c>
      <c r="DJ71" s="483">
        <f t="shared" si="263"/>
        <v>5.3658280536415859</v>
      </c>
      <c r="DK71" s="483">
        <f t="shared" si="121"/>
        <v>0.12194359273776634</v>
      </c>
      <c r="DL71" s="483">
        <f t="shared" si="122"/>
        <v>0.72387610029359806</v>
      </c>
      <c r="DM71" s="483">
        <f t="shared" si="123"/>
        <v>0.20453677684191707</v>
      </c>
      <c r="DN71" s="483">
        <f t="shared" si="124"/>
        <v>0.648281019351022</v>
      </c>
      <c r="DO71" s="483">
        <f t="shared" ref="DO71:DO98" si="315">IF(DK71&gt;0,(DK71*10^4*DG71/100*0.25),0)</f>
        <v>8.1270162620542337</v>
      </c>
      <c r="DP71" s="483">
        <f t="shared" ref="DP71:DP134" si="316">IF(DL71&gt;0,(DL71*10^4*DH71/100*0.25),0)</f>
        <v>70.140482421963483</v>
      </c>
      <c r="DQ71" s="483">
        <f t="shared" ref="DQ71:DQ134" si="317">IF(DM71&gt;0,(DM71*10^4*DI71/100*0.25),0)</f>
        <v>16.341609235820201</v>
      </c>
      <c r="DR71" s="483">
        <f t="shared" ref="DR71:DR134" si="318">IF(DN71&gt;0,(DN71*10^4*DJ71/100*0.25),0)</f>
        <v>86.964112006926953</v>
      </c>
      <c r="DS71" s="324">
        <v>1.4543999999999999</v>
      </c>
      <c r="DT71" s="324">
        <v>2.7071999999999998</v>
      </c>
      <c r="DU71" s="324">
        <v>2.2896000000000001</v>
      </c>
      <c r="DV71" s="324">
        <v>4.9679999999999991</v>
      </c>
      <c r="DW71" s="716"/>
      <c r="DX71" s="705">
        <v>41631</v>
      </c>
      <c r="DY71" s="716"/>
      <c r="DZ71" s="269">
        <f t="shared" si="264"/>
        <v>1.2114280536414836</v>
      </c>
      <c r="EA71" s="269">
        <f t="shared" ref="EA71:EA79" si="319">-DD71-DT71</f>
        <v>1.1686280536415059</v>
      </c>
      <c r="EB71" s="269">
        <f t="shared" si="314"/>
        <v>0.90622805364149173</v>
      </c>
      <c r="EC71" s="716">
        <f>-DF71-DV71</f>
        <v>0.3978280536415868</v>
      </c>
      <c r="ED71" s="716"/>
      <c r="EE71" s="269">
        <f t="shared" si="242"/>
        <v>1.2114280536414836</v>
      </c>
      <c r="EF71" s="269">
        <f t="shared" si="243"/>
        <v>1.1686280536415059</v>
      </c>
      <c r="EG71" s="269">
        <f t="shared" si="244"/>
        <v>0.90622805364149173</v>
      </c>
      <c r="EH71" s="269">
        <f t="shared" si="245"/>
        <v>0.3978280536415868</v>
      </c>
      <c r="EI71" s="716"/>
      <c r="EJ71" s="717">
        <f t="shared" si="265"/>
        <v>610.02183066780174</v>
      </c>
      <c r="EK71" s="717">
        <f t="shared" si="266"/>
        <v>2124.3033918961178</v>
      </c>
      <c r="EL71" s="717">
        <f t="shared" si="267"/>
        <v>617.94621185393282</v>
      </c>
      <c r="EM71" s="717">
        <f t="shared" si="268"/>
        <v>194.57775263045869</v>
      </c>
      <c r="EN71" s="716"/>
      <c r="EO71" s="269">
        <f t="shared" ref="EO71:EO84" si="320">-BE71*100</f>
        <v>0.88492555041352616</v>
      </c>
      <c r="EP71" s="269">
        <f t="shared" ref="EP71:EP84" si="321">-BF71*100</f>
        <v>7.2203449834137221E-2</v>
      </c>
      <c r="EQ71" s="269">
        <f t="shared" ref="EQ71:EQ84" si="322">-BG71*100</f>
        <v>0.80315632726529329</v>
      </c>
      <c r="ER71" s="269"/>
      <c r="ES71" s="716"/>
      <c r="ET71" s="718">
        <f t="shared" ref="ET71:ET84" si="323">EO71/100*AP71*10^4</f>
        <v>445.60954539998596</v>
      </c>
      <c r="EU71" s="718">
        <f t="shared" ref="EU71:EU84" si="324">EP71/100*AQ71*10^4</f>
        <v>131.24965887248084</v>
      </c>
      <c r="EV71" s="718">
        <f t="shared" ref="EV71:EV84" si="325">EQ71/100*AR71*10^4</f>
        <v>547.66281838858981</v>
      </c>
      <c r="EW71" s="718"/>
      <c r="EX71" s="716"/>
      <c r="EY71" s="705">
        <v>41631</v>
      </c>
      <c r="EZ71" s="716"/>
      <c r="FA71" s="766">
        <f t="shared" si="273"/>
        <v>0.56947444958647386</v>
      </c>
      <c r="FB71" s="766">
        <f t="shared" si="274"/>
        <v>2.6349965501658623</v>
      </c>
      <c r="FC71" s="766">
        <f t="shared" si="275"/>
        <v>1.4864436727347068</v>
      </c>
      <c r="FD71" s="766">
        <f t="shared" si="276"/>
        <v>4.9679999999999991</v>
      </c>
      <c r="FE71" s="760"/>
      <c r="FF71" s="705">
        <v>41631</v>
      </c>
      <c r="FG71" s="760"/>
      <c r="FH71" s="766">
        <v>286.76225980654772</v>
      </c>
      <c r="FI71" s="766">
        <f t="shared" si="294"/>
        <v>4789.8320528158711</v>
      </c>
      <c r="FJ71" s="766">
        <f t="shared" si="295"/>
        <v>1013.5883931309402</v>
      </c>
      <c r="FK71" s="766">
        <f t="shared" si="296"/>
        <v>2429.8494443003974</v>
      </c>
      <c r="FL71" s="760"/>
      <c r="FM71" s="759">
        <f t="shared" si="277"/>
        <v>286.76225980654772</v>
      </c>
      <c r="FN71" s="759">
        <f t="shared" si="278"/>
        <v>4789.8320528158711</v>
      </c>
      <c r="FO71" s="759">
        <f t="shared" si="279"/>
        <v>1013.5883931309402</v>
      </c>
      <c r="FP71" s="859">
        <f t="shared" si="280"/>
        <v>2429.8494443003974</v>
      </c>
      <c r="FQ71" s="760"/>
      <c r="FR71" s="759">
        <f t="shared" si="281"/>
        <v>1342.3936358743354</v>
      </c>
      <c r="FS71" s="759">
        <f t="shared" si="282"/>
        <v>7045.3851035844691</v>
      </c>
      <c r="FT71" s="759">
        <f t="shared" si="283"/>
        <v>2179.1974233734627</v>
      </c>
      <c r="FU71" s="759">
        <f t="shared" si="284"/>
        <v>2624.4271969308561</v>
      </c>
      <c r="FV71" s="761"/>
      <c r="FW71" s="754">
        <v>41631</v>
      </c>
      <c r="FX71" s="761"/>
      <c r="FY71" s="759">
        <f t="shared" si="297"/>
        <v>356726.7262158969</v>
      </c>
      <c r="FZ71" s="759">
        <f t="shared" si="298"/>
        <v>677034.36103598587</v>
      </c>
      <c r="GA71" s="759">
        <f t="shared" si="299"/>
        <v>318085.99333212746</v>
      </c>
      <c r="GB71" s="759">
        <f t="shared" si="300"/>
        <v>362742.72328145424</v>
      </c>
      <c r="GC71" s="760"/>
      <c r="GD71" s="759">
        <f t="shared" si="285"/>
        <v>0.94345693803372543</v>
      </c>
      <c r="GE71" s="759">
        <f t="shared" si="285"/>
        <v>0.88758810302493896</v>
      </c>
      <c r="GF71" s="759">
        <f t="shared" si="286"/>
        <v>0.85400026512657445</v>
      </c>
      <c r="GG71" s="759">
        <f t="shared" si="287"/>
        <v>0.94672025443319352</v>
      </c>
      <c r="GH71" s="716"/>
      <c r="GI71" s="756">
        <f t="shared" si="288"/>
        <v>0</v>
      </c>
      <c r="GJ71" s="756">
        <f t="shared" si="289"/>
        <v>0</v>
      </c>
      <c r="GK71" s="756">
        <f t="shared" si="290"/>
        <v>0</v>
      </c>
      <c r="GL71" s="756">
        <f t="shared" si="291"/>
        <v>0</v>
      </c>
      <c r="GM71" s="716"/>
    </row>
    <row r="72" spans="1:195" s="134" customFormat="1">
      <c r="A72" s="705">
        <v>41632</v>
      </c>
      <c r="B72" s="706">
        <v>0</v>
      </c>
      <c r="C72" s="497">
        <f t="shared" si="246"/>
        <v>10</v>
      </c>
      <c r="D72" s="274">
        <v>0.39303599212225993</v>
      </c>
      <c r="E72" s="274">
        <v>2.0602434062651653</v>
      </c>
      <c r="F72" s="274">
        <v>1.4098371767342981</v>
      </c>
      <c r="G72" s="276">
        <v>3.5424000000000002</v>
      </c>
      <c r="H72" s="734"/>
      <c r="I72" s="705">
        <v>41632</v>
      </c>
      <c r="J72" s="270">
        <f t="shared" si="229"/>
        <v>0.39303599212225993</v>
      </c>
      <c r="K72" s="270">
        <f t="shared" si="230"/>
        <v>2.0602434062651653</v>
      </c>
      <c r="L72" s="270">
        <f t="shared" si="231"/>
        <v>1.4098371767342981</v>
      </c>
      <c r="M72" s="270">
        <f t="shared" si="232"/>
        <v>3.5424000000000002</v>
      </c>
      <c r="N72" s="734"/>
      <c r="O72" s="705">
        <v>41632</v>
      </c>
      <c r="P72" s="270">
        <f t="shared" si="233"/>
        <v>0.39303599212225993</v>
      </c>
      <c r="Q72" s="270">
        <f t="shared" si="234"/>
        <v>2.0602434062651653</v>
      </c>
      <c r="R72" s="270">
        <f t="shared" si="235"/>
        <v>1.4098371767342981</v>
      </c>
      <c r="S72" s="270">
        <f t="shared" si="236"/>
        <v>3.5424000000000002</v>
      </c>
      <c r="T72" s="705">
        <v>41632</v>
      </c>
      <c r="U72" s="291">
        <v>0.39303599212225993</v>
      </c>
      <c r="V72" s="291">
        <v>2.0602434062651653</v>
      </c>
      <c r="W72" s="291">
        <v>1.4098371767342981</v>
      </c>
      <c r="X72" s="291">
        <v>3.5424000000000002</v>
      </c>
      <c r="Y72" s="734"/>
      <c r="Z72" s="705">
        <v>41632</v>
      </c>
      <c r="AA72" s="707">
        <v>41632</v>
      </c>
      <c r="AB72" s="497">
        <f t="shared" si="247"/>
        <v>10</v>
      </c>
      <c r="AC72" s="266">
        <v>1.1028156048852229</v>
      </c>
      <c r="AD72" s="291">
        <v>0.39303599212225993</v>
      </c>
      <c r="AE72" s="291">
        <f t="shared" si="301"/>
        <v>192.94849270783968</v>
      </c>
      <c r="AF72" s="161">
        <v>2.3118156048852239</v>
      </c>
      <c r="AG72" s="291">
        <v>2.0602434062651653</v>
      </c>
      <c r="AH72" s="291">
        <f t="shared" si="302"/>
        <v>3554.2421108739054</v>
      </c>
      <c r="AI72" s="161">
        <v>2.6126156048852236</v>
      </c>
      <c r="AJ72" s="291">
        <v>1.4098371767342981</v>
      </c>
      <c r="AK72" s="291">
        <f t="shared" si="303"/>
        <v>940.15132313625247</v>
      </c>
      <c r="AL72" s="161">
        <v>2.0227156048852222</v>
      </c>
      <c r="AM72" s="291">
        <v>3.5424000000000002</v>
      </c>
      <c r="AN72" s="291">
        <f t="shared" si="304"/>
        <v>1561.4160793420594</v>
      </c>
      <c r="AO72" s="705">
        <v>41632</v>
      </c>
      <c r="AP72" s="463">
        <v>4.9091812601177773</v>
      </c>
      <c r="AQ72" s="463">
        <v>17.251564063088445</v>
      </c>
      <c r="AR72" s="463">
        <v>6.6685099432119461</v>
      </c>
      <c r="AS72" s="463">
        <v>4.4077915518915409</v>
      </c>
      <c r="AT72" s="463">
        <f t="shared" si="305"/>
        <v>0.17532790214706348</v>
      </c>
      <c r="AU72" s="463">
        <f t="shared" si="306"/>
        <v>0.29239939089980416</v>
      </c>
      <c r="AV72" s="463">
        <f t="shared" si="307"/>
        <v>0.33342549716059733</v>
      </c>
      <c r="AW72" s="463">
        <f t="shared" si="308"/>
        <v>0.2319890290469232</v>
      </c>
      <c r="AY72" s="266">
        <v>1.1028156048852229</v>
      </c>
      <c r="AZ72" s="161">
        <v>2.3118156048852239</v>
      </c>
      <c r="BA72" s="161">
        <v>2.6126156048852236</v>
      </c>
      <c r="BB72" s="161">
        <v>2.0227156048852222</v>
      </c>
      <c r="BE72" s="134">
        <v>-8.3816400787774005E-3</v>
      </c>
      <c r="BF72" s="134">
        <v>-7.095659373483464E-4</v>
      </c>
      <c r="BG72" s="134">
        <v>-7.9336282326570185E-3</v>
      </c>
      <c r="BH72" s="134">
        <v>0</v>
      </c>
      <c r="BJ72" s="508">
        <v>11.658564678104987</v>
      </c>
      <c r="BK72" s="508">
        <v>13.120103139643287</v>
      </c>
      <c r="BL72" s="508">
        <v>12.330872370413022</v>
      </c>
      <c r="BM72" s="508">
        <v>10.346564678105691</v>
      </c>
      <c r="BO72" s="705">
        <v>41632</v>
      </c>
      <c r="BP72" s="324">
        <v>0</v>
      </c>
      <c r="BQ72" s="1">
        <v>5035950</v>
      </c>
      <c r="BR72" s="1">
        <v>11127132</v>
      </c>
      <c r="BS72" s="1">
        <v>6310099.7999999998</v>
      </c>
      <c r="BT72" s="1">
        <v>5970600</v>
      </c>
      <c r="BU72" s="708">
        <v>153402.67665978591</v>
      </c>
      <c r="BV72" s="708">
        <v>509866.00211189309</v>
      </c>
      <c r="BW72" s="708">
        <v>144414.10030668529</v>
      </c>
      <c r="BX72" s="708">
        <v>214415.58927759767</v>
      </c>
      <c r="BY72" s="709">
        <f t="shared" si="252"/>
        <v>0</v>
      </c>
      <c r="BZ72" s="709">
        <f t="shared" si="253"/>
        <v>0</v>
      </c>
      <c r="CA72" s="709">
        <f t="shared" si="254"/>
        <v>0</v>
      </c>
      <c r="CB72" s="709">
        <f t="shared" si="255"/>
        <v>0</v>
      </c>
      <c r="CC72" s="475">
        <f t="shared" si="256"/>
        <v>0</v>
      </c>
      <c r="CD72" s="475">
        <f t="shared" si="257"/>
        <v>0</v>
      </c>
      <c r="CE72" s="475">
        <f t="shared" si="258"/>
        <v>0</v>
      </c>
      <c r="CF72" s="475">
        <f t="shared" si="259"/>
        <v>0</v>
      </c>
      <c r="CG72" s="302">
        <f t="shared" si="309"/>
        <v>0</v>
      </c>
      <c r="CH72" s="302">
        <f t="shared" si="310"/>
        <v>0</v>
      </c>
      <c r="CI72" s="302">
        <f t="shared" si="311"/>
        <v>0</v>
      </c>
      <c r="CJ72" s="302">
        <f t="shared" si="312"/>
        <v>0</v>
      </c>
      <c r="CK72" s="302">
        <f t="shared" si="313"/>
        <v>0</v>
      </c>
      <c r="CL72" s="302">
        <f t="shared" si="313"/>
        <v>0</v>
      </c>
      <c r="CM72" s="302">
        <f t="shared" si="313"/>
        <v>0</v>
      </c>
      <c r="CN72" s="302">
        <f t="shared" si="313"/>
        <v>0</v>
      </c>
      <c r="CO72" s="710">
        <f t="shared" si="237"/>
        <v>0</v>
      </c>
      <c r="CP72" s="710">
        <f t="shared" si="238"/>
        <v>0</v>
      </c>
      <c r="CQ72" s="710">
        <f t="shared" si="239"/>
        <v>0</v>
      </c>
      <c r="CR72" s="710">
        <f t="shared" si="240"/>
        <v>0</v>
      </c>
      <c r="CS72" s="705">
        <v>41632</v>
      </c>
      <c r="CT72" s="711">
        <v>0.8</v>
      </c>
      <c r="CU72" s="735">
        <v>0.94899999999999995</v>
      </c>
      <c r="CV72" s="713">
        <v>0.91600000000000004</v>
      </c>
      <c r="CW72" s="714">
        <v>0.98499999999999999</v>
      </c>
      <c r="CY72" s="727">
        <v>2.3970564678104989E-2</v>
      </c>
      <c r="CZ72" s="727">
        <v>3.4432103139643289E-2</v>
      </c>
      <c r="DA72" s="727">
        <v>3.4362872370413022E-2</v>
      </c>
      <c r="DB72" s="736">
        <v>4.5770564678105696E-2</v>
      </c>
      <c r="DC72" s="463">
        <f t="shared" si="248"/>
        <v>-2.4372184674584574</v>
      </c>
      <c r="DD72" s="463">
        <f t="shared" si="249"/>
        <v>-3.5072184674586282</v>
      </c>
      <c r="DE72" s="463">
        <f t="shared" si="250"/>
        <v>-3.4572184674585671</v>
      </c>
      <c r="DF72" s="463">
        <f t="shared" si="251"/>
        <v>-4.6072184674585515</v>
      </c>
      <c r="DG72" s="483">
        <f t="shared" si="260"/>
        <v>2.4372184674584574</v>
      </c>
      <c r="DH72" s="483">
        <f t="shared" si="261"/>
        <v>3.5072184674586282</v>
      </c>
      <c r="DI72" s="483">
        <f t="shared" si="262"/>
        <v>3.4572184674585671</v>
      </c>
      <c r="DJ72" s="483">
        <f t="shared" si="263"/>
        <v>4.6072184674585515</v>
      </c>
      <c r="DK72" s="483">
        <f t="shared" si="121"/>
        <v>0.12637845664881819</v>
      </c>
      <c r="DL72" s="483">
        <f t="shared" si="122"/>
        <v>0.92619048658779946</v>
      </c>
      <c r="DM72" s="483">
        <f t="shared" si="123"/>
        <v>0.1503720078691595</v>
      </c>
      <c r="DN72" s="483">
        <f t="shared" si="124"/>
        <v>0.48320974500942171</v>
      </c>
      <c r="DO72" s="483">
        <f t="shared" si="315"/>
        <v>7.7002977108349446</v>
      </c>
      <c r="DP72" s="483">
        <f t="shared" si="316"/>
        <v>81.208809473630566</v>
      </c>
      <c r="DQ72" s="483">
        <f t="shared" si="317"/>
        <v>12.996722064852081</v>
      </c>
      <c r="DR72" s="483">
        <f t="shared" si="318"/>
        <v>55.656321521583642</v>
      </c>
      <c r="DS72" s="324">
        <v>1.2312000000000001</v>
      </c>
      <c r="DT72" s="324">
        <v>2.1312000000000002</v>
      </c>
      <c r="DU72" s="324">
        <v>2.2031999999999998</v>
      </c>
      <c r="DV72" s="324">
        <v>3.5424000000000002</v>
      </c>
      <c r="DW72" s="716"/>
      <c r="DX72" s="705">
        <v>41632</v>
      </c>
      <c r="DY72" s="716"/>
      <c r="DZ72" s="269">
        <f t="shared" si="264"/>
        <v>1.2060184674584573</v>
      </c>
      <c r="EA72" s="269">
        <f t="shared" si="319"/>
        <v>1.376018467458628</v>
      </c>
      <c r="EB72" s="269">
        <f t="shared" si="314"/>
        <v>1.2540184674585673</v>
      </c>
      <c r="EC72" s="716">
        <f>-DF72-DV72</f>
        <v>1.0648184674585512</v>
      </c>
      <c r="ED72" s="716"/>
      <c r="EE72" s="269">
        <f t="shared" si="242"/>
        <v>1.2060184674584573</v>
      </c>
      <c r="EF72" s="269">
        <f t="shared" si="243"/>
        <v>1.376018467458628</v>
      </c>
      <c r="EG72" s="269">
        <f t="shared" si="244"/>
        <v>1.2540184674585673</v>
      </c>
      <c r="EH72" s="269">
        <f t="shared" si="245"/>
        <v>1.0648184674585512</v>
      </c>
      <c r="EI72" s="716"/>
      <c r="EJ72" s="717">
        <f t="shared" si="265"/>
        <v>592.05632598030206</v>
      </c>
      <c r="EK72" s="717">
        <f t="shared" si="266"/>
        <v>2373.8470743355301</v>
      </c>
      <c r="EL72" s="717">
        <f t="shared" si="267"/>
        <v>836.24346192188625</v>
      </c>
      <c r="EM72" s="717">
        <f t="shared" si="268"/>
        <v>469.34978451618997</v>
      </c>
      <c r="EN72" s="716"/>
      <c r="EO72" s="269">
        <f t="shared" si="320"/>
        <v>0.83816400787774004</v>
      </c>
      <c r="EP72" s="269">
        <f t="shared" si="321"/>
        <v>7.0956593734834636E-2</v>
      </c>
      <c r="EQ72" s="269">
        <f t="shared" si="322"/>
        <v>0.79336282326570184</v>
      </c>
      <c r="ER72" s="269"/>
      <c r="ES72" s="716"/>
      <c r="ET72" s="718">
        <f t="shared" si="323"/>
        <v>411.46990403786106</v>
      </c>
      <c r="EU72" s="718">
        <f t="shared" si="324"/>
        <v>122.411222251504</v>
      </c>
      <c r="EV72" s="718">
        <f t="shared" si="325"/>
        <v>529.05478755220349</v>
      </c>
      <c r="EW72" s="718"/>
      <c r="EX72" s="716"/>
      <c r="EY72" s="705">
        <v>41632</v>
      </c>
      <c r="EZ72" s="716"/>
      <c r="FA72" s="766">
        <f t="shared" si="273"/>
        <v>0.39303599212226015</v>
      </c>
      <c r="FB72" s="766">
        <f t="shared" si="274"/>
        <v>2.0602434062651653</v>
      </c>
      <c r="FC72" s="766">
        <f t="shared" si="275"/>
        <v>1.4098371767342979</v>
      </c>
      <c r="FD72" s="766">
        <f t="shared" si="276"/>
        <v>3.5424000000000002</v>
      </c>
      <c r="FE72" s="760"/>
      <c r="FF72" s="705">
        <v>41632</v>
      </c>
      <c r="FG72" s="760"/>
      <c r="FH72" s="766">
        <v>192.94849270783979</v>
      </c>
      <c r="FI72" s="766">
        <f t="shared" si="294"/>
        <v>3554.2421108739054</v>
      </c>
      <c r="FJ72" s="766">
        <f t="shared" si="295"/>
        <v>940.15132313625236</v>
      </c>
      <c r="FK72" s="766">
        <f t="shared" si="296"/>
        <v>1561.4160793420594</v>
      </c>
      <c r="FL72" s="760"/>
      <c r="FM72" s="759">
        <f t="shared" si="277"/>
        <v>192.94849270783979</v>
      </c>
      <c r="FN72" s="759">
        <f t="shared" si="278"/>
        <v>3554.2421108739054</v>
      </c>
      <c r="FO72" s="759">
        <f t="shared" si="279"/>
        <v>940.15132313625236</v>
      </c>
      <c r="FP72" s="859">
        <f t="shared" si="280"/>
        <v>1561.4160793420594</v>
      </c>
      <c r="FQ72" s="760"/>
      <c r="FR72" s="759">
        <f t="shared" si="281"/>
        <v>1196.4747227260029</v>
      </c>
      <c r="FS72" s="759">
        <f t="shared" si="282"/>
        <v>6050.5004074609396</v>
      </c>
      <c r="FT72" s="759">
        <f t="shared" si="283"/>
        <v>2305.4495726103419</v>
      </c>
      <c r="FU72" s="759">
        <f t="shared" si="284"/>
        <v>2030.7658638582493</v>
      </c>
      <c r="FV72" s="761"/>
      <c r="FW72" s="754">
        <v>41632</v>
      </c>
      <c r="FX72" s="761"/>
      <c r="FY72" s="759">
        <f t="shared" si="297"/>
        <v>357923.20093862287</v>
      </c>
      <c r="FZ72" s="759">
        <f t="shared" si="298"/>
        <v>683084.86144344683</v>
      </c>
      <c r="GA72" s="759">
        <f t="shared" si="299"/>
        <v>320391.44290473778</v>
      </c>
      <c r="GB72" s="759">
        <f t="shared" si="300"/>
        <v>364773.48914531246</v>
      </c>
      <c r="GC72" s="760"/>
      <c r="GD72" s="759">
        <f t="shared" si="285"/>
        <v>0.94662132773424545</v>
      </c>
      <c r="GE72" s="759">
        <f t="shared" si="285"/>
        <v>0.89552027380987853</v>
      </c>
      <c r="GF72" s="759">
        <f t="shared" si="286"/>
        <v>0.86018995781194019</v>
      </c>
      <c r="GG72" s="759">
        <f t="shared" si="287"/>
        <v>0.95202033918178375</v>
      </c>
      <c r="GH72" s="716"/>
      <c r="GI72" s="756">
        <f t="shared" si="288"/>
        <v>0</v>
      </c>
      <c r="GJ72" s="756">
        <f t="shared" si="289"/>
        <v>0</v>
      </c>
      <c r="GK72" s="756">
        <f t="shared" si="290"/>
        <v>0</v>
      </c>
      <c r="GL72" s="756">
        <f t="shared" si="291"/>
        <v>0</v>
      </c>
      <c r="GM72" s="716"/>
    </row>
    <row r="73" spans="1:195" s="134" customFormat="1">
      <c r="A73" s="705">
        <v>41633</v>
      </c>
      <c r="B73" s="706">
        <v>0</v>
      </c>
      <c r="C73" s="497">
        <f t="shared" si="246"/>
        <v>11</v>
      </c>
      <c r="D73" s="274">
        <v>0.5057443635654395</v>
      </c>
      <c r="E73" s="274">
        <v>2.8535780423817458</v>
      </c>
      <c r="F73" s="274">
        <v>1.4931207691465183</v>
      </c>
      <c r="G73" s="276">
        <v>3.4416000000000002</v>
      </c>
      <c r="H73" s="734"/>
      <c r="I73" s="705">
        <v>41633</v>
      </c>
      <c r="J73" s="270">
        <f t="shared" si="229"/>
        <v>0.5057443635654395</v>
      </c>
      <c r="K73" s="270">
        <f t="shared" si="230"/>
        <v>2.8535780423817458</v>
      </c>
      <c r="L73" s="270">
        <f t="shared" si="231"/>
        <v>1.4931207691465183</v>
      </c>
      <c r="M73" s="270">
        <f t="shared" si="232"/>
        <v>3.4416000000000002</v>
      </c>
      <c r="N73" s="734"/>
      <c r="O73" s="705">
        <v>41633</v>
      </c>
      <c r="P73" s="270">
        <f t="shared" si="233"/>
        <v>0.5057443635654395</v>
      </c>
      <c r="Q73" s="270">
        <f t="shared" si="234"/>
        <v>2.8535780423817458</v>
      </c>
      <c r="R73" s="270">
        <f t="shared" si="235"/>
        <v>1.4931207691465183</v>
      </c>
      <c r="S73" s="270">
        <f t="shared" si="236"/>
        <v>3.4416000000000002</v>
      </c>
      <c r="T73" s="705">
        <v>41633</v>
      </c>
      <c r="U73" s="291">
        <v>0.5057443635654395</v>
      </c>
      <c r="V73" s="291">
        <v>2.8535780423817458</v>
      </c>
      <c r="W73" s="291">
        <v>1.4931207691465183</v>
      </c>
      <c r="X73" s="291">
        <v>3.4416000000000002</v>
      </c>
      <c r="Y73" s="734"/>
      <c r="Z73" s="705">
        <v>41633</v>
      </c>
      <c r="AA73" s="707">
        <v>41633</v>
      </c>
      <c r="AB73" s="497">
        <f t="shared" si="247"/>
        <v>11</v>
      </c>
      <c r="AC73" s="266">
        <v>1.0784434202106383</v>
      </c>
      <c r="AD73" s="291">
        <v>0.5057443635654395</v>
      </c>
      <c r="AE73" s="291">
        <f t="shared" si="301"/>
        <v>241.84480336723223</v>
      </c>
      <c r="AF73" s="161">
        <v>2.2767434202106376</v>
      </c>
      <c r="AG73" s="291">
        <v>2.8535780423817458</v>
      </c>
      <c r="AH73" s="291">
        <f t="shared" si="302"/>
        <v>4692.4245177949197</v>
      </c>
      <c r="AI73" s="161">
        <v>2.5780434202106379</v>
      </c>
      <c r="AJ73" s="291">
        <v>1.4931207691465183</v>
      </c>
      <c r="AK73" s="291">
        <f t="shared" si="303"/>
        <v>974.23387374646813</v>
      </c>
      <c r="AL73" s="161">
        <v>1.9766434202106367</v>
      </c>
      <c r="AM73" s="291">
        <v>3.4416000000000002</v>
      </c>
      <c r="AN73" s="291">
        <f t="shared" si="304"/>
        <v>1394.7530085932221</v>
      </c>
      <c r="AO73" s="705">
        <v>41633</v>
      </c>
      <c r="AP73" s="463">
        <v>4.7819574629018939</v>
      </c>
      <c r="AQ73" s="463">
        <v>16.44400275059019</v>
      </c>
      <c r="AR73" s="463">
        <v>6.5248163033948643</v>
      </c>
      <c r="AS73" s="463">
        <v>4.0526296158566426</v>
      </c>
      <c r="AT73" s="463">
        <f t="shared" si="305"/>
        <v>0.17078419510363907</v>
      </c>
      <c r="AU73" s="463">
        <f t="shared" si="306"/>
        <v>0.27871191102695236</v>
      </c>
      <c r="AV73" s="463">
        <f t="shared" si="307"/>
        <v>0.32624081516974324</v>
      </c>
      <c r="AW73" s="463">
        <f t="shared" si="308"/>
        <v>0.21329629557140226</v>
      </c>
      <c r="AY73" s="266">
        <v>1.0784434202106383</v>
      </c>
      <c r="AZ73" s="161">
        <v>2.2767434202106376</v>
      </c>
      <c r="BA73" s="161">
        <v>2.5780434202106379</v>
      </c>
      <c r="BB73" s="161">
        <v>1.9766434202106367</v>
      </c>
      <c r="BE73" s="134">
        <v>-7.9313563643456046E-3</v>
      </c>
      <c r="BF73" s="134">
        <v>-6.9621957618253916E-4</v>
      </c>
      <c r="BG73" s="134">
        <v>-7.8207923085348192E-3</v>
      </c>
      <c r="BH73" s="134">
        <v>0</v>
      </c>
      <c r="BJ73" s="508">
        <v>13.939403260501159</v>
      </c>
      <c r="BK73" s="508">
        <v>5.6885109528085724</v>
      </c>
      <c r="BL73" s="508">
        <v>9.9915878758857151</v>
      </c>
      <c r="BM73" s="508">
        <v>-3.2647198164228453</v>
      </c>
      <c r="BO73" s="705">
        <v>41633</v>
      </c>
      <c r="BP73" s="324">
        <v>0</v>
      </c>
      <c r="BQ73" s="1">
        <v>5035950</v>
      </c>
      <c r="BR73" s="1">
        <v>11127132</v>
      </c>
      <c r="BS73" s="1">
        <v>6310099.7999999998</v>
      </c>
      <c r="BT73" s="1">
        <v>5970600</v>
      </c>
      <c r="BU73" s="708">
        <v>153402.67665978591</v>
      </c>
      <c r="BV73" s="708">
        <v>509866.00211189309</v>
      </c>
      <c r="BW73" s="708">
        <v>144414.10030668529</v>
      </c>
      <c r="BX73" s="708">
        <v>214415.58927759767</v>
      </c>
      <c r="BY73" s="709">
        <f t="shared" si="252"/>
        <v>0</v>
      </c>
      <c r="BZ73" s="709">
        <f t="shared" si="253"/>
        <v>0</v>
      </c>
      <c r="CA73" s="709">
        <f t="shared" si="254"/>
        <v>0</v>
      </c>
      <c r="CB73" s="709">
        <f t="shared" si="255"/>
        <v>0</v>
      </c>
      <c r="CC73" s="475">
        <f t="shared" si="256"/>
        <v>0</v>
      </c>
      <c r="CD73" s="475">
        <f t="shared" si="257"/>
        <v>0</v>
      </c>
      <c r="CE73" s="475">
        <f t="shared" si="258"/>
        <v>0</v>
      </c>
      <c r="CF73" s="475">
        <f t="shared" si="259"/>
        <v>0</v>
      </c>
      <c r="CG73" s="302">
        <f t="shared" si="309"/>
        <v>0</v>
      </c>
      <c r="CH73" s="302">
        <f t="shared" si="310"/>
        <v>0</v>
      </c>
      <c r="CI73" s="302">
        <f t="shared" si="311"/>
        <v>0</v>
      </c>
      <c r="CJ73" s="302">
        <f t="shared" si="312"/>
        <v>0</v>
      </c>
      <c r="CK73" s="302">
        <f t="shared" si="313"/>
        <v>0</v>
      </c>
      <c r="CL73" s="302">
        <f t="shared" si="313"/>
        <v>0</v>
      </c>
      <c r="CM73" s="302">
        <f t="shared" si="313"/>
        <v>0</v>
      </c>
      <c r="CN73" s="302">
        <f t="shared" si="313"/>
        <v>0</v>
      </c>
      <c r="CO73" s="710">
        <f t="shared" si="237"/>
        <v>0</v>
      </c>
      <c r="CP73" s="710">
        <f t="shared" si="238"/>
        <v>0</v>
      </c>
      <c r="CQ73" s="710">
        <f t="shared" si="239"/>
        <v>0</v>
      </c>
      <c r="CR73" s="710">
        <f t="shared" si="240"/>
        <v>0</v>
      </c>
      <c r="CS73" s="705">
        <v>41633</v>
      </c>
      <c r="CT73" s="711">
        <v>0.78900000000000003</v>
      </c>
      <c r="CU73" s="735">
        <v>0.98099999999999998</v>
      </c>
      <c r="CV73" s="713">
        <v>0.93300000000000005</v>
      </c>
      <c r="CW73" s="714">
        <v>0.97899999999999998</v>
      </c>
      <c r="CY73" s="727">
        <v>2.692820326050116E-2</v>
      </c>
      <c r="CZ73" s="727">
        <v>3.492051095280857E-2</v>
      </c>
      <c r="DA73" s="727">
        <v>3.2743587875885716E-2</v>
      </c>
      <c r="DB73" s="736">
        <v>3.1151280183577157E-2</v>
      </c>
      <c r="DC73" s="463">
        <f t="shared" si="248"/>
        <v>-2.7042329529678</v>
      </c>
      <c r="DD73" s="463">
        <f t="shared" si="249"/>
        <v>-3.4642329529676275</v>
      </c>
      <c r="DE73" s="463">
        <f t="shared" si="250"/>
        <v>-3.274232952967715</v>
      </c>
      <c r="DF73" s="463">
        <f t="shared" si="251"/>
        <v>-3.0742329529676482</v>
      </c>
      <c r="DG73" s="483">
        <f t="shared" si="260"/>
        <v>2.7042329529678</v>
      </c>
      <c r="DH73" s="483">
        <f t="shared" si="261"/>
        <v>3.4642329529676275</v>
      </c>
      <c r="DI73" s="483">
        <f t="shared" si="262"/>
        <v>3.274232952967715</v>
      </c>
      <c r="DJ73" s="483">
        <f t="shared" si="263"/>
        <v>3.0742329529676482</v>
      </c>
      <c r="DK73" s="483">
        <f t="shared" si="121"/>
        <v>0.12722379721588339</v>
      </c>
      <c r="DL73" s="483">
        <f t="shared" si="122"/>
        <v>0.80756131249825458</v>
      </c>
      <c r="DM73" s="483">
        <f t="shared" si="123"/>
        <v>0.14369363981708183</v>
      </c>
      <c r="DN73" s="483">
        <f t="shared" si="124"/>
        <v>0.35516193603489832</v>
      </c>
      <c r="DO73" s="483">
        <f t="shared" si="315"/>
        <v>8.6010696208221233</v>
      </c>
      <c r="DP73" s="483">
        <f t="shared" si="316"/>
        <v>69.939512757456029</v>
      </c>
      <c r="DQ73" s="483">
        <f t="shared" si="317"/>
        <v>11.762161265524078</v>
      </c>
      <c r="DR73" s="483">
        <f t="shared" si="318"/>
        <v>27.29626318495681</v>
      </c>
      <c r="DS73" s="324">
        <v>1.29888</v>
      </c>
      <c r="DT73" s="324">
        <v>2.9231999999999996</v>
      </c>
      <c r="DU73" s="324">
        <v>2.2752000000000003</v>
      </c>
      <c r="DV73" s="324">
        <v>3.4416000000000002</v>
      </c>
      <c r="DW73" s="716"/>
      <c r="DX73" s="705">
        <v>41633</v>
      </c>
      <c r="DY73" s="716"/>
      <c r="DZ73" s="269">
        <f t="shared" si="264"/>
        <v>1.4053529529677999</v>
      </c>
      <c r="EA73" s="269">
        <f t="shared" si="319"/>
        <v>0.54103295296762788</v>
      </c>
      <c r="EB73" s="269">
        <f t="shared" si="314"/>
        <v>0.99903295296771466</v>
      </c>
      <c r="EC73" s="716"/>
      <c r="ED73" s="716"/>
      <c r="EE73" s="269">
        <f t="shared" si="242"/>
        <v>1.4053529529677999</v>
      </c>
      <c r="EF73" s="269">
        <f t="shared" si="243"/>
        <v>0.54103295296762788</v>
      </c>
      <c r="EG73" s="269">
        <f t="shared" si="244"/>
        <v>0.99903295296771466</v>
      </c>
      <c r="EH73" s="269">
        <f>AVERAGE(EH72,EH74)</f>
        <v>0.68023453025320346</v>
      </c>
      <c r="EI73" s="716"/>
      <c r="EJ73" s="717">
        <f t="shared" si="265"/>
        <v>672.03380414555852</v>
      </c>
      <c r="EK73" s="717">
        <f t="shared" si="266"/>
        <v>889.6747366759605</v>
      </c>
      <c r="EL73" s="717">
        <f t="shared" si="267"/>
        <v>651.85064991524598</v>
      </c>
      <c r="EM73" s="717">
        <f t="shared" si="268"/>
        <v>275.67386030324639</v>
      </c>
      <c r="EN73" s="716"/>
      <c r="EO73" s="269">
        <f t="shared" si="320"/>
        <v>0.79313563643456042</v>
      </c>
      <c r="EP73" s="269">
        <f t="shared" si="321"/>
        <v>6.9621957618253918E-2</v>
      </c>
      <c r="EQ73" s="269">
        <f t="shared" si="322"/>
        <v>0.78207923085348197</v>
      </c>
      <c r="ER73" s="269"/>
      <c r="ES73" s="716"/>
      <c r="ET73" s="718">
        <f t="shared" si="323"/>
        <v>379.27408757416896</v>
      </c>
      <c r="EU73" s="718">
        <f t="shared" si="324"/>
        <v>114.4863662576041</v>
      </c>
      <c r="EV73" s="718">
        <f t="shared" si="325"/>
        <v>510.29233160193144</v>
      </c>
      <c r="EW73" s="718"/>
      <c r="EX73" s="716"/>
      <c r="EY73" s="705">
        <v>41633</v>
      </c>
      <c r="EZ73" s="716"/>
      <c r="FA73" s="766">
        <f t="shared" si="273"/>
        <v>0.5057443635654395</v>
      </c>
      <c r="FB73" s="766">
        <f t="shared" si="274"/>
        <v>2.8535780423817458</v>
      </c>
      <c r="FC73" s="766">
        <f t="shared" si="275"/>
        <v>1.4931207691465183</v>
      </c>
      <c r="FD73" s="766">
        <f t="shared" si="276"/>
        <v>2.3939984227144446</v>
      </c>
      <c r="FE73" s="760"/>
      <c r="FF73" s="705">
        <v>41633</v>
      </c>
      <c r="FG73" s="760"/>
      <c r="FH73" s="766">
        <v>241.84480336723223</v>
      </c>
      <c r="FI73" s="766">
        <f t="shared" si="294"/>
        <v>4692.4245177949197</v>
      </c>
      <c r="FJ73" s="766">
        <f t="shared" si="295"/>
        <v>974.23387374646813</v>
      </c>
      <c r="FK73" s="766">
        <f t="shared" si="296"/>
        <v>970.19889082066481</v>
      </c>
      <c r="FL73" s="760"/>
      <c r="FM73" s="759">
        <f t="shared" si="277"/>
        <v>241.84480336723223</v>
      </c>
      <c r="FN73" s="759">
        <f t="shared" si="278"/>
        <v>4692.4245177949197</v>
      </c>
      <c r="FO73" s="759">
        <f t="shared" si="279"/>
        <v>974.23387374646813</v>
      </c>
      <c r="FP73" s="859">
        <f t="shared" si="280"/>
        <v>970.19889082066481</v>
      </c>
      <c r="FQ73" s="760"/>
      <c r="FR73" s="759">
        <f t="shared" si="281"/>
        <v>1293.1526950869597</v>
      </c>
      <c r="FS73" s="759">
        <f t="shared" si="282"/>
        <v>5696.5856207284851</v>
      </c>
      <c r="FT73" s="759">
        <f t="shared" si="283"/>
        <v>2136.3768552636457</v>
      </c>
      <c r="FU73" s="759">
        <f t="shared" si="284"/>
        <v>1245.8727511239113</v>
      </c>
      <c r="FV73" s="761"/>
      <c r="FW73" s="754">
        <v>41633</v>
      </c>
      <c r="FX73" s="761"/>
      <c r="FY73" s="759">
        <f t="shared" si="297"/>
        <v>359216.35363370983</v>
      </c>
      <c r="FZ73" s="759">
        <f t="shared" si="298"/>
        <v>688781.44706417527</v>
      </c>
      <c r="GA73" s="759">
        <f t="shared" si="299"/>
        <v>322527.81976000144</v>
      </c>
      <c r="GB73" s="759">
        <f t="shared" si="300"/>
        <v>366019.36189643637</v>
      </c>
      <c r="GC73" s="760"/>
      <c r="GD73" s="759">
        <f t="shared" si="285"/>
        <v>0.95004140756694744</v>
      </c>
      <c r="GE73" s="759">
        <f t="shared" si="285"/>
        <v>0.90298846437126234</v>
      </c>
      <c r="GF73" s="759">
        <f t="shared" si="286"/>
        <v>0.86592572247637301</v>
      </c>
      <c r="GG73" s="759">
        <f t="shared" si="287"/>
        <v>0.95527193567768431</v>
      </c>
      <c r="GH73" s="716"/>
      <c r="GI73" s="756">
        <f t="shared" si="288"/>
        <v>0</v>
      </c>
      <c r="GJ73" s="756">
        <f t="shared" si="289"/>
        <v>0</v>
      </c>
      <c r="GK73" s="756">
        <f t="shared" si="290"/>
        <v>0</v>
      </c>
      <c r="GL73" s="756">
        <f t="shared" si="291"/>
        <v>0</v>
      </c>
      <c r="GM73" s="716"/>
    </row>
    <row r="74" spans="1:195" s="134" customFormat="1">
      <c r="A74" s="705">
        <v>41634</v>
      </c>
      <c r="B74" s="706">
        <v>0</v>
      </c>
      <c r="C74" s="497">
        <f t="shared" si="246"/>
        <v>12</v>
      </c>
      <c r="D74" s="274">
        <v>1.6355713718672651</v>
      </c>
      <c r="E74" s="274">
        <v>2.2215100794748581</v>
      </c>
      <c r="F74" s="274">
        <v>1.1733069915397627</v>
      </c>
      <c r="G74" s="276">
        <v>1.6847999999999999</v>
      </c>
      <c r="H74" s="734"/>
      <c r="I74" s="705">
        <v>41634</v>
      </c>
      <c r="J74" s="270">
        <f t="shared" si="229"/>
        <v>1.6355713718672651</v>
      </c>
      <c r="K74" s="270">
        <f t="shared" si="230"/>
        <v>2.2215100794748581</v>
      </c>
      <c r="L74" s="270">
        <f t="shared" si="231"/>
        <v>1.1733069915397627</v>
      </c>
      <c r="M74" s="270">
        <f t="shared" si="232"/>
        <v>1.6847999999999999</v>
      </c>
      <c r="N74" s="734"/>
      <c r="O74" s="705">
        <v>41634</v>
      </c>
      <c r="P74" s="270">
        <f t="shared" si="233"/>
        <v>1.6355713718672651</v>
      </c>
      <c r="Q74" s="270">
        <f t="shared" si="234"/>
        <v>2.2215100794748581</v>
      </c>
      <c r="R74" s="270">
        <f t="shared" si="235"/>
        <v>1.1733069915397627</v>
      </c>
      <c r="S74" s="270">
        <f t="shared" si="236"/>
        <v>1.6847999999999999</v>
      </c>
      <c r="T74" s="705">
        <v>41634</v>
      </c>
      <c r="U74" s="291">
        <v>1.6355713718672651</v>
      </c>
      <c r="V74" s="291">
        <v>2.2215100794748581</v>
      </c>
      <c r="W74" s="291">
        <v>1.1733069915397627</v>
      </c>
      <c r="X74" s="291">
        <v>1.6847999999999999</v>
      </c>
      <c r="Y74" s="734"/>
      <c r="Z74" s="705">
        <v>41634</v>
      </c>
      <c r="AA74" s="707">
        <v>41634</v>
      </c>
      <c r="AB74" s="497">
        <f t="shared" si="247"/>
        <v>12</v>
      </c>
      <c r="AC74" s="266">
        <v>1.0514010906809603</v>
      </c>
      <c r="AD74" s="291">
        <v>1.6355713718672651</v>
      </c>
      <c r="AE74" s="291">
        <f t="shared" si="301"/>
        <v>763.14297602482702</v>
      </c>
      <c r="AF74" s="161">
        <v>2.2421010906809613</v>
      </c>
      <c r="AG74" s="291">
        <v>2.2215100794748581</v>
      </c>
      <c r="AH74" s="291">
        <f t="shared" si="302"/>
        <v>3495.521532378365</v>
      </c>
      <c r="AI74" s="161">
        <v>2.5453010906809608</v>
      </c>
      <c r="AJ74" s="291">
        <v>1.1733069915397627</v>
      </c>
      <c r="AK74" s="291">
        <f t="shared" si="303"/>
        <v>747.50559159423676</v>
      </c>
      <c r="AL74" s="161">
        <v>1.9459010906809602</v>
      </c>
      <c r="AM74" s="291">
        <v>1.6847999999999999</v>
      </c>
      <c r="AN74" s="291">
        <f t="shared" si="304"/>
        <v>634.13019248977525</v>
      </c>
      <c r="AO74" s="705">
        <v>41634</v>
      </c>
      <c r="AP74" s="463">
        <v>4.6659105750523002</v>
      </c>
      <c r="AQ74" s="463">
        <v>15.734889365006483</v>
      </c>
      <c r="AR74" s="463">
        <v>6.3709293218585952</v>
      </c>
      <c r="AS74" s="463">
        <v>3.7638306771710304</v>
      </c>
      <c r="AT74" s="463">
        <f t="shared" si="305"/>
        <v>0.166639663394725</v>
      </c>
      <c r="AU74" s="463">
        <f t="shared" si="306"/>
        <v>0.26669304008485561</v>
      </c>
      <c r="AV74" s="463">
        <f t="shared" si="307"/>
        <v>0.31854646609292975</v>
      </c>
      <c r="AW74" s="463">
        <f t="shared" si="308"/>
        <v>0.19809635143005422</v>
      </c>
      <c r="AY74" s="266">
        <v>1.0514010906809603</v>
      </c>
      <c r="AZ74" s="161">
        <v>2.2421010906809613</v>
      </c>
      <c r="BA74" s="161">
        <v>2.5453010906809608</v>
      </c>
      <c r="BB74" s="161">
        <v>1.9459010906809602</v>
      </c>
      <c r="BE74" s="134">
        <v>-7.4042862813273524E-3</v>
      </c>
      <c r="BF74" s="134">
        <v>-6.8089920525141732E-4</v>
      </c>
      <c r="BG74" s="134">
        <v>-7.7069300846023701E-3</v>
      </c>
      <c r="BH74" s="134">
        <v>0</v>
      </c>
      <c r="BJ74" s="508">
        <v>6.4400068683307943</v>
      </c>
      <c r="BK74" s="508">
        <v>13.119391483716019</v>
      </c>
      <c r="BL74" s="508">
        <v>18.052314560637839</v>
      </c>
      <c r="BM74" s="508">
        <v>3.1981607144855073</v>
      </c>
      <c r="BO74" s="705">
        <v>41634</v>
      </c>
      <c r="BP74" s="324">
        <v>0</v>
      </c>
      <c r="BQ74" s="1">
        <v>5035950</v>
      </c>
      <c r="BR74" s="1">
        <v>11127132</v>
      </c>
      <c r="BS74" s="1">
        <v>6310099.7999999998</v>
      </c>
      <c r="BT74" s="1">
        <v>5970600</v>
      </c>
      <c r="BU74" s="708">
        <v>153402.67665978591</v>
      </c>
      <c r="BV74" s="708">
        <v>509866.00211189309</v>
      </c>
      <c r="BW74" s="708">
        <v>144414.10030668529</v>
      </c>
      <c r="BX74" s="708">
        <v>214415.58927759767</v>
      </c>
      <c r="BY74" s="709">
        <f t="shared" si="252"/>
        <v>0</v>
      </c>
      <c r="BZ74" s="709">
        <f t="shared" si="253"/>
        <v>0</v>
      </c>
      <c r="CA74" s="709">
        <f t="shared" si="254"/>
        <v>0</v>
      </c>
      <c r="CB74" s="709">
        <f t="shared" si="255"/>
        <v>0</v>
      </c>
      <c r="CC74" s="475">
        <f t="shared" si="256"/>
        <v>0</v>
      </c>
      <c r="CD74" s="475">
        <f t="shared" si="257"/>
        <v>0</v>
      </c>
      <c r="CE74" s="475">
        <f t="shared" si="258"/>
        <v>0</v>
      </c>
      <c r="CF74" s="475">
        <f t="shared" si="259"/>
        <v>0</v>
      </c>
      <c r="CG74" s="302">
        <f t="shared" si="309"/>
        <v>0</v>
      </c>
      <c r="CH74" s="302">
        <f t="shared" si="310"/>
        <v>0</v>
      </c>
      <c r="CI74" s="302">
        <f t="shared" si="311"/>
        <v>0</v>
      </c>
      <c r="CJ74" s="302">
        <f t="shared" si="312"/>
        <v>0</v>
      </c>
      <c r="CK74" s="302">
        <f t="shared" si="313"/>
        <v>0</v>
      </c>
      <c r="CL74" s="302">
        <f t="shared" si="313"/>
        <v>0</v>
      </c>
      <c r="CM74" s="302">
        <f t="shared" si="313"/>
        <v>0</v>
      </c>
      <c r="CN74" s="302">
        <f t="shared" si="313"/>
        <v>0</v>
      </c>
      <c r="CO74" s="710">
        <f t="shared" si="237"/>
        <v>0</v>
      </c>
      <c r="CP74" s="710">
        <f t="shared" si="238"/>
        <v>0</v>
      </c>
      <c r="CQ74" s="710">
        <f t="shared" si="239"/>
        <v>0</v>
      </c>
      <c r="CR74" s="710">
        <f t="shared" si="240"/>
        <v>0</v>
      </c>
      <c r="CS74" s="705">
        <v>41634</v>
      </c>
      <c r="CT74" s="711">
        <v>0.96699999999999997</v>
      </c>
      <c r="CU74" s="735">
        <v>0.96299999999999997</v>
      </c>
      <c r="CV74" s="713">
        <v>0.878</v>
      </c>
      <c r="CW74" s="714">
        <v>0.93400000000000005</v>
      </c>
      <c r="CY74" s="727">
        <v>3.0200006868330798E-2</v>
      </c>
      <c r="CZ74" s="727">
        <v>3.6015391483716019E-2</v>
      </c>
      <c r="DA74" s="727">
        <v>3.7492314560637841E-2</v>
      </c>
      <c r="DB74" s="736">
        <v>2.0046160714485506E-2</v>
      </c>
      <c r="DC74" s="463">
        <f t="shared" si="248"/>
        <v>-3.040450593047872</v>
      </c>
      <c r="DD74" s="463">
        <f t="shared" si="249"/>
        <v>-3.6204505930479414</v>
      </c>
      <c r="DE74" s="463">
        <f t="shared" si="250"/>
        <v>-3.7104505930479093</v>
      </c>
      <c r="DF74" s="463">
        <f t="shared" si="251"/>
        <v>-1.9804505930478555</v>
      </c>
      <c r="DG74" s="483">
        <f t="shared" si="260"/>
        <v>3.040450593047872</v>
      </c>
      <c r="DH74" s="483">
        <f t="shared" si="261"/>
        <v>3.6204505930479414</v>
      </c>
      <c r="DI74" s="483">
        <f t="shared" si="262"/>
        <v>3.7104505930479093</v>
      </c>
      <c r="DJ74" s="483">
        <f t="shared" si="263"/>
        <v>1.9804505930478555</v>
      </c>
      <c r="DK74" s="483">
        <f t="shared" si="121"/>
        <v>0.11604688784959372</v>
      </c>
      <c r="DL74" s="483">
        <f t="shared" si="122"/>
        <v>0.70911338558370751</v>
      </c>
      <c r="DM74" s="483">
        <f t="shared" si="123"/>
        <v>0.15388698153626912</v>
      </c>
      <c r="DN74" s="483">
        <f t="shared" si="124"/>
        <v>0.28879893868561224</v>
      </c>
      <c r="DO74" s="483">
        <f t="shared" si="315"/>
        <v>8.820870724591428</v>
      </c>
      <c r="DP74" s="483">
        <f t="shared" si="316"/>
        <v>64.182749434369185</v>
      </c>
      <c r="DQ74" s="483">
        <f t="shared" si="317"/>
        <v>14.274751047590062</v>
      </c>
      <c r="DR74" s="483">
        <f t="shared" si="318"/>
        <v>14.2988007347878</v>
      </c>
      <c r="DS74" s="324">
        <v>2.3760000000000003</v>
      </c>
      <c r="DT74" s="324">
        <v>2.2896000000000001</v>
      </c>
      <c r="DU74" s="324">
        <v>1.944</v>
      </c>
      <c r="DV74" s="324">
        <v>1.6847999999999999</v>
      </c>
      <c r="DW74" s="716"/>
      <c r="DX74" s="705">
        <v>41634</v>
      </c>
      <c r="DY74" s="716"/>
      <c r="DZ74" s="269">
        <f t="shared" si="264"/>
        <v>0.66445059304787168</v>
      </c>
      <c r="EA74" s="269">
        <f t="shared" si="319"/>
        <v>1.3308505930479413</v>
      </c>
      <c r="EB74" s="269">
        <f t="shared" si="314"/>
        <v>1.7664505930479093</v>
      </c>
      <c r="EC74" s="716">
        <f t="shared" ref="EC74:EC79" si="326">-DF74-DV74</f>
        <v>0.29565059304785568</v>
      </c>
      <c r="ED74" s="716"/>
      <c r="EE74" s="269">
        <f t="shared" si="242"/>
        <v>0.66445059304787168</v>
      </c>
      <c r="EF74" s="269">
        <f t="shared" si="243"/>
        <v>1.3308505930479413</v>
      </c>
      <c r="EG74" s="269">
        <f t="shared" si="244"/>
        <v>1.7664505930479093</v>
      </c>
      <c r="EH74" s="269">
        <f t="shared" si="245"/>
        <v>0.29565059304785568</v>
      </c>
      <c r="EI74" s="716"/>
      <c r="EJ74" s="717">
        <f t="shared" si="265"/>
        <v>310.02670487018372</v>
      </c>
      <c r="EK74" s="717">
        <f t="shared" si="266"/>
        <v>2094.0786842962621</v>
      </c>
      <c r="EL74" s="717">
        <f t="shared" si="267"/>
        <v>1125.3931878863432</v>
      </c>
      <c r="EM74" s="717">
        <f t="shared" si="268"/>
        <v>111.27787718373274</v>
      </c>
      <c r="EN74" s="716"/>
      <c r="EO74" s="269">
        <f t="shared" si="320"/>
        <v>0.74042862813273524</v>
      </c>
      <c r="EP74" s="269">
        <f t="shared" si="321"/>
        <v>6.8089920525141734E-2</v>
      </c>
      <c r="EQ74" s="269">
        <f t="shared" si="322"/>
        <v>0.77069300846023703</v>
      </c>
      <c r="ER74" s="269"/>
      <c r="ES74" s="716"/>
      <c r="ET74" s="718">
        <f t="shared" si="323"/>
        <v>345.47737660759964</v>
      </c>
      <c r="EU74" s="718">
        <f t="shared" si="324"/>
        <v>107.13873663351893</v>
      </c>
      <c r="EV74" s="718">
        <f t="shared" si="325"/>
        <v>491.00306857507383</v>
      </c>
      <c r="EW74" s="718"/>
      <c r="EX74" s="716"/>
      <c r="EY74" s="705">
        <v>41634</v>
      </c>
      <c r="EZ74" s="716"/>
      <c r="FA74" s="766">
        <f t="shared" si="273"/>
        <v>1.6355713718672651</v>
      </c>
      <c r="FB74" s="766">
        <f t="shared" si="274"/>
        <v>2.2215100794748581</v>
      </c>
      <c r="FC74" s="766">
        <f t="shared" si="275"/>
        <v>1.1733069915397629</v>
      </c>
      <c r="FD74" s="766">
        <f t="shared" si="276"/>
        <v>1.6847999999999999</v>
      </c>
      <c r="FE74" s="760"/>
      <c r="FF74" s="705">
        <v>41634</v>
      </c>
      <c r="FG74" s="760"/>
      <c r="FH74" s="766">
        <v>763.14297602482702</v>
      </c>
      <c r="FI74" s="766">
        <f t="shared" si="294"/>
        <v>3495.521532378365</v>
      </c>
      <c r="FJ74" s="766">
        <f t="shared" si="295"/>
        <v>747.50559159423699</v>
      </c>
      <c r="FK74" s="766">
        <f t="shared" si="296"/>
        <v>634.13019248977525</v>
      </c>
      <c r="FL74" s="760"/>
      <c r="FM74" s="759">
        <f t="shared" si="277"/>
        <v>763.14297602482702</v>
      </c>
      <c r="FN74" s="759">
        <f t="shared" si="278"/>
        <v>3495.521532378365</v>
      </c>
      <c r="FO74" s="759">
        <f t="shared" si="279"/>
        <v>747.50559159423699</v>
      </c>
      <c r="FP74" s="859">
        <f t="shared" si="280"/>
        <v>634.13019248977525</v>
      </c>
      <c r="FQ74" s="760"/>
      <c r="FR74" s="759">
        <f t="shared" si="281"/>
        <v>1418.6470575026103</v>
      </c>
      <c r="FS74" s="759">
        <f t="shared" si="282"/>
        <v>5696.7389533081459</v>
      </c>
      <c r="FT74" s="759">
        <f t="shared" si="283"/>
        <v>2363.9018480556542</v>
      </c>
      <c r="FU74" s="759">
        <f t="shared" si="284"/>
        <v>745.40806967350795</v>
      </c>
      <c r="FV74" s="761"/>
      <c r="FW74" s="754">
        <v>41634</v>
      </c>
      <c r="FX74" s="761"/>
      <c r="FY74" s="759">
        <f t="shared" si="297"/>
        <v>360635.00069121242</v>
      </c>
      <c r="FZ74" s="759">
        <f t="shared" si="298"/>
        <v>694478.18601748347</v>
      </c>
      <c r="GA74" s="759">
        <f t="shared" si="299"/>
        <v>324891.72160805709</v>
      </c>
      <c r="GB74" s="759">
        <f t="shared" si="300"/>
        <v>366764.76996610989</v>
      </c>
      <c r="GC74" s="760"/>
      <c r="GD74" s="759">
        <f t="shared" si="285"/>
        <v>0.95379338999680308</v>
      </c>
      <c r="GE74" s="759">
        <f t="shared" si="285"/>
        <v>0.91045685595076498</v>
      </c>
      <c r="GF74" s="759">
        <f t="shared" si="286"/>
        <v>0.87227234838034617</v>
      </c>
      <c r="GG74" s="759">
        <f t="shared" si="287"/>
        <v>0.95721737213191282</v>
      </c>
      <c r="GH74" s="716"/>
      <c r="GI74" s="756">
        <f t="shared" si="288"/>
        <v>0</v>
      </c>
      <c r="GJ74" s="756">
        <f t="shared" si="289"/>
        <v>0</v>
      </c>
      <c r="GK74" s="756">
        <f t="shared" si="290"/>
        <v>0</v>
      </c>
      <c r="GL74" s="756">
        <f t="shared" si="291"/>
        <v>0</v>
      </c>
      <c r="GM74" s="716"/>
    </row>
    <row r="75" spans="1:195" s="134" customFormat="1">
      <c r="A75" s="705">
        <v>41635</v>
      </c>
      <c r="B75" s="706">
        <v>0</v>
      </c>
      <c r="C75" s="497">
        <f t="shared" si="246"/>
        <v>13</v>
      </c>
      <c r="D75" s="274">
        <v>0.87777292866804757</v>
      </c>
      <c r="E75" s="274">
        <v>1.8489628663529076</v>
      </c>
      <c r="F75" s="274">
        <v>1.3886855674006375</v>
      </c>
      <c r="G75" s="276">
        <v>0.91871999999999998</v>
      </c>
      <c r="H75" s="734"/>
      <c r="I75" s="705">
        <v>41635</v>
      </c>
      <c r="J75" s="270">
        <f t="shared" si="229"/>
        <v>0.87777292866804757</v>
      </c>
      <c r="K75" s="270">
        <f t="shared" si="230"/>
        <v>1.8489628663529076</v>
      </c>
      <c r="L75" s="270">
        <f t="shared" si="231"/>
        <v>1.3886855674006375</v>
      </c>
      <c r="M75" s="270">
        <f t="shared" si="232"/>
        <v>0.91871999999999998</v>
      </c>
      <c r="N75" s="734"/>
      <c r="O75" s="705">
        <v>41635</v>
      </c>
      <c r="P75" s="270">
        <f t="shared" si="233"/>
        <v>0.87777292866804757</v>
      </c>
      <c r="Q75" s="270">
        <f t="shared" si="234"/>
        <v>1.8489628663529076</v>
      </c>
      <c r="R75" s="270">
        <f t="shared" si="235"/>
        <v>1.3886855674006375</v>
      </c>
      <c r="S75" s="270">
        <f t="shared" si="236"/>
        <v>0.91871999999999998</v>
      </c>
      <c r="T75" s="705">
        <v>41635</v>
      </c>
      <c r="U75" s="291">
        <v>0.87777292866804757</v>
      </c>
      <c r="V75" s="291">
        <v>1.8489628663529076</v>
      </c>
      <c r="W75" s="291">
        <v>1.3886855674006375</v>
      </c>
      <c r="X75" s="291">
        <v>0.91871999999999998</v>
      </c>
      <c r="Y75" s="734"/>
      <c r="Z75" s="705">
        <v>41635</v>
      </c>
      <c r="AA75" s="707">
        <v>41635</v>
      </c>
      <c r="AB75" s="497">
        <f t="shared" si="247"/>
        <v>13</v>
      </c>
      <c r="AC75" s="266">
        <v>1.0209965847504816</v>
      </c>
      <c r="AD75" s="291">
        <v>0.87777292866804757</v>
      </c>
      <c r="AE75" s="291">
        <f t="shared" si="301"/>
        <v>398.28548362244328</v>
      </c>
      <c r="AF75" s="161">
        <v>2.2058965847504819</v>
      </c>
      <c r="AG75" s="291">
        <v>1.8489628663529076</v>
      </c>
      <c r="AH75" s="291">
        <f t="shared" si="302"/>
        <v>2783.49819508678</v>
      </c>
      <c r="AI75" s="161">
        <v>2.5081965847504817</v>
      </c>
      <c r="AJ75" s="291">
        <v>1.3886855674006375</v>
      </c>
      <c r="AK75" s="291">
        <f t="shared" si="303"/>
        <v>864.69085850993531</v>
      </c>
      <c r="AL75" s="161">
        <v>1.9260965847504816</v>
      </c>
      <c r="AM75" s="291">
        <v>0.91871999999999998</v>
      </c>
      <c r="AN75" s="291">
        <f t="shared" si="304"/>
        <v>328.82927924945426</v>
      </c>
      <c r="AO75" s="705">
        <v>41635</v>
      </c>
      <c r="AP75" s="463">
        <v>4.5374546265263689</v>
      </c>
      <c r="AQ75" s="463">
        <v>15.054375865196524</v>
      </c>
      <c r="AR75" s="463">
        <v>6.2266857149561696</v>
      </c>
      <c r="AS75" s="463">
        <v>3.5792110681105695</v>
      </c>
      <c r="AT75" s="463">
        <f t="shared" si="305"/>
        <v>0.16205195094737032</v>
      </c>
      <c r="AU75" s="463">
        <f t="shared" si="306"/>
        <v>0.25515891296943261</v>
      </c>
      <c r="AV75" s="463">
        <f t="shared" si="307"/>
        <v>0.31133428574780847</v>
      </c>
      <c r="AW75" s="463">
        <f t="shared" si="308"/>
        <v>0.18837952990055629</v>
      </c>
      <c r="AY75" s="266">
        <v>1.0209965847504816</v>
      </c>
      <c r="AZ75" s="161">
        <v>2.2058965847504819</v>
      </c>
      <c r="BA75" s="161">
        <v>2.5081965847504817</v>
      </c>
      <c r="BB75" s="161">
        <v>1.9260965847504816</v>
      </c>
      <c r="BE75" s="134">
        <v>-6.7742707133195239E-3</v>
      </c>
      <c r="BF75" s="134">
        <v>-6.6237133647092234E-4</v>
      </c>
      <c r="BG75" s="134">
        <v>-7.5691443259936243E-3</v>
      </c>
      <c r="BH75" s="134">
        <v>0</v>
      </c>
      <c r="BJ75" s="508">
        <v>13.653082301191677</v>
      </c>
      <c r="BK75" s="508">
        <v>17.09923614734527</v>
      </c>
      <c r="BL75" s="508">
        <v>17.564466916577235</v>
      </c>
      <c r="BM75" s="508">
        <v>9.3101899934992574</v>
      </c>
      <c r="BO75" s="705">
        <v>41635</v>
      </c>
      <c r="BP75" s="324">
        <v>0</v>
      </c>
      <c r="BQ75" s="1">
        <v>5035950</v>
      </c>
      <c r="BR75" s="1">
        <v>11127132</v>
      </c>
      <c r="BS75" s="1">
        <v>6310099.7999999998</v>
      </c>
      <c r="BT75" s="1">
        <v>5970600</v>
      </c>
      <c r="BU75" s="708">
        <v>153402.67665978591</v>
      </c>
      <c r="BV75" s="708">
        <v>509866.00211189309</v>
      </c>
      <c r="BW75" s="708">
        <v>144414.10030668529</v>
      </c>
      <c r="BX75" s="708">
        <v>214415.58927759767</v>
      </c>
      <c r="BY75" s="709">
        <f t="shared" si="252"/>
        <v>0</v>
      </c>
      <c r="BZ75" s="709">
        <f t="shared" si="253"/>
        <v>0</v>
      </c>
      <c r="CA75" s="709">
        <f t="shared" si="254"/>
        <v>0</v>
      </c>
      <c r="CB75" s="709">
        <f t="shared" si="255"/>
        <v>0</v>
      </c>
      <c r="CC75" s="475">
        <f t="shared" si="256"/>
        <v>0</v>
      </c>
      <c r="CD75" s="475">
        <f t="shared" si="257"/>
        <v>0</v>
      </c>
      <c r="CE75" s="475">
        <f t="shared" si="258"/>
        <v>0</v>
      </c>
      <c r="CF75" s="475">
        <f t="shared" si="259"/>
        <v>0</v>
      </c>
      <c r="CG75" s="302">
        <f t="shared" si="309"/>
        <v>0</v>
      </c>
      <c r="CH75" s="302">
        <f t="shared" si="310"/>
        <v>0</v>
      </c>
      <c r="CI75" s="302">
        <f t="shared" si="311"/>
        <v>0</v>
      </c>
      <c r="CJ75" s="302">
        <f t="shared" si="312"/>
        <v>0</v>
      </c>
      <c r="CK75" s="302">
        <f t="shared" si="313"/>
        <v>0</v>
      </c>
      <c r="CL75" s="302">
        <f t="shared" si="313"/>
        <v>0</v>
      </c>
      <c r="CM75" s="302">
        <f t="shared" si="313"/>
        <v>0</v>
      </c>
      <c r="CN75" s="302">
        <f t="shared" si="313"/>
        <v>0</v>
      </c>
      <c r="CO75" s="710">
        <f t="shared" si="237"/>
        <v>0</v>
      </c>
      <c r="CP75" s="710">
        <f t="shared" si="238"/>
        <v>0</v>
      </c>
      <c r="CQ75" s="710">
        <f t="shared" si="239"/>
        <v>0</v>
      </c>
      <c r="CR75" s="710">
        <f t="shared" si="240"/>
        <v>0</v>
      </c>
      <c r="CS75" s="705">
        <v>41635</v>
      </c>
      <c r="CT75" s="711">
        <v>0.90200000000000002</v>
      </c>
      <c r="CU75" s="735">
        <v>0.94099999999999995</v>
      </c>
      <c r="CV75" s="713">
        <v>0.92</v>
      </c>
      <c r="CW75" s="714">
        <v>0.82199999999999995</v>
      </c>
      <c r="CY75" s="727">
        <v>2.9205082301191676E-2</v>
      </c>
      <c r="CZ75" s="727">
        <v>3.6251236147345267E-2</v>
      </c>
      <c r="DA75" s="727">
        <v>3.9020466916577234E-2</v>
      </c>
      <c r="DB75" s="736">
        <v>1.8497389993499258E-2</v>
      </c>
      <c r="DC75" s="463">
        <f t="shared" si="248"/>
        <v>-2.870981745011203</v>
      </c>
      <c r="DD75" s="463">
        <f t="shared" si="249"/>
        <v>-3.6209817450112425</v>
      </c>
      <c r="DE75" s="463">
        <f t="shared" si="250"/>
        <v>-3.9109817450112772</v>
      </c>
      <c r="DF75" s="463">
        <f t="shared" si="251"/>
        <v>-1.8709817450112354</v>
      </c>
      <c r="DG75" s="483">
        <f t="shared" si="260"/>
        <v>2.870981745011203</v>
      </c>
      <c r="DH75" s="483">
        <f t="shared" si="261"/>
        <v>3.6209817450112425</v>
      </c>
      <c r="DI75" s="483">
        <f t="shared" si="262"/>
        <v>3.9109817450112772</v>
      </c>
      <c r="DJ75" s="483">
        <f t="shared" si="263"/>
        <v>1.8709817450112354</v>
      </c>
      <c r="DK75" s="483">
        <f t="shared" si="121"/>
        <v>0.12845594852593134</v>
      </c>
      <c r="DL75" s="483">
        <f t="shared" si="122"/>
        <v>0.68051349980995823</v>
      </c>
      <c r="DM75" s="483">
        <f t="shared" si="123"/>
        <v>0.14424360690242555</v>
      </c>
      <c r="DN75" s="483">
        <f t="shared" si="124"/>
        <v>0.18461960906046082</v>
      </c>
      <c r="DO75" s="483">
        <f t="shared" si="315"/>
        <v>9.2198670814011887</v>
      </c>
      <c r="DP75" s="483">
        <f t="shared" si="316"/>
        <v>61.603174001139259</v>
      </c>
      <c r="DQ75" s="483">
        <f t="shared" si="317"/>
        <v>14.103352835749224</v>
      </c>
      <c r="DR75" s="483">
        <f t="shared" si="318"/>
        <v>8.6354979580808262</v>
      </c>
      <c r="DS75" s="324">
        <v>1.5551999999999999</v>
      </c>
      <c r="DT75" s="324">
        <v>1.9151999999999998</v>
      </c>
      <c r="DU75" s="324">
        <v>2.1456</v>
      </c>
      <c r="DV75" s="324">
        <v>0.91871999999999998</v>
      </c>
      <c r="DW75" s="716"/>
      <c r="DX75" s="705">
        <v>41635</v>
      </c>
      <c r="DY75" s="716"/>
      <c r="DZ75" s="269">
        <f t="shared" si="264"/>
        <v>1.315781745011203</v>
      </c>
      <c r="EA75" s="269">
        <f t="shared" si="319"/>
        <v>1.7057817450112427</v>
      </c>
      <c r="EB75" s="269">
        <f t="shared" si="314"/>
        <v>1.7653817450112772</v>
      </c>
      <c r="EC75" s="716">
        <f t="shared" si="326"/>
        <v>0.95226174501123539</v>
      </c>
      <c r="ED75" s="716"/>
      <c r="EE75" s="269">
        <f t="shared" si="242"/>
        <v>1.315781745011203</v>
      </c>
      <c r="EF75" s="269">
        <f t="shared" si="243"/>
        <v>1.7057817450112427</v>
      </c>
      <c r="EG75" s="269">
        <f t="shared" si="244"/>
        <v>1.7653817450112772</v>
      </c>
      <c r="EH75" s="269">
        <f t="shared" si="245"/>
        <v>0.95226174501123539</v>
      </c>
      <c r="EI75" s="716"/>
      <c r="EJ75" s="717">
        <f t="shared" si="265"/>
        <v>597.0299966400022</v>
      </c>
      <c r="EK75" s="717">
        <f t="shared" si="266"/>
        <v>2567.9479533390063</v>
      </c>
      <c r="EL75" s="717">
        <f t="shared" si="267"/>
        <v>1099.2477293106115</v>
      </c>
      <c r="EM75" s="717">
        <f t="shared" si="268"/>
        <v>340.83457774824984</v>
      </c>
      <c r="EN75" s="716"/>
      <c r="EO75" s="269">
        <f t="shared" si="320"/>
        <v>0.67742707133195235</v>
      </c>
      <c r="EP75" s="269">
        <f t="shared" si="321"/>
        <v>6.6237133647092231E-2</v>
      </c>
      <c r="EQ75" s="269">
        <f t="shared" si="322"/>
        <v>0.75691443259936242</v>
      </c>
      <c r="ER75" s="269"/>
      <c r="ES75" s="716"/>
      <c r="ET75" s="718">
        <f t="shared" si="323"/>
        <v>307.37945989493761</v>
      </c>
      <c r="EU75" s="718">
        <f t="shared" si="324"/>
        <v>99.71587061565819</v>
      </c>
      <c r="EV75" s="718">
        <f t="shared" si="325"/>
        <v>471.3068284910604</v>
      </c>
      <c r="EW75" s="718"/>
      <c r="EX75" s="716"/>
      <c r="EY75" s="705">
        <v>41635</v>
      </c>
      <c r="EZ75" s="716"/>
      <c r="FA75" s="766">
        <f t="shared" si="273"/>
        <v>0.87777292866804757</v>
      </c>
      <c r="FB75" s="766">
        <f t="shared" si="274"/>
        <v>1.8489628663529076</v>
      </c>
      <c r="FC75" s="766">
        <f t="shared" si="275"/>
        <v>1.3886855674006373</v>
      </c>
      <c r="FD75" s="766">
        <f t="shared" si="276"/>
        <v>0.91871999999999998</v>
      </c>
      <c r="FE75" s="760"/>
      <c r="FF75" s="705">
        <v>41635</v>
      </c>
      <c r="FG75" s="760"/>
      <c r="FH75" s="766">
        <v>398.28548362244328</v>
      </c>
      <c r="FI75" s="766">
        <f t="shared" si="294"/>
        <v>2783.49819508678</v>
      </c>
      <c r="FJ75" s="766">
        <f t="shared" si="295"/>
        <v>864.69085850993508</v>
      </c>
      <c r="FK75" s="766">
        <f t="shared" si="296"/>
        <v>328.82927924945426</v>
      </c>
      <c r="FL75" s="760"/>
      <c r="FM75" s="759">
        <f t="shared" si="277"/>
        <v>398.28548362244328</v>
      </c>
      <c r="FN75" s="759">
        <f t="shared" si="278"/>
        <v>2783.49819508678</v>
      </c>
      <c r="FO75" s="759">
        <f t="shared" si="279"/>
        <v>864.69085850993508</v>
      </c>
      <c r="FP75" s="859">
        <f t="shared" si="280"/>
        <v>328.82927924945426</v>
      </c>
      <c r="FQ75" s="760"/>
      <c r="FR75" s="759">
        <f t="shared" si="281"/>
        <v>1302.6949401573829</v>
      </c>
      <c r="FS75" s="759">
        <f t="shared" si="282"/>
        <v>5451.1620190414451</v>
      </c>
      <c r="FT75" s="759">
        <f t="shared" si="283"/>
        <v>2435.2454163116072</v>
      </c>
      <c r="FU75" s="759">
        <f t="shared" si="284"/>
        <v>669.6638569977041</v>
      </c>
      <c r="FV75" s="761"/>
      <c r="FW75" s="754">
        <v>41635</v>
      </c>
      <c r="FX75" s="761"/>
      <c r="FY75" s="759">
        <f t="shared" si="297"/>
        <v>361937.69563136983</v>
      </c>
      <c r="FZ75" s="759">
        <f t="shared" si="298"/>
        <v>699929.34803652496</v>
      </c>
      <c r="GA75" s="759">
        <f t="shared" si="299"/>
        <v>327326.9670243687</v>
      </c>
      <c r="GB75" s="759">
        <f t="shared" si="300"/>
        <v>367434.43382310757</v>
      </c>
      <c r="GC75" s="760"/>
      <c r="GD75" s="759">
        <f t="shared" si="285"/>
        <v>0.95723870678725043</v>
      </c>
      <c r="GE75" s="759">
        <f t="shared" si="285"/>
        <v>0.9176032976001357</v>
      </c>
      <c r="GF75" s="759">
        <f t="shared" si="286"/>
        <v>0.87881051816705191</v>
      </c>
      <c r="GG75" s="759">
        <f t="shared" si="287"/>
        <v>0.95896512417872548</v>
      </c>
      <c r="GH75" s="716"/>
      <c r="GI75" s="756">
        <f t="shared" si="288"/>
        <v>0</v>
      </c>
      <c r="GJ75" s="756">
        <f t="shared" si="289"/>
        <v>0</v>
      </c>
      <c r="GK75" s="756">
        <f t="shared" si="290"/>
        <v>0</v>
      </c>
      <c r="GL75" s="756">
        <f t="shared" si="291"/>
        <v>0</v>
      </c>
      <c r="GM75" s="716"/>
    </row>
    <row r="76" spans="1:195" s="134" customFormat="1">
      <c r="A76" s="705">
        <v>41636</v>
      </c>
      <c r="B76" s="706">
        <v>0</v>
      </c>
      <c r="C76" s="497">
        <f t="shared" si="246"/>
        <v>14</v>
      </c>
      <c r="D76" s="274">
        <v>0.76843228316337775</v>
      </c>
      <c r="E76" s="274">
        <v>1.6639015834679183</v>
      </c>
      <c r="F76" s="274">
        <v>2.0090834447837609</v>
      </c>
      <c r="G76" s="276">
        <v>0.97055999999999998</v>
      </c>
      <c r="H76" s="734"/>
      <c r="I76" s="705">
        <v>41636</v>
      </c>
      <c r="J76" s="270">
        <f t="shared" si="229"/>
        <v>0.76843228316337775</v>
      </c>
      <c r="K76" s="270">
        <f t="shared" si="230"/>
        <v>1.6639015834679183</v>
      </c>
      <c r="L76" s="270">
        <f t="shared" si="231"/>
        <v>2.0090834447837609</v>
      </c>
      <c r="M76" s="270">
        <f t="shared" si="232"/>
        <v>0.97055999999999998</v>
      </c>
      <c r="N76" s="734"/>
      <c r="O76" s="705">
        <v>41636</v>
      </c>
      <c r="P76" s="270">
        <f t="shared" si="233"/>
        <v>0.76843228316337775</v>
      </c>
      <c r="Q76" s="270">
        <f t="shared" si="234"/>
        <v>1.6639015834679183</v>
      </c>
      <c r="R76" s="270">
        <f t="shared" si="235"/>
        <v>2.0090834447837609</v>
      </c>
      <c r="S76" s="270">
        <f t="shared" si="236"/>
        <v>0.97055999999999998</v>
      </c>
      <c r="T76" s="705">
        <v>41636</v>
      </c>
      <c r="U76" s="291">
        <v>0.76843228316337775</v>
      </c>
      <c r="V76" s="291">
        <v>1.6639015834679183</v>
      </c>
      <c r="W76" s="291">
        <v>2.0090834447837609</v>
      </c>
      <c r="X76" s="291">
        <v>0.97055999999999998</v>
      </c>
      <c r="Y76" s="734"/>
      <c r="Z76" s="705">
        <v>41636</v>
      </c>
      <c r="AA76" s="707">
        <v>41636</v>
      </c>
      <c r="AB76" s="497">
        <f t="shared" si="247"/>
        <v>14</v>
      </c>
      <c r="AC76" s="266">
        <v>0.99228676730036958</v>
      </c>
      <c r="AD76" s="291">
        <v>0.76843228316337775</v>
      </c>
      <c r="AE76" s="291">
        <f t="shared" si="301"/>
        <v>337.60453431149881</v>
      </c>
      <c r="AF76" s="161">
        <v>2.1696867673003695</v>
      </c>
      <c r="AG76" s="291">
        <v>1.6639015834679183</v>
      </c>
      <c r="AH76" s="291">
        <f t="shared" si="302"/>
        <v>2390.0331511605509</v>
      </c>
      <c r="AI76" s="161">
        <v>2.4690867673003689</v>
      </c>
      <c r="AJ76" s="291">
        <v>2.0090834447837609</v>
      </c>
      <c r="AK76" s="291">
        <f t="shared" si="303"/>
        <v>1218.5074537601963</v>
      </c>
      <c r="AL76" s="161">
        <v>1.9073867673003693</v>
      </c>
      <c r="AM76" s="291">
        <v>0.97055999999999998</v>
      </c>
      <c r="AN76" s="291">
        <f t="shared" si="304"/>
        <v>336.16682326195127</v>
      </c>
      <c r="AO76" s="705">
        <v>41636</v>
      </c>
      <c r="AP76" s="463">
        <v>4.3934194555399761</v>
      </c>
      <c r="AQ76" s="463">
        <v>14.364029549026707</v>
      </c>
      <c r="AR76" s="463">
        <v>6.0649917599183896</v>
      </c>
      <c r="AS76" s="463">
        <v>3.4636377273115651</v>
      </c>
      <c r="AT76" s="463">
        <f t="shared" si="305"/>
        <v>0.15690783769785629</v>
      </c>
      <c r="AU76" s="463">
        <f t="shared" si="306"/>
        <v>0.2434581279496052</v>
      </c>
      <c r="AV76" s="463">
        <f t="shared" si="307"/>
        <v>0.3032495879959195</v>
      </c>
      <c r="AW76" s="463">
        <f t="shared" si="308"/>
        <v>0.18229672249008236</v>
      </c>
      <c r="AY76" s="266">
        <v>0.99228676730036958</v>
      </c>
      <c r="AZ76" s="161">
        <v>2.1696867673003695</v>
      </c>
      <c r="BA76" s="161">
        <v>2.4690867673003689</v>
      </c>
      <c r="BB76" s="161">
        <v>1.9073867673003693</v>
      </c>
      <c r="BE76" s="134">
        <v>-6.1396771683662216E-3</v>
      </c>
      <c r="BF76" s="134">
        <v>-6.4098416532081752E-4</v>
      </c>
      <c r="BG76" s="134">
        <v>-7.4131655521623924E-3</v>
      </c>
      <c r="BH76" s="134">
        <v>0</v>
      </c>
      <c r="BJ76" s="508">
        <v>11.750046541692043</v>
      </c>
      <c r="BK76" s="508">
        <v>24.024815772460922</v>
      </c>
      <c r="BL76" s="508">
        <v>10.562354233999622</v>
      </c>
      <c r="BM76" s="508">
        <v>8.1915234647686823</v>
      </c>
      <c r="BO76" s="705">
        <v>41636</v>
      </c>
      <c r="BP76" s="324">
        <v>0</v>
      </c>
      <c r="BQ76" s="1">
        <v>5035950</v>
      </c>
      <c r="BR76" s="1">
        <v>11127132</v>
      </c>
      <c r="BS76" s="1">
        <v>6310099.7999999998</v>
      </c>
      <c r="BT76" s="1">
        <v>5970600</v>
      </c>
      <c r="BU76" s="708">
        <v>153402.67665978591</v>
      </c>
      <c r="BV76" s="708">
        <v>509866.00211189309</v>
      </c>
      <c r="BW76" s="708">
        <v>144414.10030668529</v>
      </c>
      <c r="BX76" s="708">
        <v>214415.58927759767</v>
      </c>
      <c r="BY76" s="709">
        <f t="shared" si="252"/>
        <v>0</v>
      </c>
      <c r="BZ76" s="709">
        <f t="shared" si="253"/>
        <v>0</v>
      </c>
      <c r="CA76" s="709">
        <f t="shared" si="254"/>
        <v>0</v>
      </c>
      <c r="CB76" s="709">
        <f t="shared" si="255"/>
        <v>0</v>
      </c>
      <c r="CC76" s="475">
        <f t="shared" si="256"/>
        <v>0</v>
      </c>
      <c r="CD76" s="475">
        <f t="shared" si="257"/>
        <v>0</v>
      </c>
      <c r="CE76" s="475">
        <f t="shared" si="258"/>
        <v>0</v>
      </c>
      <c r="CF76" s="475">
        <f t="shared" si="259"/>
        <v>0</v>
      </c>
      <c r="CG76" s="302">
        <f t="shared" si="309"/>
        <v>0</v>
      </c>
      <c r="CH76" s="302">
        <f t="shared" si="310"/>
        <v>0</v>
      </c>
      <c r="CI76" s="302">
        <f t="shared" si="311"/>
        <v>0</v>
      </c>
      <c r="CJ76" s="302">
        <f t="shared" si="312"/>
        <v>0</v>
      </c>
      <c r="CK76" s="302">
        <f t="shared" si="313"/>
        <v>0</v>
      </c>
      <c r="CL76" s="302">
        <f t="shared" si="313"/>
        <v>0</v>
      </c>
      <c r="CM76" s="302">
        <f t="shared" si="313"/>
        <v>0</v>
      </c>
      <c r="CN76" s="302">
        <f t="shared" si="313"/>
        <v>0</v>
      </c>
      <c r="CO76" s="710">
        <f t="shared" si="237"/>
        <v>0</v>
      </c>
      <c r="CP76" s="710">
        <f t="shared" si="238"/>
        <v>0</v>
      </c>
      <c r="CQ76" s="710">
        <f t="shared" si="239"/>
        <v>0</v>
      </c>
      <c r="CR76" s="710">
        <f t="shared" si="240"/>
        <v>0</v>
      </c>
      <c r="CS76" s="705">
        <v>41636</v>
      </c>
      <c r="CT76" s="711">
        <v>0.86399999999999999</v>
      </c>
      <c r="CU76" s="735">
        <v>0.92200000000000004</v>
      </c>
      <c r="CV76" s="713">
        <v>0.96199999999999997</v>
      </c>
      <c r="CW76" s="714">
        <v>0.79200000000000004</v>
      </c>
      <c r="CY76" s="727">
        <v>2.5574046541692042E-2</v>
      </c>
      <c r="CZ76" s="727">
        <v>4.1304815772460923E-2</v>
      </c>
      <c r="DA76" s="727">
        <v>3.8066354233999622E-2</v>
      </c>
      <c r="DB76" s="736">
        <v>1.7897123464768683E-2</v>
      </c>
      <c r="DC76" s="463">
        <f t="shared" si="248"/>
        <v>-2.6432721700778927</v>
      </c>
      <c r="DD76" s="463">
        <f t="shared" si="249"/>
        <v>-4.1532721700779263</v>
      </c>
      <c r="DE76" s="463">
        <f t="shared" si="250"/>
        <v>-3.9232721700777518</v>
      </c>
      <c r="DF76" s="463">
        <f t="shared" si="251"/>
        <v>-1.8432721700778032</v>
      </c>
      <c r="DG76" s="483">
        <f t="shared" si="260"/>
        <v>2.6432721700778927</v>
      </c>
      <c r="DH76" s="483">
        <f t="shared" si="261"/>
        <v>4.1532721700779263</v>
      </c>
      <c r="DI76" s="483">
        <f t="shared" si="262"/>
        <v>3.9232721700777518</v>
      </c>
      <c r="DJ76" s="483">
        <f t="shared" si="263"/>
        <v>1.8432721700778032</v>
      </c>
      <c r="DK76" s="483">
        <f t="shared" ref="DK76:DK98" si="327">IF(DG76=0,0,AP75-AP76)</f>
        <v>0.14403517098639274</v>
      </c>
      <c r="DL76" s="483">
        <f t="shared" ref="DL76:DL92" si="328">IF(DH76=0,0,AQ75-AQ76)</f>
        <v>0.69034631616981734</v>
      </c>
      <c r="DM76" s="483">
        <f t="shared" ref="DM76:DM139" si="329">IF(DI76=0,0,AR75-AR76)</f>
        <v>0.16169395503778006</v>
      </c>
      <c r="DN76" s="483">
        <f t="shared" ref="DN76:DN139" si="330">IF(DJ76=0,0,AS75-AS76)</f>
        <v>0.1155733407990045</v>
      </c>
      <c r="DO76" s="483">
        <f t="shared" si="315"/>
        <v>9.5181039745185672</v>
      </c>
      <c r="DP76" s="483">
        <f t="shared" si="316"/>
        <v>71.679903566597986</v>
      </c>
      <c r="DQ76" s="483">
        <f t="shared" si="317"/>
        <v>15.859234846738143</v>
      </c>
      <c r="DR76" s="483">
        <f t="shared" si="318"/>
        <v>5.325828067443064</v>
      </c>
      <c r="DS76" s="324">
        <v>1.3823999999999999</v>
      </c>
      <c r="DT76" s="324">
        <v>1.728</v>
      </c>
      <c r="DU76" s="324">
        <v>2.7504</v>
      </c>
      <c r="DV76" s="324">
        <v>0.97055999999999998</v>
      </c>
      <c r="DW76" s="716"/>
      <c r="DX76" s="705">
        <v>41636</v>
      </c>
      <c r="DY76" s="716"/>
      <c r="DZ76" s="269">
        <f t="shared" si="264"/>
        <v>1.2608721700778929</v>
      </c>
      <c r="EA76" s="269">
        <f t="shared" si="319"/>
        <v>2.4252721700779265</v>
      </c>
      <c r="EB76" s="269">
        <f t="shared" si="314"/>
        <v>1.1728721700777518</v>
      </c>
      <c r="EC76" s="716">
        <f t="shared" si="326"/>
        <v>0.87271217007780322</v>
      </c>
      <c r="ED76" s="716"/>
      <c r="EE76" s="269">
        <f t="shared" si="242"/>
        <v>1.2608721700778929</v>
      </c>
      <c r="EF76" s="269">
        <f t="shared" si="243"/>
        <v>2.4252721700779265</v>
      </c>
      <c r="EG76" s="269">
        <f t="shared" si="244"/>
        <v>1.1728721700777518</v>
      </c>
      <c r="EH76" s="269">
        <f t="shared" si="245"/>
        <v>0.87271217007780322</v>
      </c>
      <c r="EI76" s="716"/>
      <c r="EJ76" s="717">
        <f t="shared" si="265"/>
        <v>553.95403229691249</v>
      </c>
      <c r="EK76" s="717">
        <f t="shared" si="266"/>
        <v>3483.6681115431461</v>
      </c>
      <c r="EL76" s="717">
        <f t="shared" si="267"/>
        <v>711.34600469591646</v>
      </c>
      <c r="EM76" s="717">
        <f t="shared" si="268"/>
        <v>302.27587973654261</v>
      </c>
      <c r="EN76" s="716"/>
      <c r="EO76" s="269">
        <f t="shared" si="320"/>
        <v>0.61396771683662221</v>
      </c>
      <c r="EP76" s="269">
        <f t="shared" si="321"/>
        <v>6.4098416532081745E-2</v>
      </c>
      <c r="EQ76" s="269">
        <f t="shared" si="322"/>
        <v>0.74131655521623929</v>
      </c>
      <c r="ER76" s="269"/>
      <c r="ES76" s="716"/>
      <c r="ET76" s="718">
        <f t="shared" si="323"/>
        <v>269.7417712223475</v>
      </c>
      <c r="EU76" s="718">
        <f t="shared" si="324"/>
        <v>92.071154911264415</v>
      </c>
      <c r="EV76" s="718">
        <f t="shared" si="325"/>
        <v>449.60787988775769</v>
      </c>
      <c r="EW76" s="718"/>
      <c r="EX76" s="716"/>
      <c r="EY76" s="705">
        <v>41636</v>
      </c>
      <c r="EZ76" s="716"/>
      <c r="FA76" s="766">
        <f t="shared" si="273"/>
        <v>0.76843228316337764</v>
      </c>
      <c r="FB76" s="766">
        <f t="shared" si="274"/>
        <v>1.6639015834679181</v>
      </c>
      <c r="FC76" s="766">
        <f t="shared" si="275"/>
        <v>2.0090834447837604</v>
      </c>
      <c r="FD76" s="766">
        <f t="shared" si="276"/>
        <v>0.97055999999999998</v>
      </c>
      <c r="FE76" s="760"/>
      <c r="FF76" s="705">
        <v>41636</v>
      </c>
      <c r="FG76" s="760"/>
      <c r="FH76" s="766">
        <v>337.60453431149875</v>
      </c>
      <c r="FI76" s="766">
        <f t="shared" si="294"/>
        <v>2390.03315116055</v>
      </c>
      <c r="FJ76" s="766">
        <f t="shared" si="295"/>
        <v>1218.5074537601961</v>
      </c>
      <c r="FK76" s="766">
        <f t="shared" si="296"/>
        <v>336.16682326195127</v>
      </c>
      <c r="FL76" s="760"/>
      <c r="FM76" s="759">
        <f t="shared" si="277"/>
        <v>337.60453431149875</v>
      </c>
      <c r="FN76" s="759">
        <f t="shared" si="278"/>
        <v>2390.03315116055</v>
      </c>
      <c r="FO76" s="759">
        <f t="shared" si="279"/>
        <v>1218.5074537601961</v>
      </c>
      <c r="FP76" s="859">
        <f t="shared" si="280"/>
        <v>336.16682326195127</v>
      </c>
      <c r="FQ76" s="760"/>
      <c r="FR76" s="759">
        <f t="shared" si="281"/>
        <v>1161.3003378307587</v>
      </c>
      <c r="FS76" s="759">
        <f t="shared" si="282"/>
        <v>5965.7724176149604</v>
      </c>
      <c r="FT76" s="759">
        <f t="shared" si="283"/>
        <v>2379.46133834387</v>
      </c>
      <c r="FU76" s="759">
        <f t="shared" si="284"/>
        <v>638.44270299849381</v>
      </c>
      <c r="FV76" s="761"/>
      <c r="FW76" s="754">
        <v>41636</v>
      </c>
      <c r="FX76" s="761"/>
      <c r="FY76" s="759">
        <f t="shared" si="297"/>
        <v>363098.99596920057</v>
      </c>
      <c r="FZ76" s="759">
        <f t="shared" si="298"/>
        <v>705895.12045413989</v>
      </c>
      <c r="GA76" s="759">
        <f t="shared" si="299"/>
        <v>329706.42836271256</v>
      </c>
      <c r="GB76" s="759">
        <f t="shared" si="300"/>
        <v>368072.87652610603</v>
      </c>
      <c r="GC76" s="760"/>
      <c r="GD76" s="759">
        <f t="shared" si="285"/>
        <v>0.96031006864591928</v>
      </c>
      <c r="GE76" s="759">
        <f t="shared" si="285"/>
        <v>0.92542439048399872</v>
      </c>
      <c r="GF76" s="759">
        <f t="shared" si="286"/>
        <v>0.88519891833682085</v>
      </c>
      <c r="GG76" s="759">
        <f t="shared" si="287"/>
        <v>0.96063139230605255</v>
      </c>
      <c r="GH76" s="716"/>
      <c r="GI76" s="756">
        <f t="shared" si="288"/>
        <v>0</v>
      </c>
      <c r="GJ76" s="756">
        <f t="shared" si="289"/>
        <v>0</v>
      </c>
      <c r="GK76" s="756">
        <f t="shared" si="290"/>
        <v>0</v>
      </c>
      <c r="GL76" s="756">
        <f t="shared" si="291"/>
        <v>0</v>
      </c>
      <c r="GM76" s="716"/>
    </row>
    <row r="77" spans="1:195" s="134" customFormat="1">
      <c r="A77" s="705">
        <v>41637</v>
      </c>
      <c r="B77" s="706">
        <v>0</v>
      </c>
      <c r="C77" s="497">
        <f t="shared" si="246"/>
        <v>15</v>
      </c>
      <c r="D77" s="274">
        <v>0.16242659840085255</v>
      </c>
      <c r="E77" s="274">
        <v>3.481148219352423</v>
      </c>
      <c r="F77" s="274">
        <v>0.97471852729933206</v>
      </c>
      <c r="G77" s="276">
        <v>0.99791999999999992</v>
      </c>
      <c r="H77" s="734"/>
      <c r="I77" s="705">
        <v>41637</v>
      </c>
      <c r="J77" s="270">
        <f t="shared" si="229"/>
        <v>0.16242659840085255</v>
      </c>
      <c r="K77" s="270">
        <f t="shared" si="230"/>
        <v>3.481148219352423</v>
      </c>
      <c r="L77" s="270">
        <f t="shared" si="231"/>
        <v>0.97471852729933206</v>
      </c>
      <c r="M77" s="270">
        <f t="shared" si="232"/>
        <v>0.99791999999999992</v>
      </c>
      <c r="N77" s="734"/>
      <c r="O77" s="705">
        <v>41637</v>
      </c>
      <c r="P77" s="270">
        <f t="shared" si="233"/>
        <v>0.16242659840085255</v>
      </c>
      <c r="Q77" s="270">
        <f t="shared" si="234"/>
        <v>3.481148219352423</v>
      </c>
      <c r="R77" s="270">
        <f t="shared" si="235"/>
        <v>0.97471852729933206</v>
      </c>
      <c r="S77" s="270">
        <f t="shared" si="236"/>
        <v>0.99791999999999992</v>
      </c>
      <c r="T77" s="705">
        <v>41637</v>
      </c>
      <c r="U77" s="291">
        <v>0.16242659840085255</v>
      </c>
      <c r="V77" s="291">
        <v>3.481148219352423</v>
      </c>
      <c r="W77" s="291">
        <v>0.97471852729933206</v>
      </c>
      <c r="X77" s="291">
        <v>0.99791999999999992</v>
      </c>
      <c r="Y77" s="734"/>
      <c r="Z77" s="705">
        <v>41637</v>
      </c>
      <c r="AA77" s="707">
        <v>41637</v>
      </c>
      <c r="AB77" s="497">
        <f t="shared" si="247"/>
        <v>15</v>
      </c>
      <c r="AC77" s="266">
        <v>0.96585404559959065</v>
      </c>
      <c r="AD77" s="291">
        <v>0.16242659840085255</v>
      </c>
      <c r="AE77" s="291">
        <f t="shared" si="301"/>
        <v>69.158042250692333</v>
      </c>
      <c r="AF77" s="161">
        <v>2.1281540455995902</v>
      </c>
      <c r="AG77" s="291">
        <v>3.481148219352423</v>
      </c>
      <c r="AH77" s="291">
        <f t="shared" si="302"/>
        <v>4767.2935558532245</v>
      </c>
      <c r="AI77" s="161">
        <v>2.4298540455995914</v>
      </c>
      <c r="AJ77" s="291">
        <v>0.97471852729933206</v>
      </c>
      <c r="AK77" s="291">
        <f t="shared" si="303"/>
        <v>574.75226209851496</v>
      </c>
      <c r="AL77" s="161">
        <v>1.8889540455995912</v>
      </c>
      <c r="AM77" s="291">
        <v>0.99791999999999992</v>
      </c>
      <c r="AN77" s="291">
        <f t="shared" si="304"/>
        <v>334.9854805625921</v>
      </c>
      <c r="AO77" s="705">
        <v>41637</v>
      </c>
      <c r="AP77" s="463">
        <v>4.257802781784374</v>
      </c>
      <c r="AQ77" s="463">
        <v>13.69460090596216</v>
      </c>
      <c r="AR77" s="463">
        <v>5.8965972842538461</v>
      </c>
      <c r="AS77" s="463">
        <v>3.3568370266413354</v>
      </c>
      <c r="AT77" s="463">
        <f t="shared" si="305"/>
        <v>0.15206438506372763</v>
      </c>
      <c r="AU77" s="463">
        <f t="shared" si="306"/>
        <v>0.23211187976207051</v>
      </c>
      <c r="AV77" s="463">
        <f t="shared" si="307"/>
        <v>0.29482986421269231</v>
      </c>
      <c r="AW77" s="463">
        <f t="shared" si="308"/>
        <v>0.1766756329811229</v>
      </c>
      <c r="AY77" s="266">
        <v>0.96585404559959065</v>
      </c>
      <c r="AZ77" s="161">
        <v>2.1281540455995902</v>
      </c>
      <c r="BA77" s="161">
        <v>2.4298540455995914</v>
      </c>
      <c r="BB77" s="161">
        <v>1.8889540455995912</v>
      </c>
      <c r="BE77" s="134">
        <v>-5.5181340159914747E-3</v>
      </c>
      <c r="BF77" s="134">
        <v>-6.1251780647577779E-4</v>
      </c>
      <c r="BG77" s="134">
        <v>-7.2448147270066793E-3</v>
      </c>
      <c r="BH77" s="134">
        <v>0</v>
      </c>
      <c r="BJ77" s="508">
        <v>12.247311641568775</v>
      </c>
      <c r="BK77" s="508">
        <v>3.6887885646462792</v>
      </c>
      <c r="BL77" s="508">
        <v>20.297711641568249</v>
      </c>
      <c r="BM77" s="508">
        <v>24.07974241079954</v>
      </c>
      <c r="BO77" s="705">
        <v>41637</v>
      </c>
      <c r="BP77" s="324">
        <v>0</v>
      </c>
      <c r="BQ77" s="1">
        <v>5035950</v>
      </c>
      <c r="BR77" s="1">
        <v>11127132</v>
      </c>
      <c r="BS77" s="1">
        <v>6310099.7999999998</v>
      </c>
      <c r="BT77" s="1">
        <v>5970600</v>
      </c>
      <c r="BU77" s="708">
        <v>153402.67665978591</v>
      </c>
      <c r="BV77" s="708">
        <v>509866.00211189309</v>
      </c>
      <c r="BW77" s="708">
        <v>144414.10030668529</v>
      </c>
      <c r="BX77" s="708">
        <v>214415.58927759767</v>
      </c>
      <c r="BY77" s="709">
        <f t="shared" si="252"/>
        <v>0</v>
      </c>
      <c r="BZ77" s="709">
        <f t="shared" si="253"/>
        <v>0</v>
      </c>
      <c r="CA77" s="709">
        <f t="shared" si="254"/>
        <v>0</v>
      </c>
      <c r="CB77" s="709">
        <f t="shared" si="255"/>
        <v>0</v>
      </c>
      <c r="CC77" s="475">
        <f t="shared" si="256"/>
        <v>0</v>
      </c>
      <c r="CD77" s="475">
        <f t="shared" si="257"/>
        <v>0</v>
      </c>
      <c r="CE77" s="475">
        <f t="shared" si="258"/>
        <v>0</v>
      </c>
      <c r="CF77" s="475">
        <f t="shared" si="259"/>
        <v>0</v>
      </c>
      <c r="CG77" s="302">
        <f t="shared" si="309"/>
        <v>0</v>
      </c>
      <c r="CH77" s="302">
        <f t="shared" si="310"/>
        <v>0</v>
      </c>
      <c r="CI77" s="302">
        <f t="shared" si="311"/>
        <v>0</v>
      </c>
      <c r="CJ77" s="302">
        <f t="shared" si="312"/>
        <v>0</v>
      </c>
      <c r="CK77" s="302">
        <f t="shared" si="313"/>
        <v>0</v>
      </c>
      <c r="CL77" s="302">
        <f t="shared" si="313"/>
        <v>0</v>
      </c>
      <c r="CM77" s="302">
        <f t="shared" si="313"/>
        <v>0</v>
      </c>
      <c r="CN77" s="302">
        <f t="shared" si="313"/>
        <v>0</v>
      </c>
      <c r="CO77" s="710">
        <f t="shared" si="237"/>
        <v>0</v>
      </c>
      <c r="CP77" s="710">
        <f t="shared" si="238"/>
        <v>0</v>
      </c>
      <c r="CQ77" s="710">
        <f t="shared" si="239"/>
        <v>0</v>
      </c>
      <c r="CR77" s="710">
        <f t="shared" si="240"/>
        <v>0</v>
      </c>
      <c r="CS77" s="705">
        <v>41637</v>
      </c>
      <c r="CT77" s="711">
        <v>0.55300000000000005</v>
      </c>
      <c r="CU77" s="735">
        <v>0.94799999999999995</v>
      </c>
      <c r="CV77" s="713">
        <v>0.86599999999999999</v>
      </c>
      <c r="CW77" s="714">
        <v>0.82</v>
      </c>
      <c r="CY77" s="727">
        <v>1.9389711641568774E-2</v>
      </c>
      <c r="CZ77" s="727">
        <v>3.9112788564646284E-2</v>
      </c>
      <c r="DA77" s="727">
        <v>3.7289711641568246E-2</v>
      </c>
      <c r="DB77" s="736">
        <v>3.4058942410799542E-2</v>
      </c>
      <c r="DC77" s="463">
        <f t="shared" si="248"/>
        <v>-1.89930467560675</v>
      </c>
      <c r="DD77" s="463">
        <f t="shared" si="249"/>
        <v>-3.9193046756066607</v>
      </c>
      <c r="DE77" s="463">
        <f t="shared" si="250"/>
        <v>-3.6693046756068881</v>
      </c>
      <c r="DF77" s="463">
        <f t="shared" si="251"/>
        <v>-3.3693046756068767</v>
      </c>
      <c r="DG77" s="483">
        <f t="shared" si="260"/>
        <v>1.89930467560675</v>
      </c>
      <c r="DH77" s="483">
        <f t="shared" si="261"/>
        <v>3.9193046756066607</v>
      </c>
      <c r="DI77" s="483">
        <f t="shared" si="262"/>
        <v>3.6693046756068881</v>
      </c>
      <c r="DJ77" s="483">
        <f t="shared" si="263"/>
        <v>3.3693046756068767</v>
      </c>
      <c r="DK77" s="483">
        <f t="shared" si="327"/>
        <v>0.13561667375560216</v>
      </c>
      <c r="DL77" s="483">
        <f t="shared" si="328"/>
        <v>0.6694286430645473</v>
      </c>
      <c r="DM77" s="483">
        <f t="shared" si="329"/>
        <v>0.16839447566454346</v>
      </c>
      <c r="DN77" s="483">
        <f t="shared" si="330"/>
        <v>0.10680070067022962</v>
      </c>
      <c r="DO77" s="483">
        <f t="shared" si="315"/>
        <v>6.4394345638562607</v>
      </c>
      <c r="DP77" s="483">
        <f t="shared" si="316"/>
        <v>65.592370268697564</v>
      </c>
      <c r="DQ77" s="483">
        <f t="shared" si="317"/>
        <v>15.447265922556992</v>
      </c>
      <c r="DR77" s="483">
        <f t="shared" si="318"/>
        <v>8.9961025031573794</v>
      </c>
      <c r="DS77" s="324">
        <v>0.71423999999999999</v>
      </c>
      <c r="DT77" s="324">
        <v>3.5424000000000002</v>
      </c>
      <c r="DU77" s="324">
        <v>1.6992</v>
      </c>
      <c r="DV77" s="324">
        <v>0.99791999999999992</v>
      </c>
      <c r="DW77" s="716"/>
      <c r="DX77" s="705">
        <v>41637</v>
      </c>
      <c r="DY77" s="716"/>
      <c r="DZ77" s="269">
        <f t="shared" si="264"/>
        <v>1.18506467560675</v>
      </c>
      <c r="EA77" s="269">
        <f t="shared" si="319"/>
        <v>0.37690467560666052</v>
      </c>
      <c r="EB77" s="269">
        <f t="shared" si="314"/>
        <v>1.9701046756068881</v>
      </c>
      <c r="EC77" s="716">
        <f t="shared" si="326"/>
        <v>2.371384675606877</v>
      </c>
      <c r="ED77" s="716"/>
      <c r="EE77" s="269">
        <f t="shared" si="242"/>
        <v>1.18506467560675</v>
      </c>
      <c r="EF77" s="269">
        <f t="shared" si="243"/>
        <v>0.37690467560666052</v>
      </c>
      <c r="EG77" s="269">
        <f t="shared" si="244"/>
        <v>1.9701046756068881</v>
      </c>
      <c r="EH77" s="269">
        <f t="shared" si="245"/>
        <v>2.371384675606877</v>
      </c>
      <c r="EI77" s="716"/>
      <c r="EJ77" s="717">
        <f t="shared" si="265"/>
        <v>504.57716723928166</v>
      </c>
      <c r="EK77" s="717">
        <f t="shared" si="266"/>
        <v>516.15591120243471</v>
      </c>
      <c r="EL77" s="717">
        <f t="shared" si="267"/>
        <v>1161.6913879879382</v>
      </c>
      <c r="EM77" s="717">
        <f t="shared" si="268"/>
        <v>796.03518834870169</v>
      </c>
      <c r="EN77" s="716"/>
      <c r="EO77" s="269">
        <f t="shared" si="320"/>
        <v>0.55181340159914749</v>
      </c>
      <c r="EP77" s="269">
        <f t="shared" si="321"/>
        <v>6.1251780647577782E-2</v>
      </c>
      <c r="EQ77" s="269">
        <f t="shared" si="322"/>
        <v>0.72448147270066787</v>
      </c>
      <c r="ER77" s="269"/>
      <c r="ES77" s="716"/>
      <c r="ET77" s="718">
        <f t="shared" si="323"/>
        <v>234.95126363547482</v>
      </c>
      <c r="EU77" s="718">
        <f t="shared" si="324"/>
        <v>83.881869074811405</v>
      </c>
      <c r="EV77" s="718">
        <f t="shared" si="325"/>
        <v>427.1975484418985</v>
      </c>
      <c r="EW77" s="718"/>
      <c r="EX77" s="716"/>
      <c r="EY77" s="705">
        <v>41637</v>
      </c>
      <c r="EZ77" s="716"/>
      <c r="FA77" s="766">
        <f t="shared" si="273"/>
        <v>0.16242659840085238</v>
      </c>
      <c r="FB77" s="766">
        <f t="shared" si="274"/>
        <v>3.4811482193524226</v>
      </c>
      <c r="FC77" s="766">
        <f t="shared" si="275"/>
        <v>0.97471852729933239</v>
      </c>
      <c r="FD77" s="766">
        <f t="shared" si="276"/>
        <v>0.9979199999999997</v>
      </c>
      <c r="FE77" s="760"/>
      <c r="FF77" s="705">
        <v>41637</v>
      </c>
      <c r="FG77" s="760"/>
      <c r="FH77" s="766">
        <v>69.158042250692262</v>
      </c>
      <c r="FI77" s="766">
        <f t="shared" si="294"/>
        <v>4767.2935558532245</v>
      </c>
      <c r="FJ77" s="766">
        <f t="shared" si="295"/>
        <v>574.75226209851519</v>
      </c>
      <c r="FK77" s="766">
        <f t="shared" si="296"/>
        <v>334.98548056259204</v>
      </c>
      <c r="FL77" s="760"/>
      <c r="FM77" s="759">
        <f t="shared" si="277"/>
        <v>69.158042250692262</v>
      </c>
      <c r="FN77" s="759">
        <f t="shared" si="278"/>
        <v>4767.2935558532245</v>
      </c>
      <c r="FO77" s="759">
        <f t="shared" si="279"/>
        <v>574.75226209851519</v>
      </c>
      <c r="FP77" s="859">
        <f t="shared" si="280"/>
        <v>334.98548056259204</v>
      </c>
      <c r="FQ77" s="760"/>
      <c r="FR77" s="759">
        <f t="shared" si="281"/>
        <v>808.68647312544874</v>
      </c>
      <c r="FS77" s="759">
        <f t="shared" si="282"/>
        <v>5367.3313361304699</v>
      </c>
      <c r="FT77" s="759">
        <f t="shared" si="283"/>
        <v>2163.6411985283521</v>
      </c>
      <c r="FU77" s="759">
        <f t="shared" si="284"/>
        <v>1131.0206689112938</v>
      </c>
      <c r="FV77" s="761"/>
      <c r="FW77" s="754">
        <v>41637</v>
      </c>
      <c r="FX77" s="761"/>
      <c r="FY77" s="759">
        <f t="shared" si="297"/>
        <v>363907.68244232604</v>
      </c>
      <c r="FZ77" s="759">
        <f t="shared" si="298"/>
        <v>711262.4517902704</v>
      </c>
      <c r="GA77" s="759">
        <f t="shared" si="299"/>
        <v>331870.0695612409</v>
      </c>
      <c r="GB77" s="759">
        <f t="shared" si="300"/>
        <v>369203.89719501731</v>
      </c>
      <c r="GC77" s="760"/>
      <c r="GD77" s="759">
        <f t="shared" si="285"/>
        <v>0.96244885110233236</v>
      </c>
      <c r="GE77" s="759">
        <f t="shared" si="285"/>
        <v>0.93246093059645718</v>
      </c>
      <c r="GF77" s="759">
        <f t="shared" si="286"/>
        <v>0.89100788256635444</v>
      </c>
      <c r="GG77" s="759">
        <f t="shared" si="287"/>
        <v>0.96358323697919868</v>
      </c>
      <c r="GH77" s="716"/>
      <c r="GI77" s="756">
        <f t="shared" si="288"/>
        <v>0</v>
      </c>
      <c r="GJ77" s="756">
        <f t="shared" si="289"/>
        <v>0</v>
      </c>
      <c r="GK77" s="756">
        <f t="shared" si="290"/>
        <v>0</v>
      </c>
      <c r="GL77" s="756">
        <f t="shared" si="291"/>
        <v>0</v>
      </c>
      <c r="GM77" s="716"/>
    </row>
    <row r="78" spans="1:195" s="134" customFormat="1">
      <c r="A78" s="705">
        <v>41638</v>
      </c>
      <c r="B78" s="706">
        <v>0</v>
      </c>
      <c r="C78" s="497">
        <f t="shared" si="246"/>
        <v>16</v>
      </c>
      <c r="D78" s="274">
        <v>0.27139643798940749</v>
      </c>
      <c r="E78" s="274">
        <v>0.90378747644363489</v>
      </c>
      <c r="F78" s="274">
        <v>2.0572191929802996</v>
      </c>
      <c r="G78" s="276">
        <v>3.528</v>
      </c>
      <c r="H78" s="734"/>
      <c r="I78" s="705">
        <v>41638</v>
      </c>
      <c r="J78" s="270">
        <f t="shared" si="229"/>
        <v>0.27139643798940749</v>
      </c>
      <c r="K78" s="270">
        <f t="shared" si="230"/>
        <v>0.90378747644363489</v>
      </c>
      <c r="L78" s="270">
        <f t="shared" si="231"/>
        <v>2.0572191929802996</v>
      </c>
      <c r="M78" s="270">
        <f t="shared" si="232"/>
        <v>3.528</v>
      </c>
      <c r="N78" s="734"/>
      <c r="O78" s="705">
        <v>41638</v>
      </c>
      <c r="P78" s="270">
        <f t="shared" si="233"/>
        <v>0.27139643798940749</v>
      </c>
      <c r="Q78" s="270">
        <f t="shared" si="234"/>
        <v>0.90378747644363489</v>
      </c>
      <c r="R78" s="270">
        <f t="shared" si="235"/>
        <v>2.0572191929802996</v>
      </c>
      <c r="S78" s="270">
        <f t="shared" si="236"/>
        <v>3.528</v>
      </c>
      <c r="T78" s="705">
        <v>41638</v>
      </c>
      <c r="U78" s="291">
        <v>0.27139643798940749</v>
      </c>
      <c r="V78" s="291">
        <v>0.90378747644363489</v>
      </c>
      <c r="W78" s="291">
        <v>2.0572191929802996</v>
      </c>
      <c r="X78" s="291">
        <v>3.528</v>
      </c>
      <c r="Y78" s="734"/>
      <c r="Z78" s="705">
        <v>41638</v>
      </c>
      <c r="AA78" s="707">
        <v>41638</v>
      </c>
      <c r="AB78" s="497">
        <f t="shared" si="247"/>
        <v>16</v>
      </c>
      <c r="AC78" s="266">
        <v>0.94686099884352315</v>
      </c>
      <c r="AD78" s="291">
        <v>0.27139643798940749</v>
      </c>
      <c r="AE78" s="291">
        <f t="shared" si="301"/>
        <v>112.17591649451093</v>
      </c>
      <c r="AF78" s="161">
        <v>2.0889609988435236</v>
      </c>
      <c r="AG78" s="291">
        <v>0.90378747644363489</v>
      </c>
      <c r="AH78" s="291">
        <f t="shared" si="302"/>
        <v>1170.6084648820568</v>
      </c>
      <c r="AI78" s="161">
        <v>2.3931609988435225</v>
      </c>
      <c r="AJ78" s="291">
        <v>2.0572191929802996</v>
      </c>
      <c r="AK78" s="291">
        <f t="shared" si="303"/>
        <v>1178.7417762414975</v>
      </c>
      <c r="AL78" s="161">
        <v>1.8552609988435225</v>
      </c>
      <c r="AM78" s="291">
        <v>3.528</v>
      </c>
      <c r="AN78" s="291">
        <f t="shared" si="304"/>
        <v>1147.96056944355</v>
      </c>
      <c r="AO78" s="705">
        <v>41638</v>
      </c>
      <c r="AP78" s="463">
        <v>4.1332862481743078</v>
      </c>
      <c r="AQ78" s="463">
        <v>12.952253659105248</v>
      </c>
      <c r="AR78" s="463">
        <v>5.7297821265892956</v>
      </c>
      <c r="AS78" s="463">
        <v>3.253856489352466</v>
      </c>
      <c r="AT78" s="463">
        <f t="shared" si="305"/>
        <v>0.14761736600622527</v>
      </c>
      <c r="AU78" s="463">
        <f t="shared" si="306"/>
        <v>0.21952972303568216</v>
      </c>
      <c r="AV78" s="463">
        <f t="shared" si="307"/>
        <v>0.28648910632946478</v>
      </c>
      <c r="AW78" s="463">
        <f t="shared" si="308"/>
        <v>0.17125560470276135</v>
      </c>
      <c r="AY78" s="266">
        <v>0.94686099884352315</v>
      </c>
      <c r="AZ78" s="161">
        <v>2.0889609988435236</v>
      </c>
      <c r="BA78" s="161">
        <v>2.3931609988435225</v>
      </c>
      <c r="BB78" s="161">
        <v>1.8552609988435225</v>
      </c>
      <c r="BE78" s="134">
        <v>-5.0476356201059258E-3</v>
      </c>
      <c r="BF78" s="134">
        <v>-5.8132523556365229E-4</v>
      </c>
      <c r="BG78" s="134">
        <v>-7.0758080701970039E-3</v>
      </c>
      <c r="BH78" s="134">
        <v>0</v>
      </c>
      <c r="BJ78" s="508">
        <v>12.081012544609395</v>
      </c>
      <c r="BK78" s="508">
        <v>31.269566390762662</v>
      </c>
      <c r="BL78" s="508">
        <v>15.833074083071114</v>
      </c>
      <c r="BM78" s="508">
        <v>3.6856894676861938</v>
      </c>
      <c r="BO78" s="705">
        <v>41638</v>
      </c>
      <c r="BP78" s="324">
        <v>0</v>
      </c>
      <c r="BQ78" s="1">
        <v>5035950</v>
      </c>
      <c r="BR78" s="1">
        <v>11127132</v>
      </c>
      <c r="BS78" s="1">
        <v>6310099.7999999998</v>
      </c>
      <c r="BT78" s="1">
        <v>5970600</v>
      </c>
      <c r="BU78" s="708">
        <v>153402.67665978591</v>
      </c>
      <c r="BV78" s="708">
        <v>509866.00211189309</v>
      </c>
      <c r="BW78" s="708">
        <v>144414.10030668529</v>
      </c>
      <c r="BX78" s="708">
        <v>214415.58927759767</v>
      </c>
      <c r="BY78" s="709">
        <f t="shared" si="252"/>
        <v>0</v>
      </c>
      <c r="BZ78" s="709">
        <f t="shared" si="253"/>
        <v>0</v>
      </c>
      <c r="CA78" s="709">
        <f t="shared" si="254"/>
        <v>0</v>
      </c>
      <c r="CB78" s="709">
        <f t="shared" si="255"/>
        <v>0</v>
      </c>
      <c r="CC78" s="475">
        <f t="shared" si="256"/>
        <v>0</v>
      </c>
      <c r="CD78" s="475">
        <f t="shared" si="257"/>
        <v>0</v>
      </c>
      <c r="CE78" s="475">
        <f t="shared" si="258"/>
        <v>0</v>
      </c>
      <c r="CF78" s="475">
        <f t="shared" si="259"/>
        <v>0</v>
      </c>
      <c r="CG78" s="302">
        <f t="shared" si="309"/>
        <v>0</v>
      </c>
      <c r="CH78" s="302">
        <f t="shared" si="310"/>
        <v>0</v>
      </c>
      <c r="CI78" s="302">
        <f t="shared" si="311"/>
        <v>0</v>
      </c>
      <c r="CJ78" s="302">
        <f t="shared" si="312"/>
        <v>0</v>
      </c>
      <c r="CK78" s="302">
        <f t="shared" si="313"/>
        <v>0</v>
      </c>
      <c r="CL78" s="302">
        <f t="shared" si="313"/>
        <v>0</v>
      </c>
      <c r="CM78" s="302">
        <f t="shared" si="313"/>
        <v>0</v>
      </c>
      <c r="CN78" s="302">
        <f t="shared" si="313"/>
        <v>0</v>
      </c>
      <c r="CO78" s="710">
        <f t="shared" si="237"/>
        <v>0</v>
      </c>
      <c r="CP78" s="710">
        <f t="shared" si="238"/>
        <v>0</v>
      </c>
      <c r="CQ78" s="710">
        <f t="shared" si="239"/>
        <v>0</v>
      </c>
      <c r="CR78" s="710">
        <f t="shared" si="240"/>
        <v>0</v>
      </c>
      <c r="CS78" s="705">
        <v>41638</v>
      </c>
      <c r="CT78" s="711">
        <v>0.65900000000000003</v>
      </c>
      <c r="CU78" s="735">
        <v>0.81599999999999995</v>
      </c>
      <c r="CV78" s="713">
        <v>0.94699999999999995</v>
      </c>
      <c r="CW78" s="714">
        <v>0.98399999999999999</v>
      </c>
      <c r="CY78" s="727">
        <v>1.9842612544609395E-2</v>
      </c>
      <c r="CZ78" s="727">
        <v>4.0888766390762665E-2</v>
      </c>
      <c r="DA78" s="727">
        <v>4.3481074083071114E-2</v>
      </c>
      <c r="DB78" s="736">
        <v>3.8965689467686193E-2</v>
      </c>
      <c r="DC78" s="463">
        <f t="shared" si="248"/>
        <v>-1.9610427516205675</v>
      </c>
      <c r="DD78" s="463">
        <f t="shared" si="249"/>
        <v>-4.0410427516205161</v>
      </c>
      <c r="DE78" s="463">
        <f t="shared" si="250"/>
        <v>-4.2910427516204663</v>
      </c>
      <c r="DF78" s="463">
        <f t="shared" si="251"/>
        <v>-3.9010427516204871</v>
      </c>
      <c r="DG78" s="483">
        <f t="shared" si="260"/>
        <v>1.9610427516205675</v>
      </c>
      <c r="DH78" s="483">
        <f t="shared" si="261"/>
        <v>4.0410427516205161</v>
      </c>
      <c r="DI78" s="483">
        <f t="shared" si="262"/>
        <v>4.2910427516204663</v>
      </c>
      <c r="DJ78" s="483">
        <f t="shared" si="263"/>
        <v>3.9010427516204871</v>
      </c>
      <c r="DK78" s="483">
        <f t="shared" si="327"/>
        <v>0.1245165336100662</v>
      </c>
      <c r="DL78" s="483">
        <f t="shared" si="328"/>
        <v>0.74234724685691234</v>
      </c>
      <c r="DM78" s="483">
        <f t="shared" si="329"/>
        <v>0.16681515766455046</v>
      </c>
      <c r="DN78" s="483">
        <f t="shared" si="330"/>
        <v>0.10298053728886947</v>
      </c>
      <c r="DO78" s="483">
        <f t="shared" si="315"/>
        <v>6.104556142323478</v>
      </c>
      <c r="DP78" s="483">
        <f t="shared" si="316"/>
        <v>74.996424027414292</v>
      </c>
      <c r="DQ78" s="483">
        <f t="shared" si="317"/>
        <v>17.895274328922362</v>
      </c>
      <c r="DR78" s="483">
        <f t="shared" si="318"/>
        <v>10.043286963718188</v>
      </c>
      <c r="DS78" s="324">
        <v>0.77616000000000007</v>
      </c>
      <c r="DT78" s="324">
        <v>0.96192000000000011</v>
      </c>
      <c r="DU78" s="324">
        <v>2.7647999999999997</v>
      </c>
      <c r="DV78" s="324">
        <v>3.528</v>
      </c>
      <c r="DW78" s="716"/>
      <c r="DX78" s="705">
        <v>41638</v>
      </c>
      <c r="DY78" s="716"/>
      <c r="DZ78" s="269">
        <f t="shared" si="264"/>
        <v>1.1848827516205676</v>
      </c>
      <c r="EA78" s="269">
        <f t="shared" si="319"/>
        <v>3.079122751620516</v>
      </c>
      <c r="EB78" s="269">
        <f t="shared" si="314"/>
        <v>1.5262427516204666</v>
      </c>
      <c r="EC78" s="716">
        <f t="shared" si="326"/>
        <v>0.37304275162048706</v>
      </c>
      <c r="ED78" s="716"/>
      <c r="EE78" s="269">
        <f t="shared" si="242"/>
        <v>1.1848827516205676</v>
      </c>
      <c r="EF78" s="269">
        <f t="shared" si="243"/>
        <v>3.079122751620516</v>
      </c>
      <c r="EG78" s="269">
        <f t="shared" si="244"/>
        <v>1.5262427516204666</v>
      </c>
      <c r="EH78" s="269">
        <f t="shared" si="245"/>
        <v>0.37304275162048706</v>
      </c>
      <c r="EI78" s="716"/>
      <c r="EJ78" s="717">
        <f t="shared" si="265"/>
        <v>489.7459582972225</v>
      </c>
      <c r="EK78" s="717">
        <f t="shared" si="266"/>
        <v>3988.1578926511047</v>
      </c>
      <c r="EL78" s="717">
        <f t="shared" si="267"/>
        <v>874.50384390714146</v>
      </c>
      <c r="EM78" s="717">
        <f t="shared" si="268"/>
        <v>121.3827578166222</v>
      </c>
      <c r="EN78" s="716"/>
      <c r="EO78" s="269">
        <f t="shared" si="320"/>
        <v>0.50476356201059258</v>
      </c>
      <c r="EP78" s="269">
        <f t="shared" si="321"/>
        <v>5.813252355636523E-2</v>
      </c>
      <c r="EQ78" s="269">
        <f t="shared" si="322"/>
        <v>0.70758080701970039</v>
      </c>
      <c r="ER78" s="269"/>
      <c r="ES78" s="716"/>
      <c r="ET78" s="718">
        <f t="shared" si="323"/>
        <v>208.63322894378615</v>
      </c>
      <c r="EU78" s="718">
        <f t="shared" si="324"/>
        <v>75.294719094595351</v>
      </c>
      <c r="EV78" s="718">
        <f t="shared" si="325"/>
        <v>405.42838611791086</v>
      </c>
      <c r="EW78" s="718"/>
      <c r="EX78" s="716"/>
      <c r="EY78" s="705">
        <v>41638</v>
      </c>
      <c r="EZ78" s="716"/>
      <c r="FA78" s="766">
        <f t="shared" si="273"/>
        <v>0.27139643798940738</v>
      </c>
      <c r="FB78" s="766">
        <f t="shared" si="274"/>
        <v>0.90378747644363466</v>
      </c>
      <c r="FC78" s="766">
        <f t="shared" si="275"/>
        <v>2.0572191929802992</v>
      </c>
      <c r="FD78" s="766">
        <f t="shared" si="276"/>
        <v>3.528</v>
      </c>
      <c r="FE78" s="760"/>
      <c r="FF78" s="705">
        <v>41638</v>
      </c>
      <c r="FG78" s="760"/>
      <c r="FH78" s="766">
        <v>112.17591649451087</v>
      </c>
      <c r="FI78" s="766">
        <f t="shared" si="294"/>
        <v>1170.6084648820565</v>
      </c>
      <c r="FJ78" s="766">
        <f t="shared" si="295"/>
        <v>1178.7417762414973</v>
      </c>
      <c r="FK78" s="766">
        <f t="shared" si="296"/>
        <v>1147.96056944355</v>
      </c>
      <c r="FL78" s="760"/>
      <c r="FM78" s="759">
        <f t="shared" si="277"/>
        <v>112.17591649451087</v>
      </c>
      <c r="FN78" s="759">
        <f t="shared" si="278"/>
        <v>1170.6084648820565</v>
      </c>
      <c r="FO78" s="759">
        <f t="shared" si="279"/>
        <v>1178.7417762414973</v>
      </c>
      <c r="FP78" s="859">
        <f t="shared" si="280"/>
        <v>1147.96056944355</v>
      </c>
      <c r="FQ78" s="760"/>
      <c r="FR78" s="759">
        <f t="shared" si="281"/>
        <v>810.55510373551954</v>
      </c>
      <c r="FS78" s="759">
        <f t="shared" si="282"/>
        <v>5234.0610766277568</v>
      </c>
      <c r="FT78" s="759">
        <f t="shared" si="283"/>
        <v>2458.6740062665494</v>
      </c>
      <c r="FU78" s="759">
        <f t="shared" si="284"/>
        <v>1269.3433272601721</v>
      </c>
      <c r="FV78" s="761"/>
      <c r="FW78" s="754">
        <v>41638</v>
      </c>
      <c r="FX78" s="761"/>
      <c r="FY78" s="759">
        <f t="shared" si="297"/>
        <v>364718.23754606157</v>
      </c>
      <c r="FZ78" s="759">
        <f t="shared" si="298"/>
        <v>716496.51286689821</v>
      </c>
      <c r="GA78" s="759">
        <f t="shared" si="299"/>
        <v>334328.74356750748</v>
      </c>
      <c r="GB78" s="759">
        <f t="shared" si="300"/>
        <v>370473.24052227748</v>
      </c>
      <c r="GC78" s="760"/>
      <c r="GD78" s="759">
        <f t="shared" si="285"/>
        <v>0.96459257564013201</v>
      </c>
      <c r="GE78" s="759">
        <f t="shared" si="285"/>
        <v>0.93932275417511868</v>
      </c>
      <c r="GF78" s="759">
        <f t="shared" si="286"/>
        <v>0.89760895365161619</v>
      </c>
      <c r="GG78" s="759">
        <f t="shared" si="287"/>
        <v>0.96689608920370607</v>
      </c>
      <c r="GH78" s="716"/>
      <c r="GI78" s="756">
        <f t="shared" si="288"/>
        <v>0</v>
      </c>
      <c r="GJ78" s="756">
        <f t="shared" si="289"/>
        <v>0</v>
      </c>
      <c r="GK78" s="756">
        <f t="shared" si="290"/>
        <v>0</v>
      </c>
      <c r="GL78" s="756">
        <f t="shared" si="291"/>
        <v>0</v>
      </c>
      <c r="GM78" s="716"/>
    </row>
    <row r="79" spans="1:195" s="134" customFormat="1">
      <c r="A79" s="705">
        <v>41639</v>
      </c>
      <c r="B79" s="706">
        <v>0</v>
      </c>
      <c r="C79" s="497">
        <f t="shared" si="246"/>
        <v>17</v>
      </c>
      <c r="D79" s="274">
        <v>-0.28833269867627037</v>
      </c>
      <c r="E79" s="274">
        <v>1.5727804140015467</v>
      </c>
      <c r="F79" s="274">
        <v>2.294508238372603</v>
      </c>
      <c r="G79" s="276">
        <v>2.8512</v>
      </c>
      <c r="H79" s="734"/>
      <c r="I79" s="705">
        <v>41639</v>
      </c>
      <c r="J79" s="270">
        <f t="shared" si="229"/>
        <v>-0.28833269867627037</v>
      </c>
      <c r="K79" s="270">
        <f t="shared" si="230"/>
        <v>1.5727804140015467</v>
      </c>
      <c r="L79" s="270">
        <f t="shared" si="231"/>
        <v>2.294508238372603</v>
      </c>
      <c r="M79" s="270">
        <f t="shared" si="232"/>
        <v>2.8512</v>
      </c>
      <c r="N79" s="734"/>
      <c r="O79" s="705">
        <v>41639</v>
      </c>
      <c r="P79" s="737">
        <f t="shared" si="233"/>
        <v>-0.28833269867627037</v>
      </c>
      <c r="Q79" s="270">
        <f t="shared" si="234"/>
        <v>1.5727804140015467</v>
      </c>
      <c r="R79" s="270">
        <f t="shared" si="235"/>
        <v>2.294508238372603</v>
      </c>
      <c r="S79" s="270">
        <f t="shared" si="236"/>
        <v>2.8512</v>
      </c>
      <c r="T79" s="705">
        <v>41639</v>
      </c>
      <c r="U79" s="291">
        <v>-0.28833269867627037</v>
      </c>
      <c r="V79" s="291">
        <v>1.5727804140015467</v>
      </c>
      <c r="W79" s="291">
        <v>2.294508238372603</v>
      </c>
      <c r="X79" s="291">
        <v>2.8512</v>
      </c>
      <c r="Y79" s="734"/>
      <c r="Z79" s="705">
        <v>41639</v>
      </c>
      <c r="AA79" s="707">
        <v>41639</v>
      </c>
      <c r="AB79" s="497">
        <f t="shared" si="247"/>
        <v>17</v>
      </c>
      <c r="AC79" s="266">
        <v>0.92725057132731747</v>
      </c>
      <c r="AD79" s="291">
        <v>-0.28833269867627037</v>
      </c>
      <c r="AE79" s="291">
        <f t="shared" si="301"/>
        <v>-116.60243375885055</v>
      </c>
      <c r="AF79" s="161">
        <v>2.0485505713273184</v>
      </c>
      <c r="AG79" s="291">
        <v>1.5727804140015467</v>
      </c>
      <c r="AH79" s="291">
        <f t="shared" si="302"/>
        <v>1930.7930126270196</v>
      </c>
      <c r="AI79" s="161">
        <v>2.3502505713273179</v>
      </c>
      <c r="AJ79" s="291">
        <v>2.294508238372603</v>
      </c>
      <c r="AK79" s="291">
        <f t="shared" si="303"/>
        <v>1279.3450425485544</v>
      </c>
      <c r="AL79" s="161">
        <v>1.8162505713273176</v>
      </c>
      <c r="AM79" s="291">
        <v>2.8512</v>
      </c>
      <c r="AN79" s="291">
        <f t="shared" si="304"/>
        <v>875.68205060502817</v>
      </c>
      <c r="AO79" s="705">
        <v>41639</v>
      </c>
      <c r="AP79" s="463">
        <v>4.0440239450527109</v>
      </c>
      <c r="AQ79" s="463">
        <v>12.276303770305731</v>
      </c>
      <c r="AR79" s="463">
        <v>5.5756829335070917</v>
      </c>
      <c r="AS79" s="463">
        <v>3.0712754300120237</v>
      </c>
      <c r="AT79" s="463">
        <f t="shared" si="305"/>
        <v>0.14442942660902539</v>
      </c>
      <c r="AU79" s="463">
        <f t="shared" si="306"/>
        <v>0.20807294525941916</v>
      </c>
      <c r="AV79" s="463">
        <f t="shared" si="307"/>
        <v>0.27878414667535456</v>
      </c>
      <c r="AW79" s="463">
        <f t="shared" si="308"/>
        <v>0.16164607526379071</v>
      </c>
      <c r="AY79" s="266">
        <v>0.92725057132731747</v>
      </c>
      <c r="AZ79" s="161">
        <v>2.0485505713273184</v>
      </c>
      <c r="BA79" s="161">
        <v>2.3502505713273179</v>
      </c>
      <c r="BB79" s="161">
        <v>1.8162505713273176</v>
      </c>
      <c r="BE79" s="134">
        <v>-4.5393269867627034E-3</v>
      </c>
      <c r="BF79" s="134">
        <v>-5.4419585998453555E-4</v>
      </c>
      <c r="BG79" s="134">
        <v>-6.8629176162739681E-3</v>
      </c>
      <c r="BH79" s="134">
        <v>0</v>
      </c>
      <c r="BJ79" s="508">
        <v>18.716065075685119</v>
      </c>
      <c r="BK79" s="508">
        <v>27.576988152609179</v>
      </c>
      <c r="BL79" s="508">
        <v>18.271757383377778</v>
      </c>
      <c r="BM79" s="508">
        <v>9.0292958449161667</v>
      </c>
      <c r="BO79" s="705">
        <v>41639</v>
      </c>
      <c r="BP79" s="324">
        <v>0</v>
      </c>
      <c r="BQ79" s="1">
        <v>5035950</v>
      </c>
      <c r="BR79" s="1">
        <v>11127132</v>
      </c>
      <c r="BS79" s="1">
        <v>6310099.7999999998</v>
      </c>
      <c r="BT79" s="1">
        <v>5970600</v>
      </c>
      <c r="BU79" s="708">
        <v>153402.67665978591</v>
      </c>
      <c r="BV79" s="708">
        <v>509866.00211189309</v>
      </c>
      <c r="BW79" s="708">
        <v>144414.10030668529</v>
      </c>
      <c r="BX79" s="708">
        <v>214415.58927759767</v>
      </c>
      <c r="BY79" s="709">
        <f t="shared" si="252"/>
        <v>0</v>
      </c>
      <c r="BZ79" s="709">
        <f t="shared" si="253"/>
        <v>0</v>
      </c>
      <c r="CA79" s="709">
        <f t="shared" si="254"/>
        <v>0</v>
      </c>
      <c r="CB79" s="709">
        <f t="shared" si="255"/>
        <v>0</v>
      </c>
      <c r="CC79" s="475">
        <f t="shared" si="256"/>
        <v>0</v>
      </c>
      <c r="CD79" s="475">
        <f t="shared" si="257"/>
        <v>0</v>
      </c>
      <c r="CE79" s="475">
        <f t="shared" si="258"/>
        <v>0</v>
      </c>
      <c r="CF79" s="475">
        <f t="shared" si="259"/>
        <v>0</v>
      </c>
      <c r="CG79" s="302">
        <f t="shared" si="309"/>
        <v>0</v>
      </c>
      <c r="CH79" s="302">
        <f t="shared" si="310"/>
        <v>0</v>
      </c>
      <c r="CI79" s="302">
        <f t="shared" si="311"/>
        <v>0</v>
      </c>
      <c r="CJ79" s="302">
        <f t="shared" si="312"/>
        <v>0</v>
      </c>
      <c r="CK79" s="302">
        <f t="shared" si="313"/>
        <v>0</v>
      </c>
      <c r="CL79" s="302">
        <f t="shared" si="313"/>
        <v>0</v>
      </c>
      <c r="CM79" s="302">
        <f t="shared" si="313"/>
        <v>0</v>
      </c>
      <c r="CN79" s="302">
        <f t="shared" si="313"/>
        <v>0</v>
      </c>
      <c r="CO79" s="710">
        <f t="shared" si="237"/>
        <v>0</v>
      </c>
      <c r="CP79" s="710">
        <f t="shared" si="238"/>
        <v>0</v>
      </c>
      <c r="CQ79" s="710">
        <f t="shared" si="239"/>
        <v>0</v>
      </c>
      <c r="CR79" s="710">
        <f t="shared" si="240"/>
        <v>0</v>
      </c>
      <c r="CS79" s="705">
        <v>41639</v>
      </c>
      <c r="CT79" s="711">
        <v>0.11600000000000001</v>
      </c>
      <c r="CU79" s="735">
        <v>-0.92200000000000004</v>
      </c>
      <c r="CV79" s="713">
        <v>0.96499999999999997</v>
      </c>
      <c r="CW79" s="714">
        <v>0.97899999999999998</v>
      </c>
      <c r="CY79" s="727">
        <v>2.037206507568512E-2</v>
      </c>
      <c r="CZ79" s="727">
        <v>4.3848988152609181E-2</v>
      </c>
      <c r="DA79" s="727">
        <v>4.8079757383377775E-2</v>
      </c>
      <c r="DB79" s="736">
        <v>3.7541295844916167E-2</v>
      </c>
      <c r="DC79" s="463">
        <f t="shared" si="248"/>
        <v>-2.0417385459518655</v>
      </c>
      <c r="DD79" s="463">
        <f t="shared" si="249"/>
        <v>-4.4017385459518721</v>
      </c>
      <c r="DE79" s="463">
        <f t="shared" si="250"/>
        <v>-4.7917385459518513</v>
      </c>
      <c r="DF79" s="463">
        <f t="shared" si="251"/>
        <v>-3.7717385459519193</v>
      </c>
      <c r="DG79" s="483">
        <f t="shared" si="260"/>
        <v>2.0417385459518655</v>
      </c>
      <c r="DH79" s="483">
        <f t="shared" si="261"/>
        <v>4.4017385459518721</v>
      </c>
      <c r="DI79" s="483">
        <f t="shared" si="262"/>
        <v>4.7917385459518513</v>
      </c>
      <c r="DJ79" s="483">
        <f t="shared" si="263"/>
        <v>3.7717385459519193</v>
      </c>
      <c r="DK79" s="483">
        <f t="shared" si="327"/>
        <v>8.9262303121596887E-2</v>
      </c>
      <c r="DL79" s="483">
        <f t="shared" si="328"/>
        <v>0.67594988879951678</v>
      </c>
      <c r="DM79" s="483">
        <f t="shared" si="329"/>
        <v>0.15409919308220399</v>
      </c>
      <c r="DN79" s="483">
        <f t="shared" si="330"/>
        <v>0.18258105934044222</v>
      </c>
      <c r="DO79" s="483">
        <f t="shared" si="315"/>
        <v>4.5562571245950974</v>
      </c>
      <c r="DP79" s="483">
        <f t="shared" si="316"/>
        <v>74.383867016517868</v>
      </c>
      <c r="DQ79" s="483">
        <f t="shared" si="317"/>
        <v>18.460076084801841</v>
      </c>
      <c r="DR79" s="483">
        <f t="shared" si="318"/>
        <v>17.216200481877014</v>
      </c>
      <c r="DS79" s="324">
        <v>0.1656</v>
      </c>
      <c r="DT79" s="324">
        <v>1.6272000000000002</v>
      </c>
      <c r="DU79" s="324">
        <v>2.9807999999999999</v>
      </c>
      <c r="DV79" s="324">
        <v>2.8512</v>
      </c>
      <c r="DW79" s="716"/>
      <c r="DX79" s="705">
        <v>41639</v>
      </c>
      <c r="DY79" s="716"/>
      <c r="DZ79" s="269">
        <f t="shared" si="264"/>
        <v>1.8761385459518656</v>
      </c>
      <c r="EA79" s="269">
        <f t="shared" si="319"/>
        <v>2.7745385459518719</v>
      </c>
      <c r="EB79" s="269">
        <f t="shared" si="314"/>
        <v>1.8109385459518514</v>
      </c>
      <c r="EC79" s="716">
        <f t="shared" si="326"/>
        <v>0.92053854595191931</v>
      </c>
      <c r="ED79" s="716"/>
      <c r="EE79" s="269">
        <f t="shared" si="242"/>
        <v>1.8761385459518656</v>
      </c>
      <c r="EF79" s="269">
        <f t="shared" si="243"/>
        <v>2.7745385459518719</v>
      </c>
      <c r="EG79" s="269">
        <f t="shared" si="244"/>
        <v>1.8109385459518514</v>
      </c>
      <c r="EH79" s="269">
        <f t="shared" si="245"/>
        <v>0.92053854595191931</v>
      </c>
      <c r="EI79" s="716"/>
      <c r="EJ79" s="717">
        <f t="shared" si="265"/>
        <v>758.71492040657199</v>
      </c>
      <c r="EK79" s="717">
        <f t="shared" si="266"/>
        <v>3406.1078012527546</v>
      </c>
      <c r="EL79" s="717">
        <f t="shared" si="267"/>
        <v>1009.7219144293887</v>
      </c>
      <c r="EM79" s="717">
        <f t="shared" si="268"/>
        <v>282.72274185611241</v>
      </c>
      <c r="EN79" s="716"/>
      <c r="EO79" s="269">
        <f t="shared" si="320"/>
        <v>0.45393269867627034</v>
      </c>
      <c r="EP79" s="269">
        <f t="shared" si="321"/>
        <v>5.4419585998453555E-2</v>
      </c>
      <c r="EQ79" s="269">
        <f t="shared" si="322"/>
        <v>0.6862917616273968</v>
      </c>
      <c r="ER79" s="269"/>
      <c r="ES79" s="716"/>
      <c r="ET79" s="718">
        <f t="shared" si="323"/>
        <v>183.57147028892345</v>
      </c>
      <c r="EU79" s="718">
        <f t="shared" si="324"/>
        <v>66.807136877129238</v>
      </c>
      <c r="EV79" s="718">
        <f t="shared" si="325"/>
        <v>382.65452627123932</v>
      </c>
      <c r="EW79" s="718"/>
      <c r="EX79" s="716"/>
      <c r="EY79" s="705">
        <v>41639</v>
      </c>
      <c r="EZ79" s="716"/>
      <c r="FA79" s="766">
        <f t="shared" si="273"/>
        <v>-0.2883326986762702</v>
      </c>
      <c r="FB79" s="766">
        <f t="shared" si="274"/>
        <v>1.5727804140015467</v>
      </c>
      <c r="FC79" s="766">
        <f t="shared" si="275"/>
        <v>2.294508238372603</v>
      </c>
      <c r="FD79" s="766">
        <f t="shared" si="276"/>
        <v>2.8512</v>
      </c>
      <c r="FE79" s="760"/>
      <c r="FF79" s="705">
        <v>41639</v>
      </c>
      <c r="FG79" s="760"/>
      <c r="FH79" s="766">
        <v>-116.60243375885048</v>
      </c>
      <c r="FI79" s="766">
        <f t="shared" si="294"/>
        <v>1930.7930126270196</v>
      </c>
      <c r="FJ79" s="766">
        <f t="shared" si="295"/>
        <v>1279.3450425485544</v>
      </c>
      <c r="FK79" s="766">
        <f t="shared" si="296"/>
        <v>875.68205060502817</v>
      </c>
      <c r="FL79" s="760"/>
      <c r="FM79" s="759">
        <f t="shared" si="277"/>
        <v>-116.60243375885048</v>
      </c>
      <c r="FN79" s="759">
        <f t="shared" si="278"/>
        <v>1930.7930126270196</v>
      </c>
      <c r="FO79" s="759">
        <f t="shared" si="279"/>
        <v>1279.3450425485544</v>
      </c>
      <c r="FP79" s="859">
        <f t="shared" si="280"/>
        <v>875.68205060502817</v>
      </c>
      <c r="FQ79" s="760"/>
      <c r="FR79" s="759">
        <f t="shared" si="281"/>
        <v>942.28639069549547</v>
      </c>
      <c r="FS79" s="759">
        <f t="shared" si="282"/>
        <v>5403.7079507569033</v>
      </c>
      <c r="FT79" s="759">
        <f t="shared" si="283"/>
        <v>2671.7214832491823</v>
      </c>
      <c r="FU79" s="759">
        <f t="shared" si="284"/>
        <v>1158.4047924611405</v>
      </c>
      <c r="FV79" s="761"/>
      <c r="FW79" s="754">
        <v>41639</v>
      </c>
      <c r="FX79" s="761"/>
      <c r="FY79" s="759">
        <f t="shared" si="297"/>
        <v>365660.52393675706</v>
      </c>
      <c r="FZ79" s="759">
        <f t="shared" si="298"/>
        <v>721900.22081765509</v>
      </c>
      <c r="GA79" s="759">
        <f t="shared" si="299"/>
        <v>337000.46505075664</v>
      </c>
      <c r="GB79" s="759">
        <f t="shared" si="300"/>
        <v>371631.64531473862</v>
      </c>
      <c r="GC79" s="760"/>
      <c r="GD79" s="759">
        <f t="shared" si="285"/>
        <v>0.96708469794996521</v>
      </c>
      <c r="GE79" s="759">
        <f t="shared" si="285"/>
        <v>0.94640698381742805</v>
      </c>
      <c r="GF79" s="759">
        <f t="shared" si="286"/>
        <v>0.90478201660587454</v>
      </c>
      <c r="GG79" s="759">
        <f t="shared" si="287"/>
        <v>0.96991940355150219</v>
      </c>
      <c r="GH79" s="716"/>
      <c r="GI79" s="756">
        <f t="shared" si="288"/>
        <v>0</v>
      </c>
      <c r="GJ79" s="756">
        <f t="shared" si="289"/>
        <v>0</v>
      </c>
      <c r="GK79" s="756">
        <f t="shared" si="290"/>
        <v>0</v>
      </c>
      <c r="GL79" s="756">
        <f t="shared" si="291"/>
        <v>0</v>
      </c>
      <c r="GM79" s="716"/>
    </row>
    <row r="80" spans="1:195" s="472" customFormat="1">
      <c r="A80" s="464">
        <v>41640</v>
      </c>
      <c r="B80" s="465">
        <v>0.3</v>
      </c>
      <c r="C80" s="466">
        <v>0</v>
      </c>
      <c r="D80" s="485">
        <v>-0.32900450010002985</v>
      </c>
      <c r="E80" s="485">
        <v>1.9662749174467264</v>
      </c>
      <c r="F80" s="485">
        <v>3.2419859054981006</v>
      </c>
      <c r="G80" s="490">
        <v>2.5775999999999999</v>
      </c>
      <c r="H80" s="491"/>
      <c r="I80" s="464">
        <v>41640</v>
      </c>
      <c r="J80" s="467"/>
      <c r="K80" s="467"/>
      <c r="L80" s="467"/>
      <c r="M80" s="467"/>
      <c r="N80" s="491"/>
      <c r="O80" s="464">
        <v>41640</v>
      </c>
      <c r="P80" s="484">
        <f>D80+CO80</f>
        <v>-0.29900450010002988</v>
      </c>
      <c r="Q80" s="467">
        <f>E80+CP80</f>
        <v>1.9962749174467265</v>
      </c>
      <c r="R80" s="467">
        <f>F80+CQ80</f>
        <v>3.2719859054981004</v>
      </c>
      <c r="S80" s="467">
        <f>G80+CR80</f>
        <v>2.6075999999999997</v>
      </c>
      <c r="T80" s="464">
        <v>41640</v>
      </c>
      <c r="U80" s="468">
        <v>-0.21255647110296877</v>
      </c>
      <c r="V80" s="468">
        <v>2.0980921728077071</v>
      </c>
      <c r="W80" s="468">
        <v>3.3222481895557006</v>
      </c>
      <c r="X80" s="468">
        <v>2.8018186958116629</v>
      </c>
      <c r="Y80" s="491"/>
      <c r="Z80" s="464">
        <v>41640</v>
      </c>
      <c r="AA80" s="469">
        <v>41640</v>
      </c>
      <c r="AB80" s="466">
        <v>0</v>
      </c>
      <c r="AC80" s="470">
        <v>0.90683318586779882</v>
      </c>
      <c r="AD80" s="468">
        <v>-0.21255647110296877</v>
      </c>
      <c r="AE80" s="468">
        <f t="shared" si="301"/>
        <v>-84.003306597941901</v>
      </c>
      <c r="AF80" s="471">
        <v>2.0045331858677997</v>
      </c>
      <c r="AG80" s="468">
        <v>2.0980921728077071</v>
      </c>
      <c r="AH80" s="468">
        <f t="shared" si="302"/>
        <v>2434.6111560635095</v>
      </c>
      <c r="AI80" s="471">
        <v>2.3023331858677993</v>
      </c>
      <c r="AJ80" s="468">
        <v>3.3222481895557006</v>
      </c>
      <c r="AK80" s="468">
        <f t="shared" si="303"/>
        <v>1793.2936581242425</v>
      </c>
      <c r="AL80" s="471">
        <v>1.7785331858677984</v>
      </c>
      <c r="AM80" s="468">
        <v>2.8018186958116629</v>
      </c>
      <c r="AN80" s="468">
        <f t="shared" si="304"/>
        <v>803.79596072942502</v>
      </c>
      <c r="AO80" s="464">
        <v>41640</v>
      </c>
      <c r="AP80" s="483">
        <v>3.9520465390699946</v>
      </c>
      <c r="AQ80" s="483">
        <v>11.603928500459855</v>
      </c>
      <c r="AR80" s="483">
        <v>5.3978316965056958</v>
      </c>
      <c r="AS80" s="483">
        <v>2.8688364523050347</v>
      </c>
      <c r="AT80" s="530">
        <f t="shared" si="305"/>
        <v>0.14114451925249979</v>
      </c>
      <c r="AU80" s="530">
        <f t="shared" si="306"/>
        <v>0.19667675424508227</v>
      </c>
      <c r="AV80" s="483">
        <f t="shared" si="307"/>
        <v>0.2698915848252848</v>
      </c>
      <c r="AW80" s="530">
        <f t="shared" si="308"/>
        <v>0.15099139222658078</v>
      </c>
      <c r="AY80" s="470">
        <v>0.90683318586779882</v>
      </c>
      <c r="AZ80" s="471">
        <v>2.0045331858677997</v>
      </c>
      <c r="BA80" s="471">
        <v>2.3023331858677993</v>
      </c>
      <c r="BB80" s="471">
        <v>1.7785331858677984</v>
      </c>
      <c r="BD80" s="232"/>
      <c r="BE80" s="472">
        <v>-3.9841250010002986E-3</v>
      </c>
      <c r="BF80" s="472">
        <v>-4.9725082553273741E-4</v>
      </c>
      <c r="BG80" s="472">
        <v>-6.6041409450189924E-3</v>
      </c>
      <c r="BH80" s="472">
        <v>0</v>
      </c>
      <c r="BI80" s="232"/>
      <c r="BJ80" s="507">
        <v>20.181663546802994</v>
      </c>
      <c r="BK80" s="507">
        <v>3.0926666237253815</v>
      </c>
      <c r="BL80" s="507">
        <v>-6.4097949147350892</v>
      </c>
      <c r="BM80" s="507">
        <v>7.9382050852645705</v>
      </c>
      <c r="BN80" s="232"/>
      <c r="BO80" s="464">
        <v>41640</v>
      </c>
      <c r="BP80" s="473">
        <v>0</v>
      </c>
      <c r="BQ80" s="1">
        <v>5035950</v>
      </c>
      <c r="BR80" s="1">
        <v>11127132</v>
      </c>
      <c r="BS80" s="1">
        <v>6310099.7999999998</v>
      </c>
      <c r="BT80" s="1">
        <v>5970600</v>
      </c>
      <c r="BU80" s="474">
        <v>153402.67665978591</v>
      </c>
      <c r="BV80" s="474">
        <v>509866.00211189309</v>
      </c>
      <c r="BW80" s="474">
        <v>144414.10030668529</v>
      </c>
      <c r="BX80" s="474">
        <v>214415.58927759767</v>
      </c>
      <c r="BY80" s="556">
        <f t="shared" si="252"/>
        <v>1510.7849999999999</v>
      </c>
      <c r="BZ80" s="556">
        <f t="shared" si="253"/>
        <v>3338.1395999999995</v>
      </c>
      <c r="CA80" s="556">
        <f t="shared" si="254"/>
        <v>1893.0299399999997</v>
      </c>
      <c r="CB80" s="556">
        <f t="shared" si="255"/>
        <v>1791.1799999999998</v>
      </c>
      <c r="CC80" s="475">
        <f t="shared" si="256"/>
        <v>0</v>
      </c>
      <c r="CD80" s="475">
        <f t="shared" si="257"/>
        <v>0</v>
      </c>
      <c r="CE80" s="475">
        <f t="shared" si="258"/>
        <v>0</v>
      </c>
      <c r="CF80" s="475">
        <f t="shared" si="259"/>
        <v>0</v>
      </c>
      <c r="CG80" s="476">
        <f t="shared" si="309"/>
        <v>46.020802997935768</v>
      </c>
      <c r="CH80" s="476">
        <f t="shared" si="310"/>
        <v>152.95980063356791</v>
      </c>
      <c r="CI80" s="476">
        <f t="shared" si="311"/>
        <v>43.324230092005585</v>
      </c>
      <c r="CJ80" s="476">
        <f t="shared" si="312"/>
        <v>64.324676783279301</v>
      </c>
      <c r="CK80" s="476">
        <f t="shared" si="313"/>
        <v>46.020802997935768</v>
      </c>
      <c r="CL80" s="476">
        <f t="shared" si="313"/>
        <v>152.95980063356791</v>
      </c>
      <c r="CM80" s="476">
        <f t="shared" si="313"/>
        <v>43.324230092005585</v>
      </c>
      <c r="CN80" s="476">
        <f t="shared" si="313"/>
        <v>64.324676783279301</v>
      </c>
      <c r="CO80" s="477">
        <f>CK80/BU80*100</f>
        <v>0.03</v>
      </c>
      <c r="CP80" s="477">
        <f t="shared" ref="CP80" si="331">CL80/BV80*100</f>
        <v>0.03</v>
      </c>
      <c r="CQ80" s="477">
        <f t="shared" ref="CQ80" si="332">CM80/BW80*100</f>
        <v>0.03</v>
      </c>
      <c r="CR80" s="477">
        <f t="shared" ref="CR80" si="333">CN80/BX80*100</f>
        <v>3.0000000000000002E-2</v>
      </c>
      <c r="CS80" s="464">
        <v>41640</v>
      </c>
      <c r="CT80" s="478">
        <v>1.2E-2</v>
      </c>
      <c r="CU80" s="492">
        <v>0.92600000000000005</v>
      </c>
      <c r="CV80" s="480">
        <v>0.96299999999999997</v>
      </c>
      <c r="CW80" s="481">
        <v>0.94899999999999995</v>
      </c>
      <c r="CY80" s="521">
        <v>2.0875743546802994E-2</v>
      </c>
      <c r="CZ80" s="521">
        <v>2.3252666623725382E-2</v>
      </c>
      <c r="DA80" s="521">
        <v>3.2614205085264913E-2</v>
      </c>
      <c r="DB80" s="529">
        <v>3.371420508526457E-2</v>
      </c>
      <c r="DC80" s="483">
        <f t="shared" si="248"/>
        <v>-2.085337416105304</v>
      </c>
      <c r="DD80" s="483">
        <f t="shared" si="249"/>
        <v>-2.3653374161053842</v>
      </c>
      <c r="DE80" s="483">
        <f t="shared" si="250"/>
        <v>-3.2753374161053728</v>
      </c>
      <c r="DF80" s="483">
        <f t="shared" si="251"/>
        <v>-3.3653374161053407</v>
      </c>
      <c r="DG80" s="483">
        <f t="shared" si="260"/>
        <v>2.085337416105304</v>
      </c>
      <c r="DH80" s="483">
        <f t="shared" si="261"/>
        <v>2.3653374161053842</v>
      </c>
      <c r="DI80" s="483">
        <f t="shared" si="262"/>
        <v>3.2753374161053728</v>
      </c>
      <c r="DJ80" s="483">
        <f t="shared" si="263"/>
        <v>3.3653374161053407</v>
      </c>
      <c r="DK80" s="483">
        <f t="shared" si="327"/>
        <v>9.1977405982716309E-2</v>
      </c>
      <c r="DL80" s="483">
        <f t="shared" si="328"/>
        <v>0.67237526984587603</v>
      </c>
      <c r="DM80" s="483">
        <f t="shared" si="329"/>
        <v>0.17785123700139582</v>
      </c>
      <c r="DN80" s="483">
        <f t="shared" si="330"/>
        <v>0.20243897770698904</v>
      </c>
      <c r="DO80" s="483">
        <f t="shared" si="315"/>
        <v>4.7950981533016543</v>
      </c>
      <c r="DP80" s="483">
        <f t="shared" si="316"/>
        <v>39.759859585760125</v>
      </c>
      <c r="DQ80" s="483">
        <f t="shared" si="317"/>
        <v>14.563070276282401</v>
      </c>
      <c r="DR80" s="483">
        <f t="shared" si="318"/>
        <v>17.031886653886129</v>
      </c>
      <c r="DS80" s="473"/>
      <c r="DT80" s="473"/>
      <c r="DU80" s="473"/>
      <c r="DV80" s="473"/>
      <c r="DW80" s="552"/>
      <c r="DX80" s="532">
        <v>41640</v>
      </c>
      <c r="DY80" s="552"/>
      <c r="DZ80" s="473"/>
      <c r="EA80" s="473"/>
      <c r="EB80" s="473"/>
      <c r="EC80" s="545"/>
      <c r="ED80" s="552"/>
      <c r="EE80" s="527">
        <f>AVERAGE(EE79,EE81)</f>
        <v>2.499247824424883</v>
      </c>
      <c r="EF80" s="527">
        <f>AVERAGE(EF79,EF81)</f>
        <v>2.0187278244248672</v>
      </c>
      <c r="EG80" s="527">
        <f>AVERAGE(EG79,EG81)</f>
        <v>1.6695678244248642</v>
      </c>
      <c r="EH80" s="527">
        <f>AVERAGE(EH79,EH81)</f>
        <v>0.94816782442492298</v>
      </c>
      <c r="EI80" s="552"/>
      <c r="EJ80" s="503">
        <f t="shared" si="265"/>
        <v>987.7143714796573</v>
      </c>
      <c r="EK80" s="503">
        <f t="shared" si="266"/>
        <v>2342.5173336515036</v>
      </c>
      <c r="EL80" s="503">
        <f t="shared" si="267"/>
        <v>901.20461221465871</v>
      </c>
      <c r="EM80" s="503">
        <f t="shared" si="268"/>
        <v>272.01384176129795</v>
      </c>
      <c r="EN80" s="552"/>
      <c r="EO80" s="503">
        <f t="shared" si="320"/>
        <v>0.39841250010002988</v>
      </c>
      <c r="EP80" s="503">
        <f t="shared" si="321"/>
        <v>4.9725082553273743E-2</v>
      </c>
      <c r="EQ80" s="503">
        <f t="shared" si="322"/>
        <v>0.66041409450189925</v>
      </c>
      <c r="ER80" s="473"/>
      <c r="ES80" s="552"/>
      <c r="ET80" s="554">
        <f t="shared" si="323"/>
        <v>157.4544742142547</v>
      </c>
      <c r="EU80" s="554">
        <f t="shared" si="324"/>
        <v>57.700630262765223</v>
      </c>
      <c r="EV80" s="554">
        <f t="shared" si="325"/>
        <v>356.48041321214595</v>
      </c>
      <c r="EW80" s="554"/>
      <c r="EX80" s="552"/>
      <c r="EY80" s="532">
        <v>41640</v>
      </c>
      <c r="EZ80" s="552"/>
      <c r="FA80" s="745">
        <f t="shared" si="273"/>
        <v>-0.78232290841960905</v>
      </c>
      <c r="FB80" s="745">
        <f t="shared" si="274"/>
        <v>0.32688450912724321</v>
      </c>
      <c r="FC80" s="745">
        <f t="shared" si="275"/>
        <v>0.97535549717860937</v>
      </c>
      <c r="FD80" s="745">
        <f t="shared" si="276"/>
        <v>2.4471695916804177</v>
      </c>
      <c r="FE80" s="761"/>
      <c r="FF80" s="532">
        <v>41640</v>
      </c>
      <c r="FG80" s="761"/>
      <c r="FH80" s="745">
        <v>-309.17765426548885</v>
      </c>
      <c r="FI80" s="745">
        <f t="shared" si="294"/>
        <v>379.31444718204472</v>
      </c>
      <c r="FJ80" s="745">
        <f t="shared" si="295"/>
        <v>526.48048180317699</v>
      </c>
      <c r="FK80" s="745">
        <f t="shared" si="296"/>
        <v>702.05293295852096</v>
      </c>
      <c r="FL80" s="761"/>
      <c r="FM80" s="756">
        <f t="shared" si="277"/>
        <v>-309.17765426548885</v>
      </c>
      <c r="FN80" s="756">
        <f t="shared" si="278"/>
        <v>379.31444718204472</v>
      </c>
      <c r="FO80" s="756">
        <f t="shared" si="279"/>
        <v>526.48048180317699</v>
      </c>
      <c r="FP80" s="859">
        <f t="shared" si="280"/>
        <v>702.05293295852096</v>
      </c>
      <c r="FQ80" s="761"/>
      <c r="FR80" s="756">
        <f t="shared" si="281"/>
        <v>1145.1688456939121</v>
      </c>
      <c r="FS80" s="756">
        <f t="shared" si="282"/>
        <v>2779.5324110963134</v>
      </c>
      <c r="FT80" s="756">
        <f t="shared" si="283"/>
        <v>1784.1655072299816</v>
      </c>
      <c r="FU80" s="756">
        <f t="shared" si="284"/>
        <v>974.06677471981891</v>
      </c>
      <c r="FV80" s="761"/>
      <c r="FW80" s="755">
        <v>41640</v>
      </c>
      <c r="FX80" s="761"/>
      <c r="FY80" s="756">
        <f t="shared" si="297"/>
        <v>366805.69278245099</v>
      </c>
      <c r="FZ80" s="756">
        <f t="shared" si="298"/>
        <v>724679.75322875136</v>
      </c>
      <c r="GA80" s="756">
        <f t="shared" si="299"/>
        <v>338784.63055798662</v>
      </c>
      <c r="GB80" s="756">
        <f t="shared" si="300"/>
        <v>372605.71208945842</v>
      </c>
      <c r="GC80" s="761"/>
      <c r="GD80" s="756">
        <f t="shared" si="285"/>
        <v>0.97011339586713818</v>
      </c>
      <c r="GE80" s="756">
        <f t="shared" si="285"/>
        <v>0.95005093461526668</v>
      </c>
      <c r="GF80" s="756">
        <f t="shared" si="286"/>
        <v>0.90957216093207616</v>
      </c>
      <c r="GG80" s="756">
        <f t="shared" si="287"/>
        <v>0.97246161511251017</v>
      </c>
      <c r="GH80" s="552"/>
      <c r="GI80" s="756">
        <f t="shared" si="288"/>
        <v>0</v>
      </c>
      <c r="GJ80" s="756">
        <f t="shared" si="289"/>
        <v>0</v>
      </c>
      <c r="GK80" s="756">
        <f t="shared" si="290"/>
        <v>0</v>
      </c>
      <c r="GL80" s="756">
        <f t="shared" si="291"/>
        <v>0</v>
      </c>
      <c r="GM80" s="552"/>
    </row>
    <row r="81" spans="1:195" s="134" customFormat="1">
      <c r="A81" s="705">
        <v>41641</v>
      </c>
      <c r="B81" s="706">
        <v>0</v>
      </c>
      <c r="C81" s="497">
        <f t="shared" si="246"/>
        <v>1</v>
      </c>
      <c r="D81" s="274">
        <v>-0.48853298888598162</v>
      </c>
      <c r="E81" s="274">
        <v>0.99278997740990216</v>
      </c>
      <c r="F81" s="274">
        <v>0.8130560206943076</v>
      </c>
      <c r="G81" s="276">
        <v>1.7568000000000001</v>
      </c>
      <c r="H81" s="734"/>
      <c r="I81" s="705">
        <v>41641</v>
      </c>
      <c r="J81" s="270">
        <f t="shared" ref="J81:J92" si="334">D81</f>
        <v>-0.48853298888598162</v>
      </c>
      <c r="K81" s="270">
        <f t="shared" ref="K81:K92" si="335">E81</f>
        <v>0.99278997740990216</v>
      </c>
      <c r="L81" s="270">
        <f t="shared" ref="L81:L92" si="336">F81</f>
        <v>0.8130560206943076</v>
      </c>
      <c r="M81" s="270">
        <f t="shared" ref="M81:M92" si="337">G81</f>
        <v>1.7568000000000001</v>
      </c>
      <c r="N81" s="734"/>
      <c r="O81" s="705">
        <v>41641</v>
      </c>
      <c r="P81" s="737">
        <f t="shared" ref="P81:P92" si="338">J81</f>
        <v>-0.48853298888598162</v>
      </c>
      <c r="Q81" s="270">
        <f t="shared" ref="Q81:Q92" si="339">K81</f>
        <v>0.99278997740990216</v>
      </c>
      <c r="R81" s="270">
        <f t="shared" ref="R81:R92" si="340">L81</f>
        <v>0.8130560206943076</v>
      </c>
      <c r="S81" s="270">
        <f t="shared" ref="S81:S92" si="341">M81</f>
        <v>1.7568000000000001</v>
      </c>
      <c r="T81" s="705">
        <v>41641</v>
      </c>
      <c r="U81" s="291">
        <v>-0.48853298888598162</v>
      </c>
      <c r="V81" s="291">
        <v>0.99278997740990216</v>
      </c>
      <c r="W81" s="291">
        <v>0.8130560206943076</v>
      </c>
      <c r="X81" s="291">
        <v>1.7568000000000001</v>
      </c>
      <c r="Y81" s="734"/>
      <c r="Z81" s="705">
        <v>41641</v>
      </c>
      <c r="AA81" s="707">
        <v>41641</v>
      </c>
      <c r="AB81" s="497">
        <f t="shared" si="247"/>
        <v>1</v>
      </c>
      <c r="AC81" s="266">
        <v>0.88597981170674578</v>
      </c>
      <c r="AD81" s="291">
        <v>-0.48853298888598162</v>
      </c>
      <c r="AE81" s="291">
        <f t="shared" si="301"/>
        <v>-188.40223010443501</v>
      </c>
      <c r="AF81" s="161">
        <v>1.9808798117067459</v>
      </c>
      <c r="AG81" s="291">
        <v>0.99278997740990216</v>
      </c>
      <c r="AH81" s="291">
        <f t="shared" si="302"/>
        <v>1082.0843274348967</v>
      </c>
      <c r="AI81" s="161">
        <v>2.2695798117067456</v>
      </c>
      <c r="AJ81" s="291">
        <v>0.8130560206943076</v>
      </c>
      <c r="AK81" s="291">
        <f t="shared" si="303"/>
        <v>422.9716630637356</v>
      </c>
      <c r="AL81" s="161">
        <v>1.744879811706745</v>
      </c>
      <c r="AM81" s="291">
        <v>1.7568000000000001</v>
      </c>
      <c r="AN81" s="291">
        <f t="shared" si="304"/>
        <v>471.17865078573692</v>
      </c>
      <c r="AO81" s="705">
        <v>41641</v>
      </c>
      <c r="AP81" s="463">
        <v>3.8564894160792496</v>
      </c>
      <c r="AQ81" s="463">
        <v>10.89942839932727</v>
      </c>
      <c r="AR81" s="463">
        <v>5.2022450150795247</v>
      </c>
      <c r="AS81" s="463">
        <v>2.6820278391719996</v>
      </c>
      <c r="AT81" s="463">
        <f t="shared" si="305"/>
        <v>0.13773176485997321</v>
      </c>
      <c r="AU81" s="463">
        <f t="shared" si="306"/>
        <v>0.18473607456486899</v>
      </c>
      <c r="AV81" s="463">
        <f t="shared" si="307"/>
        <v>0.26011225075397626</v>
      </c>
      <c r="AW81" s="463">
        <f t="shared" si="308"/>
        <v>0.14115935995642104</v>
      </c>
      <c r="AY81" s="266">
        <v>0.88597981170674578</v>
      </c>
      <c r="AZ81" s="161">
        <v>1.9808798117067459</v>
      </c>
      <c r="BA81" s="161">
        <v>2.2695798117067456</v>
      </c>
      <c r="BB81" s="161">
        <v>1.744879811706745</v>
      </c>
      <c r="BE81" s="134">
        <v>-3.3877298888598164E-3</v>
      </c>
      <c r="BF81" s="134">
        <v>-4.6890022590097958E-4</v>
      </c>
      <c r="BG81" s="134">
        <v>-6.413439793056923E-3</v>
      </c>
      <c r="BH81" s="134">
        <v>0</v>
      </c>
      <c r="BJ81" s="508">
        <v>31.226952890896179</v>
      </c>
      <c r="BK81" s="508">
        <v>12.863322121666169</v>
      </c>
      <c r="BL81" s="508">
        <v>15.108429813972871</v>
      </c>
      <c r="BM81" s="508">
        <v>10.145968275511201</v>
      </c>
      <c r="BO81" s="705">
        <v>41641</v>
      </c>
      <c r="BP81" s="324">
        <v>0</v>
      </c>
      <c r="BQ81" s="1">
        <v>5035950</v>
      </c>
      <c r="BR81" s="1">
        <v>11127132</v>
      </c>
      <c r="BS81" s="1">
        <v>6310099.7999999998</v>
      </c>
      <c r="BT81" s="1">
        <v>5970600</v>
      </c>
      <c r="BU81" s="708">
        <v>153402.67665978591</v>
      </c>
      <c r="BV81" s="708">
        <v>509866.00211189309</v>
      </c>
      <c r="BW81" s="708">
        <v>144414.10030668529</v>
      </c>
      <c r="BX81" s="708">
        <v>214415.58927759767</v>
      </c>
      <c r="BY81" s="709">
        <f t="shared" si="252"/>
        <v>0</v>
      </c>
      <c r="BZ81" s="709">
        <f t="shared" si="253"/>
        <v>0</v>
      </c>
      <c r="CA81" s="709">
        <f t="shared" si="254"/>
        <v>0</v>
      </c>
      <c r="CB81" s="709">
        <f t="shared" si="255"/>
        <v>0</v>
      </c>
      <c r="CC81" s="475">
        <f t="shared" si="256"/>
        <v>0</v>
      </c>
      <c r="CD81" s="475">
        <f t="shared" si="257"/>
        <v>0</v>
      </c>
      <c r="CE81" s="475">
        <f t="shared" si="258"/>
        <v>0</v>
      </c>
      <c r="CF81" s="475">
        <f t="shared" si="259"/>
        <v>0</v>
      </c>
      <c r="CG81" s="302">
        <f t="shared" si="309"/>
        <v>0</v>
      </c>
      <c r="CH81" s="302">
        <f t="shared" si="310"/>
        <v>0</v>
      </c>
      <c r="CI81" s="302">
        <f t="shared" si="311"/>
        <v>0</v>
      </c>
      <c r="CJ81" s="302">
        <f t="shared" si="312"/>
        <v>0</v>
      </c>
      <c r="CK81" s="302">
        <f t="shared" si="313"/>
        <v>0</v>
      </c>
      <c r="CL81" s="302">
        <f t="shared" si="313"/>
        <v>0</v>
      </c>
      <c r="CM81" s="302">
        <f t="shared" si="313"/>
        <v>0</v>
      </c>
      <c r="CN81" s="302">
        <f t="shared" si="313"/>
        <v>0</v>
      </c>
      <c r="CO81" s="710">
        <f t="shared" ref="CO81:CO91" si="342">CK81/AP81/10000*100</f>
        <v>0</v>
      </c>
      <c r="CP81" s="710">
        <f t="shared" ref="CP81:CP91" si="343">CL81/AQ81/10000*100</f>
        <v>0</v>
      </c>
      <c r="CQ81" s="710">
        <f t="shared" ref="CQ81:CQ91" si="344">CM81/AR81/10000*100</f>
        <v>0</v>
      </c>
      <c r="CR81" s="710">
        <f t="shared" ref="CR81:CR91" si="345">CN81/AS81/10000*100</f>
        <v>0</v>
      </c>
      <c r="CS81" s="705">
        <v>41641</v>
      </c>
      <c r="CT81" s="711">
        <v>5.2299999999999999E-2</v>
      </c>
      <c r="CU81" s="735">
        <v>0.78900000000000003</v>
      </c>
      <c r="CV81" s="713">
        <v>0.80900000000000005</v>
      </c>
      <c r="CW81" s="714">
        <v>0.92400000000000004</v>
      </c>
      <c r="CY81" s="727">
        <v>2.9729352890896177E-2</v>
      </c>
      <c r="CZ81" s="727">
        <v>2.3260122121666171E-2</v>
      </c>
      <c r="DA81" s="727">
        <v>2.9652429813972869E-2</v>
      </c>
      <c r="DB81" s="736">
        <v>2.7713968275511203E-2</v>
      </c>
      <c r="DC81" s="463">
        <f t="shared" si="248"/>
        <v>-2.9725971028979004</v>
      </c>
      <c r="DD81" s="463">
        <f t="shared" si="249"/>
        <v>-2.3025971028978631</v>
      </c>
      <c r="DE81" s="463">
        <f t="shared" si="250"/>
        <v>-2.9825971028978771</v>
      </c>
      <c r="DF81" s="463">
        <f t="shared" si="251"/>
        <v>-2.7325971028979268</v>
      </c>
      <c r="DG81" s="483">
        <f t="shared" si="260"/>
        <v>2.9725971028979004</v>
      </c>
      <c r="DH81" s="483">
        <f t="shared" si="261"/>
        <v>2.3025971028978631</v>
      </c>
      <c r="DI81" s="483">
        <f t="shared" si="262"/>
        <v>2.9825971028978771</v>
      </c>
      <c r="DJ81" s="483">
        <f t="shared" si="263"/>
        <v>2.7325971028979268</v>
      </c>
      <c r="DK81" s="483">
        <f t="shared" si="327"/>
        <v>9.5557122990745036E-2</v>
      </c>
      <c r="DL81" s="483">
        <f t="shared" si="328"/>
        <v>0.70450010113258443</v>
      </c>
      <c r="DM81" s="483">
        <f t="shared" si="329"/>
        <v>0.19558668142617108</v>
      </c>
      <c r="DN81" s="483">
        <f t="shared" si="330"/>
        <v>0.1868086131330351</v>
      </c>
      <c r="DO81" s="483">
        <f t="shared" si="315"/>
        <v>7.1013206740886767</v>
      </c>
      <c r="DP81" s="483">
        <f t="shared" si="316"/>
        <v>40.554497296478509</v>
      </c>
      <c r="DQ81" s="483">
        <f t="shared" si="317"/>
        <v>14.583906734677695</v>
      </c>
      <c r="DR81" s="483">
        <f t="shared" si="318"/>
        <v>12.761816876092782</v>
      </c>
      <c r="DS81" s="324">
        <v>-0.14976</v>
      </c>
      <c r="DT81" s="324">
        <v>1.0396800000000002</v>
      </c>
      <c r="DU81" s="324">
        <v>1.4543999999999999</v>
      </c>
      <c r="DV81" s="324">
        <v>1.7568000000000001</v>
      </c>
      <c r="DW81" s="716"/>
      <c r="DX81" s="705">
        <v>41641</v>
      </c>
      <c r="DY81" s="716"/>
      <c r="DZ81" s="269">
        <f t="shared" ref="DZ81:EC84" si="346">-DC81-DS81</f>
        <v>3.1223571028979005</v>
      </c>
      <c r="EA81" s="269">
        <f t="shared" si="346"/>
        <v>1.262917102897863</v>
      </c>
      <c r="EB81" s="269">
        <f t="shared" si="346"/>
        <v>1.5281971028978771</v>
      </c>
      <c r="EC81" s="716">
        <f t="shared" si="346"/>
        <v>0.97579710289792665</v>
      </c>
      <c r="ED81" s="716"/>
      <c r="EE81" s="269">
        <f t="shared" ref="EE81:EE85" si="347">DZ81</f>
        <v>3.1223571028979005</v>
      </c>
      <c r="EF81" s="269">
        <f t="shared" ref="EF81:EF84" si="348">EA81</f>
        <v>1.262917102897863</v>
      </c>
      <c r="EG81" s="269">
        <f t="shared" ref="EG81:EG85" si="349">EB81</f>
        <v>1.5281971028978771</v>
      </c>
      <c r="EH81" s="269">
        <f t="shared" ref="EH81:EH85" si="350">EC81</f>
        <v>0.97579710289792665</v>
      </c>
      <c r="EI81" s="716"/>
      <c r="EJ81" s="717">
        <f t="shared" si="265"/>
        <v>1204.1337120545622</v>
      </c>
      <c r="EK81" s="717">
        <f t="shared" si="266"/>
        <v>1376.5074537321091</v>
      </c>
      <c r="EL81" s="717">
        <f t="shared" si="267"/>
        <v>795.00557606094526</v>
      </c>
      <c r="EM81" s="717">
        <f t="shared" si="268"/>
        <v>261.71149953556233</v>
      </c>
      <c r="EN81" s="716"/>
      <c r="EO81" s="269">
        <f t="shared" si="320"/>
        <v>0.33877298888598162</v>
      </c>
      <c r="EP81" s="269">
        <f t="shared" si="321"/>
        <v>4.689002259009796E-2</v>
      </c>
      <c r="EQ81" s="269">
        <f t="shared" si="322"/>
        <v>0.64134397930569231</v>
      </c>
      <c r="ER81" s="269"/>
      <c r="ES81" s="716"/>
      <c r="ET81" s="718">
        <f t="shared" si="323"/>
        <v>130.64744460923214</v>
      </c>
      <c r="EU81" s="718">
        <f t="shared" si="324"/>
        <v>51.107444386361095</v>
      </c>
      <c r="EV81" s="718">
        <f t="shared" si="325"/>
        <v>333.64285192943038</v>
      </c>
      <c r="EW81" s="718"/>
      <c r="EX81" s="716"/>
      <c r="EY81" s="705">
        <v>41641</v>
      </c>
      <c r="EZ81" s="716"/>
      <c r="FA81" s="766">
        <f t="shared" si="273"/>
        <v>-0.48853298888598173</v>
      </c>
      <c r="FB81" s="766">
        <f t="shared" si="274"/>
        <v>0.99278997740990227</v>
      </c>
      <c r="FC81" s="766">
        <f t="shared" si="275"/>
        <v>0.8130560206943076</v>
      </c>
      <c r="FD81" s="766">
        <f t="shared" si="276"/>
        <v>1.7568000000000001</v>
      </c>
      <c r="FE81" s="760"/>
      <c r="FF81" s="705">
        <v>41641</v>
      </c>
      <c r="FG81" s="760"/>
      <c r="FH81" s="766">
        <v>-188.40223010443503</v>
      </c>
      <c r="FI81" s="766">
        <f t="shared" si="294"/>
        <v>1082.0843274348967</v>
      </c>
      <c r="FJ81" s="766">
        <f t="shared" si="295"/>
        <v>422.9716630637356</v>
      </c>
      <c r="FK81" s="766">
        <f t="shared" si="296"/>
        <v>471.17865078573692</v>
      </c>
      <c r="FL81" s="760"/>
      <c r="FM81" s="759">
        <f t="shared" si="277"/>
        <v>-188.40223010443503</v>
      </c>
      <c r="FN81" s="759">
        <f t="shared" si="278"/>
        <v>1082.0843274348967</v>
      </c>
      <c r="FO81" s="759">
        <f t="shared" si="279"/>
        <v>422.9716630637356</v>
      </c>
      <c r="FP81" s="859">
        <f t="shared" si="280"/>
        <v>471.17865078573692</v>
      </c>
      <c r="FQ81" s="760"/>
      <c r="FR81" s="759">
        <f t="shared" si="281"/>
        <v>1334.7811566637943</v>
      </c>
      <c r="FS81" s="759">
        <f t="shared" si="282"/>
        <v>2509.6992255533669</v>
      </c>
      <c r="FT81" s="759">
        <f t="shared" si="283"/>
        <v>1551.6200910541113</v>
      </c>
      <c r="FU81" s="759">
        <f t="shared" si="284"/>
        <v>732.89015032129919</v>
      </c>
      <c r="FV81" s="761"/>
      <c r="FW81" s="754">
        <v>41641</v>
      </c>
      <c r="FX81" s="761"/>
      <c r="FY81" s="759">
        <f t="shared" si="297"/>
        <v>368140.47393911477</v>
      </c>
      <c r="FZ81" s="759">
        <f t="shared" si="298"/>
        <v>727189.45245430467</v>
      </c>
      <c r="GA81" s="759">
        <f t="shared" si="299"/>
        <v>340336.25064904074</v>
      </c>
      <c r="GB81" s="759">
        <f t="shared" si="300"/>
        <v>373338.60223977972</v>
      </c>
      <c r="GC81" s="760"/>
      <c r="GD81" s="759">
        <f t="shared" si="285"/>
        <v>0.97364357303207805</v>
      </c>
      <c r="GE81" s="759">
        <f t="shared" si="285"/>
        <v>0.95334113567886325</v>
      </c>
      <c r="GF81" s="759">
        <f t="shared" si="286"/>
        <v>0.91373796513884098</v>
      </c>
      <c r="GG81" s="759">
        <f t="shared" si="287"/>
        <v>0.97437438111731689</v>
      </c>
      <c r="GH81" s="716"/>
      <c r="GI81" s="756">
        <f t="shared" si="288"/>
        <v>0</v>
      </c>
      <c r="GJ81" s="756">
        <f t="shared" si="289"/>
        <v>0</v>
      </c>
      <c r="GK81" s="756">
        <f t="shared" si="290"/>
        <v>0</v>
      </c>
      <c r="GL81" s="756">
        <f t="shared" si="291"/>
        <v>0</v>
      </c>
      <c r="GM81" s="716"/>
    </row>
    <row r="82" spans="1:195" s="134" customFormat="1">
      <c r="A82" s="705">
        <v>41642</v>
      </c>
      <c r="B82" s="706">
        <v>0</v>
      </c>
      <c r="C82" s="497">
        <f t="shared" si="246"/>
        <v>2</v>
      </c>
      <c r="D82" s="274">
        <v>-6.2650090333920497E-3</v>
      </c>
      <c r="E82" s="274">
        <v>0.50041994278655555</v>
      </c>
      <c r="F82" s="274">
        <v>0.86026939967923932</v>
      </c>
      <c r="G82" s="276">
        <v>1.8863999999999999</v>
      </c>
      <c r="H82" s="734"/>
      <c r="I82" s="705">
        <v>41642</v>
      </c>
      <c r="J82" s="270">
        <f t="shared" si="334"/>
        <v>-6.2650090333920497E-3</v>
      </c>
      <c r="K82" s="270">
        <f t="shared" si="335"/>
        <v>0.50041994278655555</v>
      </c>
      <c r="L82" s="270">
        <f t="shared" si="336"/>
        <v>0.86026939967923932</v>
      </c>
      <c r="M82" s="270">
        <f t="shared" si="337"/>
        <v>1.8863999999999999</v>
      </c>
      <c r="N82" s="734"/>
      <c r="O82" s="705">
        <v>41642</v>
      </c>
      <c r="P82" s="737">
        <f t="shared" si="338"/>
        <v>-6.2650090333920497E-3</v>
      </c>
      <c r="Q82" s="270">
        <f t="shared" si="339"/>
        <v>0.50041994278655555</v>
      </c>
      <c r="R82" s="270">
        <f t="shared" si="340"/>
        <v>0.86026939967923932</v>
      </c>
      <c r="S82" s="270">
        <f t="shared" si="341"/>
        <v>1.8863999999999999</v>
      </c>
      <c r="T82" s="705">
        <v>41642</v>
      </c>
      <c r="U82" s="291">
        <v>-6.2650090333920497E-3</v>
      </c>
      <c r="V82" s="291">
        <v>0.50041994278655555</v>
      </c>
      <c r="W82" s="291">
        <v>0.86026939967923932</v>
      </c>
      <c r="X82" s="291">
        <v>1.8863999999999999</v>
      </c>
      <c r="Y82" s="734"/>
      <c r="Z82" s="705">
        <v>41642</v>
      </c>
      <c r="AA82" s="707">
        <v>41642</v>
      </c>
      <c r="AB82" s="497">
        <f t="shared" si="247"/>
        <v>2</v>
      </c>
      <c r="AC82" s="266">
        <v>0.85625384067776678</v>
      </c>
      <c r="AD82" s="291">
        <v>-6.2650090333920497E-3</v>
      </c>
      <c r="AE82" s="291">
        <f t="shared" si="301"/>
        <v>-2.3550871402969014</v>
      </c>
      <c r="AF82" s="161">
        <v>1.9578538406777672</v>
      </c>
      <c r="AG82" s="291">
        <v>0.50041994278655555</v>
      </c>
      <c r="AH82" s="291">
        <f t="shared" si="302"/>
        <v>527.07634976443865</v>
      </c>
      <c r="AI82" s="161">
        <v>2.2397538406777668</v>
      </c>
      <c r="AJ82" s="291">
        <v>0.86026939967923932</v>
      </c>
      <c r="AK82" s="291">
        <f t="shared" si="303"/>
        <v>436.19033813495025</v>
      </c>
      <c r="AL82" s="161">
        <v>1.7175538406777657</v>
      </c>
      <c r="AM82" s="291">
        <v>1.8863999999999999</v>
      </c>
      <c r="AN82" s="291">
        <f t="shared" si="304"/>
        <v>475.85765801323691</v>
      </c>
      <c r="AO82" s="705">
        <v>41642</v>
      </c>
      <c r="AP82" s="463">
        <v>3.7591121221764494</v>
      </c>
      <c r="AQ82" s="463">
        <v>10.53268074868177</v>
      </c>
      <c r="AR82" s="463">
        <v>5.0703923479969006</v>
      </c>
      <c r="AS82" s="463">
        <v>2.5225702820888301</v>
      </c>
      <c r="AT82" s="463">
        <f t="shared" si="305"/>
        <v>0.13425400436344462</v>
      </c>
      <c r="AU82" s="463">
        <f t="shared" si="306"/>
        <v>0.17852001268952153</v>
      </c>
      <c r="AV82" s="463">
        <f t="shared" si="307"/>
        <v>0.25351961739984502</v>
      </c>
      <c r="AW82" s="463">
        <f t="shared" si="308"/>
        <v>0.13276685695204368</v>
      </c>
      <c r="AY82" s="266">
        <v>0.85625384067776678</v>
      </c>
      <c r="AZ82" s="161">
        <v>1.9578538406777672</v>
      </c>
      <c r="BA82" s="161">
        <v>2.2397538406777668</v>
      </c>
      <c r="BB82" s="161">
        <v>1.7175538406777657</v>
      </c>
      <c r="BE82" s="134">
        <v>-2.4818500903339203E-3</v>
      </c>
      <c r="BF82" s="134">
        <v>-4.3900057213444452E-4</v>
      </c>
      <c r="BG82" s="134">
        <v>-6.2293060032076073E-3</v>
      </c>
      <c r="BH82" s="134">
        <v>0</v>
      </c>
      <c r="BJ82" s="508">
        <v>25.819028524366196</v>
      </c>
      <c r="BK82" s="508">
        <v>16.525797755135613</v>
      </c>
      <c r="BL82" s="508">
        <v>13.598536216673907</v>
      </c>
      <c r="BM82" s="508">
        <v>5.7588439089819516</v>
      </c>
      <c r="BO82" s="705">
        <v>41642</v>
      </c>
      <c r="BP82" s="324">
        <v>0</v>
      </c>
      <c r="BQ82" s="1">
        <v>5035950</v>
      </c>
      <c r="BR82" s="1">
        <v>11127132</v>
      </c>
      <c r="BS82" s="1">
        <v>6310099.7999999998</v>
      </c>
      <c r="BT82" s="1">
        <v>5970600</v>
      </c>
      <c r="BU82" s="708">
        <v>153402.67665978591</v>
      </c>
      <c r="BV82" s="708">
        <v>509866.00211189309</v>
      </c>
      <c r="BW82" s="708">
        <v>144414.10030668529</v>
      </c>
      <c r="BX82" s="708">
        <v>214415.58927759767</v>
      </c>
      <c r="BY82" s="709">
        <f t="shared" si="252"/>
        <v>0</v>
      </c>
      <c r="BZ82" s="709">
        <f t="shared" si="253"/>
        <v>0</v>
      </c>
      <c r="CA82" s="709">
        <f t="shared" si="254"/>
        <v>0</v>
      </c>
      <c r="CB82" s="709">
        <f t="shared" si="255"/>
        <v>0</v>
      </c>
      <c r="CC82" s="475">
        <f t="shared" si="256"/>
        <v>0</v>
      </c>
      <c r="CD82" s="475">
        <f t="shared" si="257"/>
        <v>0</v>
      </c>
      <c r="CE82" s="475">
        <f t="shared" si="258"/>
        <v>0</v>
      </c>
      <c r="CF82" s="475">
        <f t="shared" si="259"/>
        <v>0</v>
      </c>
      <c r="CG82" s="302">
        <f t="shared" si="309"/>
        <v>0</v>
      </c>
      <c r="CH82" s="302">
        <f t="shared" si="310"/>
        <v>0</v>
      </c>
      <c r="CI82" s="302">
        <f t="shared" si="311"/>
        <v>0</v>
      </c>
      <c r="CJ82" s="302">
        <f t="shared" si="312"/>
        <v>0</v>
      </c>
      <c r="CK82" s="302">
        <f t="shared" si="313"/>
        <v>0</v>
      </c>
      <c r="CL82" s="302">
        <f t="shared" si="313"/>
        <v>0</v>
      </c>
      <c r="CM82" s="302">
        <f t="shared" si="313"/>
        <v>0</v>
      </c>
      <c r="CN82" s="302">
        <f t="shared" si="313"/>
        <v>0</v>
      </c>
      <c r="CO82" s="710">
        <f t="shared" si="342"/>
        <v>0</v>
      </c>
      <c r="CP82" s="710">
        <f t="shared" si="343"/>
        <v>0</v>
      </c>
      <c r="CQ82" s="710">
        <f t="shared" si="344"/>
        <v>0</v>
      </c>
      <c r="CR82" s="710">
        <f t="shared" si="345"/>
        <v>0</v>
      </c>
      <c r="CS82" s="705">
        <v>41642</v>
      </c>
      <c r="CT82" s="711">
        <v>0.21299999999999999</v>
      </c>
      <c r="CU82" s="735">
        <v>0.59</v>
      </c>
      <c r="CV82" s="713">
        <v>0.92300000000000004</v>
      </c>
      <c r="CW82" s="714">
        <v>0.94399999999999995</v>
      </c>
      <c r="CY82" s="727">
        <v>2.8238228524366193E-2</v>
      </c>
      <c r="CZ82" s="727">
        <v>2.1968997755135611E-2</v>
      </c>
      <c r="DA82" s="727">
        <v>2.8430536216673907E-2</v>
      </c>
      <c r="DB82" s="736">
        <v>2.4622843908981951E-2</v>
      </c>
      <c r="DC82" s="463">
        <f t="shared" si="248"/>
        <v>-2.8055830873272569</v>
      </c>
      <c r="DD82" s="463">
        <f t="shared" si="249"/>
        <v>-2.1755830873273041</v>
      </c>
      <c r="DE82" s="463">
        <f t="shared" si="250"/>
        <v>-2.8155830873272336</v>
      </c>
      <c r="DF82" s="463">
        <f t="shared" si="251"/>
        <v>-2.4755830873271378</v>
      </c>
      <c r="DG82" s="483">
        <f t="shared" si="260"/>
        <v>2.8055830873272569</v>
      </c>
      <c r="DH82" s="483">
        <f t="shared" si="261"/>
        <v>2.1755830873273041</v>
      </c>
      <c r="DI82" s="483">
        <f t="shared" si="262"/>
        <v>2.8155830873272336</v>
      </c>
      <c r="DJ82" s="483">
        <f t="shared" si="263"/>
        <v>2.4755830873271378</v>
      </c>
      <c r="DK82" s="483">
        <f t="shared" si="327"/>
        <v>9.7377293902800144E-2</v>
      </c>
      <c r="DL82" s="483">
        <f t="shared" si="328"/>
        <v>0.3667476506455003</v>
      </c>
      <c r="DM82" s="483">
        <f t="shared" si="329"/>
        <v>0.13185266708262411</v>
      </c>
      <c r="DN82" s="483">
        <f t="shared" si="330"/>
        <v>0.15945755708316955</v>
      </c>
      <c r="DO82" s="483">
        <f t="shared" si="315"/>
        <v>6.8300022215847926</v>
      </c>
      <c r="DP82" s="483">
        <f t="shared" si="316"/>
        <v>19.947249651534328</v>
      </c>
      <c r="DQ82" s="483">
        <f t="shared" si="317"/>
        <v>9.2810534864206176</v>
      </c>
      <c r="DR82" s="483">
        <f t="shared" si="318"/>
        <v>9.8687607865399052</v>
      </c>
      <c r="DS82" s="324">
        <v>0.24191999999999997</v>
      </c>
      <c r="DT82" s="324">
        <v>0.54431999999999992</v>
      </c>
      <c r="DU82" s="324">
        <v>1.4832000000000001</v>
      </c>
      <c r="DV82" s="324">
        <v>1.8863999999999999</v>
      </c>
      <c r="DW82" s="716"/>
      <c r="DX82" s="705">
        <v>41642</v>
      </c>
      <c r="DY82" s="716"/>
      <c r="DZ82" s="269">
        <f t="shared" si="346"/>
        <v>2.563663087327257</v>
      </c>
      <c r="EA82" s="269">
        <f t="shared" si="346"/>
        <v>1.6312630873273042</v>
      </c>
      <c r="EB82" s="269">
        <f t="shared" si="346"/>
        <v>1.3323830873272335</v>
      </c>
      <c r="EC82" s="716">
        <f t="shared" si="346"/>
        <v>0.58918308732713798</v>
      </c>
      <c r="ED82" s="716"/>
      <c r="EE82" s="269">
        <f t="shared" si="347"/>
        <v>2.563663087327257</v>
      </c>
      <c r="EF82" s="269">
        <f t="shared" si="348"/>
        <v>1.6312630873273042</v>
      </c>
      <c r="EG82" s="269">
        <f t="shared" si="349"/>
        <v>1.3323830873272335</v>
      </c>
      <c r="EH82" s="269">
        <f t="shared" si="350"/>
        <v>0.58918308732713798</v>
      </c>
      <c r="EI82" s="716"/>
      <c r="EJ82" s="717">
        <f t="shared" si="265"/>
        <v>963.70969887481931</v>
      </c>
      <c r="EK82" s="717">
        <f t="shared" si="266"/>
        <v>1718.1573315927487</v>
      </c>
      <c r="EL82" s="717">
        <f t="shared" si="267"/>
        <v>675.57050105844905</v>
      </c>
      <c r="EM82" s="717">
        <f t="shared" si="268"/>
        <v>148.62557468007861</v>
      </c>
      <c r="EN82" s="716"/>
      <c r="EO82" s="269">
        <f t="shared" si="320"/>
        <v>0.24818500903339202</v>
      </c>
      <c r="EP82" s="269">
        <f t="shared" si="321"/>
        <v>4.3900057213444449E-2</v>
      </c>
      <c r="EQ82" s="269">
        <f t="shared" si="322"/>
        <v>0.62293060032076075</v>
      </c>
      <c r="ER82" s="269"/>
      <c r="ES82" s="716"/>
      <c r="ET82" s="718">
        <f t="shared" si="323"/>
        <v>93.295527599989555</v>
      </c>
      <c r="EU82" s="718">
        <f t="shared" si="324"/>
        <v>46.238528747807457</v>
      </c>
      <c r="EV82" s="718">
        <f t="shared" si="325"/>
        <v>315.85025491995009</v>
      </c>
      <c r="EW82" s="718"/>
      <c r="EX82" s="716"/>
      <c r="EY82" s="705">
        <v>41642</v>
      </c>
      <c r="EZ82" s="716"/>
      <c r="FA82" s="766">
        <f t="shared" si="273"/>
        <v>-6.2650090333922215E-3</v>
      </c>
      <c r="FB82" s="766">
        <f t="shared" si="274"/>
        <v>0.50041994278655544</v>
      </c>
      <c r="FC82" s="766">
        <f t="shared" si="275"/>
        <v>0.86026939967923921</v>
      </c>
      <c r="FD82" s="766">
        <f t="shared" si="276"/>
        <v>1.8863999999999999</v>
      </c>
      <c r="FE82" s="760"/>
      <c r="FF82" s="705">
        <v>41642</v>
      </c>
      <c r="FG82" s="760"/>
      <c r="FH82" s="766">
        <v>-2.3550871402969662</v>
      </c>
      <c r="FI82" s="766">
        <f t="shared" si="294"/>
        <v>527.07634976443853</v>
      </c>
      <c r="FJ82" s="766">
        <f t="shared" si="295"/>
        <v>436.19033813495014</v>
      </c>
      <c r="FK82" s="766">
        <f t="shared" si="296"/>
        <v>475.85765801323691</v>
      </c>
      <c r="FL82" s="760"/>
      <c r="FM82" s="759">
        <f t="shared" si="277"/>
        <v>-2.3550871402969662</v>
      </c>
      <c r="FN82" s="759">
        <f t="shared" si="278"/>
        <v>527.07634976443853</v>
      </c>
      <c r="FO82" s="759">
        <f t="shared" si="279"/>
        <v>436.19033813495014</v>
      </c>
      <c r="FP82" s="859">
        <f t="shared" si="280"/>
        <v>475.85765801323691</v>
      </c>
      <c r="FQ82" s="760"/>
      <c r="FR82" s="759">
        <f t="shared" si="281"/>
        <v>1057.0052264748088</v>
      </c>
      <c r="FS82" s="759">
        <f t="shared" si="282"/>
        <v>2291.4722101049947</v>
      </c>
      <c r="FT82" s="759">
        <f t="shared" si="283"/>
        <v>1427.6110941133493</v>
      </c>
      <c r="FU82" s="759">
        <f t="shared" si="284"/>
        <v>624.48323269331559</v>
      </c>
      <c r="FV82" s="761"/>
      <c r="FW82" s="754">
        <v>41642</v>
      </c>
      <c r="FX82" s="761"/>
      <c r="FY82" s="759">
        <f t="shared" si="297"/>
        <v>369197.47916558961</v>
      </c>
      <c r="FZ82" s="759">
        <f t="shared" si="298"/>
        <v>729480.92466440971</v>
      </c>
      <c r="GA82" s="759">
        <f t="shared" si="299"/>
        <v>341763.86174315406</v>
      </c>
      <c r="GB82" s="759">
        <f t="shared" si="300"/>
        <v>373963.08547247306</v>
      </c>
      <c r="GC82" s="760"/>
      <c r="GD82" s="759">
        <f t="shared" si="285"/>
        <v>0.97643909924631533</v>
      </c>
      <c r="GE82" s="759">
        <f t="shared" si="285"/>
        <v>0.9563452423965626</v>
      </c>
      <c r="GF82" s="759">
        <f t="shared" si="286"/>
        <v>0.91757082882484875</v>
      </c>
      <c r="GG82" s="759">
        <f t="shared" si="287"/>
        <v>0.97600421649925495</v>
      </c>
      <c r="GH82" s="716"/>
      <c r="GI82" s="756">
        <f t="shared" si="288"/>
        <v>0</v>
      </c>
      <c r="GJ82" s="756">
        <f t="shared" si="289"/>
        <v>0</v>
      </c>
      <c r="GK82" s="756">
        <f t="shared" si="290"/>
        <v>0</v>
      </c>
      <c r="GL82" s="756">
        <f t="shared" si="291"/>
        <v>0</v>
      </c>
      <c r="GM82" s="716"/>
    </row>
    <row r="83" spans="1:195" s="134" customFormat="1">
      <c r="A83" s="705">
        <v>41643</v>
      </c>
      <c r="B83" s="706">
        <v>0</v>
      </c>
      <c r="C83" s="497">
        <f t="shared" si="246"/>
        <v>3</v>
      </c>
      <c r="D83" s="274">
        <v>0.25864402271873183</v>
      </c>
      <c r="E83" s="274">
        <v>0.95706882410562466</v>
      </c>
      <c r="F83" s="274">
        <v>1.094623729795529</v>
      </c>
      <c r="G83" s="276">
        <v>1.4327999999999999</v>
      </c>
      <c r="H83" s="734"/>
      <c r="I83" s="705">
        <v>41643</v>
      </c>
      <c r="J83" s="270">
        <f t="shared" si="334"/>
        <v>0.25864402271873183</v>
      </c>
      <c r="K83" s="270">
        <f t="shared" si="335"/>
        <v>0.95706882410562466</v>
      </c>
      <c r="L83" s="270">
        <f t="shared" si="336"/>
        <v>1.094623729795529</v>
      </c>
      <c r="M83" s="270">
        <f t="shared" si="337"/>
        <v>1.4327999999999999</v>
      </c>
      <c r="N83" s="734"/>
      <c r="O83" s="705">
        <v>41643</v>
      </c>
      <c r="P83" s="737">
        <f t="shared" si="338"/>
        <v>0.25864402271873183</v>
      </c>
      <c r="Q83" s="270">
        <f t="shared" si="339"/>
        <v>0.95706882410562466</v>
      </c>
      <c r="R83" s="270">
        <f t="shared" si="340"/>
        <v>1.094623729795529</v>
      </c>
      <c r="S83" s="270">
        <f t="shared" si="341"/>
        <v>1.4327999999999999</v>
      </c>
      <c r="T83" s="705">
        <v>41643</v>
      </c>
      <c r="U83" s="291">
        <v>0.25864402271873183</v>
      </c>
      <c r="V83" s="291">
        <v>0.95706882410562466</v>
      </c>
      <c r="W83" s="291">
        <v>1.094623729795529</v>
      </c>
      <c r="X83" s="291">
        <v>1.4327999999999999</v>
      </c>
      <c r="Y83" s="734"/>
      <c r="Z83" s="705">
        <v>41643</v>
      </c>
      <c r="AA83" s="707">
        <v>41643</v>
      </c>
      <c r="AB83" s="497">
        <f t="shared" si="247"/>
        <v>3</v>
      </c>
      <c r="AC83" s="266">
        <v>0.82819800980449421</v>
      </c>
      <c r="AD83" s="291">
        <v>0.25864402271873183</v>
      </c>
      <c r="AE83" s="291">
        <f t="shared" si="301"/>
        <v>93.647174368195593</v>
      </c>
      <c r="AF83" s="161">
        <v>1.9360980098044942</v>
      </c>
      <c r="AG83" s="291">
        <v>0.95706882410562466</v>
      </c>
      <c r="AH83" s="291">
        <f t="shared" si="302"/>
        <v>974.63069582625735</v>
      </c>
      <c r="AI83" s="161">
        <v>2.2115980098044945</v>
      </c>
      <c r="AJ83" s="291">
        <v>1.094623729795529</v>
      </c>
      <c r="AK83" s="291">
        <f t="shared" si="303"/>
        <v>542.01687086282436</v>
      </c>
      <c r="AL83" s="161">
        <v>1.6927980098044944</v>
      </c>
      <c r="AM83" s="291">
        <v>1.4327999999999999</v>
      </c>
      <c r="AN83" s="291">
        <f t="shared" si="304"/>
        <v>343.58436124701575</v>
      </c>
      <c r="AO83" s="705">
        <v>41643</v>
      </c>
      <c r="AP83" s="463">
        <v>3.6206974119805695</v>
      </c>
      <c r="AQ83" s="463">
        <v>10.18349643493031</v>
      </c>
      <c r="AR83" s="463">
        <v>4.9516272679751863</v>
      </c>
      <c r="AS83" s="463">
        <v>2.3979924710149061</v>
      </c>
      <c r="AT83" s="463">
        <f t="shared" si="305"/>
        <v>0.1293106218564489</v>
      </c>
      <c r="AU83" s="463">
        <f t="shared" si="306"/>
        <v>0.17260163449034424</v>
      </c>
      <c r="AV83" s="463">
        <f t="shared" si="307"/>
        <v>0.2475813633987593</v>
      </c>
      <c r="AW83" s="463">
        <f t="shared" si="308"/>
        <v>0.12621013005341611</v>
      </c>
      <c r="AY83" s="266">
        <v>0.82819800980449421</v>
      </c>
      <c r="AZ83" s="161">
        <v>1.9360980098044942</v>
      </c>
      <c r="BA83" s="161">
        <v>2.2115980098044945</v>
      </c>
      <c r="BB83" s="161">
        <v>1.6927980098044944</v>
      </c>
      <c r="BE83" s="134">
        <v>-1.5607597728126822E-3</v>
      </c>
      <c r="BF83" s="134">
        <v>-4.0851175894375243E-4</v>
      </c>
      <c r="BG83" s="134">
        <v>-6.0457627020447094E-3</v>
      </c>
      <c r="BH83" s="134">
        <v>0</v>
      </c>
      <c r="BJ83" s="508">
        <v>29.102828886447234</v>
      </c>
      <c r="BK83" s="508">
        <v>14.501598117216375</v>
      </c>
      <c r="BL83" s="508">
        <v>10.188798117216297</v>
      </c>
      <c r="BM83" s="508">
        <v>4.568182732601298</v>
      </c>
      <c r="BO83" s="705">
        <v>41643</v>
      </c>
      <c r="BP83" s="324">
        <v>0</v>
      </c>
      <c r="BQ83" s="1">
        <v>5035950</v>
      </c>
      <c r="BR83" s="1">
        <v>11127132</v>
      </c>
      <c r="BS83" s="1">
        <v>6310099.7999999998</v>
      </c>
      <c r="BT83" s="1">
        <v>5970600</v>
      </c>
      <c r="BU83" s="708">
        <v>153402.67665978591</v>
      </c>
      <c r="BV83" s="708">
        <v>509866.00211189309</v>
      </c>
      <c r="BW83" s="708">
        <v>144414.10030668529</v>
      </c>
      <c r="BX83" s="708">
        <v>214415.58927759767</v>
      </c>
      <c r="BY83" s="709">
        <f t="shared" si="252"/>
        <v>0</v>
      </c>
      <c r="BZ83" s="709">
        <f t="shared" si="253"/>
        <v>0</v>
      </c>
      <c r="CA83" s="709">
        <f t="shared" si="254"/>
        <v>0</v>
      </c>
      <c r="CB83" s="709">
        <f t="shared" si="255"/>
        <v>0</v>
      </c>
      <c r="CC83" s="475">
        <f t="shared" si="256"/>
        <v>0</v>
      </c>
      <c r="CD83" s="475">
        <f t="shared" si="257"/>
        <v>0</v>
      </c>
      <c r="CE83" s="475">
        <f t="shared" si="258"/>
        <v>0</v>
      </c>
      <c r="CF83" s="475">
        <f t="shared" si="259"/>
        <v>0</v>
      </c>
      <c r="CG83" s="302">
        <f t="shared" si="309"/>
        <v>0</v>
      </c>
      <c r="CH83" s="302">
        <f t="shared" si="310"/>
        <v>0</v>
      </c>
      <c r="CI83" s="302">
        <f t="shared" si="311"/>
        <v>0</v>
      </c>
      <c r="CJ83" s="302">
        <f t="shared" si="312"/>
        <v>0</v>
      </c>
      <c r="CK83" s="302">
        <f t="shared" si="313"/>
        <v>0</v>
      </c>
      <c r="CL83" s="302">
        <f t="shared" si="313"/>
        <v>0</v>
      </c>
      <c r="CM83" s="302">
        <f t="shared" si="313"/>
        <v>0</v>
      </c>
      <c r="CN83" s="302">
        <f t="shared" si="313"/>
        <v>0</v>
      </c>
      <c r="CO83" s="710">
        <f t="shared" si="342"/>
        <v>0</v>
      </c>
      <c r="CP83" s="710">
        <f t="shared" si="343"/>
        <v>0</v>
      </c>
      <c r="CQ83" s="710">
        <f t="shared" si="344"/>
        <v>0</v>
      </c>
      <c r="CR83" s="710">
        <f t="shared" si="345"/>
        <v>0</v>
      </c>
      <c r="CS83" s="705">
        <v>41643</v>
      </c>
      <c r="CT83" s="711">
        <v>0.40100000000000002</v>
      </c>
      <c r="CU83" s="735">
        <v>0.80400000000000005</v>
      </c>
      <c r="CV83" s="713">
        <v>0.879</v>
      </c>
      <c r="CW83" s="714">
        <v>0.88800000000000001</v>
      </c>
      <c r="CY83" s="727">
        <v>3.3250028886447236E-2</v>
      </c>
      <c r="CZ83" s="727">
        <v>2.4480798117216374E-2</v>
      </c>
      <c r="DA83" s="727">
        <v>2.7180798117216298E-2</v>
      </c>
      <c r="DB83" s="736">
        <v>1.8896182732601297E-2</v>
      </c>
      <c r="DC83" s="463">
        <f t="shared" si="248"/>
        <v>-3.3712684005983817</v>
      </c>
      <c r="DD83" s="463">
        <f t="shared" si="249"/>
        <v>-2.4712684005983476</v>
      </c>
      <c r="DE83" s="463">
        <f t="shared" si="250"/>
        <v>-2.8412684005983735</v>
      </c>
      <c r="DF83" s="463">
        <f t="shared" si="251"/>
        <v>-1.8912684005982783</v>
      </c>
      <c r="DG83" s="483">
        <f t="shared" si="260"/>
        <v>3.3712684005983817</v>
      </c>
      <c r="DH83" s="483">
        <f t="shared" si="261"/>
        <v>2.4712684005983476</v>
      </c>
      <c r="DI83" s="483">
        <f t="shared" si="262"/>
        <v>2.8412684005983735</v>
      </c>
      <c r="DJ83" s="483">
        <f t="shared" si="263"/>
        <v>1.8912684005982783</v>
      </c>
      <c r="DK83" s="483">
        <f t="shared" si="327"/>
        <v>0.13841471019587992</v>
      </c>
      <c r="DL83" s="483">
        <f t="shared" si="328"/>
        <v>0.34918431375145964</v>
      </c>
      <c r="DM83" s="483">
        <f t="shared" si="329"/>
        <v>0.11876508002171438</v>
      </c>
      <c r="DN83" s="483">
        <f t="shared" si="330"/>
        <v>0.12457781107392396</v>
      </c>
      <c r="DO83" s="483">
        <f t="shared" si="315"/>
        <v>11.665828466533815</v>
      </c>
      <c r="DP83" s="483">
        <f t="shared" si="316"/>
        <v>21.573204013965032</v>
      </c>
      <c r="DQ83" s="483">
        <f t="shared" si="317"/>
        <v>8.4360867240058557</v>
      </c>
      <c r="DR83" s="483">
        <f t="shared" si="318"/>
        <v>5.8902519374953659</v>
      </c>
      <c r="DS83" s="324">
        <v>0.41472000000000003</v>
      </c>
      <c r="DT83" s="324">
        <v>0.99791999999999992</v>
      </c>
      <c r="DU83" s="324">
        <v>1.6992</v>
      </c>
      <c r="DV83" s="324">
        <v>1.4327999999999999</v>
      </c>
      <c r="DW83" s="716"/>
      <c r="DX83" s="705">
        <v>41643</v>
      </c>
      <c r="DY83" s="716"/>
      <c r="DZ83" s="269">
        <f t="shared" si="346"/>
        <v>2.9565484005983818</v>
      </c>
      <c r="EA83" s="269">
        <f t="shared" si="346"/>
        <v>1.4733484005983477</v>
      </c>
      <c r="EB83" s="269">
        <f t="shared" si="346"/>
        <v>1.1420684005983734</v>
      </c>
      <c r="EC83" s="716">
        <f t="shared" si="346"/>
        <v>0.45846840059827842</v>
      </c>
      <c r="ED83" s="716"/>
      <c r="EE83" s="269">
        <f t="shared" si="347"/>
        <v>2.9565484005983818</v>
      </c>
      <c r="EF83" s="269">
        <f t="shared" si="348"/>
        <v>1.4733484005983477</v>
      </c>
      <c r="EG83" s="269">
        <f t="shared" si="349"/>
        <v>1.1420684005983734</v>
      </c>
      <c r="EH83" s="269">
        <f t="shared" si="350"/>
        <v>0.45846840059827842</v>
      </c>
      <c r="EI83" s="716"/>
      <c r="EJ83" s="717">
        <f t="shared" si="265"/>
        <v>1070.4767142441854</v>
      </c>
      <c r="EK83" s="717">
        <f t="shared" si="266"/>
        <v>1500.3838184903548</v>
      </c>
      <c r="EL83" s="717">
        <f t="shared" si="267"/>
        <v>565.50970342957146</v>
      </c>
      <c r="EM83" s="717">
        <f t="shared" si="268"/>
        <v>109.94037728329175</v>
      </c>
      <c r="EN83" s="716"/>
      <c r="EO83" s="269">
        <f t="shared" si="320"/>
        <v>0.15607597728126824</v>
      </c>
      <c r="EP83" s="269">
        <f t="shared" si="321"/>
        <v>4.0851175894375244E-2</v>
      </c>
      <c r="EQ83" s="269">
        <f t="shared" si="322"/>
        <v>0.60457627020447091</v>
      </c>
      <c r="ER83" s="269"/>
      <c r="ES83" s="716"/>
      <c r="ET83" s="718">
        <f t="shared" si="323"/>
        <v>56.51038870146261</v>
      </c>
      <c r="EU83" s="718">
        <f t="shared" si="324"/>
        <v>41.600780408308133</v>
      </c>
      <c r="EV83" s="718">
        <f t="shared" si="325"/>
        <v>299.36363451151925</v>
      </c>
      <c r="EW83" s="718"/>
      <c r="EX83" s="716"/>
      <c r="EY83" s="705">
        <v>41643</v>
      </c>
      <c r="EZ83" s="716"/>
      <c r="FA83" s="766">
        <f t="shared" si="273"/>
        <v>0.25864402271873166</v>
      </c>
      <c r="FB83" s="766">
        <f t="shared" si="274"/>
        <v>0.95706882410562466</v>
      </c>
      <c r="FC83" s="766">
        <f t="shared" si="275"/>
        <v>1.0946237297955292</v>
      </c>
      <c r="FD83" s="766">
        <f t="shared" si="276"/>
        <v>1.4327999999999999</v>
      </c>
      <c r="FE83" s="760"/>
      <c r="FF83" s="705">
        <v>41643</v>
      </c>
      <c r="FG83" s="760"/>
      <c r="FH83" s="766">
        <v>93.647174368195522</v>
      </c>
      <c r="FI83" s="766">
        <f t="shared" si="294"/>
        <v>974.63069582625735</v>
      </c>
      <c r="FJ83" s="766">
        <f t="shared" si="295"/>
        <v>542.01687086282448</v>
      </c>
      <c r="FK83" s="766">
        <f t="shared" si="296"/>
        <v>343.58436124701575</v>
      </c>
      <c r="FL83" s="760"/>
      <c r="FM83" s="759">
        <f t="shared" si="277"/>
        <v>93.647174368195522</v>
      </c>
      <c r="FN83" s="759">
        <f t="shared" si="278"/>
        <v>974.63069582625735</v>
      </c>
      <c r="FO83" s="759">
        <f t="shared" si="279"/>
        <v>542.01687086282448</v>
      </c>
      <c r="FP83" s="859">
        <f t="shared" si="280"/>
        <v>343.58436124701575</v>
      </c>
      <c r="FQ83" s="760"/>
      <c r="FR83" s="759">
        <f t="shared" si="281"/>
        <v>1220.6342773138435</v>
      </c>
      <c r="FS83" s="759">
        <f t="shared" si="282"/>
        <v>2516.6152947249202</v>
      </c>
      <c r="FT83" s="759">
        <f t="shared" si="283"/>
        <v>1406.8902088039154</v>
      </c>
      <c r="FU83" s="759">
        <f t="shared" si="284"/>
        <v>453.5247385303075</v>
      </c>
      <c r="FV83" s="761"/>
      <c r="FW83" s="754">
        <v>41643</v>
      </c>
      <c r="FX83" s="761"/>
      <c r="FY83" s="759">
        <f t="shared" si="297"/>
        <v>370418.11344290344</v>
      </c>
      <c r="FZ83" s="759">
        <f t="shared" si="298"/>
        <v>731997.53995913465</v>
      </c>
      <c r="GA83" s="759">
        <f t="shared" si="299"/>
        <v>343170.75195195799</v>
      </c>
      <c r="GB83" s="759">
        <f t="shared" si="300"/>
        <v>374416.61021100334</v>
      </c>
      <c r="GC83" s="760"/>
      <c r="GD83" s="759">
        <f t="shared" si="285"/>
        <v>0.97966738519491725</v>
      </c>
      <c r="GE83" s="759">
        <f t="shared" si="285"/>
        <v>0.9596445103865513</v>
      </c>
      <c r="GF83" s="759">
        <f t="shared" si="286"/>
        <v>0.92134806088318721</v>
      </c>
      <c r="GG83" s="759">
        <f t="shared" si="287"/>
        <v>0.97718786823999571</v>
      </c>
      <c r="GH83" s="716"/>
      <c r="GI83" s="756">
        <f t="shared" si="288"/>
        <v>0</v>
      </c>
      <c r="GJ83" s="756">
        <f t="shared" si="289"/>
        <v>0</v>
      </c>
      <c r="GK83" s="756">
        <f t="shared" si="290"/>
        <v>0</v>
      </c>
      <c r="GL83" s="756">
        <f t="shared" si="291"/>
        <v>0</v>
      </c>
      <c r="GM83" s="716"/>
    </row>
    <row r="84" spans="1:195" s="134" customFormat="1">
      <c r="A84" s="705">
        <v>41644</v>
      </c>
      <c r="B84" s="706">
        <v>0</v>
      </c>
      <c r="C84" s="497">
        <f t="shared" si="246"/>
        <v>4</v>
      </c>
      <c r="D84" s="274">
        <v>0.79932721657620853</v>
      </c>
      <c r="E84" s="274">
        <v>1.0083357123997592</v>
      </c>
      <c r="F84" s="274">
        <v>1.3589583779788437</v>
      </c>
      <c r="G84" s="276">
        <v>1.2312000000000001</v>
      </c>
      <c r="H84" s="734"/>
      <c r="I84" s="705">
        <v>41644</v>
      </c>
      <c r="J84" s="270">
        <f t="shared" si="334"/>
        <v>0.79932721657620853</v>
      </c>
      <c r="K84" s="270">
        <f t="shared" si="335"/>
        <v>1.0083357123997592</v>
      </c>
      <c r="L84" s="270">
        <f t="shared" si="336"/>
        <v>1.3589583779788437</v>
      </c>
      <c r="M84" s="270">
        <f t="shared" si="337"/>
        <v>1.2312000000000001</v>
      </c>
      <c r="N84" s="734"/>
      <c r="O84" s="705">
        <v>41644</v>
      </c>
      <c r="P84" s="737">
        <f t="shared" si="338"/>
        <v>0.79932721657620853</v>
      </c>
      <c r="Q84" s="270">
        <f t="shared" si="339"/>
        <v>1.0083357123997592</v>
      </c>
      <c r="R84" s="270">
        <f t="shared" si="340"/>
        <v>1.3589583779788437</v>
      </c>
      <c r="S84" s="270">
        <f t="shared" si="341"/>
        <v>1.2312000000000001</v>
      </c>
      <c r="T84" s="705">
        <v>41644</v>
      </c>
      <c r="U84" s="291">
        <v>0.79932721657620853</v>
      </c>
      <c r="V84" s="291">
        <v>1.0083357123997592</v>
      </c>
      <c r="W84" s="291">
        <v>1.3589583779788437</v>
      </c>
      <c r="X84" s="291">
        <v>1.2312000000000001</v>
      </c>
      <c r="Y84" s="734"/>
      <c r="Z84" s="705">
        <v>41644</v>
      </c>
      <c r="AA84" s="707">
        <v>41644</v>
      </c>
      <c r="AB84" s="497">
        <f t="shared" si="247"/>
        <v>4</v>
      </c>
      <c r="AC84" s="266">
        <v>0.79448532579851039</v>
      </c>
      <c r="AD84" s="291">
        <v>0.79932721657620853</v>
      </c>
      <c r="AE84" s="291">
        <f t="shared" si="301"/>
        <v>279.00486436484681</v>
      </c>
      <c r="AF84" s="161">
        <v>1.9113853257985107</v>
      </c>
      <c r="AG84" s="291">
        <v>1.0083357123997592</v>
      </c>
      <c r="AH84" s="291">
        <f t="shared" si="302"/>
        <v>994.27986421646187</v>
      </c>
      <c r="AI84" s="161">
        <v>2.1831853257985108</v>
      </c>
      <c r="AJ84" s="291">
        <v>1.3589583779788437</v>
      </c>
      <c r="AK84" s="291">
        <f t="shared" si="303"/>
        <v>657.82492238521991</v>
      </c>
      <c r="AL84" s="161">
        <v>1.6738853257985116</v>
      </c>
      <c r="AM84" s="291">
        <v>1.2312000000000001</v>
      </c>
      <c r="AN84" s="291">
        <f t="shared" si="304"/>
        <v>281.80292246009697</v>
      </c>
      <c r="AO84" s="705">
        <v>41644</v>
      </c>
      <c r="AP84" s="463">
        <v>3.4904962395740746</v>
      </c>
      <c r="AQ84" s="463">
        <v>9.8606034874055446</v>
      </c>
      <c r="AR84" s="463">
        <v>4.840655409649794</v>
      </c>
      <c r="AS84" s="463">
        <v>2.2888476483113789</v>
      </c>
      <c r="AT84" s="463">
        <f t="shared" si="305"/>
        <v>0.12466057998478838</v>
      </c>
      <c r="AU84" s="463">
        <f t="shared" si="306"/>
        <v>0.16712887266789059</v>
      </c>
      <c r="AV84" s="463">
        <f t="shared" si="307"/>
        <v>0.2420327704824897</v>
      </c>
      <c r="AW84" s="463">
        <f t="shared" si="308"/>
        <v>0.12046566570059888</v>
      </c>
      <c r="AY84" s="266">
        <v>0.79448532579851039</v>
      </c>
      <c r="AZ84" s="161">
        <v>1.9113853257985107</v>
      </c>
      <c r="BA84" s="161">
        <v>2.1831853257985108</v>
      </c>
      <c r="BB84" s="161">
        <v>1.6738853257985116</v>
      </c>
      <c r="BE84" s="134">
        <v>-3.5872783423791392E-4</v>
      </c>
      <c r="BF84" s="134">
        <v>-3.7104287600240845E-4</v>
      </c>
      <c r="BG84" s="134">
        <v>-5.8504162202115623E-3</v>
      </c>
      <c r="BH84" s="134">
        <v>0</v>
      </c>
      <c r="BJ84" s="508">
        <v>21.258800011209303</v>
      </c>
      <c r="BK84" s="508">
        <v>13.625630780439854</v>
      </c>
      <c r="BL84" s="508">
        <v>12.101569241977819</v>
      </c>
      <c r="BM84" s="508">
        <v>7.5911077035167764</v>
      </c>
      <c r="BO84" s="705">
        <v>41644</v>
      </c>
      <c r="BP84" s="324">
        <v>0</v>
      </c>
      <c r="BQ84" s="1">
        <v>5035950</v>
      </c>
      <c r="BR84" s="1">
        <v>11127132</v>
      </c>
      <c r="BS84" s="1">
        <v>6310099.7999999998</v>
      </c>
      <c r="BT84" s="1">
        <v>5970600</v>
      </c>
      <c r="BU84" s="708">
        <v>153402.67665978591</v>
      </c>
      <c r="BV84" s="708">
        <v>509866.00211189309</v>
      </c>
      <c r="BW84" s="708">
        <v>144414.10030668529</v>
      </c>
      <c r="BX84" s="708">
        <v>214415.58927759767</v>
      </c>
      <c r="BY84" s="709">
        <f t="shared" si="252"/>
        <v>0</v>
      </c>
      <c r="BZ84" s="709">
        <f t="shared" si="253"/>
        <v>0</v>
      </c>
      <c r="CA84" s="709">
        <f t="shared" si="254"/>
        <v>0</v>
      </c>
      <c r="CB84" s="709">
        <f t="shared" si="255"/>
        <v>0</v>
      </c>
      <c r="CC84" s="475">
        <f t="shared" si="256"/>
        <v>0</v>
      </c>
      <c r="CD84" s="475">
        <f t="shared" si="257"/>
        <v>0</v>
      </c>
      <c r="CE84" s="475">
        <f t="shared" si="258"/>
        <v>0</v>
      </c>
      <c r="CF84" s="475">
        <f t="shared" si="259"/>
        <v>0</v>
      </c>
      <c r="CG84" s="302">
        <f t="shared" si="309"/>
        <v>0</v>
      </c>
      <c r="CH84" s="302">
        <f t="shared" si="310"/>
        <v>0</v>
      </c>
      <c r="CI84" s="302">
        <f t="shared" si="311"/>
        <v>0</v>
      </c>
      <c r="CJ84" s="302">
        <f t="shared" si="312"/>
        <v>0</v>
      </c>
      <c r="CK84" s="302">
        <f t="shared" si="313"/>
        <v>0</v>
      </c>
      <c r="CL84" s="302">
        <f t="shared" si="313"/>
        <v>0</v>
      </c>
      <c r="CM84" s="302">
        <f t="shared" si="313"/>
        <v>0</v>
      </c>
      <c r="CN84" s="302">
        <f t="shared" si="313"/>
        <v>0</v>
      </c>
      <c r="CO84" s="710">
        <f t="shared" si="342"/>
        <v>0</v>
      </c>
      <c r="CP84" s="710">
        <f t="shared" si="343"/>
        <v>0</v>
      </c>
      <c r="CQ84" s="710">
        <f t="shared" si="344"/>
        <v>0</v>
      </c>
      <c r="CR84" s="710">
        <f t="shared" si="345"/>
        <v>0</v>
      </c>
      <c r="CS84" s="705">
        <v>41644</v>
      </c>
      <c r="CT84" s="711">
        <v>0.433</v>
      </c>
      <c r="CU84" s="735">
        <v>0.75700000000000001</v>
      </c>
      <c r="CV84" s="713">
        <v>0.89400000000000002</v>
      </c>
      <c r="CW84" s="714">
        <v>0.79100000000000004</v>
      </c>
      <c r="CY84" s="727">
        <v>2.9610800011209304E-2</v>
      </c>
      <c r="CZ84" s="727">
        <v>2.4080030780439854E-2</v>
      </c>
      <c r="DA84" s="727">
        <v>3.1541569241977818E-2</v>
      </c>
      <c r="DB84" s="736">
        <v>1.9903107703516776E-2</v>
      </c>
      <c r="DC84" s="463">
        <f t="shared" si="248"/>
        <v>-2.9245408056452149</v>
      </c>
      <c r="DD84" s="463">
        <f t="shared" si="249"/>
        <v>-2.3645408056452766</v>
      </c>
      <c r="DE84" s="463">
        <f t="shared" si="250"/>
        <v>-3.0645408056452439</v>
      </c>
      <c r="DF84" s="463">
        <f t="shared" si="251"/>
        <v>-1.984540805645274</v>
      </c>
      <c r="DG84" s="483">
        <f t="shared" si="260"/>
        <v>2.9245408056452149</v>
      </c>
      <c r="DH84" s="483">
        <f t="shared" si="261"/>
        <v>2.3645408056452766</v>
      </c>
      <c r="DI84" s="483">
        <f t="shared" si="262"/>
        <v>3.0645408056452439</v>
      </c>
      <c r="DJ84" s="483">
        <f t="shared" si="263"/>
        <v>1.984540805645274</v>
      </c>
      <c r="DK84" s="483">
        <f t="shared" si="327"/>
        <v>0.13020117240649487</v>
      </c>
      <c r="DL84" s="483">
        <f t="shared" si="328"/>
        <v>0.32289294752476572</v>
      </c>
      <c r="DM84" s="483">
        <f t="shared" si="329"/>
        <v>0.11097185832539225</v>
      </c>
      <c r="DN84" s="483">
        <f t="shared" si="330"/>
        <v>0.10914482270352721</v>
      </c>
      <c r="DO84" s="483">
        <f t="shared" si="315"/>
        <v>9.519466041141051</v>
      </c>
      <c r="DP84" s="483">
        <f t="shared" si="316"/>
        <v>19.087338756934688</v>
      </c>
      <c r="DQ84" s="483">
        <f t="shared" si="317"/>
        <v>8.5019447029111852</v>
      </c>
      <c r="DR84" s="483">
        <f t="shared" si="318"/>
        <v>5.4150588595017117</v>
      </c>
      <c r="DS84" s="324">
        <v>0.83520000000000005</v>
      </c>
      <c r="DT84" s="324">
        <v>1.0454399999999999</v>
      </c>
      <c r="DU84" s="324">
        <v>1.944</v>
      </c>
      <c r="DV84" s="324">
        <v>1.2312000000000001</v>
      </c>
      <c r="DW84" s="716"/>
      <c r="DX84" s="705">
        <v>41644</v>
      </c>
      <c r="DY84" s="716"/>
      <c r="DZ84" s="269">
        <f t="shared" si="346"/>
        <v>2.089340805645215</v>
      </c>
      <c r="EA84" s="269">
        <f t="shared" si="346"/>
        <v>1.3191008056452767</v>
      </c>
      <c r="EB84" s="269">
        <f t="shared" si="346"/>
        <v>1.1205408056452439</v>
      </c>
      <c r="EC84" s="716">
        <f t="shared" si="346"/>
        <v>0.75334080564527395</v>
      </c>
      <c r="ED84" s="716"/>
      <c r="EE84" s="269">
        <f t="shared" si="347"/>
        <v>2.089340805645215</v>
      </c>
      <c r="EF84" s="269">
        <f t="shared" si="348"/>
        <v>1.3191008056452767</v>
      </c>
      <c r="EG84" s="269">
        <f t="shared" si="349"/>
        <v>1.1205408056452439</v>
      </c>
      <c r="EH84" s="269">
        <f t="shared" si="350"/>
        <v>0.75334080564527395</v>
      </c>
      <c r="EI84" s="716"/>
      <c r="EJ84" s="717">
        <f t="shared" si="265"/>
        <v>729.28362252932902</v>
      </c>
      <c r="EK84" s="717">
        <f t="shared" si="266"/>
        <v>1300.7130004385278</v>
      </c>
      <c r="EL84" s="717">
        <f t="shared" si="267"/>
        <v>542.41519125799891</v>
      </c>
      <c r="EM84" s="717">
        <f t="shared" si="268"/>
        <v>172.42823313781849</v>
      </c>
      <c r="EN84" s="716"/>
      <c r="EO84" s="269">
        <f t="shared" si="320"/>
        <v>3.5872783423791389E-2</v>
      </c>
      <c r="EP84" s="269">
        <f t="shared" si="321"/>
        <v>3.7104287600240843E-2</v>
      </c>
      <c r="EQ84" s="269">
        <f t="shared" si="322"/>
        <v>0.58504162202115628</v>
      </c>
      <c r="ER84" s="269"/>
      <c r="ES84" s="716"/>
      <c r="ET84" s="718">
        <f t="shared" si="323"/>
        <v>12.521381564379903</v>
      </c>
      <c r="EU84" s="718">
        <f t="shared" si="324"/>
        <v>36.587066770863316</v>
      </c>
      <c r="EV84" s="718">
        <f t="shared" si="325"/>
        <v>283.19848925070005</v>
      </c>
      <c r="EW84" s="718"/>
      <c r="EX84" s="716"/>
      <c r="EY84" s="705">
        <v>41644</v>
      </c>
      <c r="EZ84" s="716"/>
      <c r="FA84" s="766">
        <f t="shared" si="273"/>
        <v>0.79932721657620842</v>
      </c>
      <c r="FB84" s="766">
        <f t="shared" si="274"/>
        <v>1.0083357123997592</v>
      </c>
      <c r="FC84" s="766">
        <f t="shared" si="275"/>
        <v>1.3589583779788437</v>
      </c>
      <c r="FD84" s="766">
        <f t="shared" si="276"/>
        <v>1.2312000000000001</v>
      </c>
      <c r="FE84" s="760"/>
      <c r="FF84" s="705">
        <v>41644</v>
      </c>
      <c r="FG84" s="760"/>
      <c r="FH84" s="858">
        <v>279.00486436484675</v>
      </c>
      <c r="FI84" s="766">
        <f t="shared" si="294"/>
        <v>994.27986421646187</v>
      </c>
      <c r="FJ84" s="766">
        <f t="shared" si="295"/>
        <v>657.82492238521991</v>
      </c>
      <c r="FK84" s="766">
        <f t="shared" si="296"/>
        <v>281.80292246009697</v>
      </c>
      <c r="FL84" s="760"/>
      <c r="FM84" s="859">
        <f t="shared" si="277"/>
        <v>279.00486436484675</v>
      </c>
      <c r="FN84" s="759">
        <f t="shared" si="278"/>
        <v>994.27986421646187</v>
      </c>
      <c r="FO84" s="759">
        <f t="shared" si="279"/>
        <v>657.82492238521991</v>
      </c>
      <c r="FP84" s="859">
        <f t="shared" si="280"/>
        <v>281.80292246009697</v>
      </c>
      <c r="FQ84" s="760"/>
      <c r="FR84" s="759">
        <f t="shared" si="281"/>
        <v>1020.8098684585557</v>
      </c>
      <c r="FS84" s="759">
        <f t="shared" si="282"/>
        <v>2331.5799314258529</v>
      </c>
      <c r="FT84" s="759">
        <f t="shared" si="283"/>
        <v>1483.4386028939189</v>
      </c>
      <c r="FU84" s="759">
        <f t="shared" si="284"/>
        <v>454.23115559791546</v>
      </c>
      <c r="FV84" s="761"/>
      <c r="FW84" s="754">
        <v>41644</v>
      </c>
      <c r="FX84" s="761"/>
      <c r="FY84" s="759">
        <f t="shared" si="297"/>
        <v>371438.92331136198</v>
      </c>
      <c r="FZ84" s="759">
        <f t="shared" si="298"/>
        <v>734329.11989056051</v>
      </c>
      <c r="GA84" s="759">
        <f t="shared" si="299"/>
        <v>344654.1905548519</v>
      </c>
      <c r="GB84" s="759">
        <f t="shared" si="300"/>
        <v>374870.84136660123</v>
      </c>
      <c r="GC84" s="760"/>
      <c r="GD84" s="759">
        <f t="shared" si="285"/>
        <v>0.98236718333739681</v>
      </c>
      <c r="GE84" s="759">
        <f t="shared" si="285"/>
        <v>0.96270119809324106</v>
      </c>
      <c r="GF84" s="759">
        <f t="shared" si="286"/>
        <v>0.92533081078958623</v>
      </c>
      <c r="GG84" s="759">
        <f t="shared" si="287"/>
        <v>0.97837336365478722</v>
      </c>
      <c r="GH84" s="716"/>
      <c r="GI84" s="756">
        <f t="shared" si="288"/>
        <v>0</v>
      </c>
      <c r="GJ84" s="756">
        <f t="shared" si="289"/>
        <v>0</v>
      </c>
      <c r="GK84" s="756">
        <f t="shared" si="290"/>
        <v>0</v>
      </c>
      <c r="GL84" s="756">
        <f t="shared" si="291"/>
        <v>0</v>
      </c>
      <c r="GM84" s="716"/>
    </row>
    <row r="85" spans="1:195" s="134" customFormat="1">
      <c r="A85" s="705">
        <v>41645</v>
      </c>
      <c r="B85" s="706">
        <v>0</v>
      </c>
      <c r="C85" s="497">
        <f t="shared" si="246"/>
        <v>5</v>
      </c>
      <c r="D85" s="274">
        <v>1.33632</v>
      </c>
      <c r="E85" s="270">
        <v>-3.3215271288057117E-2</v>
      </c>
      <c r="F85" s="274">
        <v>1.2228366820038492</v>
      </c>
      <c r="G85" s="276">
        <v>0.7545599999999999</v>
      </c>
      <c r="H85" s="734"/>
      <c r="I85" s="705">
        <v>41645</v>
      </c>
      <c r="J85" s="270">
        <f t="shared" si="334"/>
        <v>1.33632</v>
      </c>
      <c r="K85" s="270">
        <f t="shared" si="335"/>
        <v>-3.3215271288057117E-2</v>
      </c>
      <c r="L85" s="270">
        <f t="shared" si="336"/>
        <v>1.2228366820038492</v>
      </c>
      <c r="M85" s="270">
        <f t="shared" si="337"/>
        <v>0.7545599999999999</v>
      </c>
      <c r="N85" s="734"/>
      <c r="O85" s="705">
        <v>41645</v>
      </c>
      <c r="P85" s="270">
        <f t="shared" si="338"/>
        <v>1.33632</v>
      </c>
      <c r="Q85" s="270">
        <f t="shared" si="339"/>
        <v>-3.3215271288057117E-2</v>
      </c>
      <c r="R85" s="270">
        <f t="shared" si="340"/>
        <v>1.2228366820038492</v>
      </c>
      <c r="S85" s="270">
        <f t="shared" si="341"/>
        <v>0.7545599999999999</v>
      </c>
      <c r="T85" s="705">
        <v>41645</v>
      </c>
      <c r="U85" s="291">
        <v>1.33632</v>
      </c>
      <c r="V85" s="291">
        <v>-3.3215271288057117E-2</v>
      </c>
      <c r="W85" s="291">
        <v>1.2228366820038492</v>
      </c>
      <c r="X85" s="291">
        <v>0.7545599999999999</v>
      </c>
      <c r="Y85" s="734"/>
      <c r="Z85" s="705">
        <v>41645</v>
      </c>
      <c r="AA85" s="707">
        <v>41645</v>
      </c>
      <c r="AB85" s="497">
        <f t="shared" si="247"/>
        <v>5</v>
      </c>
      <c r="AC85" s="266">
        <v>0.76523991774205824</v>
      </c>
      <c r="AD85" s="291">
        <v>1.33632</v>
      </c>
      <c r="AE85" s="291">
        <f t="shared" si="301"/>
        <v>445.61227337152019</v>
      </c>
      <c r="AF85" s="161">
        <v>1.887739917742058</v>
      </c>
      <c r="AG85" s="291">
        <v>-3.3215271288057117E-2</v>
      </c>
      <c r="AH85" s="291">
        <f t="shared" si="302"/>
        <v>-31.561235099952107</v>
      </c>
      <c r="AI85" s="161">
        <v>2.1525399177420583</v>
      </c>
      <c r="AJ85" s="291">
        <v>1.2228366820038492</v>
      </c>
      <c r="AK85" s="291">
        <f t="shared" si="303"/>
        <v>578.37721900678469</v>
      </c>
      <c r="AL85" s="161">
        <v>1.6540399177420588</v>
      </c>
      <c r="AM85" s="291">
        <v>0.7545599999999999</v>
      </c>
      <c r="AN85" s="291">
        <f t="shared" si="304"/>
        <v>166.59213779240849</v>
      </c>
      <c r="AO85" s="705">
        <v>41645</v>
      </c>
      <c r="AP85" s="463">
        <v>3.3346224958955952</v>
      </c>
      <c r="AQ85" s="463">
        <v>9.502025386527631</v>
      </c>
      <c r="AR85" s="463">
        <v>4.7297993879199316</v>
      </c>
      <c r="AS85" s="463">
        <v>2.2078050491996462</v>
      </c>
      <c r="AT85" s="463">
        <f t="shared" si="305"/>
        <v>0.11909366056769984</v>
      </c>
      <c r="AU85" s="463">
        <f t="shared" si="306"/>
        <v>0.16105127773775646</v>
      </c>
      <c r="AV85" s="463">
        <f t="shared" si="307"/>
        <v>0.23648996939599659</v>
      </c>
      <c r="AW85" s="463">
        <f t="shared" si="308"/>
        <v>0.1162002657473498</v>
      </c>
      <c r="AY85" s="266">
        <v>0.76523991774205824</v>
      </c>
      <c r="AZ85" s="161">
        <v>1.887739917742058</v>
      </c>
      <c r="BA85" s="161">
        <v>2.1525399177420583</v>
      </c>
      <c r="BB85" s="161">
        <v>1.6540399177420588</v>
      </c>
      <c r="BE85" s="134">
        <v>0</v>
      </c>
      <c r="BF85" s="134">
        <v>-3.3215271288057114E-4</v>
      </c>
      <c r="BG85" s="134">
        <v>-5.6276331799615074E-3</v>
      </c>
      <c r="BH85" s="134">
        <v>0</v>
      </c>
      <c r="BJ85" s="508">
        <v>8.7228906202097214</v>
      </c>
      <c r="BK85" s="508">
        <v>17.532244466363256</v>
      </c>
      <c r="BL85" s="508">
        <v>13.037782927901901</v>
      </c>
      <c r="BM85" s="508">
        <v>12.263567543286101</v>
      </c>
      <c r="BO85" s="705">
        <v>41645</v>
      </c>
      <c r="BP85" s="324">
        <v>0</v>
      </c>
      <c r="BQ85" s="1">
        <v>5035950</v>
      </c>
      <c r="BR85" s="1">
        <v>11127132</v>
      </c>
      <c r="BS85" s="1">
        <v>6310099.7999999998</v>
      </c>
      <c r="BT85" s="1">
        <v>5970600</v>
      </c>
      <c r="BU85" s="708">
        <v>153402.67665978591</v>
      </c>
      <c r="BV85" s="708">
        <v>509866.00211189309</v>
      </c>
      <c r="BW85" s="708">
        <v>144414.10030668529</v>
      </c>
      <c r="BX85" s="708">
        <v>214415.58927759767</v>
      </c>
      <c r="BY85" s="709">
        <f t="shared" si="252"/>
        <v>0</v>
      </c>
      <c r="BZ85" s="709">
        <f t="shared" si="253"/>
        <v>0</v>
      </c>
      <c r="CA85" s="709">
        <f t="shared" si="254"/>
        <v>0</v>
      </c>
      <c r="CB85" s="709">
        <f t="shared" si="255"/>
        <v>0</v>
      </c>
      <c r="CC85" s="475">
        <f t="shared" si="256"/>
        <v>0</v>
      </c>
      <c r="CD85" s="475">
        <f t="shared" si="257"/>
        <v>0</v>
      </c>
      <c r="CE85" s="475">
        <f t="shared" si="258"/>
        <v>0</v>
      </c>
      <c r="CF85" s="475">
        <f t="shared" si="259"/>
        <v>0</v>
      </c>
      <c r="CG85" s="302">
        <f t="shared" si="309"/>
        <v>0</v>
      </c>
      <c r="CH85" s="302">
        <f t="shared" si="310"/>
        <v>0</v>
      </c>
      <c r="CI85" s="302">
        <f t="shared" si="311"/>
        <v>0</v>
      </c>
      <c r="CJ85" s="302">
        <f t="shared" si="312"/>
        <v>0</v>
      </c>
      <c r="CK85" s="302">
        <f t="shared" si="313"/>
        <v>0</v>
      </c>
      <c r="CL85" s="302">
        <f t="shared" si="313"/>
        <v>0</v>
      </c>
      <c r="CM85" s="302">
        <f t="shared" si="313"/>
        <v>0</v>
      </c>
      <c r="CN85" s="302">
        <f t="shared" si="313"/>
        <v>0</v>
      </c>
      <c r="CO85" s="710">
        <f t="shared" si="342"/>
        <v>0</v>
      </c>
      <c r="CP85" s="710">
        <f t="shared" si="343"/>
        <v>0</v>
      </c>
      <c r="CQ85" s="710">
        <f t="shared" si="344"/>
        <v>0</v>
      </c>
      <c r="CR85" s="710">
        <f t="shared" si="345"/>
        <v>0</v>
      </c>
      <c r="CS85" s="705">
        <v>41645</v>
      </c>
      <c r="CT85" s="711">
        <v>0.51300000000000001</v>
      </c>
      <c r="CU85" s="735">
        <v>4.8000000000000001E-2</v>
      </c>
      <c r="CV85" s="713">
        <v>0.88700000000000001</v>
      </c>
      <c r="CW85" s="714">
        <v>0.61099999999999999</v>
      </c>
      <c r="CY85" s="727">
        <v>2.208609062020972E-2</v>
      </c>
      <c r="CZ85" s="727">
        <v>1.7532244466363256E-2</v>
      </c>
      <c r="DA85" s="727">
        <v>3.0893782927901903E-2</v>
      </c>
      <c r="DB85" s="736">
        <v>1.9809167543286099E-2</v>
      </c>
      <c r="DC85" s="463">
        <f t="shared" si="248"/>
        <v>-2.191758333226812</v>
      </c>
      <c r="DD85" s="463">
        <f t="shared" si="249"/>
        <v>-1.8317583332267517</v>
      </c>
      <c r="DE85" s="463">
        <f t="shared" si="250"/>
        <v>-3.0917583332266574</v>
      </c>
      <c r="DF85" s="463">
        <f t="shared" si="251"/>
        <v>-1.9817583332267574</v>
      </c>
      <c r="DG85" s="483">
        <f t="shared" si="260"/>
        <v>2.191758333226812</v>
      </c>
      <c r="DH85" s="483">
        <f t="shared" si="261"/>
        <v>1.8317583332267517</v>
      </c>
      <c r="DI85" s="483">
        <f t="shared" si="262"/>
        <v>3.0917583332266574</v>
      </c>
      <c r="DJ85" s="483">
        <f t="shared" si="263"/>
        <v>1.9817583332267574</v>
      </c>
      <c r="DK85" s="483">
        <f t="shared" si="327"/>
        <v>0.15587374367847939</v>
      </c>
      <c r="DL85" s="483">
        <f t="shared" si="328"/>
        <v>0.35857810087791364</v>
      </c>
      <c r="DM85" s="483">
        <f t="shared" si="329"/>
        <v>0.11085602172986242</v>
      </c>
      <c r="DN85" s="483">
        <f t="shared" si="330"/>
        <v>8.1042599111732727E-2</v>
      </c>
      <c r="DO85" s="483">
        <f t="shared" si="315"/>
        <v>8.540939415964182</v>
      </c>
      <c r="DP85" s="483">
        <f t="shared" si="316"/>
        <v>16.420710609893529</v>
      </c>
      <c r="DQ85" s="483">
        <f t="shared" si="317"/>
        <v>8.5685007242914377</v>
      </c>
      <c r="DR85" s="483">
        <f t="shared" si="318"/>
        <v>4.015171153400793</v>
      </c>
      <c r="DS85" s="324">
        <v>1.33632</v>
      </c>
      <c r="DT85" s="387"/>
      <c r="DU85" s="324">
        <v>1.7856000000000001</v>
      </c>
      <c r="DV85" s="324">
        <v>0.7545599999999999</v>
      </c>
      <c r="DW85" s="716"/>
      <c r="DX85" s="705">
        <v>41645</v>
      </c>
      <c r="DY85" s="716"/>
      <c r="DZ85" s="269">
        <f>-DC85-DS85</f>
        <v>0.85543833322681206</v>
      </c>
      <c r="EA85" s="267"/>
      <c r="EB85" s="269">
        <f>-DE85-DU85</f>
        <v>1.3061583332266573</v>
      </c>
      <c r="EC85" s="716">
        <f>-DF85-DV85</f>
        <v>1.2271983332267575</v>
      </c>
      <c r="ED85" s="716"/>
      <c r="EE85" s="269">
        <f t="shared" si="347"/>
        <v>0.85543833322681206</v>
      </c>
      <c r="EF85" s="269">
        <f>-(EF$84-EF$89)/5+EF84</f>
        <v>1.3029501299616337</v>
      </c>
      <c r="EG85" s="269">
        <f t="shared" si="349"/>
        <v>1.3061583332266573</v>
      </c>
      <c r="EH85" s="269">
        <f t="shared" si="350"/>
        <v>1.2271983332267575</v>
      </c>
      <c r="EI85" s="716"/>
      <c r="EJ85" s="717">
        <f t="shared" si="265"/>
        <v>285.25639098295602</v>
      </c>
      <c r="EK85" s="717">
        <f t="shared" si="266"/>
        <v>1238.0665212274921</v>
      </c>
      <c r="EL85" s="717">
        <f t="shared" si="267"/>
        <v>617.78668850219617</v>
      </c>
      <c r="EM85" s="717">
        <f t="shared" si="268"/>
        <v>270.94146764674252</v>
      </c>
      <c r="EN85" s="716"/>
      <c r="EO85" s="269">
        <v>0</v>
      </c>
      <c r="EP85" s="269">
        <f>-BF85*100</f>
        <v>3.3215271288057117E-2</v>
      </c>
      <c r="EQ85" s="269">
        <f>-BG85*100</f>
        <v>0.56276331799615076</v>
      </c>
      <c r="ER85" s="269"/>
      <c r="ES85" s="716"/>
      <c r="ET85" s="269"/>
      <c r="EU85" s="718">
        <f t="shared" ref="EU85:EU90" si="351">EP85/100*AQ85*10^4</f>
        <v>31.561235099952107</v>
      </c>
      <c r="EV85" s="718">
        <f t="shared" ref="EV85:EV103" si="352">EQ85/100*AR85*10^4</f>
        <v>266.17575970019834</v>
      </c>
      <c r="EW85" s="269"/>
      <c r="EX85" s="716"/>
      <c r="EY85" s="705">
        <v>41645</v>
      </c>
      <c r="EZ85" s="716"/>
      <c r="FA85" s="766">
        <f t="shared" si="273"/>
        <v>1.33632</v>
      </c>
      <c r="FB85" s="766">
        <f t="shared" si="274"/>
        <v>0.49559293197706089</v>
      </c>
      <c r="FC85" s="766">
        <f t="shared" si="275"/>
        <v>1.2228366820038494</v>
      </c>
      <c r="FD85" s="766">
        <f t="shared" si="276"/>
        <v>0.7545599999999999</v>
      </c>
      <c r="FE85" s="760"/>
      <c r="FF85" s="705">
        <v>41645</v>
      </c>
      <c r="FG85" s="760"/>
      <c r="FH85" s="858">
        <v>445.61227337152019</v>
      </c>
      <c r="FI85" s="766">
        <f t="shared" si="294"/>
        <v>470.91366210296934</v>
      </c>
      <c r="FJ85" s="766">
        <f t="shared" si="295"/>
        <v>578.37721900678469</v>
      </c>
      <c r="FK85" s="766">
        <f t="shared" si="296"/>
        <v>166.59213779240849</v>
      </c>
      <c r="FL85" s="760"/>
      <c r="FM85" s="859">
        <f t="shared" si="277"/>
        <v>445.61227337152019</v>
      </c>
      <c r="FN85" s="759">
        <f t="shared" si="278"/>
        <v>470.91366210296934</v>
      </c>
      <c r="FO85" s="759">
        <f t="shared" si="279"/>
        <v>578.37721900678469</v>
      </c>
      <c r="FP85" s="859">
        <f t="shared" si="280"/>
        <v>166.59213779240849</v>
      </c>
      <c r="FQ85" s="760"/>
      <c r="FR85" s="759">
        <f t="shared" si="281"/>
        <v>730.86866435447621</v>
      </c>
      <c r="FS85" s="759">
        <f t="shared" si="282"/>
        <v>1740.5414184304136</v>
      </c>
      <c r="FT85" s="759">
        <f t="shared" si="283"/>
        <v>1462.3396672091792</v>
      </c>
      <c r="FU85" s="759">
        <f t="shared" si="284"/>
        <v>437.53360543915102</v>
      </c>
      <c r="FV85" s="761"/>
      <c r="FW85" s="754">
        <v>41645</v>
      </c>
      <c r="FX85" s="761"/>
      <c r="FY85" s="759">
        <f t="shared" si="297"/>
        <v>372169.79197571648</v>
      </c>
      <c r="FZ85" s="759">
        <f t="shared" si="298"/>
        <v>736069.66130899091</v>
      </c>
      <c r="GA85" s="759">
        <f t="shared" si="299"/>
        <v>346116.53022206109</v>
      </c>
      <c r="GB85" s="759">
        <f t="shared" si="300"/>
        <v>375308.37497204036</v>
      </c>
      <c r="GC85" s="760"/>
      <c r="GD85" s="759">
        <f t="shared" si="285"/>
        <v>0.9843001562870024</v>
      </c>
      <c r="GE85" s="759">
        <f t="shared" si="285"/>
        <v>0.96498303775268912</v>
      </c>
      <c r="GF85" s="759">
        <f t="shared" si="286"/>
        <v>0.92925691407511446</v>
      </c>
      <c r="GG85" s="759">
        <f t="shared" si="287"/>
        <v>0.97951528022451806</v>
      </c>
      <c r="GH85" s="716"/>
      <c r="GI85" s="756">
        <f t="shared" si="288"/>
        <v>0</v>
      </c>
      <c r="GJ85" s="756">
        <f t="shared" si="289"/>
        <v>0</v>
      </c>
      <c r="GK85" s="756">
        <f t="shared" si="290"/>
        <v>0</v>
      </c>
      <c r="GL85" s="756">
        <f t="shared" si="291"/>
        <v>0</v>
      </c>
      <c r="GM85" s="716"/>
    </row>
    <row r="86" spans="1:195" s="472" customFormat="1">
      <c r="A86" s="464">
        <v>41646</v>
      </c>
      <c r="B86" s="465">
        <v>0</v>
      </c>
      <c r="C86" s="466">
        <f t="shared" si="246"/>
        <v>6</v>
      </c>
      <c r="D86" s="485">
        <v>0.10900799999999999</v>
      </c>
      <c r="E86" s="485">
        <v>-2.2394556034582805E-2</v>
      </c>
      <c r="F86" s="485">
        <v>1.1026630432856455</v>
      </c>
      <c r="G86" s="490">
        <v>0.99504000000000004</v>
      </c>
      <c r="H86" s="491"/>
      <c r="I86" s="464">
        <v>41646</v>
      </c>
      <c r="J86" s="467">
        <f t="shared" si="334"/>
        <v>0.10900799999999999</v>
      </c>
      <c r="K86" s="467">
        <f t="shared" si="335"/>
        <v>-2.2394556034582805E-2</v>
      </c>
      <c r="L86" s="467">
        <f t="shared" si="336"/>
        <v>1.1026630432856455</v>
      </c>
      <c r="M86" s="467">
        <f t="shared" si="337"/>
        <v>0.99504000000000004</v>
      </c>
      <c r="N86" s="491"/>
      <c r="O86" s="464">
        <v>41646</v>
      </c>
      <c r="P86" s="484">
        <f t="shared" si="338"/>
        <v>0.10900799999999999</v>
      </c>
      <c r="Q86" s="467">
        <f t="shared" si="339"/>
        <v>-2.2394556034582805E-2</v>
      </c>
      <c r="R86" s="467">
        <f t="shared" si="340"/>
        <v>1.1026630432856455</v>
      </c>
      <c r="S86" s="467">
        <f t="shared" si="341"/>
        <v>0.99504000000000004</v>
      </c>
      <c r="T86" s="464">
        <v>41646</v>
      </c>
      <c r="U86" s="468">
        <v>0.10900799999999999</v>
      </c>
      <c r="V86" s="468">
        <v>-2.2394556034582805E-2</v>
      </c>
      <c r="W86" s="468">
        <v>1.1026630432856455</v>
      </c>
      <c r="X86" s="468">
        <v>0.99504000000000004</v>
      </c>
      <c r="Y86" s="491"/>
      <c r="Z86" s="464">
        <v>41646</v>
      </c>
      <c r="AA86" s="469">
        <v>41646</v>
      </c>
      <c r="AB86" s="466">
        <f t="shared" si="247"/>
        <v>6</v>
      </c>
      <c r="AC86" s="470">
        <v>0.74332233440979012</v>
      </c>
      <c r="AD86" s="468">
        <v>0.10900799999999999</v>
      </c>
      <c r="AE86" s="468">
        <f t="shared" si="301"/>
        <v>34.881837844380101</v>
      </c>
      <c r="AF86" s="471">
        <v>1.8694223344097904</v>
      </c>
      <c r="AG86" s="468">
        <v>-2.2394556034582805E-2</v>
      </c>
      <c r="AH86" s="468">
        <f t="shared" si="302"/>
        <v>-20.529113155024682</v>
      </c>
      <c r="AI86" s="471">
        <v>2.1216223344097918</v>
      </c>
      <c r="AJ86" s="468">
        <v>1.1026630432856455</v>
      </c>
      <c r="AK86" s="468">
        <f t="shared" si="303"/>
        <v>508.49372207662407</v>
      </c>
      <c r="AL86" s="471">
        <v>1.6342223344097913</v>
      </c>
      <c r="AM86" s="468">
        <v>0.99504000000000004</v>
      </c>
      <c r="AN86" s="468">
        <f t="shared" si="304"/>
        <v>211.43731044748901</v>
      </c>
      <c r="AO86" s="464">
        <v>41646</v>
      </c>
      <c r="AP86" s="483">
        <v>3.1999337520530693</v>
      </c>
      <c r="AQ86" s="483">
        <v>9.1670105552986119</v>
      </c>
      <c r="AR86" s="483">
        <v>4.6115059824753599</v>
      </c>
      <c r="AS86" s="483">
        <v>2.1249126713246604</v>
      </c>
      <c r="AT86" s="483">
        <f t="shared" si="305"/>
        <v>0.11428334828760962</v>
      </c>
      <c r="AU86" s="483">
        <f t="shared" si="306"/>
        <v>0.15537306025929851</v>
      </c>
      <c r="AV86" s="530">
        <f t="shared" si="307"/>
        <v>0.23057529912376801</v>
      </c>
      <c r="AW86" s="483">
        <f t="shared" si="308"/>
        <v>0.11183750901708739</v>
      </c>
      <c r="AY86" s="470">
        <v>0.74332233440979012</v>
      </c>
      <c r="AZ86" s="471">
        <v>1.8694223344097904</v>
      </c>
      <c r="BA86" s="471">
        <v>2.1216223344097918</v>
      </c>
      <c r="BB86" s="471">
        <v>1.6342223344097913</v>
      </c>
      <c r="BD86" s="232"/>
      <c r="BE86" s="472">
        <v>0</v>
      </c>
      <c r="BF86" s="472">
        <v>-2.9983356034582806E-4</v>
      </c>
      <c r="BG86" s="472">
        <v>-5.3893695671435446E-3</v>
      </c>
      <c r="BH86" s="472">
        <v>0</v>
      </c>
      <c r="BI86" s="232"/>
      <c r="BJ86" s="507">
        <v>15.427404595816368</v>
      </c>
      <c r="BK86" s="507">
        <v>220.48775044197046</v>
      </c>
      <c r="BL86" s="507">
        <v>6.9322538265863409</v>
      </c>
      <c r="BM86" s="507">
        <v>6.0978538265862561</v>
      </c>
      <c r="BN86" s="232"/>
      <c r="BO86" s="464">
        <v>41646</v>
      </c>
      <c r="BP86" s="473">
        <v>0</v>
      </c>
      <c r="BQ86" s="1">
        <v>5035950</v>
      </c>
      <c r="BR86" s="1">
        <v>11127132</v>
      </c>
      <c r="BS86" s="1">
        <v>6310099.7999999998</v>
      </c>
      <c r="BT86" s="1">
        <v>5970600</v>
      </c>
      <c r="BU86" s="474">
        <v>153402.67665978591</v>
      </c>
      <c r="BV86" s="474">
        <v>509866.00211189309</v>
      </c>
      <c r="BW86" s="474">
        <v>144414.10030668529</v>
      </c>
      <c r="BX86" s="474">
        <v>214415.58927759767</v>
      </c>
      <c r="BY86" s="556">
        <f t="shared" si="252"/>
        <v>0</v>
      </c>
      <c r="BZ86" s="556">
        <f t="shared" si="253"/>
        <v>0</v>
      </c>
      <c r="CA86" s="556">
        <f t="shared" si="254"/>
        <v>0</v>
      </c>
      <c r="CB86" s="556">
        <f t="shared" si="255"/>
        <v>0</v>
      </c>
      <c r="CC86" s="475">
        <f t="shared" si="256"/>
        <v>0</v>
      </c>
      <c r="CD86" s="475">
        <f t="shared" si="257"/>
        <v>0</v>
      </c>
      <c r="CE86" s="475">
        <f t="shared" si="258"/>
        <v>0</v>
      </c>
      <c r="CF86" s="475">
        <f t="shared" si="259"/>
        <v>0</v>
      </c>
      <c r="CG86" s="476">
        <f t="shared" si="309"/>
        <v>0</v>
      </c>
      <c r="CH86" s="476">
        <f t="shared" si="310"/>
        <v>0</v>
      </c>
      <c r="CI86" s="476">
        <f t="shared" si="311"/>
        <v>0</v>
      </c>
      <c r="CJ86" s="476">
        <f t="shared" si="312"/>
        <v>0</v>
      </c>
      <c r="CK86" s="476">
        <f t="shared" si="313"/>
        <v>0</v>
      </c>
      <c r="CL86" s="476">
        <f t="shared" si="313"/>
        <v>0</v>
      </c>
      <c r="CM86" s="476">
        <f t="shared" si="313"/>
        <v>0</v>
      </c>
      <c r="CN86" s="476">
        <f t="shared" si="313"/>
        <v>0</v>
      </c>
      <c r="CO86" s="477">
        <f t="shared" si="342"/>
        <v>0</v>
      </c>
      <c r="CP86" s="477">
        <f t="shared" si="343"/>
        <v>0</v>
      </c>
      <c r="CQ86" s="477">
        <f t="shared" si="344"/>
        <v>0</v>
      </c>
      <c r="CR86" s="477">
        <f t="shared" si="345"/>
        <v>0</v>
      </c>
      <c r="CS86" s="464">
        <v>41646</v>
      </c>
      <c r="CT86" s="478">
        <v>1.2200000000000001E-2</v>
      </c>
      <c r="CU86" s="492">
        <v>1.9000000000000001E-4</v>
      </c>
      <c r="CV86" s="480">
        <v>0.84599999999999997</v>
      </c>
      <c r="CW86" s="481">
        <v>0.77500000000000002</v>
      </c>
      <c r="CY86" s="521">
        <v>1.6517484595816367E-2</v>
      </c>
      <c r="CZ86" s="519">
        <v>0.22056363844197047</v>
      </c>
      <c r="DA86" s="521">
        <v>2.334825382658634E-2</v>
      </c>
      <c r="DB86" s="529">
        <v>1.6048253826586256E-2</v>
      </c>
      <c r="DC86" s="483">
        <f t="shared" si="248"/>
        <v>-1.6875656597164834</v>
      </c>
      <c r="DD86" s="483">
        <f t="shared" si="249"/>
        <v>-22.027565659716508</v>
      </c>
      <c r="DE86" s="483">
        <f t="shared" si="250"/>
        <v>-2.3875656597166284</v>
      </c>
      <c r="DF86" s="483">
        <f t="shared" si="251"/>
        <v>-1.7175656597165911</v>
      </c>
      <c r="DG86" s="483">
        <f t="shared" si="260"/>
        <v>1.6875656597164834</v>
      </c>
      <c r="DH86" s="483">
        <f t="shared" si="261"/>
        <v>22.027565659716508</v>
      </c>
      <c r="DI86" s="483">
        <f t="shared" si="262"/>
        <v>2.3875656597166284</v>
      </c>
      <c r="DJ86" s="483">
        <f t="shared" si="263"/>
        <v>1.7175656597165911</v>
      </c>
      <c r="DK86" s="483">
        <f t="shared" si="327"/>
        <v>0.13468874384252594</v>
      </c>
      <c r="DL86" s="483">
        <f t="shared" si="328"/>
        <v>0.33501483122901909</v>
      </c>
      <c r="DM86" s="483">
        <f t="shared" si="329"/>
        <v>0.11829340544457168</v>
      </c>
      <c r="DN86" s="483">
        <f t="shared" si="330"/>
        <v>8.2892377874985712E-2</v>
      </c>
      <c r="DO86" s="483">
        <f t="shared" si="315"/>
        <v>5.6824024714749184</v>
      </c>
      <c r="DP86" s="483">
        <f t="shared" si="316"/>
        <v>184.48902979690155</v>
      </c>
      <c r="DQ86" s="483">
        <f t="shared" si="317"/>
        <v>7.0608318152598848</v>
      </c>
      <c r="DR86" s="483">
        <f t="shared" si="318"/>
        <v>3.5593275422581701</v>
      </c>
      <c r="DS86" s="473"/>
      <c r="DT86" s="473"/>
      <c r="DU86" s="473"/>
      <c r="DV86" s="473"/>
      <c r="DW86" s="551"/>
      <c r="DX86" s="464">
        <v>41646</v>
      </c>
      <c r="DY86" s="551"/>
      <c r="DZ86" s="527"/>
      <c r="EA86" s="527"/>
      <c r="EB86" s="527"/>
      <c r="EC86" s="544"/>
      <c r="ED86" s="551"/>
      <c r="EE86" s="527">
        <f>-(EE$85-EE$88)/3+EE85</f>
        <v>0.69583042498158754</v>
      </c>
      <c r="EF86" s="527">
        <f>-(EF$84-EF$89)/5+EF85</f>
        <v>1.2867994542779908</v>
      </c>
      <c r="EG86" s="527">
        <f>-(EG85-EG88)/3+EG85</f>
        <v>1.1202304249814599</v>
      </c>
      <c r="EH86" s="527">
        <f>-(EH85-EH88)/3+EH85</f>
        <v>0.90260375831482831</v>
      </c>
      <c r="EI86" s="551"/>
      <c r="EJ86" s="503">
        <f t="shared" si="265"/>
        <v>222.66112626040135</v>
      </c>
      <c r="EK86" s="503">
        <f t="shared" si="266"/>
        <v>1179.6104179918837</v>
      </c>
      <c r="EL86" s="503">
        <f t="shared" si="267"/>
        <v>516.59493065529171</v>
      </c>
      <c r="EM86" s="503">
        <f t="shared" si="268"/>
        <v>191.79541632284403</v>
      </c>
      <c r="EN86" s="551"/>
      <c r="EO86" s="528">
        <v>0</v>
      </c>
      <c r="EP86" s="503">
        <f>-BF86*100</f>
        <v>2.9983356034582805E-2</v>
      </c>
      <c r="EQ86" s="503">
        <f>-BG86*100</f>
        <v>0.53893695671435449</v>
      </c>
      <c r="ER86" s="527"/>
      <c r="ES86" s="551"/>
      <c r="ET86" s="528"/>
      <c r="EU86" s="554">
        <f t="shared" si="351"/>
        <v>27.485774125229693</v>
      </c>
      <c r="EV86" s="554">
        <f t="shared" si="352"/>
        <v>248.53110000653098</v>
      </c>
      <c r="EW86" s="527"/>
      <c r="EX86" s="551"/>
      <c r="EY86" s="464">
        <v>41646</v>
      </c>
      <c r="EZ86" s="551"/>
      <c r="FA86" s="745">
        <f t="shared" si="273"/>
        <v>0.99173523473489589</v>
      </c>
      <c r="FB86" s="745">
        <f t="shared" si="274"/>
        <v>20.710782849403934</v>
      </c>
      <c r="FC86" s="745">
        <f t="shared" si="275"/>
        <v>0.72839827802081403</v>
      </c>
      <c r="FD86" s="745">
        <f t="shared" si="276"/>
        <v>0.81496190140176283</v>
      </c>
      <c r="FE86" s="761"/>
      <c r="FF86" s="464">
        <v>41646</v>
      </c>
      <c r="FG86" s="761"/>
      <c r="FH86" s="858">
        <v>317.34870507284671</v>
      </c>
      <c r="FI86" s="745">
        <f t="shared" si="294"/>
        <v>18985.596498898332</v>
      </c>
      <c r="FJ86" s="745">
        <f t="shared" si="295"/>
        <v>335.90130167177347</v>
      </c>
      <c r="FK86" s="745">
        <f t="shared" si="296"/>
        <v>173.17228709354444</v>
      </c>
      <c r="FL86" s="761"/>
      <c r="FM86" s="859">
        <f t="shared" si="277"/>
        <v>317.34870507284671</v>
      </c>
      <c r="FN86" s="756">
        <f t="shared" si="278"/>
        <v>18985.596498898332</v>
      </c>
      <c r="FO86" s="756">
        <f t="shared" si="279"/>
        <v>335.90130167177347</v>
      </c>
      <c r="FP86" s="859">
        <f t="shared" si="280"/>
        <v>173.17228709354444</v>
      </c>
      <c r="FQ86" s="761"/>
      <c r="FR86" s="756">
        <f t="shared" si="281"/>
        <v>540.00983133324803</v>
      </c>
      <c r="FS86" s="756">
        <f t="shared" si="282"/>
        <v>20192.692691015447</v>
      </c>
      <c r="FT86" s="756">
        <f t="shared" si="283"/>
        <v>1101.0273323335962</v>
      </c>
      <c r="FU86" s="756">
        <f t="shared" si="284"/>
        <v>364.96770341638847</v>
      </c>
      <c r="FV86" s="761"/>
      <c r="FW86" s="753">
        <v>41646</v>
      </c>
      <c r="FX86" s="761"/>
      <c r="FY86" s="756">
        <f t="shared" si="297"/>
        <v>372709.80180704972</v>
      </c>
      <c r="FZ86" s="756">
        <f t="shared" si="298"/>
        <v>756262.35400000634</v>
      </c>
      <c r="GA86" s="756">
        <f t="shared" si="299"/>
        <v>347217.55755439471</v>
      </c>
      <c r="GB86" s="756">
        <f t="shared" si="300"/>
        <v>375673.34267545672</v>
      </c>
      <c r="GC86" s="761"/>
      <c r="GD86" s="756">
        <f t="shared" si="285"/>
        <v>0.98572835323591679</v>
      </c>
      <c r="GE86" s="756">
        <f t="shared" si="285"/>
        <v>0.99145554023123217</v>
      </c>
      <c r="GF86" s="756">
        <f t="shared" si="286"/>
        <v>0.93221296260738262</v>
      </c>
      <c r="GG86" s="756">
        <f t="shared" si="287"/>
        <v>0.9804678074424662</v>
      </c>
      <c r="GH86" s="551"/>
      <c r="GI86" s="756">
        <f t="shared" si="288"/>
        <v>0</v>
      </c>
      <c r="GJ86" s="756">
        <f t="shared" si="289"/>
        <v>0</v>
      </c>
      <c r="GK86" s="756">
        <f t="shared" si="290"/>
        <v>0</v>
      </c>
      <c r="GL86" s="756">
        <f t="shared" si="291"/>
        <v>0</v>
      </c>
      <c r="GM86" s="551"/>
    </row>
    <row r="87" spans="1:195" s="472" customFormat="1">
      <c r="A87" s="464">
        <v>41647</v>
      </c>
      <c r="B87" s="465">
        <v>0</v>
      </c>
      <c r="C87" s="466">
        <f t="shared" si="246"/>
        <v>7</v>
      </c>
      <c r="D87" s="490">
        <v>-0.61199999999999999</v>
      </c>
      <c r="E87" s="467">
        <v>0</v>
      </c>
      <c r="F87" s="485">
        <v>-0.62409807888486579</v>
      </c>
      <c r="G87" s="490">
        <v>-1.2182400000000002</v>
      </c>
      <c r="H87" s="491"/>
      <c r="I87" s="464">
        <v>41647</v>
      </c>
      <c r="J87" s="467">
        <f t="shared" si="334"/>
        <v>-0.61199999999999999</v>
      </c>
      <c r="K87" s="467">
        <f t="shared" si="335"/>
        <v>0</v>
      </c>
      <c r="L87" s="467">
        <f t="shared" si="336"/>
        <v>-0.62409807888486579</v>
      </c>
      <c r="M87" s="467">
        <f t="shared" si="337"/>
        <v>-1.2182400000000002</v>
      </c>
      <c r="N87" s="491"/>
      <c r="O87" s="464">
        <v>41647</v>
      </c>
      <c r="P87" s="484">
        <f t="shared" si="338"/>
        <v>-0.61199999999999999</v>
      </c>
      <c r="Q87" s="467">
        <f t="shared" si="339"/>
        <v>0</v>
      </c>
      <c r="R87" s="467">
        <f t="shared" si="340"/>
        <v>-0.62409807888486579</v>
      </c>
      <c r="S87" s="467">
        <f t="shared" si="341"/>
        <v>-1.2182400000000002</v>
      </c>
      <c r="T87" s="464">
        <v>41647</v>
      </c>
      <c r="U87" s="468">
        <v>-0.61199999999999999</v>
      </c>
      <c r="V87" s="468">
        <v>0</v>
      </c>
      <c r="W87" s="468">
        <v>-0.62409807888486579</v>
      </c>
      <c r="X87" s="468">
        <v>-1.2182400000000002</v>
      </c>
      <c r="Y87" s="491"/>
      <c r="Z87" s="464">
        <v>41647</v>
      </c>
      <c r="AA87" s="469">
        <v>41647</v>
      </c>
      <c r="AB87" s="466">
        <f t="shared" si="247"/>
        <v>7</v>
      </c>
      <c r="AC87" s="470">
        <v>0.72644667781262529</v>
      </c>
      <c r="AD87" s="468">
        <v>-0.61199999999999999</v>
      </c>
      <c r="AE87" s="468">
        <f t="shared" si="301"/>
        <v>-189.67878804950402</v>
      </c>
      <c r="AF87" s="471">
        <v>1.6491466778126254</v>
      </c>
      <c r="AG87" s="468">
        <v>0</v>
      </c>
      <c r="AH87" s="468">
        <f t="shared" si="302"/>
        <v>0</v>
      </c>
      <c r="AI87" s="471">
        <v>2.0977466778126255</v>
      </c>
      <c r="AJ87" s="468">
        <v>-0.62409807888486579</v>
      </c>
      <c r="AK87" s="468">
        <f t="shared" si="303"/>
        <v>-280.43881830640578</v>
      </c>
      <c r="AL87" s="471">
        <v>1.6170466778126253</v>
      </c>
      <c r="AM87" s="468">
        <v>-1.2182400000000002</v>
      </c>
      <c r="AN87" s="468">
        <f t="shared" si="304"/>
        <v>-249.04476571201496</v>
      </c>
      <c r="AO87" s="464">
        <v>41647</v>
      </c>
      <c r="AP87" s="483">
        <v>3.0993266021160792</v>
      </c>
      <c r="AQ87" s="483">
        <v>8.912855806290068</v>
      </c>
      <c r="AR87" s="483">
        <v>4.4935055529652006</v>
      </c>
      <c r="AS87" s="483">
        <v>2.0442996922775061</v>
      </c>
      <c r="AT87" s="483">
        <f t="shared" si="305"/>
        <v>0.11069023578985997</v>
      </c>
      <c r="AU87" s="483">
        <f t="shared" si="306"/>
        <v>0.15106535264898421</v>
      </c>
      <c r="AV87" s="530">
        <f t="shared" si="307"/>
        <v>0.22467527764826004</v>
      </c>
      <c r="AW87" s="483">
        <f t="shared" si="308"/>
        <v>0.10759472064618453</v>
      </c>
      <c r="AY87" s="470">
        <v>0.72644667781262529</v>
      </c>
      <c r="AZ87" s="471">
        <v>1.6491466778126254</v>
      </c>
      <c r="BA87" s="471">
        <v>2.0977466778126255</v>
      </c>
      <c r="BB87" s="471">
        <v>1.6170466778126253</v>
      </c>
      <c r="BD87" s="232"/>
      <c r="BE87" s="472">
        <v>0</v>
      </c>
      <c r="BF87" s="472">
        <v>0</v>
      </c>
      <c r="BG87" s="472">
        <v>-5.1955407888486585E-3</v>
      </c>
      <c r="BH87" s="472">
        <v>0</v>
      </c>
      <c r="BI87" s="232"/>
      <c r="BJ87" s="507">
        <v>11.601355832783199</v>
      </c>
      <c r="BK87" s="507">
        <v>-157.61864416721716</v>
      </c>
      <c r="BL87" s="507">
        <v>18.01141121739796</v>
      </c>
      <c r="BM87" s="507">
        <v>16.709909678936562</v>
      </c>
      <c r="BN87" s="232"/>
      <c r="BO87" s="464">
        <v>41647</v>
      </c>
      <c r="BP87" s="473">
        <v>0</v>
      </c>
      <c r="BQ87" s="1">
        <v>5035950</v>
      </c>
      <c r="BR87" s="1">
        <v>11127132</v>
      </c>
      <c r="BS87" s="1">
        <v>6310099.7999999998</v>
      </c>
      <c r="BT87" s="1">
        <v>5970600</v>
      </c>
      <c r="BU87" s="474">
        <v>153402.67665978591</v>
      </c>
      <c r="BV87" s="474">
        <v>509866.00211189309</v>
      </c>
      <c r="BW87" s="474">
        <v>144414.10030668529</v>
      </c>
      <c r="BX87" s="474">
        <v>214415.58927759767</v>
      </c>
      <c r="BY87" s="556">
        <f t="shared" si="252"/>
        <v>0</v>
      </c>
      <c r="BZ87" s="556">
        <f t="shared" si="253"/>
        <v>0</v>
      </c>
      <c r="CA87" s="556">
        <f t="shared" si="254"/>
        <v>0</v>
      </c>
      <c r="CB87" s="556">
        <f t="shared" si="255"/>
        <v>0</v>
      </c>
      <c r="CC87" s="475">
        <f t="shared" si="256"/>
        <v>0</v>
      </c>
      <c r="CD87" s="475">
        <f t="shared" si="257"/>
        <v>0</v>
      </c>
      <c r="CE87" s="475">
        <f t="shared" si="258"/>
        <v>0</v>
      </c>
      <c r="CF87" s="475">
        <f t="shared" si="259"/>
        <v>0</v>
      </c>
      <c r="CG87" s="476">
        <f t="shared" si="309"/>
        <v>0</v>
      </c>
      <c r="CH87" s="476">
        <f t="shared" si="310"/>
        <v>0</v>
      </c>
      <c r="CI87" s="476">
        <f t="shared" si="311"/>
        <v>0</v>
      </c>
      <c r="CJ87" s="476">
        <f t="shared" si="312"/>
        <v>0</v>
      </c>
      <c r="CK87" s="476">
        <f t="shared" si="313"/>
        <v>0</v>
      </c>
      <c r="CL87" s="476">
        <f t="shared" si="313"/>
        <v>0</v>
      </c>
      <c r="CM87" s="476">
        <f t="shared" si="313"/>
        <v>0</v>
      </c>
      <c r="CN87" s="476">
        <f t="shared" si="313"/>
        <v>0</v>
      </c>
      <c r="CO87" s="477">
        <f t="shared" si="342"/>
        <v>0</v>
      </c>
      <c r="CP87" s="477">
        <f t="shared" si="343"/>
        <v>0</v>
      </c>
      <c r="CQ87" s="477">
        <f t="shared" si="344"/>
        <v>0</v>
      </c>
      <c r="CR87" s="477">
        <f t="shared" si="345"/>
        <v>0</v>
      </c>
      <c r="CS87" s="464">
        <v>41647</v>
      </c>
      <c r="CT87" s="478">
        <v>0.26900000000000002</v>
      </c>
      <c r="CU87" s="535">
        <v>0.997</v>
      </c>
      <c r="CV87" s="480">
        <v>0.86199999999999999</v>
      </c>
      <c r="CW87" s="481">
        <v>0.62</v>
      </c>
      <c r="CY87" s="521">
        <v>5.4813558327831968E-3</v>
      </c>
      <c r="CZ87" s="521">
        <v>-0.15761864416721716</v>
      </c>
      <c r="DA87" s="521">
        <v>1.6965971217397957E-2</v>
      </c>
      <c r="DB87" s="529">
        <v>4.5275096789365588E-3</v>
      </c>
      <c r="DC87" s="483">
        <f t="shared" si="248"/>
        <v>-0.48803650997797376</v>
      </c>
      <c r="DD87" s="483">
        <f t="shared" si="249"/>
        <v>15.801963490021897</v>
      </c>
      <c r="DE87" s="483">
        <f t="shared" si="250"/>
        <v>-1.6280365099779814</v>
      </c>
      <c r="DF87" s="483">
        <f t="shared" si="251"/>
        <v>-0.33803650997814572</v>
      </c>
      <c r="DG87" s="483">
        <f t="shared" si="260"/>
        <v>0.48803650997797376</v>
      </c>
      <c r="DH87" s="483">
        <f t="shared" si="261"/>
        <v>0</v>
      </c>
      <c r="DI87" s="483">
        <f t="shared" si="262"/>
        <v>1.6280365099779814</v>
      </c>
      <c r="DJ87" s="483">
        <f t="shared" si="263"/>
        <v>0.33803650997814572</v>
      </c>
      <c r="DK87" s="483">
        <f t="shared" si="327"/>
        <v>0.10060714993699005</v>
      </c>
      <c r="DL87" s="483">
        <f t="shared" si="328"/>
        <v>0</v>
      </c>
      <c r="DM87" s="483">
        <f t="shared" si="329"/>
        <v>0.11800042951015932</v>
      </c>
      <c r="DN87" s="483">
        <f t="shared" si="330"/>
        <v>8.0612979047154365E-2</v>
      </c>
      <c r="DO87" s="483">
        <f t="shared" si="315"/>
        <v>1.2274990583519836</v>
      </c>
      <c r="DP87" s="483">
        <f t="shared" si="316"/>
        <v>0</v>
      </c>
      <c r="DQ87" s="483">
        <f t="shared" si="317"/>
        <v>4.8027251858905649</v>
      </c>
      <c r="DR87" s="483">
        <f t="shared" si="318"/>
        <v>0.68125325240103618</v>
      </c>
      <c r="DS87" s="473"/>
      <c r="DT87" s="473"/>
      <c r="DU87" s="473"/>
      <c r="DV87" s="473"/>
      <c r="DW87" s="551"/>
      <c r="DX87" s="464">
        <v>41647</v>
      </c>
      <c r="DY87" s="551"/>
      <c r="DZ87" s="527"/>
      <c r="EA87" s="527"/>
      <c r="EB87" s="527"/>
      <c r="EC87" s="544"/>
      <c r="ED87" s="551"/>
      <c r="EE87" s="527">
        <f>-(EE$85-EE$88)/3+EE86</f>
        <v>0.53622251673636301</v>
      </c>
      <c r="EF87" s="527">
        <f>-(EF$84-EF$89)/5+EF86</f>
        <v>1.2706487785943479</v>
      </c>
      <c r="EG87" s="527">
        <f>-(EG86-EG89)/3+EG86</f>
        <v>1.0576027590633972</v>
      </c>
      <c r="EH87" s="527">
        <f>-(EH86-EH89)/3+EH86</f>
        <v>0.84638498128566264</v>
      </c>
      <c r="EI87" s="551"/>
      <c r="EJ87" s="503">
        <f t="shared" si="265"/>
        <v>166.19287107746445</v>
      </c>
      <c r="EK87" s="503">
        <f t="shared" si="266"/>
        <v>1132.5109344050018</v>
      </c>
      <c r="EL87" s="503">
        <f t="shared" si="267"/>
        <v>475.23438706826926</v>
      </c>
      <c r="EM87" s="503">
        <f t="shared" si="268"/>
        <v>173.02645567905827</v>
      </c>
      <c r="EN87" s="551"/>
      <c r="EO87" s="528">
        <v>0</v>
      </c>
      <c r="EP87" s="503">
        <v>2.5000000000000001E-2</v>
      </c>
      <c r="EQ87" s="503">
        <f t="shared" ref="EQ87:EQ103" si="353">-BG87*100</f>
        <v>0.51955407888486582</v>
      </c>
      <c r="ER87" s="527"/>
      <c r="ES87" s="551"/>
      <c r="ET87" s="528"/>
      <c r="EU87" s="554">
        <f t="shared" si="351"/>
        <v>22.28213951572517</v>
      </c>
      <c r="EV87" s="554">
        <f t="shared" si="352"/>
        <v>233.46191385348644</v>
      </c>
      <c r="EW87" s="527"/>
      <c r="EX87" s="551"/>
      <c r="EY87" s="464">
        <v>41647</v>
      </c>
      <c r="EZ87" s="551"/>
      <c r="FA87" s="745">
        <f t="shared" si="273"/>
        <v>-4.8186006758389244E-2</v>
      </c>
      <c r="FB87" s="745">
        <f t="shared" si="274"/>
        <v>-17.097612268616246</v>
      </c>
      <c r="FC87" s="745">
        <f t="shared" si="275"/>
        <v>5.0879672029718437E-2</v>
      </c>
      <c r="FD87" s="745">
        <f t="shared" si="276"/>
        <v>-0.50834847130751692</v>
      </c>
      <c r="FE87" s="761"/>
      <c r="FF87" s="464">
        <v>41647</v>
      </c>
      <c r="FG87" s="761"/>
      <c r="FH87" s="858">
        <v>-14.934417259602098</v>
      </c>
      <c r="FI87" s="745">
        <f t="shared" si="294"/>
        <v>-15238.855278203262</v>
      </c>
      <c r="FJ87" s="745">
        <f t="shared" si="295"/>
        <v>22.8628088798588</v>
      </c>
      <c r="FK87" s="745">
        <f t="shared" si="296"/>
        <v>-103.92166234636974</v>
      </c>
      <c r="FL87" s="761"/>
      <c r="FM87" s="859">
        <f t="shared" si="277"/>
        <v>-14.934417259602098</v>
      </c>
      <c r="FN87" s="756">
        <f t="shared" si="278"/>
        <v>-15238.855278203262</v>
      </c>
      <c r="FO87" s="756">
        <f t="shared" si="279"/>
        <v>22.8628088798588</v>
      </c>
      <c r="FP87" s="859">
        <f t="shared" si="280"/>
        <v>-103.92166234636974</v>
      </c>
      <c r="FQ87" s="761"/>
      <c r="FR87" s="756">
        <f t="shared" si="281"/>
        <v>166.19287107746445</v>
      </c>
      <c r="FS87" s="756">
        <f t="shared" si="282"/>
        <v>1154.793073920727</v>
      </c>
      <c r="FT87" s="756">
        <f t="shared" si="283"/>
        <v>731.55910980161457</v>
      </c>
      <c r="FU87" s="756">
        <f t="shared" si="284"/>
        <v>173.02645567905827</v>
      </c>
      <c r="FV87" s="761"/>
      <c r="FW87" s="753">
        <v>41647</v>
      </c>
      <c r="FX87" s="761"/>
      <c r="FY87" s="756">
        <f t="shared" si="297"/>
        <v>372875.99467812717</v>
      </c>
      <c r="FZ87" s="756">
        <f t="shared" si="298"/>
        <v>757417.1470739271</v>
      </c>
      <c r="GA87" s="756">
        <f t="shared" si="299"/>
        <v>347949.11666419631</v>
      </c>
      <c r="GB87" s="756">
        <f t="shared" si="300"/>
        <v>375846.36913113575</v>
      </c>
      <c r="GC87" s="761"/>
      <c r="GD87" s="756">
        <f t="shared" si="285"/>
        <v>0.98616789366209412</v>
      </c>
      <c r="GE87" s="756">
        <f t="shared" si="285"/>
        <v>0.99296946722350365</v>
      </c>
      <c r="GF87" s="756">
        <f t="shared" si="286"/>
        <v>0.93417705938253992</v>
      </c>
      <c r="GG87" s="756">
        <f t="shared" si="287"/>
        <v>0.98091938824514169</v>
      </c>
      <c r="GH87" s="551"/>
      <c r="GI87" s="756">
        <f t="shared" si="288"/>
        <v>0</v>
      </c>
      <c r="GJ87" s="756">
        <f t="shared" si="289"/>
        <v>0</v>
      </c>
      <c r="GK87" s="756">
        <f t="shared" si="290"/>
        <v>0</v>
      </c>
      <c r="GL87" s="756">
        <f t="shared" si="291"/>
        <v>0</v>
      </c>
      <c r="GM87" s="551"/>
    </row>
    <row r="88" spans="1:195" s="134" customFormat="1">
      <c r="A88" s="705">
        <v>41648</v>
      </c>
      <c r="B88" s="706">
        <v>0</v>
      </c>
      <c r="C88" s="497">
        <f t="shared" si="246"/>
        <v>8</v>
      </c>
      <c r="D88" s="276">
        <v>1.3449600000000002</v>
      </c>
      <c r="E88" s="270">
        <v>-2.2205988269460639</v>
      </c>
      <c r="F88" s="274">
        <v>1.337378577976011</v>
      </c>
      <c r="G88" s="276">
        <v>1.3881599999999998</v>
      </c>
      <c r="H88" s="734"/>
      <c r="I88" s="705">
        <v>41648</v>
      </c>
      <c r="J88" s="270">
        <f t="shared" si="334"/>
        <v>1.3449600000000002</v>
      </c>
      <c r="K88" s="270">
        <f t="shared" si="335"/>
        <v>-2.2205988269460639</v>
      </c>
      <c r="L88" s="270">
        <f t="shared" si="336"/>
        <v>1.337378577976011</v>
      </c>
      <c r="M88" s="270">
        <f t="shared" si="337"/>
        <v>1.3881599999999998</v>
      </c>
      <c r="N88" s="734"/>
      <c r="O88" s="705">
        <v>41648</v>
      </c>
      <c r="P88" s="270">
        <f t="shared" si="338"/>
        <v>1.3449600000000002</v>
      </c>
      <c r="Q88" s="270">
        <f t="shared" si="339"/>
        <v>-2.2205988269460639</v>
      </c>
      <c r="R88" s="270">
        <f t="shared" si="340"/>
        <v>1.337378577976011</v>
      </c>
      <c r="S88" s="270">
        <f t="shared" si="341"/>
        <v>1.3881599999999998</v>
      </c>
      <c r="T88" s="705">
        <v>41648</v>
      </c>
      <c r="U88" s="291">
        <v>1.3449600000000002</v>
      </c>
      <c r="V88" s="291">
        <v>-2.2205988269460639</v>
      </c>
      <c r="W88" s="291">
        <v>1.337378577976011</v>
      </c>
      <c r="X88" s="291">
        <v>1.3881599999999998</v>
      </c>
      <c r="Y88" s="734"/>
      <c r="Z88" s="705">
        <v>41648</v>
      </c>
      <c r="AA88" s="707">
        <v>41648</v>
      </c>
      <c r="AB88" s="497">
        <f t="shared" si="247"/>
        <v>8</v>
      </c>
      <c r="AC88" s="266">
        <v>0.72156631271284555</v>
      </c>
      <c r="AD88" s="291">
        <v>1.3449600000000002</v>
      </c>
      <c r="AE88" s="291">
        <f t="shared" si="301"/>
        <v>406.45541095648304</v>
      </c>
      <c r="AF88" s="161">
        <v>1.8071663127128443</v>
      </c>
      <c r="AG88" s="291">
        <v>-2.2205988269460639</v>
      </c>
      <c r="AH88" s="291">
        <f t="shared" si="302"/>
        <v>-1378.7507664209393</v>
      </c>
      <c r="AI88" s="161">
        <v>2.0814663127128457</v>
      </c>
      <c r="AJ88" s="291">
        <v>1.337378577976011</v>
      </c>
      <c r="AK88" s="291">
        <f t="shared" si="303"/>
        <v>588.8889077168501</v>
      </c>
      <c r="AL88" s="161">
        <v>1.6136663127128439</v>
      </c>
      <c r="AM88" s="291">
        <v>1.3881599999999998</v>
      </c>
      <c r="AN88" s="291">
        <f t="shared" si="304"/>
        <v>274.32232635888903</v>
      </c>
      <c r="AO88" s="705">
        <v>41648</v>
      </c>
      <c r="AP88" s="463">
        <v>3.0220631911468221</v>
      </c>
      <c r="AQ88" s="463">
        <v>6.208914233810984</v>
      </c>
      <c r="AR88" s="463">
        <v>4.4033074659239322</v>
      </c>
      <c r="AS88" s="463">
        <v>1.9761578374170774</v>
      </c>
      <c r="AT88" s="463">
        <f t="shared" si="305"/>
        <v>0.10793082825524365</v>
      </c>
      <c r="AU88" s="463">
        <f t="shared" si="306"/>
        <v>0.10523583447137261</v>
      </c>
      <c r="AV88" s="463">
        <f t="shared" si="307"/>
        <v>0.22016537329619662</v>
      </c>
      <c r="AW88" s="463">
        <f t="shared" si="308"/>
        <v>0.10400830723247775</v>
      </c>
      <c r="AY88" s="266">
        <v>0.72156631271284555</v>
      </c>
      <c r="AZ88" s="161">
        <v>1.8071663127128443</v>
      </c>
      <c r="BA88" s="161">
        <v>2.0814663127128457</v>
      </c>
      <c r="BB88" s="161">
        <v>1.6136663127128439</v>
      </c>
      <c r="BE88" s="134">
        <v>0</v>
      </c>
      <c r="BF88" s="134">
        <v>-1.7398826946063729E-4</v>
      </c>
      <c r="BG88" s="134">
        <v>-5.0582142202398898E-3</v>
      </c>
      <c r="BH88" s="134">
        <v>0</v>
      </c>
      <c r="BJ88" s="508">
        <v>3.403192187227682</v>
      </c>
      <c r="BK88" s="508">
        <v>28.915561417997175</v>
      </c>
      <c r="BL88" s="508">
        <v>7.0900229564585562</v>
      </c>
      <c r="BM88" s="508">
        <v>2.4711921872277389</v>
      </c>
      <c r="BO88" s="705">
        <v>41648</v>
      </c>
      <c r="BP88" s="324">
        <v>0</v>
      </c>
      <c r="BQ88" s="1">
        <v>5035950</v>
      </c>
      <c r="BR88" s="1">
        <v>11127132</v>
      </c>
      <c r="BS88" s="1">
        <v>6310099.7999999998</v>
      </c>
      <c r="BT88" s="1">
        <v>5970600</v>
      </c>
      <c r="BU88" s="708">
        <v>153402.67665978591</v>
      </c>
      <c r="BV88" s="708">
        <v>509866.00211189309</v>
      </c>
      <c r="BW88" s="708">
        <v>144414.10030668529</v>
      </c>
      <c r="BX88" s="708">
        <v>214415.58927759767</v>
      </c>
      <c r="BY88" s="709">
        <f t="shared" si="252"/>
        <v>0</v>
      </c>
      <c r="BZ88" s="709">
        <f t="shared" si="253"/>
        <v>0</v>
      </c>
      <c r="CA88" s="709">
        <f t="shared" si="254"/>
        <v>0</v>
      </c>
      <c r="CB88" s="709">
        <f t="shared" si="255"/>
        <v>0</v>
      </c>
      <c r="CC88" s="475">
        <f t="shared" si="256"/>
        <v>0</v>
      </c>
      <c r="CD88" s="475">
        <f t="shared" si="257"/>
        <v>0</v>
      </c>
      <c r="CE88" s="475">
        <f t="shared" si="258"/>
        <v>0</v>
      </c>
      <c r="CF88" s="475">
        <f t="shared" si="259"/>
        <v>0</v>
      </c>
      <c r="CG88" s="302">
        <f t="shared" si="309"/>
        <v>0</v>
      </c>
      <c r="CH88" s="302">
        <f t="shared" si="310"/>
        <v>0</v>
      </c>
      <c r="CI88" s="302">
        <f t="shared" si="311"/>
        <v>0</v>
      </c>
      <c r="CJ88" s="302">
        <f t="shared" si="312"/>
        <v>0</v>
      </c>
      <c r="CK88" s="302">
        <f t="shared" si="313"/>
        <v>0</v>
      </c>
      <c r="CL88" s="302">
        <f t="shared" si="313"/>
        <v>0</v>
      </c>
      <c r="CM88" s="302">
        <f t="shared" si="313"/>
        <v>0</v>
      </c>
      <c r="CN88" s="302">
        <f t="shared" si="313"/>
        <v>0</v>
      </c>
      <c r="CO88" s="710">
        <f t="shared" si="342"/>
        <v>0</v>
      </c>
      <c r="CP88" s="710">
        <f t="shared" si="343"/>
        <v>0</v>
      </c>
      <c r="CQ88" s="710">
        <f t="shared" si="344"/>
        <v>0</v>
      </c>
      <c r="CR88" s="710">
        <f t="shared" si="345"/>
        <v>0</v>
      </c>
      <c r="CS88" s="705">
        <v>41648</v>
      </c>
      <c r="CT88" s="711">
        <v>0.85099999999999998</v>
      </c>
      <c r="CU88" s="735">
        <v>0.85099999999999998</v>
      </c>
      <c r="CV88" s="713">
        <v>0.85099999999999998</v>
      </c>
      <c r="CW88" s="714">
        <v>0.89400000000000002</v>
      </c>
      <c r="CY88" s="736">
        <v>1.6852792187227683E-2</v>
      </c>
      <c r="CZ88" s="725">
        <v>6.8835614179971749E-3</v>
      </c>
      <c r="DA88" s="727">
        <v>2.5522022956458557E-2</v>
      </c>
      <c r="DB88" s="736">
        <v>1.6352792187227738E-2</v>
      </c>
      <c r="DC88" s="463">
        <f t="shared" si="248"/>
        <v>-1.7215746084911387</v>
      </c>
      <c r="DD88" s="463">
        <f t="shared" si="249"/>
        <v>-0.67157460849109896</v>
      </c>
      <c r="DE88" s="463">
        <f t="shared" si="250"/>
        <v>-2.5915746084910651</v>
      </c>
      <c r="DF88" s="463">
        <f t="shared" si="251"/>
        <v>-1.6415746084909699</v>
      </c>
      <c r="DG88" s="483">
        <f t="shared" si="260"/>
        <v>1.7215746084911387</v>
      </c>
      <c r="DH88" s="483">
        <f t="shared" si="261"/>
        <v>0.67157460849109896</v>
      </c>
      <c r="DI88" s="483">
        <f t="shared" si="262"/>
        <v>2.5915746084910651</v>
      </c>
      <c r="DJ88" s="483">
        <f t="shared" si="263"/>
        <v>1.6415746084909699</v>
      </c>
      <c r="DK88" s="483">
        <f t="shared" si="327"/>
        <v>7.7263410969257151E-2</v>
      </c>
      <c r="DL88" s="483">
        <f t="shared" si="328"/>
        <v>2.7039415724790841</v>
      </c>
      <c r="DM88" s="483">
        <f t="shared" si="329"/>
        <v>9.0198087041268415E-2</v>
      </c>
      <c r="DN88" s="483">
        <f t="shared" si="330"/>
        <v>6.8141854860428674E-2</v>
      </c>
      <c r="DO88" s="483">
        <f t="shared" si="315"/>
        <v>3.3253681622522206</v>
      </c>
      <c r="DP88" s="483">
        <f t="shared" si="316"/>
        <v>45.397462573011182</v>
      </c>
      <c r="DQ88" s="483">
        <f t="shared" si="317"/>
        <v>5.8438768027654557</v>
      </c>
      <c r="DR88" s="483">
        <f t="shared" si="318"/>
        <v>2.796498467858918</v>
      </c>
      <c r="DS88" s="324">
        <v>1.3449600000000002</v>
      </c>
      <c r="DT88" s="324"/>
      <c r="DU88" s="324">
        <v>1.8431999999999999</v>
      </c>
      <c r="DV88" s="324">
        <v>1.3881599999999998</v>
      </c>
      <c r="DW88" s="716"/>
      <c r="DX88" s="705">
        <v>41648</v>
      </c>
      <c r="DY88" s="716"/>
      <c r="DZ88" s="269">
        <f t="shared" ref="DZ88:DZ98" si="354">-DC88-DS88</f>
        <v>0.37661460849113859</v>
      </c>
      <c r="EA88" s="269"/>
      <c r="EB88" s="269">
        <f t="shared" ref="EB88:EB101" si="355">-DE88-DU88</f>
        <v>0.74837460849106519</v>
      </c>
      <c r="EC88" s="716">
        <f t="shared" ref="EC88:EC101" si="356">-DF88-DV88</f>
        <v>0.25341460849097008</v>
      </c>
      <c r="ED88" s="716"/>
      <c r="EE88" s="269">
        <f t="shared" ref="EE88:EE98" si="357">DZ88</f>
        <v>0.37661460849113859</v>
      </c>
      <c r="EF88" s="269">
        <f>-(EF$84-EF$89)/5+EF87</f>
        <v>1.254498102910705</v>
      </c>
      <c r="EG88" s="269">
        <f t="shared" ref="EG88:EG98" si="358">EB88</f>
        <v>0.74837460849106519</v>
      </c>
      <c r="EH88" s="269">
        <f t="shared" ref="EH88:EH98" si="359">EC88</f>
        <v>0.25341460849097008</v>
      </c>
      <c r="EI88" s="716"/>
      <c r="EJ88" s="717">
        <f t="shared" si="265"/>
        <v>113.81531455692414</v>
      </c>
      <c r="EK88" s="717">
        <f t="shared" si="266"/>
        <v>778.90711274511523</v>
      </c>
      <c r="EL88" s="717">
        <f t="shared" si="267"/>
        <v>329.53235008766069</v>
      </c>
      <c r="EM88" s="717">
        <f t="shared" si="268"/>
        <v>50.078726468541078</v>
      </c>
      <c r="EN88" s="716"/>
      <c r="EO88" s="269">
        <v>0</v>
      </c>
      <c r="EP88" s="269">
        <f>-BF88*100</f>
        <v>1.739882694606373E-2</v>
      </c>
      <c r="EQ88" s="269">
        <f t="shared" si="353"/>
        <v>0.50582142202398894</v>
      </c>
      <c r="ER88" s="269"/>
      <c r="ES88" s="716"/>
      <c r="ET88" s="269"/>
      <c r="EU88" s="718">
        <f t="shared" si="351"/>
        <v>10.802782427702917</v>
      </c>
      <c r="EV88" s="718">
        <f t="shared" si="352"/>
        <v>222.72872440224907</v>
      </c>
      <c r="EW88" s="269"/>
      <c r="EX88" s="716"/>
      <c r="EY88" s="705">
        <v>41648</v>
      </c>
      <c r="EZ88" s="716"/>
      <c r="FA88" s="766">
        <f t="shared" si="273"/>
        <v>1.3449600000000002</v>
      </c>
      <c r="FB88" s="766">
        <f t="shared" si="274"/>
        <v>-0.60032232136566965</v>
      </c>
      <c r="FC88" s="766">
        <f t="shared" si="275"/>
        <v>1.337378577976011</v>
      </c>
      <c r="FD88" s="766">
        <f t="shared" si="276"/>
        <v>1.3881599999999998</v>
      </c>
      <c r="FE88" s="760"/>
      <c r="FF88" s="705">
        <v>41648</v>
      </c>
      <c r="FG88" s="760"/>
      <c r="FH88" s="858">
        <v>406.45541095648304</v>
      </c>
      <c r="FI88" s="766">
        <f t="shared" si="294"/>
        <v>-372.73498060017585</v>
      </c>
      <c r="FJ88" s="766">
        <f t="shared" si="295"/>
        <v>588.8889077168501</v>
      </c>
      <c r="FK88" s="766">
        <f t="shared" si="296"/>
        <v>274.32232635888903</v>
      </c>
      <c r="FL88" s="760"/>
      <c r="FM88" s="859">
        <f t="shared" si="277"/>
        <v>406.45541095648304</v>
      </c>
      <c r="FN88" s="759">
        <f t="shared" si="278"/>
        <v>-372.73498060017585</v>
      </c>
      <c r="FO88" s="759">
        <f t="shared" si="279"/>
        <v>588.8889077168501</v>
      </c>
      <c r="FP88" s="859">
        <f t="shared" si="280"/>
        <v>274.32232635888903</v>
      </c>
      <c r="FQ88" s="760"/>
      <c r="FR88" s="759">
        <f t="shared" si="281"/>
        <v>520.27072551340711</v>
      </c>
      <c r="FS88" s="759">
        <f t="shared" si="282"/>
        <v>789.70989517281816</v>
      </c>
      <c r="FT88" s="759">
        <f t="shared" si="283"/>
        <v>1141.1499822067599</v>
      </c>
      <c r="FU88" s="759">
        <f t="shared" si="284"/>
        <v>324.40105282743014</v>
      </c>
      <c r="FV88" s="761"/>
      <c r="FW88" s="754">
        <v>41648</v>
      </c>
      <c r="FX88" s="761"/>
      <c r="FY88" s="759">
        <f t="shared" si="297"/>
        <v>373396.26540364057</v>
      </c>
      <c r="FZ88" s="759">
        <f t="shared" si="298"/>
        <v>758206.85696909996</v>
      </c>
      <c r="GA88" s="759">
        <f t="shared" si="299"/>
        <v>349090.26664640306</v>
      </c>
      <c r="GB88" s="759">
        <f t="shared" si="300"/>
        <v>376170.77018396318</v>
      </c>
      <c r="GC88" s="760"/>
      <c r="GD88" s="759">
        <f t="shared" si="285"/>
        <v>0.98754388539349125</v>
      </c>
      <c r="GE88" s="759">
        <f t="shared" si="285"/>
        <v>0.99400477229535245</v>
      </c>
      <c r="GF88" s="759">
        <f t="shared" si="286"/>
        <v>0.93724082958236821</v>
      </c>
      <c r="GG88" s="759">
        <f t="shared" si="287"/>
        <v>0.98176604078304219</v>
      </c>
      <c r="GH88" s="716"/>
      <c r="GI88" s="756">
        <f t="shared" si="288"/>
        <v>0</v>
      </c>
      <c r="GJ88" s="756">
        <f t="shared" si="289"/>
        <v>0</v>
      </c>
      <c r="GK88" s="756">
        <f t="shared" si="290"/>
        <v>0</v>
      </c>
      <c r="GL88" s="756">
        <f t="shared" si="291"/>
        <v>0</v>
      </c>
      <c r="GM88" s="716"/>
    </row>
    <row r="89" spans="1:195" s="134" customFormat="1">
      <c r="A89" s="705">
        <v>41649</v>
      </c>
      <c r="B89" s="706">
        <v>0</v>
      </c>
      <c r="C89" s="497">
        <f t="shared" si="246"/>
        <v>9</v>
      </c>
      <c r="D89" s="276">
        <v>1.3204800000000001</v>
      </c>
      <c r="E89" s="274">
        <v>1.4961209645573192</v>
      </c>
      <c r="F89" s="274">
        <v>1.2449419530532713</v>
      </c>
      <c r="G89" s="276">
        <v>0.98639999999999994</v>
      </c>
      <c r="H89" s="734"/>
      <c r="I89" s="705">
        <v>41649</v>
      </c>
      <c r="J89" s="270">
        <f t="shared" si="334"/>
        <v>1.3204800000000001</v>
      </c>
      <c r="K89" s="270">
        <f t="shared" si="335"/>
        <v>1.4961209645573192</v>
      </c>
      <c r="L89" s="270">
        <f t="shared" si="336"/>
        <v>1.2449419530532713</v>
      </c>
      <c r="M89" s="270">
        <f t="shared" si="337"/>
        <v>0.98639999999999994</v>
      </c>
      <c r="N89" s="734"/>
      <c r="O89" s="705">
        <v>41649</v>
      </c>
      <c r="P89" s="270">
        <f t="shared" si="338"/>
        <v>1.3204800000000001</v>
      </c>
      <c r="Q89" s="270">
        <f t="shared" si="339"/>
        <v>1.4961209645573192</v>
      </c>
      <c r="R89" s="270">
        <f t="shared" si="340"/>
        <v>1.2449419530532713</v>
      </c>
      <c r="S89" s="270">
        <f t="shared" si="341"/>
        <v>0.98639999999999994</v>
      </c>
      <c r="T89" s="705">
        <v>41649</v>
      </c>
      <c r="U89" s="291">
        <v>1.3204800000000001</v>
      </c>
      <c r="V89" s="291">
        <v>1.4961209645573192</v>
      </c>
      <c r="W89" s="291">
        <v>1.2449419530532713</v>
      </c>
      <c r="X89" s="291">
        <v>0.98639999999999994</v>
      </c>
      <c r="Y89" s="734"/>
      <c r="Z89" s="705">
        <v>41649</v>
      </c>
      <c r="AA89" s="707">
        <v>41649</v>
      </c>
      <c r="AB89" s="497">
        <f t="shared" si="247"/>
        <v>9</v>
      </c>
      <c r="AC89" s="266">
        <v>0.70435056662793416</v>
      </c>
      <c r="AD89" s="291">
        <v>1.3204800000000001</v>
      </c>
      <c r="AE89" s="291">
        <f t="shared" si="301"/>
        <v>396.11124935302837</v>
      </c>
      <c r="AF89" s="161">
        <v>1.8004505666279333</v>
      </c>
      <c r="AG89" s="291">
        <v>1.4961209645573192</v>
      </c>
      <c r="AH89" s="291">
        <f t="shared" si="302"/>
        <v>1209.3981753851392</v>
      </c>
      <c r="AI89" s="161">
        <v>2.055550566627935</v>
      </c>
      <c r="AJ89" s="291">
        <v>1.2449419530532713</v>
      </c>
      <c r="AK89" s="291">
        <f t="shared" si="303"/>
        <v>540.58702597156241</v>
      </c>
      <c r="AL89" s="161">
        <v>1.5972505666279342</v>
      </c>
      <c r="AM89" s="291">
        <v>0.98639999999999994</v>
      </c>
      <c r="AN89" s="291">
        <f t="shared" si="304"/>
        <v>193.62375604929559</v>
      </c>
      <c r="AO89" s="705">
        <v>41649</v>
      </c>
      <c r="AP89" s="463">
        <v>2.9997519792274656</v>
      </c>
      <c r="AQ89" s="463">
        <v>8.0835587765657895</v>
      </c>
      <c r="AR89" s="463">
        <v>4.3422669197206387</v>
      </c>
      <c r="AS89" s="463">
        <v>1.9629334554875872</v>
      </c>
      <c r="AT89" s="463">
        <f t="shared" si="305"/>
        <v>0.10713399925812377</v>
      </c>
      <c r="AU89" s="463">
        <f t="shared" si="306"/>
        <v>0.13700947078925066</v>
      </c>
      <c r="AV89" s="463">
        <f t="shared" si="307"/>
        <v>0.21711334598603194</v>
      </c>
      <c r="AW89" s="463">
        <f t="shared" si="308"/>
        <v>0.10331228713092565</v>
      </c>
      <c r="AY89" s="266">
        <v>0.70435056662793416</v>
      </c>
      <c r="AZ89" s="161">
        <v>1.8004505666279333</v>
      </c>
      <c r="BA89" s="161">
        <v>2.055550566627935</v>
      </c>
      <c r="BB89" s="161">
        <v>1.5972505666279342</v>
      </c>
      <c r="BE89" s="134">
        <v>0</v>
      </c>
      <c r="BF89" s="134">
        <v>-1.5879035442680625E-4</v>
      </c>
      <c r="BG89" s="134">
        <v>-4.8305804694672872E-3</v>
      </c>
      <c r="BH89" s="134">
        <v>0</v>
      </c>
      <c r="BJ89" s="508">
        <v>9.129081491279571</v>
      </c>
      <c r="BK89" s="508">
        <v>12.121573798971742</v>
      </c>
      <c r="BL89" s="508">
        <v>10.400035337434018</v>
      </c>
      <c r="BM89" s="508">
        <v>7.5621891835876269</v>
      </c>
      <c r="BO89" s="705">
        <v>41649</v>
      </c>
      <c r="BP89" s="324">
        <v>0</v>
      </c>
      <c r="BQ89" s="1">
        <v>5035950</v>
      </c>
      <c r="BR89" s="1">
        <v>11127132</v>
      </c>
      <c r="BS89" s="1">
        <v>6310099.7999999998</v>
      </c>
      <c r="BT89" s="1">
        <v>5970600</v>
      </c>
      <c r="BU89" s="708">
        <v>153402.67665978591</v>
      </c>
      <c r="BV89" s="708">
        <v>509866.00211189309</v>
      </c>
      <c r="BW89" s="708">
        <v>144414.10030668529</v>
      </c>
      <c r="BX89" s="708">
        <v>214415.58927759767</v>
      </c>
      <c r="BY89" s="709">
        <f t="shared" si="252"/>
        <v>0</v>
      </c>
      <c r="BZ89" s="709">
        <f t="shared" si="253"/>
        <v>0</v>
      </c>
      <c r="CA89" s="709">
        <f t="shared" si="254"/>
        <v>0</v>
      </c>
      <c r="CB89" s="709">
        <f t="shared" si="255"/>
        <v>0</v>
      </c>
      <c r="CC89" s="475">
        <f t="shared" si="256"/>
        <v>0</v>
      </c>
      <c r="CD89" s="475">
        <f t="shared" si="257"/>
        <v>0</v>
      </c>
      <c r="CE89" s="475">
        <f t="shared" si="258"/>
        <v>0</v>
      </c>
      <c r="CF89" s="475">
        <f t="shared" si="259"/>
        <v>0</v>
      </c>
      <c r="CG89" s="302">
        <f t="shared" si="309"/>
        <v>0</v>
      </c>
      <c r="CH89" s="302">
        <f t="shared" si="310"/>
        <v>0</v>
      </c>
      <c r="CI89" s="302">
        <f t="shared" si="311"/>
        <v>0</v>
      </c>
      <c r="CJ89" s="302">
        <f t="shared" si="312"/>
        <v>0</v>
      </c>
      <c r="CK89" s="302">
        <f t="shared" si="313"/>
        <v>0</v>
      </c>
      <c r="CL89" s="302">
        <f t="shared" si="313"/>
        <v>0</v>
      </c>
      <c r="CM89" s="302">
        <f t="shared" si="313"/>
        <v>0</v>
      </c>
      <c r="CN89" s="302">
        <f t="shared" si="313"/>
        <v>0</v>
      </c>
      <c r="CO89" s="710">
        <f t="shared" si="342"/>
        <v>0</v>
      </c>
      <c r="CP89" s="710">
        <f t="shared" si="343"/>
        <v>0</v>
      </c>
      <c r="CQ89" s="710">
        <f t="shared" si="344"/>
        <v>0</v>
      </c>
      <c r="CR89" s="710">
        <f t="shared" si="345"/>
        <v>0</v>
      </c>
      <c r="CS89" s="705">
        <v>41649</v>
      </c>
      <c r="CT89" s="711">
        <v>0.85099999999999998</v>
      </c>
      <c r="CU89" s="735">
        <v>0.92</v>
      </c>
      <c r="CV89" s="713">
        <v>0.86399999999999999</v>
      </c>
      <c r="CW89" s="714">
        <v>0.82799999999999996</v>
      </c>
      <c r="CY89" s="736">
        <v>2.2333881491279572E-2</v>
      </c>
      <c r="CZ89" s="727">
        <v>2.7241573798971741E-2</v>
      </c>
      <c r="DA89" s="727">
        <v>2.7680035337434017E-2</v>
      </c>
      <c r="DB89" s="736">
        <v>1.7426189183587626E-2</v>
      </c>
      <c r="DC89" s="463">
        <f t="shared" si="248"/>
        <v>-2.2603474272273161</v>
      </c>
      <c r="DD89" s="463">
        <f t="shared" si="249"/>
        <v>-2.7503474272270623</v>
      </c>
      <c r="DE89" s="463">
        <f t="shared" si="250"/>
        <v>-2.660347427227272</v>
      </c>
      <c r="DF89" s="463">
        <f t="shared" si="251"/>
        <v>-1.7203474272273311</v>
      </c>
      <c r="DG89" s="483">
        <f t="shared" si="260"/>
        <v>2.2603474272273161</v>
      </c>
      <c r="DH89" s="483">
        <f t="shared" si="261"/>
        <v>2.7503474272270623</v>
      </c>
      <c r="DI89" s="483">
        <f t="shared" si="262"/>
        <v>2.660347427227272</v>
      </c>
      <c r="DJ89" s="483">
        <f t="shared" si="263"/>
        <v>1.7203474272273311</v>
      </c>
      <c r="DK89" s="483">
        <f t="shared" si="327"/>
        <v>2.2311211919356477E-2</v>
      </c>
      <c r="DL89" s="483" t="s">
        <v>106</v>
      </c>
      <c r="DM89" s="483">
        <f t="shared" si="329"/>
        <v>6.1040546203293466E-2</v>
      </c>
      <c r="DN89" s="483">
        <f t="shared" si="330"/>
        <v>1.3224381929490159E-2</v>
      </c>
      <c r="DO89" s="483">
        <f t="shared" si="315"/>
        <v>1.2607772615060211</v>
      </c>
      <c r="DP89" s="483" t="s">
        <v>106</v>
      </c>
      <c r="DQ89" s="483">
        <f t="shared" si="317"/>
        <v>4.0597265012119799</v>
      </c>
      <c r="DR89" s="483">
        <f t="shared" si="318"/>
        <v>0.56876328572675006</v>
      </c>
      <c r="DS89" s="324">
        <v>1.3204800000000001</v>
      </c>
      <c r="DT89" s="324">
        <v>1.512</v>
      </c>
      <c r="DU89" s="324">
        <v>1.728</v>
      </c>
      <c r="DV89" s="324">
        <v>0.98639999999999994</v>
      </c>
      <c r="DW89" s="716"/>
      <c r="DX89" s="705">
        <v>41649</v>
      </c>
      <c r="DY89" s="716"/>
      <c r="DZ89" s="269">
        <f t="shared" si="354"/>
        <v>0.93986742722731598</v>
      </c>
      <c r="EA89" s="269">
        <f>-DD89-DT89</f>
        <v>1.2383474272270623</v>
      </c>
      <c r="EB89" s="269">
        <f t="shared" si="355"/>
        <v>0.93234742722727204</v>
      </c>
      <c r="EC89" s="716">
        <f t="shared" si="356"/>
        <v>0.73394742722733119</v>
      </c>
      <c r="ED89" s="716"/>
      <c r="EE89" s="269">
        <f t="shared" si="357"/>
        <v>0.93986742722731598</v>
      </c>
      <c r="EF89" s="269">
        <f t="shared" ref="EF89" si="360">EA89</f>
        <v>1.2383474272270623</v>
      </c>
      <c r="EG89" s="269">
        <f t="shared" si="358"/>
        <v>0.93234742722727204</v>
      </c>
      <c r="EH89" s="269">
        <f t="shared" si="359"/>
        <v>0.73394742722733119</v>
      </c>
      <c r="EI89" s="716"/>
      <c r="EJ89" s="717">
        <f t="shared" si="265"/>
        <v>281.93691750365673</v>
      </c>
      <c r="EK89" s="717">
        <f t="shared" si="266"/>
        <v>1001.0254213798985</v>
      </c>
      <c r="EL89" s="717">
        <f t="shared" si="267"/>
        <v>404.85013909356286</v>
      </c>
      <c r="EM89" s="717">
        <f t="shared" si="268"/>
        <v>144.06899594735697</v>
      </c>
      <c r="EN89" s="716"/>
      <c r="EO89" s="269">
        <v>0</v>
      </c>
      <c r="EP89" s="269">
        <f>-BF89*100</f>
        <v>1.5879035442680624E-2</v>
      </c>
      <c r="EQ89" s="269">
        <f t="shared" si="353"/>
        <v>0.48305804694672871</v>
      </c>
      <c r="ER89" s="269"/>
      <c r="ES89" s="716"/>
      <c r="ET89" s="269"/>
      <c r="EU89" s="718">
        <f t="shared" si="351"/>
        <v>12.83591163160802</v>
      </c>
      <c r="EV89" s="718">
        <f t="shared" si="352"/>
        <v>209.75669775616393</v>
      </c>
      <c r="EW89" s="269"/>
      <c r="EX89" s="716"/>
      <c r="EY89" s="705">
        <v>41649</v>
      </c>
      <c r="EZ89" s="716"/>
      <c r="FA89" s="766">
        <f t="shared" si="273"/>
        <v>1.3204800000000001</v>
      </c>
      <c r="FB89" s="766">
        <f t="shared" si="274"/>
        <v>1.4961209645573195</v>
      </c>
      <c r="FC89" s="766">
        <f t="shared" si="275"/>
        <v>1.2449419530532713</v>
      </c>
      <c r="FD89" s="766">
        <f t="shared" si="276"/>
        <v>0.98639999999999994</v>
      </c>
      <c r="FE89" s="760"/>
      <c r="FF89" s="705">
        <v>41649</v>
      </c>
      <c r="FG89" s="760"/>
      <c r="FH89" s="858">
        <v>396.11124935302837</v>
      </c>
      <c r="FI89" s="766">
        <f t="shared" si="294"/>
        <v>1209.3981753851394</v>
      </c>
      <c r="FJ89" s="766">
        <f t="shared" si="295"/>
        <v>540.58702597156241</v>
      </c>
      <c r="FK89" s="766">
        <f t="shared" si="296"/>
        <v>193.62375604929559</v>
      </c>
      <c r="FL89" s="760"/>
      <c r="FM89" s="859">
        <f t="shared" si="277"/>
        <v>396.11124935302837</v>
      </c>
      <c r="FN89" s="759">
        <f t="shared" si="278"/>
        <v>1209.3981753851394</v>
      </c>
      <c r="FO89" s="759">
        <f t="shared" si="279"/>
        <v>540.58702597156241</v>
      </c>
      <c r="FP89" s="859">
        <f t="shared" si="280"/>
        <v>193.62375604929559</v>
      </c>
      <c r="FQ89" s="760"/>
      <c r="FR89" s="759">
        <f t="shared" si="281"/>
        <v>678.04816685668516</v>
      </c>
      <c r="FS89" s="759">
        <f t="shared" si="282"/>
        <v>2223.2595083966462</v>
      </c>
      <c r="FT89" s="759">
        <f t="shared" si="283"/>
        <v>1155.1938628212893</v>
      </c>
      <c r="FU89" s="759">
        <f t="shared" si="284"/>
        <v>337.69275199665253</v>
      </c>
      <c r="FV89" s="761"/>
      <c r="FW89" s="754">
        <v>41649</v>
      </c>
      <c r="FX89" s="761"/>
      <c r="FY89" s="759">
        <f t="shared" si="297"/>
        <v>374074.31357049727</v>
      </c>
      <c r="FZ89" s="759">
        <f t="shared" si="298"/>
        <v>760430.11647749657</v>
      </c>
      <c r="GA89" s="759">
        <f t="shared" si="299"/>
        <v>350245.46050922433</v>
      </c>
      <c r="GB89" s="759">
        <f t="shared" si="300"/>
        <v>376508.4629359598</v>
      </c>
      <c r="GC89" s="760"/>
      <c r="GD89" s="759">
        <f t="shared" si="285"/>
        <v>0.98933716075059153</v>
      </c>
      <c r="GE89" s="759">
        <f t="shared" si="285"/>
        <v>0.99691945255850833</v>
      </c>
      <c r="GF89" s="759">
        <f t="shared" si="286"/>
        <v>0.94034230492489257</v>
      </c>
      <c r="GG89" s="759">
        <f t="shared" si="287"/>
        <v>0.98264738325408729</v>
      </c>
      <c r="GH89" s="716"/>
      <c r="GI89" s="756">
        <f t="shared" si="288"/>
        <v>0</v>
      </c>
      <c r="GJ89" s="756">
        <f t="shared" si="289"/>
        <v>0</v>
      </c>
      <c r="GK89" s="756">
        <f t="shared" si="290"/>
        <v>0</v>
      </c>
      <c r="GL89" s="756">
        <f t="shared" si="291"/>
        <v>0</v>
      </c>
      <c r="GM89" s="716"/>
    </row>
    <row r="90" spans="1:195" s="134" customFormat="1">
      <c r="A90" s="705">
        <v>41650</v>
      </c>
      <c r="B90" s="706">
        <v>0</v>
      </c>
      <c r="C90" s="497">
        <f t="shared" si="246"/>
        <v>10</v>
      </c>
      <c r="D90" s="276">
        <v>0.51407999999999998</v>
      </c>
      <c r="E90" s="274">
        <v>0.80287084501868222</v>
      </c>
      <c r="F90" s="274">
        <v>1.0391201934159273</v>
      </c>
      <c r="G90" s="276">
        <v>0.63648000000000005</v>
      </c>
      <c r="H90" s="734"/>
      <c r="I90" s="705">
        <v>41650</v>
      </c>
      <c r="J90" s="270">
        <f t="shared" si="334"/>
        <v>0.51407999999999998</v>
      </c>
      <c r="K90" s="270">
        <f t="shared" si="335"/>
        <v>0.80287084501868222</v>
      </c>
      <c r="L90" s="270">
        <f t="shared" si="336"/>
        <v>1.0391201934159273</v>
      </c>
      <c r="M90" s="270">
        <f t="shared" si="337"/>
        <v>0.63648000000000005</v>
      </c>
      <c r="N90" s="734"/>
      <c r="O90" s="705">
        <v>41650</v>
      </c>
      <c r="P90" s="737">
        <f t="shared" si="338"/>
        <v>0.51407999999999998</v>
      </c>
      <c r="Q90" s="270">
        <f t="shared" si="339"/>
        <v>0.80287084501868222</v>
      </c>
      <c r="R90" s="270">
        <f t="shared" si="340"/>
        <v>1.0391201934159273</v>
      </c>
      <c r="S90" s="270">
        <f t="shared" si="341"/>
        <v>0.63648000000000005</v>
      </c>
      <c r="T90" s="705">
        <v>41650</v>
      </c>
      <c r="U90" s="291">
        <v>0.51407999999999998</v>
      </c>
      <c r="V90" s="291">
        <v>0.80287084501868222</v>
      </c>
      <c r="W90" s="291">
        <v>1.0391201934159273</v>
      </c>
      <c r="X90" s="291">
        <v>0.63648000000000005</v>
      </c>
      <c r="Y90" s="734"/>
      <c r="Z90" s="705">
        <v>41650</v>
      </c>
      <c r="AA90" s="707">
        <v>41650</v>
      </c>
      <c r="AB90" s="497">
        <f t="shared" si="247"/>
        <v>10</v>
      </c>
      <c r="AC90" s="266">
        <v>0.681747092355661</v>
      </c>
      <c r="AD90" s="291">
        <v>0.51407999999999998</v>
      </c>
      <c r="AE90" s="291">
        <f t="shared" si="301"/>
        <v>150.17141700212429</v>
      </c>
      <c r="AF90" s="161">
        <v>1.7729470923556627</v>
      </c>
      <c r="AG90" s="291">
        <v>0.80287084501868222</v>
      </c>
      <c r="AH90" s="291">
        <f t="shared" si="302"/>
        <v>642.07520294289009</v>
      </c>
      <c r="AI90" s="161">
        <v>2.0289470923556623</v>
      </c>
      <c r="AJ90" s="291">
        <v>1.0391201934159273</v>
      </c>
      <c r="AK90" s="291">
        <f t="shared" si="303"/>
        <v>441.19772463887216</v>
      </c>
      <c r="AL90" s="161">
        <v>1.5800470923556609</v>
      </c>
      <c r="AM90" s="291">
        <v>0.63648000000000005</v>
      </c>
      <c r="AN90" s="291">
        <f t="shared" si="304"/>
        <v>120.90436122688702</v>
      </c>
      <c r="AO90" s="705">
        <v>41650</v>
      </c>
      <c r="AP90" s="463">
        <v>2.9211682423382408</v>
      </c>
      <c r="AQ90" s="463">
        <v>7.9972414856831602</v>
      </c>
      <c r="AR90" s="463">
        <v>4.2458776899379771</v>
      </c>
      <c r="AS90" s="463">
        <v>1.8995783249573752</v>
      </c>
      <c r="AT90" s="463">
        <f t="shared" si="305"/>
        <v>0.10432743722636574</v>
      </c>
      <c r="AU90" s="463">
        <f t="shared" si="306"/>
        <v>0.13554646585903662</v>
      </c>
      <c r="AV90" s="463">
        <f t="shared" si="307"/>
        <v>0.21229388449689884</v>
      </c>
      <c r="AW90" s="463">
        <f t="shared" si="308"/>
        <v>9.9977806576703965E-2</v>
      </c>
      <c r="AY90" s="266">
        <v>0.681747092355661</v>
      </c>
      <c r="AZ90" s="161">
        <v>1.7729470923556627</v>
      </c>
      <c r="BA90" s="161">
        <v>2.0289470923556623</v>
      </c>
      <c r="BB90" s="161">
        <v>1.5800470923556609</v>
      </c>
      <c r="BE90" s="134">
        <v>0</v>
      </c>
      <c r="BF90" s="134">
        <v>-9.2891549813177708E-5</v>
      </c>
      <c r="BG90" s="134">
        <v>-4.5847980658407263E-3</v>
      </c>
      <c r="BH90" s="134">
        <v>0</v>
      </c>
      <c r="BJ90" s="508">
        <v>18.720012630555949</v>
      </c>
      <c r="BK90" s="508">
        <v>600.10844339978678</v>
      </c>
      <c r="BL90" s="508">
        <v>13.238658784402546</v>
      </c>
      <c r="BM90" s="508">
        <v>8.7960126305557971</v>
      </c>
      <c r="BO90" s="705">
        <v>41650</v>
      </c>
      <c r="BP90" s="324">
        <v>0</v>
      </c>
      <c r="BQ90" s="1">
        <v>5035950</v>
      </c>
      <c r="BR90" s="1">
        <v>11127132</v>
      </c>
      <c r="BS90" s="1">
        <v>6310099.7999999998</v>
      </c>
      <c r="BT90" s="1">
        <v>5970600</v>
      </c>
      <c r="BU90" s="708">
        <v>153402.67665978591</v>
      </c>
      <c r="BV90" s="708">
        <v>509866.00211189309</v>
      </c>
      <c r="BW90" s="708">
        <v>144414.10030668529</v>
      </c>
      <c r="BX90" s="708">
        <v>214415.58927759767</v>
      </c>
      <c r="BY90" s="709">
        <f t="shared" si="252"/>
        <v>0</v>
      </c>
      <c r="BZ90" s="709">
        <f t="shared" si="253"/>
        <v>0</v>
      </c>
      <c r="CA90" s="709">
        <f t="shared" si="254"/>
        <v>0</v>
      </c>
      <c r="CB90" s="709">
        <f t="shared" si="255"/>
        <v>0</v>
      </c>
      <c r="CC90" s="475">
        <f t="shared" si="256"/>
        <v>0</v>
      </c>
      <c r="CD90" s="475">
        <f t="shared" si="257"/>
        <v>0</v>
      </c>
      <c r="CE90" s="475">
        <f t="shared" si="258"/>
        <v>0</v>
      </c>
      <c r="CF90" s="475">
        <f t="shared" si="259"/>
        <v>0</v>
      </c>
      <c r="CG90" s="302">
        <f t="shared" si="309"/>
        <v>0</v>
      </c>
      <c r="CH90" s="302">
        <f t="shared" si="310"/>
        <v>0</v>
      </c>
      <c r="CI90" s="302">
        <f t="shared" si="311"/>
        <v>0</v>
      </c>
      <c r="CJ90" s="302">
        <f t="shared" si="312"/>
        <v>0</v>
      </c>
      <c r="CK90" s="302">
        <f t="shared" si="313"/>
        <v>0</v>
      </c>
      <c r="CL90" s="302">
        <f t="shared" si="313"/>
        <v>0</v>
      </c>
      <c r="CM90" s="302">
        <f t="shared" si="313"/>
        <v>0</v>
      </c>
      <c r="CN90" s="302">
        <f t="shared" si="313"/>
        <v>0</v>
      </c>
      <c r="CO90" s="710">
        <f t="shared" si="342"/>
        <v>0</v>
      </c>
      <c r="CP90" s="710">
        <f t="shared" si="343"/>
        <v>0</v>
      </c>
      <c r="CQ90" s="710">
        <f t="shared" si="344"/>
        <v>0</v>
      </c>
      <c r="CR90" s="710">
        <f t="shared" si="345"/>
        <v>0</v>
      </c>
      <c r="CS90" s="705">
        <v>41650</v>
      </c>
      <c r="CT90" s="711">
        <v>0.34499999999999997</v>
      </c>
      <c r="CU90" s="735">
        <v>0.54600000000000004</v>
      </c>
      <c r="CV90" s="713">
        <v>0.76300000000000001</v>
      </c>
      <c r="CW90" s="714">
        <v>0.63400000000000001</v>
      </c>
      <c r="CY90" s="736">
        <v>2.386081263055595E-2</v>
      </c>
      <c r="CZ90" s="727">
        <v>0.6082300433997867</v>
      </c>
      <c r="DA90" s="727">
        <v>2.8214658784402546E-2</v>
      </c>
      <c r="DB90" s="736">
        <v>1.5160812630555798E-2</v>
      </c>
      <c r="DC90" s="463">
        <f t="shared" si="248"/>
        <v>-2.4015948657044817</v>
      </c>
      <c r="DD90" s="463">
        <f t="shared" si="249"/>
        <v>-0.79470923556628215</v>
      </c>
      <c r="DE90" s="463">
        <f t="shared" si="250"/>
        <v>-2.8815948657046064</v>
      </c>
      <c r="DF90" s="463">
        <f t="shared" si="251"/>
        <v>-1.5815948657044387</v>
      </c>
      <c r="DG90" s="483">
        <f t="shared" si="260"/>
        <v>2.4015948657044817</v>
      </c>
      <c r="DH90" s="483">
        <f t="shared" si="261"/>
        <v>0.79470923556628215</v>
      </c>
      <c r="DI90" s="483">
        <f t="shared" si="262"/>
        <v>2.8815948657046064</v>
      </c>
      <c r="DJ90" s="483">
        <f t="shared" si="263"/>
        <v>1.5815948657044387</v>
      </c>
      <c r="DK90" s="483">
        <f t="shared" si="327"/>
        <v>7.858373688922482E-2</v>
      </c>
      <c r="DL90" s="483">
        <f t="shared" si="328"/>
        <v>8.6317290882629294E-2</v>
      </c>
      <c r="DM90" s="483">
        <f t="shared" si="329"/>
        <v>9.6389229782661623E-2</v>
      </c>
      <c r="DN90" s="483">
        <f t="shared" si="330"/>
        <v>6.3355130530212023E-2</v>
      </c>
      <c r="DO90" s="483">
        <f t="shared" si="315"/>
        <v>4.7181574760258549</v>
      </c>
      <c r="DP90" s="483">
        <f t="shared" si="316"/>
        <v>1.7149287063371688</v>
      </c>
      <c r="DQ90" s="483">
        <f t="shared" si="317"/>
        <v>6.9438677412734817</v>
      </c>
      <c r="DR90" s="483">
        <f t="shared" si="318"/>
        <v>2.5050537290654464</v>
      </c>
      <c r="DS90" s="324">
        <v>0.51407999999999998</v>
      </c>
      <c r="DT90" s="324">
        <v>0.81215999999999999</v>
      </c>
      <c r="DU90" s="324">
        <v>1.4976</v>
      </c>
      <c r="DV90" s="324">
        <v>0.63648000000000005</v>
      </c>
      <c r="DW90" s="716"/>
      <c r="DX90" s="705">
        <v>41650</v>
      </c>
      <c r="DY90" s="716"/>
      <c r="DZ90" s="269">
        <f t="shared" si="354"/>
        <v>1.8875148657044818</v>
      </c>
      <c r="EA90" s="269"/>
      <c r="EB90" s="269">
        <f t="shared" si="355"/>
        <v>1.3839948657046064</v>
      </c>
      <c r="EC90" s="716">
        <f t="shared" si="356"/>
        <v>0.9451148657044387</v>
      </c>
      <c r="ED90" s="716"/>
      <c r="EE90" s="269">
        <f t="shared" si="357"/>
        <v>1.8875148657044818</v>
      </c>
      <c r="EF90" s="267">
        <f>AVERAGE(EF83:EF89)</f>
        <v>1.3065275856021947</v>
      </c>
      <c r="EG90" s="269">
        <f t="shared" si="358"/>
        <v>1.3839948657046064</v>
      </c>
      <c r="EH90" s="269">
        <f t="shared" si="359"/>
        <v>0.9451148657044387</v>
      </c>
      <c r="EI90" s="716"/>
      <c r="EJ90" s="717">
        <f t="shared" si="265"/>
        <v>551.37484826372622</v>
      </c>
      <c r="EK90" s="717">
        <f t="shared" si="266"/>
        <v>1044.8616609767328</v>
      </c>
      <c r="EL90" s="717">
        <f t="shared" si="267"/>
        <v>587.62729232838956</v>
      </c>
      <c r="EM90" s="717">
        <f t="shared" si="268"/>
        <v>179.53197134871525</v>
      </c>
      <c r="EN90" s="716"/>
      <c r="EO90" s="269">
        <v>0</v>
      </c>
      <c r="EP90" s="269">
        <f>-BF90*100</f>
        <v>9.289154981317771E-3</v>
      </c>
      <c r="EQ90" s="269">
        <f t="shared" si="353"/>
        <v>0.45847980658407261</v>
      </c>
      <c r="ER90" s="269"/>
      <c r="ES90" s="716"/>
      <c r="ET90" s="269"/>
      <c r="EU90" s="718">
        <f t="shared" si="351"/>
        <v>7.4287615583534858</v>
      </c>
      <c r="EV90" s="718">
        <f t="shared" si="352"/>
        <v>194.66491820623929</v>
      </c>
      <c r="EW90" s="269"/>
      <c r="EX90" s="716"/>
      <c r="EY90" s="705">
        <v>41650</v>
      </c>
      <c r="EZ90" s="716"/>
      <c r="FA90" s="766">
        <f t="shared" si="273"/>
        <v>0.51407999999999987</v>
      </c>
      <c r="FB90" s="766">
        <f t="shared" si="274"/>
        <v>-0.52110750501723047</v>
      </c>
      <c r="FC90" s="766">
        <f t="shared" si="275"/>
        <v>1.0391201934159273</v>
      </c>
      <c r="FD90" s="766">
        <f t="shared" si="276"/>
        <v>0.63648000000000005</v>
      </c>
      <c r="FE90" s="760"/>
      <c r="FF90" s="705">
        <v>41650</v>
      </c>
      <c r="FG90" s="760"/>
      <c r="FH90" s="858">
        <v>150.17141700212423</v>
      </c>
      <c r="FI90" s="858">
        <f t="shared" si="294"/>
        <v>-416.74225576246408</v>
      </c>
      <c r="FJ90" s="766">
        <f t="shared" si="295"/>
        <v>441.19772463887216</v>
      </c>
      <c r="FK90" s="766">
        <f t="shared" si="296"/>
        <v>120.90436122688702</v>
      </c>
      <c r="FL90" s="760"/>
      <c r="FM90" s="859">
        <f t="shared" si="277"/>
        <v>150.17141700212423</v>
      </c>
      <c r="FN90" s="859">
        <f t="shared" si="278"/>
        <v>-416.74225576246408</v>
      </c>
      <c r="FO90" s="759">
        <f t="shared" si="279"/>
        <v>441.19772463887216</v>
      </c>
      <c r="FP90" s="859">
        <f t="shared" si="280"/>
        <v>120.90436122688702</v>
      </c>
      <c r="FQ90" s="760"/>
      <c r="FR90" s="759">
        <f t="shared" si="281"/>
        <v>701.54626526585048</v>
      </c>
      <c r="FS90" s="759">
        <f t="shared" si="282"/>
        <v>1052.2904225350862</v>
      </c>
      <c r="FT90" s="759">
        <f t="shared" si="283"/>
        <v>1223.489935173501</v>
      </c>
      <c r="FU90" s="759">
        <f t="shared" si="284"/>
        <v>300.43633257560225</v>
      </c>
      <c r="FV90" s="761"/>
      <c r="FW90" s="754">
        <v>41650</v>
      </c>
      <c r="FX90" s="761"/>
      <c r="FY90" s="759">
        <f t="shared" si="297"/>
        <v>374775.85983576311</v>
      </c>
      <c r="FZ90" s="759">
        <f t="shared" si="298"/>
        <v>761482.40690003161</v>
      </c>
      <c r="GA90" s="759">
        <f t="shared" si="299"/>
        <v>351468.95044439781</v>
      </c>
      <c r="GB90" s="759">
        <f t="shared" si="300"/>
        <v>376808.89926853543</v>
      </c>
      <c r="GC90" s="760"/>
      <c r="GD90" s="759">
        <f t="shared" si="285"/>
        <v>0.99119258296225987</v>
      </c>
      <c r="GE90" s="759">
        <f t="shared" si="285"/>
        <v>0.99829899917197706</v>
      </c>
      <c r="GF90" s="759">
        <f t="shared" si="286"/>
        <v>0.94362714220449839</v>
      </c>
      <c r="GG90" s="759">
        <f t="shared" si="287"/>
        <v>0.98343149039934985</v>
      </c>
      <c r="GH90" s="716"/>
      <c r="GI90" s="756">
        <f t="shared" si="288"/>
        <v>0</v>
      </c>
      <c r="GJ90" s="756">
        <f t="shared" si="289"/>
        <v>0</v>
      </c>
      <c r="GK90" s="756">
        <f t="shared" si="290"/>
        <v>0</v>
      </c>
      <c r="GL90" s="756">
        <f t="shared" si="291"/>
        <v>0</v>
      </c>
      <c r="GM90" s="716"/>
    </row>
    <row r="91" spans="1:195" s="134" customFormat="1">
      <c r="A91" s="705">
        <v>41651</v>
      </c>
      <c r="B91" s="706">
        <v>0</v>
      </c>
      <c r="C91" s="497">
        <f t="shared" si="246"/>
        <v>11</v>
      </c>
      <c r="D91" s="276">
        <v>0.3024</v>
      </c>
      <c r="E91" s="276">
        <v>1.9151999999999998</v>
      </c>
      <c r="F91" s="274">
        <v>1.0384080211698601</v>
      </c>
      <c r="G91" s="276">
        <v>0.58608000000000005</v>
      </c>
      <c r="H91" s="734"/>
      <c r="I91" s="705">
        <v>41651</v>
      </c>
      <c r="J91" s="270">
        <f t="shared" si="334"/>
        <v>0.3024</v>
      </c>
      <c r="K91" s="270">
        <f t="shared" si="335"/>
        <v>1.9151999999999998</v>
      </c>
      <c r="L91" s="270">
        <f t="shared" si="336"/>
        <v>1.0384080211698601</v>
      </c>
      <c r="M91" s="270">
        <f t="shared" si="337"/>
        <v>0.58608000000000005</v>
      </c>
      <c r="N91" s="734"/>
      <c r="O91" s="705">
        <v>41651</v>
      </c>
      <c r="P91" s="737">
        <f t="shared" si="338"/>
        <v>0.3024</v>
      </c>
      <c r="Q91" s="270">
        <f t="shared" si="339"/>
        <v>1.9151999999999998</v>
      </c>
      <c r="R91" s="270">
        <f t="shared" si="340"/>
        <v>1.0384080211698601</v>
      </c>
      <c r="S91" s="270">
        <f t="shared" si="341"/>
        <v>0.58608000000000005</v>
      </c>
      <c r="T91" s="705">
        <v>41651</v>
      </c>
      <c r="U91" s="291">
        <v>0.3024</v>
      </c>
      <c r="V91" s="291">
        <v>1.9151999999999998</v>
      </c>
      <c r="W91" s="291">
        <v>1.0384080211698601</v>
      </c>
      <c r="X91" s="291">
        <v>0.58608000000000005</v>
      </c>
      <c r="Y91" s="734"/>
      <c r="Z91" s="705">
        <v>41651</v>
      </c>
      <c r="AA91" s="707">
        <v>41651</v>
      </c>
      <c r="AB91" s="497">
        <f t="shared" si="247"/>
        <v>11</v>
      </c>
      <c r="AC91" s="266">
        <v>0.65773114369861618</v>
      </c>
      <c r="AD91" s="291">
        <v>0.3024</v>
      </c>
      <c r="AE91" s="291">
        <f t="shared" si="301"/>
        <v>85.224829668005128</v>
      </c>
      <c r="AF91" s="161">
        <v>1.1646311436986172</v>
      </c>
      <c r="AG91" s="291">
        <v>1.9151999999999998</v>
      </c>
      <c r="AH91" s="291">
        <f t="shared" si="302"/>
        <v>1465.1325506970024</v>
      </c>
      <c r="AI91" s="161">
        <v>2.0001311436986162</v>
      </c>
      <c r="AJ91" s="291">
        <v>1.0384080211698601</v>
      </c>
      <c r="AK91" s="291">
        <f t="shared" si="303"/>
        <v>430.72400230509828</v>
      </c>
      <c r="AL91" s="161">
        <v>1.5642311436986165</v>
      </c>
      <c r="AM91" s="291">
        <v>0.58608000000000005</v>
      </c>
      <c r="AN91" s="291">
        <f t="shared" si="304"/>
        <v>107.52860146010153</v>
      </c>
      <c r="AO91" s="705">
        <v>41651</v>
      </c>
      <c r="AP91" s="463">
        <v>2.8182814043652487</v>
      </c>
      <c r="AQ91" s="463">
        <v>7.6500237609492618</v>
      </c>
      <c r="AR91" s="463">
        <v>4.1479263788799416</v>
      </c>
      <c r="AS91" s="463">
        <v>1.8347085971215795</v>
      </c>
      <c r="AT91" s="463">
        <f t="shared" si="305"/>
        <v>0.10065290729875888</v>
      </c>
      <c r="AU91" s="463">
        <f t="shared" si="306"/>
        <v>0.12966141967710612</v>
      </c>
      <c r="AV91" s="463">
        <f t="shared" si="307"/>
        <v>0.20739631894399707</v>
      </c>
      <c r="AW91" s="463">
        <f t="shared" si="308"/>
        <v>9.6563610374819975E-2</v>
      </c>
      <c r="AY91" s="266">
        <v>0.65773114369861618</v>
      </c>
      <c r="AZ91" s="738">
        <v>1.7649999999999999</v>
      </c>
      <c r="BA91" s="161">
        <v>2.0001311436986162</v>
      </c>
      <c r="BB91" s="161">
        <v>1.5642311436986165</v>
      </c>
      <c r="BE91" s="134">
        <v>0</v>
      </c>
      <c r="BG91" s="134">
        <v>-4.3039197883014014E-3</v>
      </c>
      <c r="BH91" s="134">
        <v>0</v>
      </c>
      <c r="BJ91" s="508">
        <v>41.943484847758029</v>
      </c>
      <c r="BK91" s="508">
        <v>26.853946386219466</v>
      </c>
      <c r="BL91" s="508">
        <v>13.610254078527262</v>
      </c>
      <c r="BM91" s="508">
        <v>11.437454078527143</v>
      </c>
      <c r="BO91" s="705">
        <v>41651</v>
      </c>
      <c r="BP91" s="324">
        <v>0</v>
      </c>
      <c r="BQ91" s="1">
        <v>5035950</v>
      </c>
      <c r="BR91" s="1">
        <v>11127132</v>
      </c>
      <c r="BS91" s="1">
        <v>6310099.7999999998</v>
      </c>
      <c r="BT91" s="1">
        <v>5970600</v>
      </c>
      <c r="BU91" s="708">
        <v>153402.67665978591</v>
      </c>
      <c r="BV91" s="708">
        <v>509866.00211189309</v>
      </c>
      <c r="BW91" s="708">
        <v>144414.10030668529</v>
      </c>
      <c r="BX91" s="708">
        <v>214415.58927759767</v>
      </c>
      <c r="BY91" s="709">
        <f t="shared" si="252"/>
        <v>0</v>
      </c>
      <c r="BZ91" s="709">
        <f t="shared" si="253"/>
        <v>0</v>
      </c>
      <c r="CA91" s="709">
        <f t="shared" si="254"/>
        <v>0</v>
      </c>
      <c r="CB91" s="709">
        <f t="shared" si="255"/>
        <v>0</v>
      </c>
      <c r="CC91" s="475">
        <f t="shared" si="256"/>
        <v>0</v>
      </c>
      <c r="CD91" s="475">
        <f t="shared" si="257"/>
        <v>0</v>
      </c>
      <c r="CE91" s="475">
        <f t="shared" si="258"/>
        <v>0</v>
      </c>
      <c r="CF91" s="475">
        <f t="shared" si="259"/>
        <v>0</v>
      </c>
      <c r="CG91" s="302">
        <f t="shared" si="309"/>
        <v>0</v>
      </c>
      <c r="CH91" s="302">
        <f t="shared" si="310"/>
        <v>0</v>
      </c>
      <c r="CI91" s="302">
        <f t="shared" si="311"/>
        <v>0</v>
      </c>
      <c r="CJ91" s="302">
        <f t="shared" si="312"/>
        <v>0</v>
      </c>
      <c r="CK91" s="302">
        <f t="shared" si="313"/>
        <v>0</v>
      </c>
      <c r="CL91" s="302">
        <f t="shared" si="313"/>
        <v>0</v>
      </c>
      <c r="CM91" s="302">
        <f t="shared" si="313"/>
        <v>0</v>
      </c>
      <c r="CN91" s="302">
        <f t="shared" si="313"/>
        <v>0</v>
      </c>
      <c r="CO91" s="710">
        <f t="shared" si="342"/>
        <v>0</v>
      </c>
      <c r="CP91" s="710">
        <f t="shared" si="343"/>
        <v>0</v>
      </c>
      <c r="CQ91" s="710">
        <f t="shared" si="344"/>
        <v>0</v>
      </c>
      <c r="CR91" s="710">
        <f t="shared" si="345"/>
        <v>0</v>
      </c>
      <c r="CS91" s="705">
        <v>41651</v>
      </c>
      <c r="CT91" s="711">
        <v>0.2</v>
      </c>
      <c r="CU91" s="739">
        <v>0.93200000000000005</v>
      </c>
      <c r="CV91" s="740">
        <v>0.83199999999999996</v>
      </c>
      <c r="CW91" s="714">
        <v>0.61</v>
      </c>
      <c r="CY91" s="736">
        <v>4.4967484847758032E-2</v>
      </c>
      <c r="CZ91" s="727">
        <v>4.6005946386219465E-2</v>
      </c>
      <c r="DA91" s="727">
        <v>2.8298254078527263E-2</v>
      </c>
      <c r="DB91" s="736">
        <v>1.7298254078527142E-2</v>
      </c>
      <c r="DC91" s="463">
        <f t="shared" si="248"/>
        <v>-4.5402249440702036</v>
      </c>
      <c r="DD91" s="463">
        <f t="shared" si="249"/>
        <v>-0.69999999999998952</v>
      </c>
      <c r="DE91" s="463">
        <f t="shared" si="250"/>
        <v>-2.8302249440703031</v>
      </c>
      <c r="DF91" s="463">
        <f t="shared" si="251"/>
        <v>-1.6802249440702965</v>
      </c>
      <c r="DG91" s="483">
        <f t="shared" si="260"/>
        <v>4.5402249440702036</v>
      </c>
      <c r="DH91" s="483">
        <f t="shared" si="261"/>
        <v>0.69999999999998952</v>
      </c>
      <c r="DI91" s="483">
        <f t="shared" si="262"/>
        <v>2.8302249440703031</v>
      </c>
      <c r="DJ91" s="483">
        <f t="shared" si="263"/>
        <v>1.6802249440702965</v>
      </c>
      <c r="DK91" s="483">
        <f t="shared" si="327"/>
        <v>0.10288683797299214</v>
      </c>
      <c r="DL91" s="483">
        <f t="shared" si="328"/>
        <v>0.34721772473389834</v>
      </c>
      <c r="DM91" s="483">
        <f t="shared" si="329"/>
        <v>9.7951311058035451E-2</v>
      </c>
      <c r="DN91" s="483">
        <f t="shared" si="330"/>
        <v>6.4869727835795699E-2</v>
      </c>
      <c r="DO91" s="483">
        <f t="shared" si="315"/>
        <v>11.678234704537209</v>
      </c>
      <c r="DP91" s="483">
        <f t="shared" si="316"/>
        <v>6.0763101828431294</v>
      </c>
      <c r="DQ91" s="483">
        <f t="shared" si="317"/>
        <v>6.9306060965210303</v>
      </c>
      <c r="DR91" s="483">
        <f t="shared" si="318"/>
        <v>2.7248933706188798</v>
      </c>
      <c r="DS91" s="324">
        <v>0.3024</v>
      </c>
      <c r="DT91" s="324">
        <v>1.9151999999999998</v>
      </c>
      <c r="DU91" s="324">
        <v>1.4688000000000001</v>
      </c>
      <c r="DV91" s="324">
        <v>0.58608000000000005</v>
      </c>
      <c r="DW91" s="716"/>
      <c r="DX91" s="705">
        <v>41651</v>
      </c>
      <c r="DY91" s="716"/>
      <c r="DZ91" s="269">
        <f t="shared" si="354"/>
        <v>4.2378249440702032</v>
      </c>
      <c r="EA91" s="269"/>
      <c r="EB91" s="269">
        <f t="shared" si="355"/>
        <v>1.361424944070303</v>
      </c>
      <c r="EC91" s="716">
        <f t="shared" si="356"/>
        <v>1.0941449440702966</v>
      </c>
      <c r="ED91" s="716"/>
      <c r="EE91" s="269">
        <f t="shared" si="357"/>
        <v>4.2378249440702032</v>
      </c>
      <c r="EF91" s="267">
        <v>1.3069999999999999</v>
      </c>
      <c r="EG91" s="269">
        <f t="shared" si="358"/>
        <v>1.361424944070303</v>
      </c>
      <c r="EH91" s="269">
        <f t="shared" si="359"/>
        <v>1.0941449440702966</v>
      </c>
      <c r="EI91" s="716"/>
      <c r="EJ91" s="717">
        <f t="shared" si="265"/>
        <v>1194.3383234828252</v>
      </c>
      <c r="EK91" s="717">
        <f t="shared" si="266"/>
        <v>999.85810555606849</v>
      </c>
      <c r="EL91" s="717">
        <f t="shared" si="267"/>
        <v>564.70904383743584</v>
      </c>
      <c r="EM91" s="717">
        <f t="shared" si="268"/>
        <v>200.74371353828832</v>
      </c>
      <c r="EN91" s="716"/>
      <c r="EO91" s="269">
        <v>0</v>
      </c>
      <c r="EP91" s="269"/>
      <c r="EQ91" s="269">
        <f t="shared" si="353"/>
        <v>0.43039197883014013</v>
      </c>
      <c r="ER91" s="269"/>
      <c r="ES91" s="716"/>
      <c r="ET91" s="269"/>
      <c r="EU91" s="269"/>
      <c r="EV91" s="718">
        <f t="shared" si="352"/>
        <v>178.52342422478756</v>
      </c>
      <c r="EW91" s="269"/>
      <c r="EX91" s="716"/>
      <c r="EY91" s="705">
        <v>41651</v>
      </c>
      <c r="EZ91" s="716"/>
      <c r="FA91" s="766">
        <f t="shared" si="273"/>
        <v>0.30240000000000045</v>
      </c>
      <c r="FB91" s="766">
        <f t="shared" si="274"/>
        <v>-0.60700000000001042</v>
      </c>
      <c r="FC91" s="766">
        <f t="shared" si="275"/>
        <v>1.0384080211698601</v>
      </c>
      <c r="FD91" s="766">
        <f t="shared" si="276"/>
        <v>0.58607999999999993</v>
      </c>
      <c r="FE91" s="760"/>
      <c r="FF91" s="705">
        <v>41651</v>
      </c>
      <c r="FG91" s="760"/>
      <c r="FH91" s="858">
        <v>85.224829668005242</v>
      </c>
      <c r="FI91" s="858">
        <f t="shared" si="294"/>
        <v>-464.35644228962815</v>
      </c>
      <c r="FJ91" s="766">
        <f t="shared" si="295"/>
        <v>430.72400230509828</v>
      </c>
      <c r="FK91" s="766">
        <f t="shared" si="296"/>
        <v>107.52860146010151</v>
      </c>
      <c r="FL91" s="760"/>
      <c r="FM91" s="859">
        <f t="shared" si="277"/>
        <v>85.224829668005242</v>
      </c>
      <c r="FN91" s="859">
        <f t="shared" si="278"/>
        <v>-464.35644228962815</v>
      </c>
      <c r="FO91" s="759">
        <f t="shared" si="279"/>
        <v>430.72400230509828</v>
      </c>
      <c r="FP91" s="859">
        <f t="shared" si="280"/>
        <v>107.52860146010151</v>
      </c>
      <c r="FQ91" s="760"/>
      <c r="FR91" s="759">
        <f t="shared" si="281"/>
        <v>1279.5631531508304</v>
      </c>
      <c r="FS91" s="759">
        <f t="shared" si="282"/>
        <v>999.85810555606849</v>
      </c>
      <c r="FT91" s="759">
        <f t="shared" si="283"/>
        <v>1173.9564703673218</v>
      </c>
      <c r="FU91" s="759">
        <f t="shared" si="284"/>
        <v>308.27231499838985</v>
      </c>
      <c r="FV91" s="761"/>
      <c r="FW91" s="754">
        <v>41651</v>
      </c>
      <c r="FX91" s="761"/>
      <c r="FY91" s="759">
        <f t="shared" si="297"/>
        <v>376055.42298891395</v>
      </c>
      <c r="FZ91" s="759">
        <f t="shared" si="298"/>
        <v>762482.26500558772</v>
      </c>
      <c r="GA91" s="759">
        <f t="shared" si="299"/>
        <v>352642.90691476513</v>
      </c>
      <c r="GB91" s="759">
        <f t="shared" si="300"/>
        <v>377117.17158353381</v>
      </c>
      <c r="GC91" s="760"/>
      <c r="GD91" s="759">
        <f t="shared" si="285"/>
        <v>0.99457672170425537</v>
      </c>
      <c r="GE91" s="759">
        <f t="shared" si="285"/>
        <v>0.9996098073233487</v>
      </c>
      <c r="GF91" s="759">
        <f t="shared" si="286"/>
        <v>0.94677899157214396</v>
      </c>
      <c r="GG91" s="759">
        <f t="shared" si="287"/>
        <v>0.98423604863238578</v>
      </c>
      <c r="GH91" s="716"/>
      <c r="GI91" s="756">
        <f t="shared" ref="GI91:GI92" si="361">(BQ91+BU91)*$BP91/1000</f>
        <v>0</v>
      </c>
      <c r="GJ91" s="756">
        <f t="shared" ref="GJ91:GJ92" si="362">(BZ91+CH91)*$BP91</f>
        <v>0</v>
      </c>
      <c r="GK91" s="756">
        <f t="shared" ref="GK91:GK92" si="363">(BS91+BW91)*$BP91/1000</f>
        <v>0</v>
      </c>
      <c r="GL91" s="756">
        <f t="shared" ref="GL91:GL92" si="364">(BT91+BX91)*$BP91/1000</f>
        <v>0</v>
      </c>
      <c r="GM91" s="716"/>
    </row>
    <row r="92" spans="1:195" s="134" customFormat="1">
      <c r="A92" s="705">
        <v>41652</v>
      </c>
      <c r="B92" s="706">
        <v>0</v>
      </c>
      <c r="C92" s="497">
        <f t="shared" si="246"/>
        <v>12</v>
      </c>
      <c r="D92" s="276">
        <v>3.8736000000000002</v>
      </c>
      <c r="E92" s="274">
        <v>3.1680000000000001</v>
      </c>
      <c r="F92" s="276">
        <v>0.72196983464759812</v>
      </c>
      <c r="G92" s="134">
        <v>0.78335999999999995</v>
      </c>
      <c r="I92" s="705">
        <v>41652</v>
      </c>
      <c r="J92" s="270">
        <f t="shared" si="334"/>
        <v>3.8736000000000002</v>
      </c>
      <c r="K92" s="270">
        <f t="shared" si="335"/>
        <v>3.1680000000000001</v>
      </c>
      <c r="L92" s="270">
        <f t="shared" si="336"/>
        <v>0.72196983464759812</v>
      </c>
      <c r="M92" s="270">
        <f t="shared" si="337"/>
        <v>0.78335999999999995</v>
      </c>
      <c r="O92" s="705">
        <v>41652</v>
      </c>
      <c r="P92" s="270">
        <f t="shared" si="338"/>
        <v>3.8736000000000002</v>
      </c>
      <c r="Q92" s="270">
        <f t="shared" si="339"/>
        <v>3.1680000000000001</v>
      </c>
      <c r="R92" s="270">
        <f t="shared" si="340"/>
        <v>0.72196983464759812</v>
      </c>
      <c r="S92" s="270">
        <f t="shared" si="341"/>
        <v>0.78335999999999995</v>
      </c>
      <c r="T92" s="705">
        <v>41652</v>
      </c>
      <c r="U92" s="291">
        <v>3.8736000000000002</v>
      </c>
      <c r="V92" s="291">
        <v>3.1680000000000001</v>
      </c>
      <c r="W92" s="291">
        <v>0.72196983464759812</v>
      </c>
      <c r="X92" s="291">
        <v>0.78335999999999995</v>
      </c>
      <c r="Z92" s="705">
        <v>41652</v>
      </c>
      <c r="AA92" s="707">
        <v>41652</v>
      </c>
      <c r="AB92" s="497">
        <f t="shared" si="247"/>
        <v>12</v>
      </c>
      <c r="AC92" s="266">
        <v>0.61232889425791415</v>
      </c>
      <c r="AD92" s="291">
        <v>3.8736000000000002</v>
      </c>
      <c r="AE92" s="291">
        <f t="shared" si="301"/>
        <v>1049.4884242312328</v>
      </c>
      <c r="AF92" s="161">
        <v>1.1184288942579135</v>
      </c>
      <c r="AG92" s="291">
        <v>3.1680000000000001</v>
      </c>
      <c r="AH92" s="291">
        <f t="shared" si="302"/>
        <v>721.41960048969088</v>
      </c>
      <c r="AI92" s="161">
        <v>1.9718288942579132</v>
      </c>
      <c r="AJ92" s="291">
        <v>0.72196983464759812</v>
      </c>
      <c r="AK92" s="291">
        <f t="shared" si="303"/>
        <v>291.89025990821563</v>
      </c>
      <c r="AL92" s="161">
        <v>1.5474288942579135</v>
      </c>
      <c r="AM92" s="291">
        <v>0.78335999999999995</v>
      </c>
      <c r="AN92" s="291">
        <f t="shared" si="304"/>
        <v>139.15851482679972</v>
      </c>
      <c r="AO92" s="705">
        <v>41652</v>
      </c>
      <c r="AP92" s="463">
        <v>2.7093360807291225</v>
      </c>
      <c r="AQ92" s="463">
        <v>2.2772083348790746</v>
      </c>
      <c r="AR92" s="463">
        <v>4.0429703001468296</v>
      </c>
      <c r="AS92" s="463">
        <v>1.77643120438623</v>
      </c>
      <c r="AT92" s="463">
        <f t="shared" si="305"/>
        <v>9.6762002883182943E-2</v>
      </c>
      <c r="AU92" s="463">
        <f t="shared" si="306"/>
        <v>3.8596751438628382E-2</v>
      </c>
      <c r="AV92" s="463">
        <f t="shared" si="307"/>
        <v>0.20214851500734149</v>
      </c>
      <c r="AW92" s="463">
        <f t="shared" si="308"/>
        <v>9.3496379178222636E-2</v>
      </c>
      <c r="AY92" s="266">
        <v>0.61232889425791415</v>
      </c>
      <c r="AZ92" s="738">
        <v>1.758</v>
      </c>
      <c r="BA92" s="161">
        <v>1.9718288942579132</v>
      </c>
      <c r="BB92" s="161">
        <v>1.5474288942579135</v>
      </c>
      <c r="BE92" s="134">
        <v>0</v>
      </c>
      <c r="BG92" s="134">
        <v>-4.0123016535240173E-3</v>
      </c>
      <c r="BH92" s="134">
        <v>0</v>
      </c>
      <c r="BJ92" s="508">
        <v>37.969961968690946</v>
      </c>
      <c r="BK92" s="508">
        <v>-3.4586534159247311</v>
      </c>
      <c r="BL92" s="508">
        <v>15.166269660997898</v>
      </c>
      <c r="BM92" s="508">
        <v>10.87236196869112</v>
      </c>
      <c r="BO92" s="705">
        <v>41652</v>
      </c>
      <c r="BQ92" s="1">
        <v>5035950</v>
      </c>
      <c r="BR92" s="1">
        <v>11127132</v>
      </c>
      <c r="BS92" s="1">
        <v>6310099.7999999998</v>
      </c>
      <c r="BT92" s="1">
        <v>5970600</v>
      </c>
      <c r="BU92" s="324"/>
      <c r="BV92" s="324"/>
      <c r="BW92" s="324"/>
      <c r="BX92" s="324"/>
      <c r="BY92" s="324"/>
      <c r="BZ92" s="324"/>
      <c r="CA92" s="324"/>
      <c r="CB92" s="324"/>
      <c r="CC92" s="324"/>
      <c r="CD92" s="324"/>
      <c r="CE92" s="324"/>
      <c r="CF92" s="324"/>
      <c r="CG92" s="324"/>
      <c r="CH92" s="717"/>
      <c r="CI92" s="717"/>
      <c r="CJ92" s="717"/>
      <c r="CK92" s="717"/>
      <c r="CL92" s="717"/>
      <c r="CM92" s="717"/>
      <c r="CN92" s="717"/>
      <c r="CO92" s="717"/>
      <c r="CP92" s="324"/>
      <c r="CQ92" s="324"/>
      <c r="CR92" s="324"/>
      <c r="CS92" s="705">
        <v>41652</v>
      </c>
      <c r="CT92" s="711">
        <v>0.94499999999999995</v>
      </c>
      <c r="CU92" s="741">
        <v>0.97099999999999997</v>
      </c>
      <c r="CV92" s="740">
        <v>0.496</v>
      </c>
      <c r="CW92" s="714">
        <v>0.61899999999999999</v>
      </c>
      <c r="CY92" s="736">
        <v>7.670596196869095E-2</v>
      </c>
      <c r="CZ92" s="736">
        <v>2.8221346584075269E-2</v>
      </c>
      <c r="DA92" s="727">
        <v>2.6398269660997897E-2</v>
      </c>
      <c r="DB92" s="736">
        <v>1.870596196869112E-2</v>
      </c>
      <c r="DC92" s="463">
        <f t="shared" si="248"/>
        <v>-7.5685481096353868</v>
      </c>
      <c r="DD92" s="463">
        <f t="shared" si="249"/>
        <v>-0.80000000000000071</v>
      </c>
      <c r="DE92" s="463">
        <f t="shared" si="250"/>
        <v>-2.7185481096353215</v>
      </c>
      <c r="DF92" s="463">
        <f t="shared" si="251"/>
        <v>-1.8785481096353251</v>
      </c>
      <c r="DG92" s="483">
        <f t="shared" si="260"/>
        <v>7.5685481096353868</v>
      </c>
      <c r="DH92" s="483">
        <f t="shared" si="261"/>
        <v>0.80000000000000071</v>
      </c>
      <c r="DI92" s="483">
        <f t="shared" si="262"/>
        <v>2.7185481096353215</v>
      </c>
      <c r="DJ92" s="483">
        <f t="shared" si="263"/>
        <v>1.8785481096353251</v>
      </c>
      <c r="DK92" s="483">
        <f t="shared" si="327"/>
        <v>0.10894532363612619</v>
      </c>
      <c r="DL92" s="483">
        <f t="shared" si="328"/>
        <v>5.3728154260701873</v>
      </c>
      <c r="DM92" s="483">
        <f t="shared" si="329"/>
        <v>0.10495607873311208</v>
      </c>
      <c r="DN92" s="483">
        <f t="shared" si="330"/>
        <v>5.8277392735349487E-2</v>
      </c>
      <c r="DO92" s="483">
        <f t="shared" si="315"/>
        <v>20.613948081495455</v>
      </c>
      <c r="DP92" s="483">
        <f t="shared" si="316"/>
        <v>107.45630852140384</v>
      </c>
      <c r="DQ92" s="483">
        <f t="shared" si="317"/>
        <v>7.133203735865945</v>
      </c>
      <c r="DR92" s="483">
        <f t="shared" si="318"/>
        <v>2.7369221489366549</v>
      </c>
      <c r="DS92" s="324">
        <v>3.8736000000000002</v>
      </c>
      <c r="DT92" s="324">
        <v>3.1680000000000001</v>
      </c>
      <c r="DU92" s="324">
        <v>1.1232</v>
      </c>
      <c r="DV92" s="324">
        <v>0.78335999999999995</v>
      </c>
      <c r="DW92" s="716"/>
      <c r="DX92" s="742">
        <f t="shared" ref="DX92:DX97" si="365">DX91+1</f>
        <v>41652</v>
      </c>
      <c r="DY92" s="716"/>
      <c r="DZ92" s="269">
        <f t="shared" si="354"/>
        <v>3.6949481096353867</v>
      </c>
      <c r="EA92" s="269"/>
      <c r="EB92" s="269">
        <f t="shared" si="355"/>
        <v>1.5953481096353215</v>
      </c>
      <c r="EC92" s="716">
        <f t="shared" si="356"/>
        <v>1.0951881096353251</v>
      </c>
      <c r="ED92" s="716"/>
      <c r="EE92" s="269">
        <f t="shared" si="357"/>
        <v>3.6949481096353867</v>
      </c>
      <c r="EF92" s="267">
        <v>1.3069999999999999</v>
      </c>
      <c r="EG92" s="269">
        <f t="shared" si="358"/>
        <v>1.5953481096353215</v>
      </c>
      <c r="EH92" s="269">
        <f t="shared" si="359"/>
        <v>1.0951881096353251</v>
      </c>
      <c r="EI92" s="716"/>
      <c r="EJ92" s="717">
        <f t="shared" si="265"/>
        <v>1001.0856229857019</v>
      </c>
      <c r="EK92" s="717">
        <f t="shared" si="266"/>
        <v>297.63112936869504</v>
      </c>
      <c r="EL92" s="717">
        <f t="shared" si="267"/>
        <v>644.99450256509942</v>
      </c>
      <c r="EM92" s="717">
        <f t="shared" si="268"/>
        <v>194.55263326289588</v>
      </c>
      <c r="EN92" s="716"/>
      <c r="EO92" s="269">
        <v>0</v>
      </c>
      <c r="EP92" s="269"/>
      <c r="EQ92" s="269">
        <f t="shared" si="353"/>
        <v>0.40123016535240175</v>
      </c>
      <c r="ER92" s="269"/>
      <c r="ES92" s="716"/>
      <c r="ET92" s="269"/>
      <c r="EU92" s="269"/>
      <c r="EV92" s="718">
        <f t="shared" si="352"/>
        <v>162.21616420427617</v>
      </c>
      <c r="EW92" s="269"/>
      <c r="EX92" s="716"/>
      <c r="EY92" s="742">
        <v>41652</v>
      </c>
      <c r="EZ92" s="716"/>
      <c r="FA92" s="766">
        <f t="shared" si="273"/>
        <v>3.8736000000000002</v>
      </c>
      <c r="FB92" s="766">
        <f t="shared" si="274"/>
        <v>-0.50699999999999923</v>
      </c>
      <c r="FC92" s="766">
        <f t="shared" si="275"/>
        <v>0.72196983464759823</v>
      </c>
      <c r="FD92" s="766">
        <f t="shared" si="276"/>
        <v>0.78336000000000006</v>
      </c>
      <c r="FE92" s="760"/>
      <c r="FF92" s="782">
        <v>41652</v>
      </c>
      <c r="FG92" s="760"/>
      <c r="FH92" s="858">
        <v>1049.4884242312328</v>
      </c>
      <c r="FI92" s="858">
        <f t="shared" si="294"/>
        <v>-115.4544625783689</v>
      </c>
      <c r="FJ92" s="766">
        <f t="shared" si="295"/>
        <v>291.89025990821568</v>
      </c>
      <c r="FK92" s="766">
        <f t="shared" si="296"/>
        <v>139.15851482679975</v>
      </c>
      <c r="FL92" s="760"/>
      <c r="FM92" s="859">
        <f t="shared" si="277"/>
        <v>1049.4884242312328</v>
      </c>
      <c r="FN92" s="859">
        <f t="shared" si="278"/>
        <v>-115.4544625783689</v>
      </c>
      <c r="FO92" s="759">
        <f t="shared" si="279"/>
        <v>291.89025990821568</v>
      </c>
      <c r="FP92" s="859">
        <f t="shared" si="280"/>
        <v>139.15851482679975</v>
      </c>
      <c r="FQ92" s="760"/>
      <c r="FR92" s="759">
        <f t="shared" si="281"/>
        <v>2050.5740472169346</v>
      </c>
      <c r="FS92" s="759">
        <f t="shared" si="282"/>
        <v>297.63112936869504</v>
      </c>
      <c r="FT92" s="759">
        <f t="shared" si="283"/>
        <v>1099.1009266775914</v>
      </c>
      <c r="FU92" s="759">
        <f t="shared" si="284"/>
        <v>333.7111480896956</v>
      </c>
      <c r="FV92" s="761"/>
      <c r="FW92" s="762">
        <v>41652</v>
      </c>
      <c r="FX92" s="761"/>
      <c r="FY92" s="759">
        <f t="shared" si="297"/>
        <v>378105.99703613087</v>
      </c>
      <c r="FZ92" s="759">
        <f t="shared" si="298"/>
        <v>762779.89613495639</v>
      </c>
      <c r="GA92" s="759">
        <f t="shared" si="299"/>
        <v>353742.00784144271</v>
      </c>
      <c r="GB92" s="759">
        <f t="shared" si="300"/>
        <v>377450.88273162348</v>
      </c>
      <c r="GC92" s="760"/>
      <c r="GD92" s="759">
        <f t="shared" si="285"/>
        <v>1</v>
      </c>
      <c r="GE92" s="759">
        <f t="shared" si="285"/>
        <v>1</v>
      </c>
      <c r="GF92" s="759">
        <f t="shared" si="286"/>
        <v>0.94972986807239723</v>
      </c>
      <c r="GG92" s="759">
        <f t="shared" si="287"/>
        <v>0.985106999537117</v>
      </c>
      <c r="GH92" s="716"/>
      <c r="GI92" s="756">
        <f t="shared" si="361"/>
        <v>0</v>
      </c>
      <c r="GJ92" s="756">
        <f t="shared" si="362"/>
        <v>0</v>
      </c>
      <c r="GK92" s="756">
        <f t="shared" si="363"/>
        <v>0</v>
      </c>
      <c r="GL92" s="756">
        <f t="shared" si="364"/>
        <v>0</v>
      </c>
      <c r="GM92" s="716"/>
    </row>
    <row r="93" spans="1:195" s="134" customFormat="1">
      <c r="A93" s="705">
        <v>41653</v>
      </c>
      <c r="B93" s="278"/>
      <c r="C93" s="284"/>
      <c r="D93" s="273">
        <v>4.2767999999999997</v>
      </c>
      <c r="E93" s="274"/>
      <c r="F93" s="276">
        <v>1.3419423188444295</v>
      </c>
      <c r="G93" s="134">
        <v>0.62783999999999995</v>
      </c>
      <c r="I93" s="705">
        <v>41653</v>
      </c>
      <c r="J93" s="270">
        <f>D93</f>
        <v>4.2767999999999997</v>
      </c>
      <c r="K93" s="270"/>
      <c r="L93" s="270">
        <f t="shared" ref="L93:L131" si="366">F93</f>
        <v>1.3419423188444295</v>
      </c>
      <c r="M93" s="270">
        <f t="shared" ref="M93:M131" si="367">G93</f>
        <v>0.62783999999999995</v>
      </c>
      <c r="O93" s="705">
        <v>41653</v>
      </c>
      <c r="P93" s="270">
        <f>J93</f>
        <v>4.2767999999999997</v>
      </c>
      <c r="Q93" s="270"/>
      <c r="R93" s="270">
        <f t="shared" ref="R93:R131" si="368">L93</f>
        <v>1.3419423188444295</v>
      </c>
      <c r="S93" s="270">
        <f t="shared" ref="S93:S131" si="369">M93</f>
        <v>0.62783999999999995</v>
      </c>
      <c r="T93" s="705">
        <v>41653</v>
      </c>
      <c r="U93" s="291">
        <v>4.2767999999999997</v>
      </c>
      <c r="V93" s="291"/>
      <c r="W93" s="291">
        <v>1.3419423188444295</v>
      </c>
      <c r="X93" s="291">
        <v>0.62783999999999995</v>
      </c>
      <c r="Z93" s="705">
        <v>41653</v>
      </c>
      <c r="AA93" s="707">
        <v>41653</v>
      </c>
      <c r="AB93" s="497">
        <f t="shared" si="247"/>
        <v>13</v>
      </c>
      <c r="AC93" s="266">
        <v>0.53664341316156028</v>
      </c>
      <c r="AD93" s="291">
        <f>0.78*AC93-0.57</f>
        <v>-0.15141813773398294</v>
      </c>
      <c r="AE93" s="291">
        <f t="shared" si="301"/>
        <v>-37.922111195903689</v>
      </c>
      <c r="AF93" s="267">
        <v>1.090943413161561</v>
      </c>
      <c r="AG93" s="291"/>
      <c r="AH93" s="291"/>
      <c r="AI93" s="161">
        <v>1.94464341316156</v>
      </c>
      <c r="AJ93" s="291">
        <v>1.3419423188444295</v>
      </c>
      <c r="AK93" s="291">
        <f t="shared" si="303"/>
        <v>528.86536683978727</v>
      </c>
      <c r="AL93" s="161">
        <v>1.5286434131615603</v>
      </c>
      <c r="AM93" s="291">
        <v>0.62783999999999995</v>
      </c>
      <c r="AN93" s="291">
        <f t="shared" si="304"/>
        <v>107.73289093823206</v>
      </c>
      <c r="AO93" s="705">
        <v>41653</v>
      </c>
      <c r="AP93" s="463">
        <v>2.504462923888727</v>
      </c>
      <c r="AQ93" s="463">
        <v>2.0263327977559964</v>
      </c>
      <c r="AR93" s="463">
        <v>3.9410439585451242</v>
      </c>
      <c r="AS93" s="463">
        <v>1.715929073302626</v>
      </c>
      <c r="AT93" s="463">
        <f t="shared" si="305"/>
        <v>8.9445104424597396E-2</v>
      </c>
      <c r="AU93" s="463">
        <f t="shared" si="306"/>
        <v>3.4344623690779598E-2</v>
      </c>
      <c r="AV93" s="463">
        <f t="shared" si="307"/>
        <v>0.1970521979272562</v>
      </c>
      <c r="AW93" s="463">
        <f t="shared" si="308"/>
        <v>9.0312056489611894E-2</v>
      </c>
      <c r="AY93" s="266">
        <v>0.53664341316156028</v>
      </c>
      <c r="AZ93" s="738">
        <v>1.75</v>
      </c>
      <c r="BA93" s="161">
        <v>1.94464341316156</v>
      </c>
      <c r="BB93" s="161">
        <v>1.5286434131615603</v>
      </c>
      <c r="BE93" s="134">
        <v>0</v>
      </c>
      <c r="BG93" s="134">
        <v>-3.7165768115557042E-3</v>
      </c>
      <c r="BH93" s="134">
        <v>0</v>
      </c>
      <c r="BJ93" s="508">
        <v>38.642555790889517</v>
      </c>
      <c r="BK93" s="508">
        <v>0</v>
      </c>
      <c r="BL93" s="508">
        <v>8.6899404062743972</v>
      </c>
      <c r="BM93" s="508">
        <v>11.716771175504865</v>
      </c>
      <c r="BO93" s="705">
        <v>41653</v>
      </c>
      <c r="CH93" s="283"/>
      <c r="CI93" s="283"/>
      <c r="CJ93" s="283"/>
      <c r="CK93" s="283"/>
      <c r="CL93" s="283"/>
      <c r="CM93" s="283"/>
      <c r="CN93" s="283"/>
      <c r="CO93" s="283"/>
      <c r="CS93" s="705">
        <v>41653</v>
      </c>
      <c r="CT93" s="711">
        <v>0.95</v>
      </c>
      <c r="CV93" s="743">
        <v>0.84899999999999998</v>
      </c>
      <c r="CW93" s="714">
        <v>0.67800000000000005</v>
      </c>
      <c r="CY93" s="744">
        <v>8.1410555790889516E-2</v>
      </c>
      <c r="CZ93" s="736"/>
      <c r="DA93" s="727">
        <v>2.5825940406274395E-2</v>
      </c>
      <c r="DB93" s="736">
        <v>1.7995171175504865E-2</v>
      </c>
      <c r="DC93" s="463">
        <f t="shared" si="248"/>
        <v>-8.1734151454176232</v>
      </c>
      <c r="DD93" s="463">
        <f t="shared" si="249"/>
        <v>-175</v>
      </c>
      <c r="DE93" s="463">
        <f t="shared" si="250"/>
        <v>-2.4934151454175435</v>
      </c>
      <c r="DF93" s="463">
        <f t="shared" si="251"/>
        <v>-1.8034151454175529</v>
      </c>
      <c r="DG93" s="483">
        <f t="shared" si="260"/>
        <v>8.1734151454176232</v>
      </c>
      <c r="DH93" s="483"/>
      <c r="DI93" s="483">
        <f t="shared" si="262"/>
        <v>2.4934151454175435</v>
      </c>
      <c r="DJ93" s="483">
        <f t="shared" si="263"/>
        <v>1.8034151454175529</v>
      </c>
      <c r="DK93" s="483">
        <f t="shared" si="327"/>
        <v>0.20487315684039542</v>
      </c>
      <c r="DL93" s="483"/>
      <c r="DM93" s="483">
        <f t="shared" si="329"/>
        <v>0.10192634160170533</v>
      </c>
      <c r="DN93" s="483">
        <f t="shared" si="330"/>
        <v>6.0502131083604027E-2</v>
      </c>
      <c r="DO93" s="483">
        <f t="shared" si="315"/>
        <v>41.862834075220199</v>
      </c>
      <c r="DP93" s="483">
        <f t="shared" si="316"/>
        <v>0</v>
      </c>
      <c r="DQ93" s="483">
        <f t="shared" si="317"/>
        <v>6.3536170966673566</v>
      </c>
      <c r="DR93" s="483">
        <f t="shared" si="318"/>
        <v>2.7277614881552399</v>
      </c>
      <c r="DS93" s="324">
        <v>4.2767999999999997</v>
      </c>
      <c r="DT93" s="324"/>
      <c r="DU93" s="324">
        <v>1.7135999999999998</v>
      </c>
      <c r="DV93" s="324">
        <v>0.62783999999999995</v>
      </c>
      <c r="DW93" s="716"/>
      <c r="DX93" s="742">
        <f t="shared" si="365"/>
        <v>41653</v>
      </c>
      <c r="DY93" s="716"/>
      <c r="DZ93" s="269">
        <f t="shared" si="354"/>
        <v>3.8966151454176234</v>
      </c>
      <c r="EA93" s="269"/>
      <c r="EB93" s="269">
        <f t="shared" si="355"/>
        <v>0.77981514541754371</v>
      </c>
      <c r="EC93" s="716">
        <f t="shared" si="356"/>
        <v>1.1755751454175529</v>
      </c>
      <c r="ED93" s="716"/>
      <c r="EE93" s="269">
        <f t="shared" si="357"/>
        <v>3.8966151454176234</v>
      </c>
      <c r="EF93" s="267">
        <v>1.3069999999999999</v>
      </c>
      <c r="EG93" s="269">
        <f t="shared" si="358"/>
        <v>0.77981514541754371</v>
      </c>
      <c r="EH93" s="269">
        <f t="shared" si="359"/>
        <v>1.1755751454175529</v>
      </c>
      <c r="EI93" s="716"/>
      <c r="EJ93" s="717">
        <f t="shared" si="265"/>
        <v>975.89281603617189</v>
      </c>
      <c r="EK93" s="717">
        <f t="shared" si="266"/>
        <v>264.84169666670874</v>
      </c>
      <c r="EL93" s="717">
        <f t="shared" si="267"/>
        <v>307.32857676297982</v>
      </c>
      <c r="EM93" s="717">
        <f t="shared" si="268"/>
        <v>201.72035698739415</v>
      </c>
      <c r="EN93" s="716"/>
      <c r="EO93" s="269">
        <v>0</v>
      </c>
      <c r="EP93" s="269"/>
      <c r="EQ93" s="269">
        <f t="shared" si="353"/>
        <v>0.37165768115557041</v>
      </c>
      <c r="ER93" s="269"/>
      <c r="ES93" s="716"/>
      <c r="ET93" s="269"/>
      <c r="EU93" s="269"/>
      <c r="EV93" s="718">
        <f t="shared" si="352"/>
        <v>146.4719258965051</v>
      </c>
      <c r="EW93" s="269"/>
      <c r="EX93" s="716"/>
      <c r="EY93" s="742">
        <v>41653</v>
      </c>
      <c r="EZ93" s="716"/>
      <c r="FA93" s="763"/>
      <c r="FB93" s="763"/>
      <c r="FC93" s="759">
        <f t="shared" ref="FC93:FC146" si="370">CQ93-EG93-EQ93-DE93</f>
        <v>1.3419423188444295</v>
      </c>
      <c r="FD93" s="759">
        <f t="shared" si="276"/>
        <v>0.62783999999999995</v>
      </c>
      <c r="FE93" s="760"/>
      <c r="FF93" s="782">
        <v>41653</v>
      </c>
      <c r="FG93" s="760"/>
      <c r="FH93" s="767"/>
      <c r="FI93" s="767"/>
      <c r="FJ93" s="766">
        <f t="shared" ref="FJ93:FJ136" si="371">FC93/100*AR93*10^4</f>
        <v>528.86536683978727</v>
      </c>
      <c r="FK93" s="766">
        <f t="shared" ref="FK93:FK136" si="372">FD93/100*AS93*10^4</f>
        <v>107.73289093823206</v>
      </c>
      <c r="FL93" s="760"/>
      <c r="FM93" s="763"/>
      <c r="FN93" s="763"/>
      <c r="FO93" s="759">
        <f t="shared" ref="FO93:FO146" si="373">FJ93</f>
        <v>528.86536683978727</v>
      </c>
      <c r="FP93" s="859">
        <f t="shared" ref="FP93:FP146" si="374">FK93</f>
        <v>107.73289093823206</v>
      </c>
      <c r="FQ93" s="760"/>
      <c r="FR93" s="763"/>
      <c r="FS93" s="763"/>
      <c r="FT93" s="759">
        <f t="shared" ref="FT93:FT145" si="375">FJ93+EV93+EL93</f>
        <v>982.66586949927228</v>
      </c>
      <c r="FU93" s="759">
        <f t="shared" ref="FU93:FU145" si="376">FK93+EW93+EM93</f>
        <v>309.45324792562621</v>
      </c>
      <c r="FV93" s="761"/>
      <c r="FW93" s="762">
        <v>41653</v>
      </c>
      <c r="FX93" s="761"/>
      <c r="FY93" s="763"/>
      <c r="FZ93" s="763"/>
      <c r="GA93" s="759">
        <f t="shared" ref="GA93:GA146" si="377">GA92+FT93</f>
        <v>354724.67371094198</v>
      </c>
      <c r="GB93" s="759">
        <f t="shared" ref="GB93:GB146" si="378">GB92+FU93</f>
        <v>377760.3359795491</v>
      </c>
      <c r="GC93" s="760"/>
      <c r="GD93" s="763"/>
      <c r="GE93" s="763"/>
      <c r="GF93" s="759">
        <f t="shared" si="286"/>
        <v>0.95236813863656811</v>
      </c>
      <c r="GG93" s="759">
        <f t="shared" si="287"/>
        <v>0.98591463988055672</v>
      </c>
      <c r="GH93" s="716"/>
      <c r="GI93" s="763"/>
      <c r="GJ93" s="763"/>
      <c r="GK93" s="759">
        <f t="shared" ref="GK93:GK130" si="379">GF93/GF$146</f>
        <v>0.95236813863656811</v>
      </c>
      <c r="GL93" s="759">
        <f t="shared" ref="GL93:GL130" si="380">GG93/GG$146</f>
        <v>0.98591463988055672</v>
      </c>
      <c r="GM93" s="716"/>
    </row>
    <row r="94" spans="1:195" s="134" customFormat="1">
      <c r="A94" s="705">
        <v>41654</v>
      </c>
      <c r="B94" s="278"/>
      <c r="C94" s="284"/>
      <c r="D94" s="273">
        <v>-0.68332176</v>
      </c>
      <c r="E94" s="274"/>
      <c r="F94" s="276">
        <v>1.3272920470254472</v>
      </c>
      <c r="G94" s="134">
        <v>0.54143999999999992</v>
      </c>
      <c r="I94" s="705">
        <v>41654</v>
      </c>
      <c r="J94" s="270">
        <f>D94</f>
        <v>-0.68332176</v>
      </c>
      <c r="K94" s="270"/>
      <c r="L94" s="270">
        <f t="shared" si="366"/>
        <v>1.3272920470254472</v>
      </c>
      <c r="M94" s="270">
        <f t="shared" si="367"/>
        <v>0.54143999999999992</v>
      </c>
      <c r="O94" s="705">
        <v>41654</v>
      </c>
      <c r="P94" s="737">
        <f>J94</f>
        <v>-0.68332176</v>
      </c>
      <c r="Q94" s="270"/>
      <c r="R94" s="270">
        <f t="shared" si="368"/>
        <v>1.3272920470254472</v>
      </c>
      <c r="S94" s="270">
        <f t="shared" si="369"/>
        <v>0.54143999999999992</v>
      </c>
      <c r="T94" s="705">
        <v>41654</v>
      </c>
      <c r="U94" s="291">
        <v>-0.68332176</v>
      </c>
      <c r="V94" s="291"/>
      <c r="W94" s="291">
        <v>1.3272920470254472</v>
      </c>
      <c r="X94" s="291">
        <v>0.54143999999999992</v>
      </c>
      <c r="Z94" s="705">
        <v>41654</v>
      </c>
      <c r="AA94" s="707">
        <v>41654</v>
      </c>
      <c r="AB94" s="497">
        <f t="shared" si="247"/>
        <v>14</v>
      </c>
      <c r="AC94" s="266">
        <v>0.45490926170738405</v>
      </c>
      <c r="AD94" s="291">
        <v>-0.68332176</v>
      </c>
      <c r="AE94" s="291">
        <f t="shared" si="301"/>
        <v>-148.03047128078845</v>
      </c>
      <c r="AF94" s="267">
        <v>1.0930092617073848</v>
      </c>
      <c r="AG94" s="291"/>
      <c r="AH94" s="291"/>
      <c r="AI94" s="161">
        <v>1.9197092617073845</v>
      </c>
      <c r="AJ94" s="291">
        <v>1.3272920470254472</v>
      </c>
      <c r="AK94" s="291">
        <f t="shared" si="303"/>
        <v>510.24077921479284</v>
      </c>
      <c r="AL94" s="161">
        <v>1.5106092617073847</v>
      </c>
      <c r="AM94" s="291">
        <v>0.54143999999999992</v>
      </c>
      <c r="AN94" s="291">
        <f t="shared" si="304"/>
        <v>89.336639184593778</v>
      </c>
      <c r="AO94" s="705">
        <v>41654</v>
      </c>
      <c r="AP94" s="463">
        <v>2.1663362700580242</v>
      </c>
      <c r="AQ94" s="463">
        <v>1.8860414322402668</v>
      </c>
      <c r="AR94" s="463">
        <v>3.8442238869605032</v>
      </c>
      <c r="AS94" s="463">
        <v>1.6499822544435911</v>
      </c>
      <c r="AT94" s="463">
        <f t="shared" si="305"/>
        <v>7.7369152502072297E-2</v>
      </c>
      <c r="AU94" s="463">
        <f t="shared" si="306"/>
        <v>3.1966803936275705E-2</v>
      </c>
      <c r="AV94" s="463">
        <f t="shared" si="307"/>
        <v>0.19221119434802517</v>
      </c>
      <c r="AW94" s="463">
        <f t="shared" si="308"/>
        <v>8.6841171286504801E-2</v>
      </c>
      <c r="AY94" s="266">
        <v>0.45490926170738405</v>
      </c>
      <c r="AZ94" s="267"/>
      <c r="BA94" s="161">
        <v>1.9197092617073845</v>
      </c>
      <c r="BB94" s="161">
        <v>1.5106092617073847</v>
      </c>
      <c r="BE94" s="134">
        <v>0</v>
      </c>
      <c r="BG94" s="134">
        <v>-3.4310795297455292E-3</v>
      </c>
      <c r="BH94" s="134">
        <v>0</v>
      </c>
      <c r="BJ94" s="508">
        <v>55.439443747730188</v>
      </c>
      <c r="BK94" s="508">
        <v>0</v>
      </c>
      <c r="BL94" s="508">
        <v>11.525303070807176</v>
      </c>
      <c r="BM94" s="508">
        <v>12.999518455422175</v>
      </c>
      <c r="BO94" s="705">
        <v>41654</v>
      </c>
      <c r="BY94" s="831">
        <f>SUM(BY2:BY92)</f>
        <v>1742858.3625000094</v>
      </c>
      <c r="BZ94" s="831">
        <f t="shared" ref="BZ94:CB94" si="381">SUM(BZ2:BZ92)</f>
        <v>3850914.9330000225</v>
      </c>
      <c r="CA94" s="831">
        <f t="shared" si="381"/>
        <v>2183820.3724500127</v>
      </c>
      <c r="CB94" s="831">
        <f t="shared" si="381"/>
        <v>2066325.1500000118</v>
      </c>
      <c r="CH94" s="283"/>
      <c r="CI94" s="283"/>
      <c r="CJ94" s="283"/>
      <c r="CK94" s="283"/>
      <c r="CL94" s="283"/>
      <c r="CM94" s="283"/>
      <c r="CN94" s="283"/>
      <c r="CO94" s="283"/>
      <c r="CS94" s="705">
        <v>41654</v>
      </c>
      <c r="CT94" s="711">
        <v>0.42699999999999999</v>
      </c>
      <c r="CV94" s="743">
        <v>0.87</v>
      </c>
      <c r="CW94" s="714">
        <v>0.56899999999999995</v>
      </c>
      <c r="CY94" s="744">
        <v>4.8606226147730192E-2</v>
      </c>
      <c r="CZ94" s="725"/>
      <c r="DA94" s="727">
        <v>2.8229303070807177E-2</v>
      </c>
      <c r="DB94" s="736">
        <v>1.8413918455422174E-2</v>
      </c>
      <c r="DC94" s="463">
        <f t="shared" si="248"/>
        <v>-4.8463186911778422</v>
      </c>
      <c r="DD94" s="463"/>
      <c r="DE94" s="463">
        <f t="shared" si="250"/>
        <v>-2.8463186911778848</v>
      </c>
      <c r="DF94" s="463">
        <f t="shared" si="251"/>
        <v>-1.8263186911779528</v>
      </c>
      <c r="DG94" s="483">
        <f t="shared" si="260"/>
        <v>4.8463186911778422</v>
      </c>
      <c r="DH94" s="483"/>
      <c r="DI94" s="483">
        <f t="shared" si="262"/>
        <v>2.8463186911778848</v>
      </c>
      <c r="DJ94" s="483">
        <f t="shared" si="263"/>
        <v>1.8263186911779528</v>
      </c>
      <c r="DK94" s="483">
        <f t="shared" si="327"/>
        <v>0.33812665383070284</v>
      </c>
      <c r="DL94" s="483"/>
      <c r="DM94" s="483">
        <f t="shared" si="329"/>
        <v>9.6820071584621026E-2</v>
      </c>
      <c r="DN94" s="483">
        <f t="shared" si="330"/>
        <v>6.5946818859034861E-2</v>
      </c>
      <c r="DO94" s="483">
        <f t="shared" si="315"/>
        <v>40.966738061128879</v>
      </c>
      <c r="DP94" s="483">
        <f t="shared" si="316"/>
        <v>0</v>
      </c>
      <c r="DQ94" s="483">
        <f t="shared" si="317"/>
        <v>6.8895194858121904</v>
      </c>
      <c r="DR94" s="483">
        <f t="shared" si="318"/>
        <v>3.0109976976495521</v>
      </c>
      <c r="DS94" s="324">
        <v>-0.68332176</v>
      </c>
      <c r="DT94" s="324"/>
      <c r="DU94" s="324">
        <v>1.6704000000000001</v>
      </c>
      <c r="DV94" s="324">
        <v>0.54143999999999992</v>
      </c>
      <c r="DW94" s="716"/>
      <c r="DX94" s="742">
        <f t="shared" si="365"/>
        <v>41654</v>
      </c>
      <c r="DY94" s="716"/>
      <c r="DZ94" s="269">
        <f t="shared" si="354"/>
        <v>5.5296404511778423</v>
      </c>
      <c r="EA94" s="269"/>
      <c r="EB94" s="269">
        <f t="shared" si="355"/>
        <v>1.1759186911778847</v>
      </c>
      <c r="EC94" s="716">
        <f t="shared" si="356"/>
        <v>1.2848786911779528</v>
      </c>
      <c r="ED94" s="716"/>
      <c r="EE94" s="269">
        <f t="shared" si="357"/>
        <v>5.5296404511778423</v>
      </c>
      <c r="EF94" s="267">
        <v>1.3069999999999999</v>
      </c>
      <c r="EG94" s="269">
        <f t="shared" si="358"/>
        <v>1.1759186911778847</v>
      </c>
      <c r="EH94" s="269">
        <f t="shared" si="359"/>
        <v>1.2848786911779528</v>
      </c>
      <c r="EI94" s="716"/>
      <c r="EJ94" s="717">
        <f t="shared" si="265"/>
        <v>1197.9060669766577</v>
      </c>
      <c r="EK94" s="717">
        <f t="shared" si="266"/>
        <v>246.50561519380287</v>
      </c>
      <c r="EL94" s="717">
        <f t="shared" si="267"/>
        <v>452.04947217493554</v>
      </c>
      <c r="EM94" s="717">
        <f t="shared" si="268"/>
        <v>212.00270395563294</v>
      </c>
      <c r="EN94" s="716"/>
      <c r="EO94" s="269">
        <v>0</v>
      </c>
      <c r="EP94" s="269"/>
      <c r="EQ94" s="269">
        <f t="shared" si="353"/>
        <v>0.34310795297455293</v>
      </c>
      <c r="ER94" s="269"/>
      <c r="ES94" s="716"/>
      <c r="ET94" s="269"/>
      <c r="EU94" s="269"/>
      <c r="EV94" s="718">
        <f t="shared" si="352"/>
        <v>131.89837886308973</v>
      </c>
      <c r="EW94" s="269"/>
      <c r="EX94" s="716"/>
      <c r="EY94" s="742">
        <v>41654</v>
      </c>
      <c r="EZ94" s="716"/>
      <c r="FA94" s="763"/>
      <c r="FB94" s="763"/>
      <c r="FC94" s="759">
        <f t="shared" si="370"/>
        <v>1.3272920470254472</v>
      </c>
      <c r="FD94" s="759">
        <f t="shared" si="276"/>
        <v>0.54143999999999992</v>
      </c>
      <c r="FE94" s="760"/>
      <c r="FF94" s="782">
        <v>41654</v>
      </c>
      <c r="FG94" s="760"/>
      <c r="FH94" s="767"/>
      <c r="FI94" s="767"/>
      <c r="FJ94" s="766">
        <f t="shared" si="371"/>
        <v>510.24077921479284</v>
      </c>
      <c r="FK94" s="766">
        <f t="shared" si="372"/>
        <v>89.336639184593778</v>
      </c>
      <c r="FL94" s="760"/>
      <c r="FM94" s="763"/>
      <c r="FN94" s="763"/>
      <c r="FO94" s="759">
        <f t="shared" si="373"/>
        <v>510.24077921479284</v>
      </c>
      <c r="FP94" s="859">
        <f t="shared" si="374"/>
        <v>89.336639184593778</v>
      </c>
      <c r="FQ94" s="760"/>
      <c r="FR94" s="763"/>
      <c r="FS94" s="763"/>
      <c r="FT94" s="759">
        <f t="shared" si="375"/>
        <v>1094.1886302528183</v>
      </c>
      <c r="FU94" s="759">
        <f t="shared" si="376"/>
        <v>301.33934314022673</v>
      </c>
      <c r="FV94" s="761"/>
      <c r="FW94" s="762">
        <v>41654</v>
      </c>
      <c r="FX94" s="761"/>
      <c r="FY94" s="763"/>
      <c r="FZ94" s="763"/>
      <c r="GA94" s="759">
        <f t="shared" si="377"/>
        <v>355818.86234119482</v>
      </c>
      <c r="GB94" s="759">
        <f t="shared" si="378"/>
        <v>378061.67532268935</v>
      </c>
      <c r="GC94" s="760"/>
      <c r="GD94" s="763"/>
      <c r="GE94" s="763"/>
      <c r="GF94" s="759">
        <f t="shared" si="286"/>
        <v>0.95530582655720142</v>
      </c>
      <c r="GG94" s="759">
        <f t="shared" si="287"/>
        <v>0.98670110378816522</v>
      </c>
      <c r="GH94" s="716"/>
      <c r="GI94" s="763"/>
      <c r="GJ94" s="763"/>
      <c r="GK94" s="759">
        <f t="shared" si="379"/>
        <v>0.95530582655720142</v>
      </c>
      <c r="GL94" s="759">
        <f t="shared" si="380"/>
        <v>0.98670110378816522</v>
      </c>
      <c r="GM94" s="716"/>
    </row>
    <row r="95" spans="1:195" s="134" customFormat="1">
      <c r="A95" s="705">
        <v>41655</v>
      </c>
      <c r="B95" s="276"/>
      <c r="C95" s="285"/>
      <c r="D95" s="273">
        <v>6.4079999999999995</v>
      </c>
      <c r="E95" s="274"/>
      <c r="F95" s="276">
        <v>1.010292671458225</v>
      </c>
      <c r="G95" s="134">
        <v>0.64512000000000003</v>
      </c>
      <c r="I95" s="705">
        <v>41655</v>
      </c>
      <c r="J95" s="270">
        <f>D95</f>
        <v>6.4079999999999995</v>
      </c>
      <c r="K95" s="270"/>
      <c r="L95" s="270">
        <f t="shared" si="366"/>
        <v>1.010292671458225</v>
      </c>
      <c r="M95" s="270">
        <f t="shared" si="367"/>
        <v>0.64512000000000003</v>
      </c>
      <c r="O95" s="705">
        <v>41655</v>
      </c>
      <c r="P95" s="270">
        <f>J95</f>
        <v>6.4079999999999995</v>
      </c>
      <c r="Q95" s="270"/>
      <c r="R95" s="270">
        <f t="shared" si="368"/>
        <v>1.010292671458225</v>
      </c>
      <c r="S95" s="270">
        <f t="shared" si="369"/>
        <v>0.64512000000000003</v>
      </c>
      <c r="T95" s="705">
        <v>41655</v>
      </c>
      <c r="U95" s="291">
        <v>6.4079999999999995</v>
      </c>
      <c r="V95" s="291"/>
      <c r="W95" s="291">
        <v>1.010292671458225</v>
      </c>
      <c r="X95" s="291">
        <v>0.64512000000000003</v>
      </c>
      <c r="Z95" s="705">
        <v>41655</v>
      </c>
      <c r="AA95" s="707">
        <v>41655</v>
      </c>
      <c r="AB95" s="497">
        <f t="shared" si="247"/>
        <v>15</v>
      </c>
      <c r="AC95" s="268">
        <v>0.40644607479560563</v>
      </c>
      <c r="AD95" s="291"/>
      <c r="AE95" s="291"/>
      <c r="AF95" s="267">
        <v>1.0970460747956066</v>
      </c>
      <c r="AG95" s="291"/>
      <c r="AH95" s="291"/>
      <c r="AI95" s="161">
        <v>1.8912460747956057</v>
      </c>
      <c r="AJ95" s="291">
        <v>1.010292671458225</v>
      </c>
      <c r="AK95" s="291">
        <f t="shared" si="303"/>
        <v>379.50216950132557</v>
      </c>
      <c r="AL95" s="161">
        <v>1.4923460747956052</v>
      </c>
      <c r="AM95" s="291">
        <v>0.64512000000000003</v>
      </c>
      <c r="AN95" s="291">
        <f t="shared" si="304"/>
        <v>102.46664268095041</v>
      </c>
      <c r="AO95" s="705">
        <v>41655</v>
      </c>
      <c r="AP95" s="463">
        <v>1.8065042060545358</v>
      </c>
      <c r="AQ95" s="463">
        <v>1.8963581528896054</v>
      </c>
      <c r="AR95" s="463">
        <v>3.7563587287391087</v>
      </c>
      <c r="AS95" s="463">
        <v>1.5883346149700894</v>
      </c>
      <c r="AT95" s="463">
        <f t="shared" si="305"/>
        <v>6.4518007359090565E-2</v>
      </c>
      <c r="AU95" s="463">
        <f t="shared" si="306"/>
        <v>3.2141663608298399E-2</v>
      </c>
      <c r="AV95" s="463">
        <f t="shared" si="307"/>
        <v>0.18781793643695543</v>
      </c>
      <c r="AW95" s="463">
        <f t="shared" si="308"/>
        <v>8.3596558682636282E-2</v>
      </c>
      <c r="AY95" s="268">
        <v>0.40644607479560563</v>
      </c>
      <c r="AZ95" s="267"/>
      <c r="BA95" s="161">
        <v>1.8912460747956057</v>
      </c>
      <c r="BB95" s="161">
        <v>1.4923460747956052</v>
      </c>
      <c r="BE95" s="134">
        <v>0</v>
      </c>
      <c r="BG95" s="134">
        <v>-3.0874732854177501E-3</v>
      </c>
      <c r="BH95" s="134">
        <v>0</v>
      </c>
      <c r="BJ95" s="508">
        <v>33.547087686977591</v>
      </c>
      <c r="BK95" s="508">
        <v>0</v>
      </c>
      <c r="BL95" s="508">
        <v>13.021303071592927</v>
      </c>
      <c r="BM95" s="508">
        <v>12.152810763901167</v>
      </c>
      <c r="BO95" s="705">
        <v>41655</v>
      </c>
      <c r="CH95" s="283"/>
      <c r="CI95" s="283"/>
      <c r="CJ95" s="283"/>
      <c r="CK95" s="283"/>
      <c r="CL95" s="283"/>
      <c r="CM95" s="283"/>
      <c r="CN95" s="283"/>
      <c r="CO95" s="283"/>
      <c r="CS95" s="705">
        <v>41655</v>
      </c>
      <c r="CT95" s="711">
        <v>0.99199999999999999</v>
      </c>
      <c r="CV95" s="743">
        <v>0.74</v>
      </c>
      <c r="CW95" s="714">
        <v>0.71</v>
      </c>
      <c r="CY95" s="736">
        <v>9.7627087686977587E-2</v>
      </c>
      <c r="CZ95" s="725"/>
      <c r="DA95" s="727">
        <v>2.6211703071592929E-2</v>
      </c>
      <c r="DB95" s="736">
        <v>1.8604010763901169E-2</v>
      </c>
      <c r="DC95" s="463">
        <f t="shared" si="248"/>
        <v>-9.6902249440699251</v>
      </c>
      <c r="DD95" s="463"/>
      <c r="DE95" s="463">
        <f t="shared" si="250"/>
        <v>-2.5802249440699754</v>
      </c>
      <c r="DF95" s="463">
        <f t="shared" si="251"/>
        <v>-1.860224944069877</v>
      </c>
      <c r="DG95" s="483">
        <f t="shared" si="260"/>
        <v>9.6902249440699251</v>
      </c>
      <c r="DH95" s="483"/>
      <c r="DI95" s="483">
        <f t="shared" si="262"/>
        <v>2.5802249440699754</v>
      </c>
      <c r="DJ95" s="483">
        <f t="shared" si="263"/>
        <v>1.860224944069877</v>
      </c>
      <c r="DK95" s="483">
        <f t="shared" si="327"/>
        <v>0.35983206400348844</v>
      </c>
      <c r="DL95" s="483"/>
      <c r="DM95" s="483">
        <f t="shared" si="329"/>
        <v>8.7865158221394513E-2</v>
      </c>
      <c r="DN95" s="483">
        <f t="shared" si="330"/>
        <v>6.1647639473501714E-2</v>
      </c>
      <c r="DO95" s="483">
        <f t="shared" si="315"/>
        <v>87.171341057069242</v>
      </c>
      <c r="DP95" s="483">
        <f t="shared" si="316"/>
        <v>0</v>
      </c>
      <c r="DQ95" s="483">
        <f t="shared" si="317"/>
        <v>5.6677968239374295</v>
      </c>
      <c r="DR95" s="483">
        <f t="shared" si="318"/>
        <v>2.8669619172908671</v>
      </c>
      <c r="DS95" s="324">
        <v>6.4079999999999995</v>
      </c>
      <c r="DT95" s="324"/>
      <c r="DU95" s="324">
        <v>1.3190400000000002</v>
      </c>
      <c r="DV95" s="324">
        <v>0.64512000000000003</v>
      </c>
      <c r="DW95" s="716"/>
      <c r="DX95" s="742">
        <f t="shared" si="365"/>
        <v>41655</v>
      </c>
      <c r="DY95" s="716"/>
      <c r="DZ95" s="269">
        <f t="shared" si="354"/>
        <v>3.2822249440699256</v>
      </c>
      <c r="EA95" s="269"/>
      <c r="EB95" s="269">
        <f t="shared" si="355"/>
        <v>1.2611849440699752</v>
      </c>
      <c r="EC95" s="716">
        <f t="shared" si="356"/>
        <v>1.2151049440698771</v>
      </c>
      <c r="ED95" s="716"/>
      <c r="EE95" s="269">
        <f t="shared" si="357"/>
        <v>3.2822249440699256</v>
      </c>
      <c r="EF95" s="267">
        <v>1.3069999999999999</v>
      </c>
      <c r="EG95" s="269">
        <f t="shared" si="358"/>
        <v>1.2611849440699752</v>
      </c>
      <c r="EH95" s="269">
        <f t="shared" si="359"/>
        <v>1.2151049440698771</v>
      </c>
      <c r="EI95" s="716"/>
      <c r="EJ95" s="717">
        <f t="shared" si="265"/>
        <v>592.93531666794331</v>
      </c>
      <c r="EK95" s="717">
        <f t="shared" si="266"/>
        <v>247.85401058267144</v>
      </c>
      <c r="EL95" s="717">
        <f t="shared" si="267"/>
        <v>473.74630732115958</v>
      </c>
      <c r="EM95" s="717">
        <f t="shared" si="268"/>
        <v>192.99932434874805</v>
      </c>
      <c r="EN95" s="716"/>
      <c r="EO95" s="269">
        <v>0</v>
      </c>
      <c r="EP95" s="269"/>
      <c r="EQ95" s="269">
        <f t="shared" si="353"/>
        <v>0.308747328541775</v>
      </c>
      <c r="ER95" s="269"/>
      <c r="ES95" s="716"/>
      <c r="ET95" s="269"/>
      <c r="EU95" s="269"/>
      <c r="EV95" s="718">
        <f t="shared" si="352"/>
        <v>115.9765722542778</v>
      </c>
      <c r="EW95" s="269"/>
      <c r="EX95" s="716"/>
      <c r="EY95" s="742">
        <v>41655</v>
      </c>
      <c r="EZ95" s="716"/>
      <c r="FA95" s="763"/>
      <c r="FB95" s="763"/>
      <c r="FC95" s="759">
        <f t="shared" si="370"/>
        <v>1.0102926714582252</v>
      </c>
      <c r="FD95" s="759">
        <f t="shared" si="276"/>
        <v>0.64511999999999992</v>
      </c>
      <c r="FE95" s="760"/>
      <c r="FF95" s="782">
        <v>41655</v>
      </c>
      <c r="FG95" s="760"/>
      <c r="FH95" s="767"/>
      <c r="FI95" s="767"/>
      <c r="FJ95" s="766">
        <f t="shared" si="371"/>
        <v>379.50216950132574</v>
      </c>
      <c r="FK95" s="766">
        <f t="shared" si="372"/>
        <v>102.4666426809504</v>
      </c>
      <c r="FL95" s="760"/>
      <c r="FM95" s="763"/>
      <c r="FN95" s="763"/>
      <c r="FO95" s="759">
        <f t="shared" si="373"/>
        <v>379.50216950132574</v>
      </c>
      <c r="FP95" s="859">
        <f t="shared" si="374"/>
        <v>102.4666426809504</v>
      </c>
      <c r="FQ95" s="760"/>
      <c r="FR95" s="763"/>
      <c r="FS95" s="763"/>
      <c r="FT95" s="759">
        <f t="shared" si="375"/>
        <v>969.22504907676307</v>
      </c>
      <c r="FU95" s="759">
        <f t="shared" si="376"/>
        <v>295.46596702969845</v>
      </c>
      <c r="FV95" s="761"/>
      <c r="FW95" s="762">
        <v>41655</v>
      </c>
      <c r="FX95" s="761"/>
      <c r="FY95" s="763"/>
      <c r="FZ95" s="763"/>
      <c r="GA95" s="759">
        <f t="shared" si="377"/>
        <v>356788.0873902716</v>
      </c>
      <c r="GB95" s="759">
        <f t="shared" si="378"/>
        <v>378357.14128971903</v>
      </c>
      <c r="GC95" s="760"/>
      <c r="GD95" s="763"/>
      <c r="GE95" s="763"/>
      <c r="GF95" s="759">
        <f t="shared" si="286"/>
        <v>0.95790801108034895</v>
      </c>
      <c r="GG95" s="759">
        <f t="shared" si="287"/>
        <v>0.98747223880350676</v>
      </c>
      <c r="GH95" s="716"/>
      <c r="GI95" s="763"/>
      <c r="GJ95" s="763"/>
      <c r="GK95" s="759">
        <f t="shared" si="379"/>
        <v>0.95790801108034895</v>
      </c>
      <c r="GL95" s="759">
        <f t="shared" si="380"/>
        <v>0.98747223880350676</v>
      </c>
      <c r="GM95" s="716"/>
    </row>
    <row r="96" spans="1:195" s="134" customFormat="1">
      <c r="A96" s="705">
        <v>41656</v>
      </c>
      <c r="B96" s="278"/>
      <c r="C96" s="284"/>
      <c r="D96" s="273"/>
      <c r="E96" s="274"/>
      <c r="F96" s="276">
        <v>1.0201309896267592</v>
      </c>
      <c r="G96" s="134">
        <v>1.1059199999999998</v>
      </c>
      <c r="I96" s="705">
        <v>41656</v>
      </c>
      <c r="J96" s="270"/>
      <c r="K96" s="270"/>
      <c r="L96" s="270">
        <f t="shared" si="366"/>
        <v>1.0201309896267592</v>
      </c>
      <c r="M96" s="270">
        <f t="shared" si="367"/>
        <v>1.1059199999999998</v>
      </c>
      <c r="O96" s="705">
        <v>41656</v>
      </c>
      <c r="P96" s="270"/>
      <c r="Q96" s="270"/>
      <c r="R96" s="270">
        <f t="shared" si="368"/>
        <v>1.0201309896267592</v>
      </c>
      <c r="S96" s="270">
        <f t="shared" si="369"/>
        <v>1.1059199999999998</v>
      </c>
      <c r="T96" s="705">
        <v>41656</v>
      </c>
      <c r="U96" s="291"/>
      <c r="V96" s="291"/>
      <c r="W96" s="291">
        <v>1.0201309896267592</v>
      </c>
      <c r="X96" s="291">
        <v>1.1059199999999998</v>
      </c>
      <c r="Z96" s="705">
        <v>41656</v>
      </c>
      <c r="AA96" s="707">
        <v>41656</v>
      </c>
      <c r="AB96" s="284"/>
      <c r="AC96" s="268">
        <v>0.30954382535490638</v>
      </c>
      <c r="AD96" s="291"/>
      <c r="AE96" s="291"/>
      <c r="AF96" s="267">
        <v>1.0962438253549072</v>
      </c>
      <c r="AG96" s="291"/>
      <c r="AH96" s="291"/>
      <c r="AI96" s="161">
        <v>1.8654438253549059</v>
      </c>
      <c r="AJ96" s="291">
        <v>1.0201309896267592</v>
      </c>
      <c r="AK96" s="291">
        <f t="shared" si="303"/>
        <v>373.07787103106483</v>
      </c>
      <c r="AL96" s="161">
        <v>1.4737438253549064</v>
      </c>
      <c r="AM96" s="291">
        <v>1.1059199999999998</v>
      </c>
      <c r="AN96" s="291">
        <f t="shared" si="304"/>
        <v>168.9335766745215</v>
      </c>
      <c r="AO96" s="705">
        <v>41656</v>
      </c>
      <c r="AP96" s="463">
        <v>1.5960966743050571</v>
      </c>
      <c r="AQ96" s="463">
        <v>1.9166239963212277</v>
      </c>
      <c r="AR96" s="463">
        <v>3.6571565301389857</v>
      </c>
      <c r="AS96" s="463">
        <v>1.5275388515853003</v>
      </c>
      <c r="AT96" s="463">
        <f t="shared" si="305"/>
        <v>5.7003452653752042E-2</v>
      </c>
      <c r="AU96" s="463">
        <f t="shared" si="306"/>
        <v>3.2485152480020811E-2</v>
      </c>
      <c r="AV96" s="463">
        <f t="shared" si="307"/>
        <v>0.18285782650694929</v>
      </c>
      <c r="AW96" s="463">
        <f t="shared" si="308"/>
        <v>8.0396781662384231E-2</v>
      </c>
      <c r="AY96" s="268">
        <v>0.30954382535490638</v>
      </c>
      <c r="AZ96" s="267"/>
      <c r="BA96" s="161">
        <v>1.8654438253549059</v>
      </c>
      <c r="BB96" s="161">
        <v>1.4737438253549064</v>
      </c>
      <c r="BE96" s="134">
        <v>0</v>
      </c>
      <c r="BG96" s="134">
        <v>-2.7586901037324092E-3</v>
      </c>
      <c r="BH96" s="134">
        <v>0</v>
      </c>
      <c r="BJ96" s="508">
        <v>14.211026760769531</v>
      </c>
      <c r="BK96" s="508">
        <v>0</v>
      </c>
      <c r="BL96" s="508">
        <v>8.9627190684616593</v>
      </c>
      <c r="BM96" s="508">
        <v>7.8942882992306052</v>
      </c>
      <c r="BO96" s="705">
        <v>41656</v>
      </c>
      <c r="CH96" s="283"/>
      <c r="CI96" s="283"/>
      <c r="CJ96" s="283"/>
      <c r="CK96" s="283"/>
      <c r="CL96" s="283"/>
      <c r="CM96" s="283"/>
      <c r="CN96" s="283"/>
      <c r="CO96" s="283"/>
      <c r="CS96" s="705">
        <v>41656</v>
      </c>
      <c r="CT96" s="711">
        <v>0.99299999999999999</v>
      </c>
      <c r="CV96" s="743">
        <v>0.752</v>
      </c>
      <c r="CW96" s="714">
        <v>0.874</v>
      </c>
      <c r="CY96" s="744">
        <v>9.5715026760769539E-2</v>
      </c>
      <c r="CZ96" s="725"/>
      <c r="DA96" s="727">
        <v>2.192271906846166E-2</v>
      </c>
      <c r="DB96" s="736">
        <v>1.8953488299230603E-2</v>
      </c>
      <c r="DC96" s="463">
        <f t="shared" si="248"/>
        <v>-9.6716568121907542</v>
      </c>
      <c r="DD96" s="463"/>
      <c r="DE96" s="463">
        <f t="shared" si="250"/>
        <v>-2.2416568121906622</v>
      </c>
      <c r="DF96" s="463">
        <f t="shared" si="251"/>
        <v>-1.8916568121907673</v>
      </c>
      <c r="DG96" s="483">
        <f t="shared" si="260"/>
        <v>9.6716568121907542</v>
      </c>
      <c r="DH96" s="483"/>
      <c r="DI96" s="483">
        <f t="shared" si="262"/>
        <v>2.2416568121906622</v>
      </c>
      <c r="DJ96" s="483">
        <f t="shared" si="263"/>
        <v>1.8916568121907673</v>
      </c>
      <c r="DK96" s="483">
        <f t="shared" si="327"/>
        <v>0.21040753174947868</v>
      </c>
      <c r="DL96" s="483"/>
      <c r="DM96" s="483">
        <f t="shared" si="329"/>
        <v>9.9202198600123026E-2</v>
      </c>
      <c r="DN96" s="483">
        <f t="shared" si="330"/>
        <v>6.0795763384789092E-2</v>
      </c>
      <c r="DO96" s="483">
        <f t="shared" si="315"/>
        <v>50.874735944527195</v>
      </c>
      <c r="DP96" s="483">
        <f t="shared" si="316"/>
        <v>0</v>
      </c>
      <c r="DQ96" s="483">
        <f t="shared" si="317"/>
        <v>5.559432106906419</v>
      </c>
      <c r="DR96" s="483">
        <f t="shared" si="318"/>
        <v>2.8751179989793583</v>
      </c>
      <c r="DS96" s="324">
        <v>8.1504000000000012</v>
      </c>
      <c r="DT96" s="324"/>
      <c r="DU96" s="324">
        <v>1.296</v>
      </c>
      <c r="DV96" s="324">
        <v>1.1059199999999998</v>
      </c>
      <c r="DW96" s="716"/>
      <c r="DX96" s="742">
        <f t="shared" si="365"/>
        <v>41656</v>
      </c>
      <c r="DY96" s="716"/>
      <c r="DZ96" s="269">
        <f t="shared" si="354"/>
        <v>1.521256812190753</v>
      </c>
      <c r="EA96" s="269"/>
      <c r="EB96" s="269">
        <f t="shared" si="355"/>
        <v>0.94565681219066211</v>
      </c>
      <c r="EC96" s="716">
        <f t="shared" si="356"/>
        <v>0.78573681219076752</v>
      </c>
      <c r="ED96" s="716"/>
      <c r="EE96" s="269">
        <f t="shared" si="357"/>
        <v>1.521256812190753</v>
      </c>
      <c r="EF96" s="267">
        <v>1.3069999999999999</v>
      </c>
      <c r="EG96" s="269">
        <f t="shared" si="358"/>
        <v>0.94565681219066211</v>
      </c>
      <c r="EH96" s="269">
        <f t="shared" si="359"/>
        <v>0.78573681219076752</v>
      </c>
      <c r="EI96" s="716"/>
      <c r="EJ96" s="717">
        <f t="shared" si="265"/>
        <v>242.80729387015737</v>
      </c>
      <c r="EK96" s="717">
        <f t="shared" si="266"/>
        <v>250.50275631918444</v>
      </c>
      <c r="EL96" s="717">
        <f t="shared" si="267"/>
        <v>345.84149859734958</v>
      </c>
      <c r="EM96" s="717">
        <f t="shared" si="268"/>
        <v>120.02435077421799</v>
      </c>
      <c r="EN96" s="716"/>
      <c r="EO96" s="269">
        <v>0</v>
      </c>
      <c r="EP96" s="269"/>
      <c r="EQ96" s="269">
        <f t="shared" si="353"/>
        <v>0.27586901037324091</v>
      </c>
      <c r="ER96" s="269"/>
      <c r="ES96" s="716"/>
      <c r="ET96" s="269"/>
      <c r="EU96" s="269"/>
      <c r="EV96" s="718">
        <f t="shared" si="352"/>
        <v>100.88961527494776</v>
      </c>
      <c r="EW96" s="269"/>
      <c r="EX96" s="716"/>
      <c r="EY96" s="742">
        <v>41656</v>
      </c>
      <c r="EZ96" s="716"/>
      <c r="FA96" s="763"/>
      <c r="FB96" s="763"/>
      <c r="FC96" s="759">
        <f t="shared" si="370"/>
        <v>1.0201309896267592</v>
      </c>
      <c r="FD96" s="759">
        <f t="shared" si="276"/>
        <v>1.1059199999999998</v>
      </c>
      <c r="FE96" s="760"/>
      <c r="FF96" s="782">
        <v>41656</v>
      </c>
      <c r="FG96" s="760"/>
      <c r="FH96" s="767"/>
      <c r="FI96" s="767"/>
      <c r="FJ96" s="766">
        <f t="shared" si="371"/>
        <v>373.07787103106483</v>
      </c>
      <c r="FK96" s="766">
        <f t="shared" si="372"/>
        <v>168.9335766745215</v>
      </c>
      <c r="FL96" s="760"/>
      <c r="FM96" s="763"/>
      <c r="FN96" s="763"/>
      <c r="FO96" s="759">
        <f t="shared" si="373"/>
        <v>373.07787103106483</v>
      </c>
      <c r="FP96" s="859">
        <f t="shared" si="374"/>
        <v>168.9335766745215</v>
      </c>
      <c r="FQ96" s="760"/>
      <c r="FR96" s="763"/>
      <c r="FS96" s="763"/>
      <c r="FT96" s="759">
        <f t="shared" si="375"/>
        <v>819.80898490336222</v>
      </c>
      <c r="FU96" s="759">
        <f t="shared" si="376"/>
        <v>288.9579274487395</v>
      </c>
      <c r="FV96" s="761"/>
      <c r="FW96" s="762">
        <v>41656</v>
      </c>
      <c r="FX96" s="761"/>
      <c r="FY96" s="763"/>
      <c r="FZ96" s="763"/>
      <c r="GA96" s="759">
        <f t="shared" si="377"/>
        <v>357607.89637517498</v>
      </c>
      <c r="GB96" s="759">
        <f t="shared" si="378"/>
        <v>378646.09921716776</v>
      </c>
      <c r="GC96" s="760"/>
      <c r="GD96" s="763"/>
      <c r="GE96" s="763"/>
      <c r="GF96" s="759">
        <f t="shared" si="286"/>
        <v>0.96010904194978941</v>
      </c>
      <c r="GG96" s="759">
        <f t="shared" si="287"/>
        <v>0.98822638852185274</v>
      </c>
      <c r="GH96" s="716"/>
      <c r="GI96" s="763"/>
      <c r="GJ96" s="763"/>
      <c r="GK96" s="759">
        <f t="shared" si="379"/>
        <v>0.96010904194978941</v>
      </c>
      <c r="GL96" s="759">
        <f t="shared" si="380"/>
        <v>0.98822638852185274</v>
      </c>
      <c r="GM96" s="716"/>
    </row>
    <row r="97" spans="1:195" s="134" customFormat="1">
      <c r="A97" s="705">
        <v>41657</v>
      </c>
      <c r="B97" s="278"/>
      <c r="C97" s="284"/>
      <c r="D97" s="273"/>
      <c r="E97" s="274"/>
      <c r="F97" s="276">
        <v>0.74483004024267152</v>
      </c>
      <c r="G97" s="134">
        <v>0.93024000000000007</v>
      </c>
      <c r="I97" s="705">
        <v>41657</v>
      </c>
      <c r="J97" s="270"/>
      <c r="K97" s="270"/>
      <c r="L97" s="270">
        <f t="shared" si="366"/>
        <v>0.74483004024267152</v>
      </c>
      <c r="M97" s="270">
        <f t="shared" si="367"/>
        <v>0.93024000000000007</v>
      </c>
      <c r="O97" s="705">
        <v>41657</v>
      </c>
      <c r="P97" s="270"/>
      <c r="Q97" s="270"/>
      <c r="R97" s="270">
        <f t="shared" si="368"/>
        <v>0.74483004024267152</v>
      </c>
      <c r="S97" s="270">
        <f t="shared" si="369"/>
        <v>0.93024000000000007</v>
      </c>
      <c r="T97" s="705">
        <v>41657</v>
      </c>
      <c r="U97" s="291"/>
      <c r="V97" s="291"/>
      <c r="W97" s="291">
        <v>0.74483004024267152</v>
      </c>
      <c r="X97" s="291">
        <v>0.93024000000000007</v>
      </c>
      <c r="Z97" s="705">
        <v>41657</v>
      </c>
      <c r="AA97" s="707">
        <v>41657</v>
      </c>
      <c r="AB97" s="284"/>
      <c r="AC97" s="268">
        <v>0.21282725723299883</v>
      </c>
      <c r="AD97" s="291"/>
      <c r="AE97" s="291"/>
      <c r="AF97" s="267">
        <v>1.0918272572329977</v>
      </c>
      <c r="AG97" s="291"/>
      <c r="AH97" s="291"/>
      <c r="AI97" s="161">
        <v>1.8430272572329993</v>
      </c>
      <c r="AJ97" s="291">
        <v>0.74483004024267152</v>
      </c>
      <c r="AK97" s="291">
        <f t="shared" si="303"/>
        <v>265.77351142357338</v>
      </c>
      <c r="AL97" s="161">
        <v>1.4548272572329988</v>
      </c>
      <c r="AM97" s="291">
        <v>0.93024000000000007</v>
      </c>
      <c r="AN97" s="291">
        <f t="shared" si="304"/>
        <v>136.49233674523666</v>
      </c>
      <c r="AO97" s="705">
        <v>41657</v>
      </c>
      <c r="AP97" s="463">
        <v>1.1831317851312559</v>
      </c>
      <c r="AQ97" s="463">
        <v>1.9125852897432305</v>
      </c>
      <c r="AR97" s="463">
        <v>3.5682437209028555</v>
      </c>
      <c r="AS97" s="463">
        <v>1.4672808817642398</v>
      </c>
      <c r="AT97" s="463">
        <f t="shared" si="305"/>
        <v>4.2254706611830568E-2</v>
      </c>
      <c r="AU97" s="463">
        <f t="shared" si="306"/>
        <v>3.2416699826156449E-2</v>
      </c>
      <c r="AV97" s="463">
        <f t="shared" si="307"/>
        <v>0.17841218604514278</v>
      </c>
      <c r="AW97" s="463">
        <f t="shared" si="308"/>
        <v>7.7225309566538933E-2</v>
      </c>
      <c r="AY97" s="268">
        <v>0.21282725723299883</v>
      </c>
      <c r="AZ97" s="267"/>
      <c r="BA97" s="161">
        <v>1.8430272572329993</v>
      </c>
      <c r="BB97" s="161">
        <v>1.4548272572329988</v>
      </c>
      <c r="BG97" s="134">
        <v>-2.4588995975732852E-3</v>
      </c>
      <c r="BH97" s="134">
        <v>0</v>
      </c>
      <c r="BJ97" s="508">
        <v>0</v>
      </c>
      <c r="BK97" s="508">
        <v>0</v>
      </c>
      <c r="BL97" s="508">
        <v>13.539730981544821</v>
      </c>
      <c r="BM97" s="508">
        <v>10.690684827698572</v>
      </c>
      <c r="BO97" s="705">
        <v>41657</v>
      </c>
      <c r="CH97" s="283"/>
      <c r="CI97" s="283"/>
      <c r="CJ97" s="283"/>
      <c r="CK97" s="283"/>
      <c r="CL97" s="283"/>
      <c r="CM97" s="283"/>
      <c r="CN97" s="283"/>
      <c r="CO97" s="283"/>
      <c r="CS97" s="705">
        <v>41657</v>
      </c>
      <c r="CT97" s="711">
        <v>0.94899999999999995</v>
      </c>
      <c r="CV97" s="743">
        <v>0.66100000000000003</v>
      </c>
      <c r="CW97" s="714">
        <v>0.81299999999999994</v>
      </c>
      <c r="CY97" s="744"/>
      <c r="CZ97" s="725"/>
      <c r="DA97" s="727">
        <v>2.3446930981544822E-2</v>
      </c>
      <c r="DB97" s="736">
        <v>1.9993084827698571E-2</v>
      </c>
      <c r="DC97" s="463">
        <f t="shared" si="248"/>
        <v>-0.13885384758989261</v>
      </c>
      <c r="DD97" s="463"/>
      <c r="DE97" s="463">
        <f t="shared" si="250"/>
        <v>-2.3288538475899401</v>
      </c>
      <c r="DF97" s="463">
        <f t="shared" si="251"/>
        <v>-2.0088538475899753</v>
      </c>
      <c r="DG97" s="483">
        <f t="shared" si="260"/>
        <v>0.13885384758989261</v>
      </c>
      <c r="DH97" s="483"/>
      <c r="DI97" s="483">
        <f t="shared" si="262"/>
        <v>2.3288538475899401</v>
      </c>
      <c r="DJ97" s="483">
        <f t="shared" si="263"/>
        <v>2.0088538475899753</v>
      </c>
      <c r="DK97" s="483">
        <f t="shared" si="327"/>
        <v>0.41296488917380114</v>
      </c>
      <c r="DL97" s="483"/>
      <c r="DM97" s="483">
        <f t="shared" si="329"/>
        <v>8.8912809236130208E-2</v>
      </c>
      <c r="DN97" s="483">
        <f t="shared" si="330"/>
        <v>6.0257969821060575E-2</v>
      </c>
      <c r="DO97" s="483">
        <f t="shared" si="315"/>
        <v>1.433544094532897</v>
      </c>
      <c r="DP97" s="483">
        <f t="shared" si="316"/>
        <v>0</v>
      </c>
      <c r="DQ97" s="483">
        <f t="shared" si="317"/>
        <v>5.1766234472398045</v>
      </c>
      <c r="DR97" s="483">
        <f t="shared" si="318"/>
        <v>3.026236363074954</v>
      </c>
      <c r="DS97" s="324"/>
      <c r="DT97" s="324"/>
      <c r="DU97" s="324">
        <v>0.99071999999999993</v>
      </c>
      <c r="DV97" s="324">
        <v>0.93024000000000007</v>
      </c>
      <c r="DW97" s="716"/>
      <c r="DX97" s="742">
        <f t="shared" si="365"/>
        <v>41657</v>
      </c>
      <c r="DY97" s="716"/>
      <c r="DZ97" s="269">
        <f t="shared" si="354"/>
        <v>0.13885384758989261</v>
      </c>
      <c r="EA97" s="269"/>
      <c r="EB97" s="269">
        <f t="shared" si="355"/>
        <v>1.33813384758994</v>
      </c>
      <c r="EC97" s="716">
        <f t="shared" si="356"/>
        <v>1.0786138475899754</v>
      </c>
      <c r="ED97" s="716"/>
      <c r="EE97" s="269">
        <f t="shared" si="357"/>
        <v>0.13885384758989261</v>
      </c>
      <c r="EF97" s="267">
        <v>1.3069999999999999</v>
      </c>
      <c r="EG97" s="269">
        <f t="shared" si="358"/>
        <v>1.33813384758994</v>
      </c>
      <c r="EH97" s="269">
        <f t="shared" si="359"/>
        <v>1.0786138475899754</v>
      </c>
      <c r="EI97" s="716"/>
      <c r="EJ97" s="717">
        <f t="shared" si="265"/>
        <v>16.428240057137298</v>
      </c>
      <c r="EK97" s="717">
        <f t="shared" si="266"/>
        <v>249.97489736944024</v>
      </c>
      <c r="EL97" s="717">
        <f t="shared" si="267"/>
        <v>477.47876993903822</v>
      </c>
      <c r="EM97" s="717">
        <f t="shared" si="268"/>
        <v>158.26294773749385</v>
      </c>
      <c r="EN97" s="716"/>
      <c r="EO97" s="269">
        <v>0</v>
      </c>
      <c r="EP97" s="269"/>
      <c r="EQ97" s="269">
        <f t="shared" si="353"/>
        <v>0.24588995975732852</v>
      </c>
      <c r="ER97" s="269"/>
      <c r="ES97" s="716"/>
      <c r="ET97" s="269"/>
      <c r="EU97" s="269"/>
      <c r="EV97" s="718">
        <f t="shared" si="352"/>
        <v>87.739530493714327</v>
      </c>
      <c r="EW97" s="269"/>
      <c r="EX97" s="716"/>
      <c r="EY97" s="742">
        <v>41657</v>
      </c>
      <c r="EZ97" s="716"/>
      <c r="FA97" s="763"/>
      <c r="FB97" s="763"/>
      <c r="FC97" s="759">
        <f t="shared" si="370"/>
        <v>0.74483004024267152</v>
      </c>
      <c r="FD97" s="759">
        <f t="shared" si="276"/>
        <v>0.93023999999999996</v>
      </c>
      <c r="FE97" s="760"/>
      <c r="FF97" s="782">
        <v>41657</v>
      </c>
      <c r="FG97" s="760"/>
      <c r="FH97" s="767"/>
      <c r="FI97" s="767"/>
      <c r="FJ97" s="766">
        <f t="shared" si="371"/>
        <v>265.77351142357338</v>
      </c>
      <c r="FK97" s="766">
        <f t="shared" si="372"/>
        <v>136.49233674523663</v>
      </c>
      <c r="FL97" s="760"/>
      <c r="FM97" s="763"/>
      <c r="FN97" s="763"/>
      <c r="FO97" s="759">
        <f t="shared" si="373"/>
        <v>265.77351142357338</v>
      </c>
      <c r="FP97" s="859">
        <f t="shared" si="374"/>
        <v>136.49233674523663</v>
      </c>
      <c r="FQ97" s="760"/>
      <c r="FR97" s="763"/>
      <c r="FS97" s="763"/>
      <c r="FT97" s="759">
        <f t="shared" si="375"/>
        <v>830.99181185632597</v>
      </c>
      <c r="FU97" s="759">
        <f t="shared" si="376"/>
        <v>294.75528448273047</v>
      </c>
      <c r="FV97" s="761"/>
      <c r="FW97" s="762">
        <v>41657</v>
      </c>
      <c r="FX97" s="761"/>
      <c r="FY97" s="763"/>
      <c r="FZ97" s="763"/>
      <c r="GA97" s="759">
        <f t="shared" si="377"/>
        <v>358438.88818703132</v>
      </c>
      <c r="GB97" s="759">
        <f t="shared" si="378"/>
        <v>378940.85450165049</v>
      </c>
      <c r="GC97" s="760"/>
      <c r="GD97" s="763"/>
      <c r="GE97" s="763"/>
      <c r="GF97" s="759">
        <f t="shared" si="286"/>
        <v>0.96234009657815944</v>
      </c>
      <c r="GG97" s="759">
        <f t="shared" si="287"/>
        <v>0.98899566873069245</v>
      </c>
      <c r="GH97" s="716"/>
      <c r="GI97" s="763"/>
      <c r="GJ97" s="763"/>
      <c r="GK97" s="759">
        <f t="shared" si="379"/>
        <v>0.96234009657815944</v>
      </c>
      <c r="GL97" s="759">
        <f t="shared" si="380"/>
        <v>0.98899566873069245</v>
      </c>
      <c r="GM97" s="716"/>
    </row>
    <row r="98" spans="1:195" s="134" customFormat="1">
      <c r="A98" s="705">
        <v>41658</v>
      </c>
      <c r="B98" s="273"/>
      <c r="C98" s="286"/>
      <c r="D98" s="273"/>
      <c r="E98" s="274"/>
      <c r="F98" s="276">
        <v>0.56576661193491162</v>
      </c>
      <c r="G98" s="134">
        <v>0.70992</v>
      </c>
      <c r="I98" s="705">
        <v>41658</v>
      </c>
      <c r="J98" s="270"/>
      <c r="K98" s="270"/>
      <c r="L98" s="270">
        <f t="shared" si="366"/>
        <v>0.56576661193491162</v>
      </c>
      <c r="M98" s="270">
        <f t="shared" si="367"/>
        <v>0.70992</v>
      </c>
      <c r="O98" s="705">
        <v>41658</v>
      </c>
      <c r="P98" s="270"/>
      <c r="Q98" s="270"/>
      <c r="R98" s="270">
        <f t="shared" si="368"/>
        <v>0.56576661193491162</v>
      </c>
      <c r="S98" s="270">
        <f t="shared" si="369"/>
        <v>0.70992</v>
      </c>
      <c r="T98" s="705">
        <v>41658</v>
      </c>
      <c r="U98" s="291"/>
      <c r="V98" s="291"/>
      <c r="W98" s="291">
        <v>0.56576661193491162</v>
      </c>
      <c r="X98" s="291">
        <v>0.70992</v>
      </c>
      <c r="Z98" s="705">
        <v>41658</v>
      </c>
      <c r="AA98" s="707">
        <v>41658</v>
      </c>
      <c r="AB98" s="286"/>
      <c r="AC98" s="268">
        <v>0.21143871875709991</v>
      </c>
      <c r="AD98" s="291"/>
      <c r="AE98" s="291"/>
      <c r="AF98" s="267">
        <v>1.0925387187570992</v>
      </c>
      <c r="AG98" s="291"/>
      <c r="AH98" s="291"/>
      <c r="AI98" s="161">
        <v>1.8197387187570999</v>
      </c>
      <c r="AJ98" s="291">
        <v>0.56576661193491162</v>
      </c>
      <c r="AK98" s="291">
        <f t="shared" si="303"/>
        <v>197.5534652632285</v>
      </c>
      <c r="AL98" s="161">
        <v>1.434738718757099</v>
      </c>
      <c r="AM98" s="291">
        <v>0.70992</v>
      </c>
      <c r="AN98" s="291">
        <f t="shared" si="304"/>
        <v>99.935685949661405</v>
      </c>
      <c r="AO98" s="705">
        <v>41658</v>
      </c>
      <c r="AP98" s="463">
        <v>0.78375914547249625</v>
      </c>
      <c r="AQ98" s="463">
        <v>1.8904507959251335</v>
      </c>
      <c r="AR98" s="463">
        <v>3.4917837337130804</v>
      </c>
      <c r="AS98" s="463">
        <v>1.4077034870078515</v>
      </c>
      <c r="AT98" s="463">
        <f t="shared" si="305"/>
        <v>2.7991398052589152E-2</v>
      </c>
      <c r="AU98" s="463">
        <f t="shared" si="306"/>
        <v>3.2041538913985312E-2</v>
      </c>
      <c r="AV98" s="463">
        <f t="shared" si="307"/>
        <v>0.17458918668565401</v>
      </c>
      <c r="AW98" s="463">
        <f t="shared" si="308"/>
        <v>7.4089657210939561E-2</v>
      </c>
      <c r="AY98" s="268">
        <v>0.21143871875709991</v>
      </c>
      <c r="AZ98" s="267"/>
      <c r="BA98" s="161">
        <v>1.8197387187570999</v>
      </c>
      <c r="BB98" s="161">
        <v>1.434738718757099</v>
      </c>
      <c r="BG98" s="134">
        <v>-2.1327338806508829E-3</v>
      </c>
      <c r="BH98" s="134">
        <v>0</v>
      </c>
      <c r="BJ98" s="508">
        <v>0</v>
      </c>
      <c r="BK98" s="508">
        <v>0</v>
      </c>
      <c r="BL98" s="508">
        <v>14.625706289218307</v>
      </c>
      <c r="BM98" s="508">
        <v>13.147675519988052</v>
      </c>
      <c r="BO98" s="705">
        <v>41658</v>
      </c>
      <c r="CH98" s="283"/>
      <c r="CI98" s="283"/>
      <c r="CJ98" s="283"/>
      <c r="CK98" s="283"/>
      <c r="CL98" s="283"/>
      <c r="CM98" s="283"/>
      <c r="CN98" s="283"/>
      <c r="CO98" s="283"/>
      <c r="CS98" s="705">
        <v>41658</v>
      </c>
      <c r="CT98" s="711">
        <v>0.94199999999999995</v>
      </c>
      <c r="CV98" s="743">
        <v>0.57999999999999996</v>
      </c>
      <c r="CW98" s="714">
        <v>0.68</v>
      </c>
      <c r="CY98" s="725"/>
      <c r="CZ98" s="725"/>
      <c r="DA98" s="727">
        <v>2.2416106289218307E-2</v>
      </c>
      <c r="DB98" s="736">
        <v>2.024687551998805E-2</v>
      </c>
      <c r="DC98" s="463">
        <f t="shared" si="248"/>
        <v>-0.61079731536750614</v>
      </c>
      <c r="DD98" s="463"/>
      <c r="DE98" s="463">
        <f t="shared" si="250"/>
        <v>-2.3207973153674288</v>
      </c>
      <c r="DF98" s="463">
        <f t="shared" si="251"/>
        <v>-2.0807973153674553</v>
      </c>
      <c r="DG98" s="483">
        <f t="shared" si="260"/>
        <v>0.61079731536750614</v>
      </c>
      <c r="DH98" s="483"/>
      <c r="DI98" s="483">
        <f t="shared" si="262"/>
        <v>2.3207973153674288</v>
      </c>
      <c r="DJ98" s="483">
        <f t="shared" si="263"/>
        <v>2.0807973153674553</v>
      </c>
      <c r="DK98" s="483">
        <f t="shared" si="327"/>
        <v>0.39937263965875969</v>
      </c>
      <c r="DL98" s="483"/>
      <c r="DM98" s="483">
        <f t="shared" si="329"/>
        <v>7.6459987189775092E-2</v>
      </c>
      <c r="DN98" s="483">
        <f t="shared" si="330"/>
        <v>5.9577394756388236E-2</v>
      </c>
      <c r="DO98" s="483">
        <f t="shared" si="315"/>
        <v>6.098393403370121</v>
      </c>
      <c r="DP98" s="483">
        <f t="shared" si="316"/>
        <v>0</v>
      </c>
      <c r="DQ98" s="483">
        <f t="shared" si="317"/>
        <v>4.436203325076451</v>
      </c>
      <c r="DR98" s="483">
        <f t="shared" si="318"/>
        <v>3.0992120766419937</v>
      </c>
      <c r="DS98" s="324"/>
      <c r="DT98" s="324"/>
      <c r="DU98" s="324">
        <v>0.77903999999999995</v>
      </c>
      <c r="DV98" s="324">
        <v>0.70992</v>
      </c>
      <c r="DW98" s="716"/>
      <c r="DX98" s="742">
        <f t="shared" ref="DX98:DX131" si="382">DX97+1</f>
        <v>41658</v>
      </c>
      <c r="DY98" s="716"/>
      <c r="DZ98" s="269">
        <f t="shared" si="354"/>
        <v>0.61079731536750614</v>
      </c>
      <c r="EA98" s="269"/>
      <c r="EB98" s="269">
        <f t="shared" si="355"/>
        <v>1.5417573153674289</v>
      </c>
      <c r="EC98" s="716">
        <f t="shared" si="356"/>
        <v>1.3708773153674554</v>
      </c>
      <c r="ED98" s="716"/>
      <c r="EE98" s="269">
        <f t="shared" si="357"/>
        <v>0.61079731536750614</v>
      </c>
      <c r="EF98" s="267">
        <v>1.3069999999999999</v>
      </c>
      <c r="EG98" s="269">
        <f t="shared" si="358"/>
        <v>1.5417573153674289</v>
      </c>
      <c r="EH98" s="269">
        <f t="shared" si="359"/>
        <v>1.3708773153674554</v>
      </c>
      <c r="EI98" s="716"/>
      <c r="EJ98" s="717">
        <f t="shared" si="265"/>
        <v>47.871798194933142</v>
      </c>
      <c r="EK98" s="717">
        <f t="shared" si="266"/>
        <v>247.08191902741498</v>
      </c>
      <c r="EL98" s="717">
        <f t="shared" si="267"/>
        <v>538.34831151331355</v>
      </c>
      <c r="EM98" s="717">
        <f t="shared" si="268"/>
        <v>192.97887771027291</v>
      </c>
      <c r="EN98" s="716"/>
      <c r="EO98" s="269">
        <v>0</v>
      </c>
      <c r="EP98" s="269"/>
      <c r="EQ98" s="269">
        <f t="shared" si="353"/>
        <v>0.21327338806508828</v>
      </c>
      <c r="ER98" s="269"/>
      <c r="ES98" s="716"/>
      <c r="ET98" s="269"/>
      <c r="EU98" s="269"/>
      <c r="EV98" s="718">
        <f t="shared" si="352"/>
        <v>74.470454727955271</v>
      </c>
      <c r="EW98" s="269"/>
      <c r="EX98" s="716"/>
      <c r="EY98" s="742">
        <v>41658</v>
      </c>
      <c r="EZ98" s="716"/>
      <c r="FA98" s="763"/>
      <c r="FB98" s="763"/>
      <c r="FC98" s="759">
        <f t="shared" si="370"/>
        <v>0.56576661193491162</v>
      </c>
      <c r="FD98" s="759">
        <f t="shared" si="276"/>
        <v>0.70991999999999988</v>
      </c>
      <c r="FE98" s="760"/>
      <c r="FF98" s="782">
        <v>41658</v>
      </c>
      <c r="FG98" s="760"/>
      <c r="FH98" s="767"/>
      <c r="FI98" s="767"/>
      <c r="FJ98" s="766">
        <f t="shared" si="371"/>
        <v>197.5534652632285</v>
      </c>
      <c r="FK98" s="766">
        <f t="shared" si="372"/>
        <v>99.935685949661391</v>
      </c>
      <c r="FL98" s="760"/>
      <c r="FM98" s="763"/>
      <c r="FN98" s="763"/>
      <c r="FO98" s="759">
        <f t="shared" si="373"/>
        <v>197.5534652632285</v>
      </c>
      <c r="FP98" s="859">
        <f t="shared" si="374"/>
        <v>99.935685949661391</v>
      </c>
      <c r="FQ98" s="760"/>
      <c r="FR98" s="763"/>
      <c r="FS98" s="763"/>
      <c r="FT98" s="759">
        <f t="shared" si="375"/>
        <v>810.37223150449734</v>
      </c>
      <c r="FU98" s="759">
        <f t="shared" si="376"/>
        <v>292.91456365993429</v>
      </c>
      <c r="FV98" s="761"/>
      <c r="FW98" s="762">
        <v>41658</v>
      </c>
      <c r="FX98" s="761"/>
      <c r="FY98" s="763"/>
      <c r="FZ98" s="763"/>
      <c r="GA98" s="759">
        <f t="shared" si="377"/>
        <v>359249.26041853579</v>
      </c>
      <c r="GB98" s="759">
        <f t="shared" si="378"/>
        <v>379233.76906531042</v>
      </c>
      <c r="GC98" s="760"/>
      <c r="GD98" s="763"/>
      <c r="GE98" s="763"/>
      <c r="GF98" s="759">
        <f t="shared" si="286"/>
        <v>0.96451579156336242</v>
      </c>
      <c r="GG98" s="759">
        <f t="shared" si="287"/>
        <v>0.98976014485229924</v>
      </c>
      <c r="GH98" s="716"/>
      <c r="GI98" s="763"/>
      <c r="GJ98" s="763"/>
      <c r="GK98" s="759">
        <f t="shared" si="379"/>
        <v>0.96451579156336242</v>
      </c>
      <c r="GL98" s="759">
        <f t="shared" si="380"/>
        <v>0.98976014485229924</v>
      </c>
      <c r="GM98" s="716"/>
    </row>
    <row r="99" spans="1:195" s="134" customFormat="1">
      <c r="A99" s="705">
        <v>41659</v>
      </c>
      <c r="B99" s="273"/>
      <c r="C99" s="286"/>
      <c r="D99" s="273"/>
      <c r="E99" s="274"/>
      <c r="F99" s="276">
        <v>0.56816344768324634</v>
      </c>
      <c r="G99" s="134">
        <v>0.60624000000000011</v>
      </c>
      <c r="I99" s="705">
        <v>41659</v>
      </c>
      <c r="J99" s="270"/>
      <c r="K99" s="270"/>
      <c r="L99" s="270">
        <f t="shared" si="366"/>
        <v>0.56816344768324634</v>
      </c>
      <c r="M99" s="270">
        <f t="shared" si="367"/>
        <v>0.60624000000000011</v>
      </c>
      <c r="O99" s="705">
        <v>41659</v>
      </c>
      <c r="P99" s="270"/>
      <c r="Q99" s="270"/>
      <c r="R99" s="270">
        <f t="shared" si="368"/>
        <v>0.56816344768324634</v>
      </c>
      <c r="S99" s="270">
        <f t="shared" si="369"/>
        <v>0.60624000000000011</v>
      </c>
      <c r="T99" s="705">
        <v>41659</v>
      </c>
      <c r="U99" s="291"/>
      <c r="V99" s="291"/>
      <c r="W99" s="291">
        <v>0.56816344768324634</v>
      </c>
      <c r="X99" s="291">
        <v>0.60624000000000011</v>
      </c>
      <c r="Z99" s="705">
        <v>41659</v>
      </c>
      <c r="AA99" s="707">
        <v>41659</v>
      </c>
      <c r="AB99" s="286"/>
      <c r="AC99" s="268">
        <v>0.20533074560342485</v>
      </c>
      <c r="AD99" s="291"/>
      <c r="AE99" s="291"/>
      <c r="AF99" s="267">
        <v>1.0855307456034244</v>
      </c>
      <c r="AG99" s="291"/>
      <c r="AH99" s="291"/>
      <c r="AI99" s="161">
        <v>1.7965307456034256</v>
      </c>
      <c r="AJ99" s="291">
        <v>0.56816344768324634</v>
      </c>
      <c r="AK99" s="291">
        <f t="shared" si="303"/>
        <v>193.92132322290306</v>
      </c>
      <c r="AL99" s="161">
        <v>1.4139307456034245</v>
      </c>
      <c r="AM99" s="291">
        <v>0.60624000000000011</v>
      </c>
      <c r="AN99" s="291">
        <f t="shared" si="304"/>
        <v>81.616936251424406</v>
      </c>
      <c r="AO99" s="705">
        <v>41659</v>
      </c>
      <c r="AP99" s="463">
        <v>0.77813976368219451</v>
      </c>
      <c r="AQ99" s="463">
        <v>1.8940050568081184</v>
      </c>
      <c r="AR99" s="463">
        <v>3.4131256421658267</v>
      </c>
      <c r="AS99" s="463">
        <v>1.3462809489876022</v>
      </c>
      <c r="AT99" s="463">
        <f t="shared" si="305"/>
        <v>2.779070584579266E-2</v>
      </c>
      <c r="AU99" s="463">
        <f t="shared" si="306"/>
        <v>3.2101780623866413E-2</v>
      </c>
      <c r="AV99" s="463">
        <f t="shared" si="307"/>
        <v>0.17065628210829134</v>
      </c>
      <c r="AW99" s="463">
        <f t="shared" si="308"/>
        <v>7.0856892051979065E-2</v>
      </c>
      <c r="AY99" s="268">
        <v>0.20533074560342485</v>
      </c>
      <c r="AZ99" s="267"/>
      <c r="BA99" s="161">
        <v>1.7965307456034256</v>
      </c>
      <c r="BB99" s="161">
        <v>1.4139307456034245</v>
      </c>
      <c r="BG99" s="134">
        <v>-1.7919655231675362E-3</v>
      </c>
      <c r="BH99" s="134">
        <v>0</v>
      </c>
      <c r="BJ99" s="508">
        <v>0</v>
      </c>
      <c r="BK99" s="508">
        <v>0</v>
      </c>
      <c r="BL99" s="508">
        <v>15.343625296907884</v>
      </c>
      <c r="BM99" s="508">
        <v>14.900979143061676</v>
      </c>
      <c r="BO99" s="705">
        <v>41659</v>
      </c>
      <c r="CH99" s="283"/>
      <c r="CI99" s="283"/>
      <c r="CJ99" s="283"/>
      <c r="CK99" s="283"/>
      <c r="CL99" s="283"/>
      <c r="CM99" s="283"/>
      <c r="CN99" s="283"/>
      <c r="CO99" s="283"/>
      <c r="CS99" s="705">
        <v>41659</v>
      </c>
      <c r="CV99" s="743">
        <v>0.498</v>
      </c>
      <c r="CW99" s="714">
        <v>0.626</v>
      </c>
      <c r="CY99" s="725"/>
      <c r="CZ99" s="725"/>
      <c r="DA99" s="727">
        <v>2.2817225296907884E-2</v>
      </c>
      <c r="DB99" s="736">
        <v>2.0963379143061678E-2</v>
      </c>
      <c r="DC99" s="463"/>
      <c r="DD99" s="463"/>
      <c r="DE99" s="463">
        <f t="shared" ref="DE99:DE146" si="383">(BA100-BA99)*100</f>
        <v>-2.225951006737148</v>
      </c>
      <c r="DF99" s="463">
        <f t="shared" ref="DF99:DF146" si="384">(BB100-BB99)*100</f>
        <v>-2.0359510067370579</v>
      </c>
      <c r="DG99" s="483"/>
      <c r="DH99" s="483"/>
      <c r="DI99" s="483">
        <f t="shared" si="262"/>
        <v>2.225951006737148</v>
      </c>
      <c r="DJ99" s="483">
        <f t="shared" si="263"/>
        <v>2.0359510067370579</v>
      </c>
      <c r="DK99" s="483"/>
      <c r="DL99" s="483"/>
      <c r="DM99" s="483">
        <f t="shared" si="329"/>
        <v>7.8658091547253672E-2</v>
      </c>
      <c r="DN99" s="483">
        <f t="shared" si="330"/>
        <v>6.1422538020249329E-2</v>
      </c>
      <c r="DO99" s="483"/>
      <c r="DP99" s="483">
        <f t="shared" si="316"/>
        <v>0</v>
      </c>
      <c r="DQ99" s="483">
        <f t="shared" si="317"/>
        <v>4.3772264516908015</v>
      </c>
      <c r="DR99" s="483">
        <f t="shared" si="318"/>
        <v>3.1263319529667957</v>
      </c>
      <c r="DS99" s="324"/>
      <c r="DT99" s="324"/>
      <c r="DU99" s="324">
        <v>0.74736000000000002</v>
      </c>
      <c r="DV99" s="324">
        <v>0.60624000000000011</v>
      </c>
      <c r="DW99" s="716"/>
      <c r="DX99" s="742">
        <f t="shared" si="382"/>
        <v>41659</v>
      </c>
      <c r="DY99" s="716"/>
      <c r="DZ99" s="324"/>
      <c r="EA99" s="324"/>
      <c r="EB99" s="269">
        <f t="shared" si="355"/>
        <v>1.4785910067371479</v>
      </c>
      <c r="EC99" s="716">
        <f t="shared" si="356"/>
        <v>1.4297110067370578</v>
      </c>
      <c r="ED99" s="716"/>
      <c r="EE99" s="324"/>
      <c r="EF99" s="324"/>
      <c r="EG99" s="269">
        <f t="shared" ref="EG99:EG131" si="385">EB99</f>
        <v>1.4785910067371479</v>
      </c>
      <c r="EH99" s="269">
        <f t="shared" ref="EH99:EH131" si="386">EC99</f>
        <v>1.4297110067370578</v>
      </c>
      <c r="EI99" s="716"/>
      <c r="EJ99" s="324"/>
      <c r="EK99" s="324"/>
      <c r="EL99" s="269">
        <f t="shared" ref="EL99:EL101" si="387">EG99</f>
        <v>1.4785910067371479</v>
      </c>
      <c r="EM99" s="269">
        <f t="shared" ref="EM99:EM101" si="388">EH99</f>
        <v>1.4297110067370578</v>
      </c>
      <c r="EN99" s="716"/>
      <c r="EO99" s="269">
        <v>0</v>
      </c>
      <c r="EP99" s="324"/>
      <c r="EQ99" s="269">
        <f t="shared" si="353"/>
        <v>0.1791965523167536</v>
      </c>
      <c r="ER99" s="269"/>
      <c r="ES99" s="716"/>
      <c r="ET99" s="269"/>
      <c r="EU99" s="324"/>
      <c r="EV99" s="718">
        <f t="shared" si="352"/>
        <v>61.16203477000218</v>
      </c>
      <c r="EW99" s="269"/>
      <c r="EX99" s="716"/>
      <c r="EY99" s="742">
        <v>41659</v>
      </c>
      <c r="EZ99" s="716"/>
      <c r="FA99" s="763"/>
      <c r="FB99" s="763"/>
      <c r="FC99" s="759">
        <f t="shared" si="370"/>
        <v>0.56816344768324645</v>
      </c>
      <c r="FD99" s="759">
        <f t="shared" si="276"/>
        <v>0.60624000000000011</v>
      </c>
      <c r="FE99" s="760"/>
      <c r="FF99" s="782">
        <v>41659</v>
      </c>
      <c r="FG99" s="760"/>
      <c r="FH99" s="767"/>
      <c r="FI99" s="767"/>
      <c r="FJ99" s="766">
        <f t="shared" si="371"/>
        <v>193.92132322290308</v>
      </c>
      <c r="FK99" s="766">
        <f t="shared" si="372"/>
        <v>81.616936251424406</v>
      </c>
      <c r="FL99" s="760"/>
      <c r="FM99" s="763"/>
      <c r="FN99" s="763"/>
      <c r="FO99" s="759">
        <f t="shared" si="373"/>
        <v>193.92132322290308</v>
      </c>
      <c r="FP99" s="859">
        <f t="shared" si="374"/>
        <v>81.616936251424406</v>
      </c>
      <c r="FQ99" s="760"/>
      <c r="FR99" s="763"/>
      <c r="FS99" s="763"/>
      <c r="FT99" s="759">
        <f t="shared" si="375"/>
        <v>256.56194899964242</v>
      </c>
      <c r="FU99" s="759">
        <f t="shared" si="376"/>
        <v>83.046647258161457</v>
      </c>
      <c r="FV99" s="761"/>
      <c r="FW99" s="762">
        <v>41659</v>
      </c>
      <c r="FX99" s="761"/>
      <c r="FY99" s="763"/>
      <c r="FZ99" s="763"/>
      <c r="GA99" s="759">
        <f t="shared" si="377"/>
        <v>359505.82236753544</v>
      </c>
      <c r="GB99" s="759">
        <f t="shared" si="378"/>
        <v>379316.81571256858</v>
      </c>
      <c r="GC99" s="760"/>
      <c r="GD99" s="763"/>
      <c r="GE99" s="763"/>
      <c r="GF99" s="759">
        <f t="shared" si="286"/>
        <v>0.96520461149589654</v>
      </c>
      <c r="GG99" s="759">
        <f t="shared" si="287"/>
        <v>0.98997688784389071</v>
      </c>
      <c r="GH99" s="716"/>
      <c r="GI99" s="763"/>
      <c r="GJ99" s="763"/>
      <c r="GK99" s="759">
        <f t="shared" si="379"/>
        <v>0.96520461149589654</v>
      </c>
      <c r="GL99" s="759">
        <f t="shared" si="380"/>
        <v>0.98997688784389071</v>
      </c>
      <c r="GM99" s="716"/>
    </row>
    <row r="100" spans="1:195" s="134" customFormat="1">
      <c r="A100" s="705">
        <v>41660</v>
      </c>
      <c r="B100" s="273"/>
      <c r="C100" s="286"/>
      <c r="D100" s="273"/>
      <c r="E100" s="274"/>
      <c r="F100" s="276">
        <v>0.59808424612383948</v>
      </c>
      <c r="G100" s="134">
        <v>0.48527999999999999</v>
      </c>
      <c r="I100" s="705">
        <v>41660</v>
      </c>
      <c r="J100" s="270"/>
      <c r="K100" s="270"/>
      <c r="L100" s="270">
        <f t="shared" si="366"/>
        <v>0.59808424612383948</v>
      </c>
      <c r="M100" s="270">
        <f t="shared" si="367"/>
        <v>0.48527999999999999</v>
      </c>
      <c r="O100" s="705">
        <v>41660</v>
      </c>
      <c r="P100" s="270"/>
      <c r="Q100" s="270"/>
      <c r="R100" s="270">
        <f t="shared" si="368"/>
        <v>0.59808424612383948</v>
      </c>
      <c r="S100" s="270">
        <f t="shared" si="369"/>
        <v>0.48527999999999999</v>
      </c>
      <c r="T100" s="705">
        <v>41660</v>
      </c>
      <c r="U100" s="291"/>
      <c r="V100" s="291"/>
      <c r="W100" s="291">
        <v>0.59808424612383948</v>
      </c>
      <c r="X100" s="291">
        <v>0.48527999999999999</v>
      </c>
      <c r="Z100" s="705">
        <v>41660</v>
      </c>
      <c r="AA100" s="707">
        <v>41660</v>
      </c>
      <c r="AB100" s="286"/>
      <c r="AC100" s="268">
        <v>0</v>
      </c>
      <c r="AD100" s="291"/>
      <c r="AE100" s="291"/>
      <c r="AF100" s="267">
        <v>0.68517123553605486</v>
      </c>
      <c r="AG100" s="291"/>
      <c r="AH100" s="291"/>
      <c r="AI100" s="161">
        <v>1.7742712355360541</v>
      </c>
      <c r="AJ100" s="291">
        <v>0.59808424612383948</v>
      </c>
      <c r="AK100" s="291">
        <f t="shared" si="303"/>
        <v>199.49270493915378</v>
      </c>
      <c r="AL100" s="161">
        <v>1.3935712355360539</v>
      </c>
      <c r="AM100" s="291">
        <v>0.48527999999999999</v>
      </c>
      <c r="AN100" s="291">
        <f t="shared" si="304"/>
        <v>62.34053882412946</v>
      </c>
      <c r="AO100" s="705">
        <v>41660</v>
      </c>
      <c r="AP100" s="463">
        <v>0.75346473830322525</v>
      </c>
      <c r="AQ100" s="463">
        <v>1.8591849381469081</v>
      </c>
      <c r="AR100" s="463">
        <v>3.335528501746337</v>
      </c>
      <c r="AS100" s="463">
        <v>1.2846302922875343</v>
      </c>
      <c r="AT100" s="463">
        <f t="shared" si="305"/>
        <v>2.69094549394009E-2</v>
      </c>
      <c r="AU100" s="463">
        <f t="shared" si="306"/>
        <v>3.1511609121134036E-2</v>
      </c>
      <c r="AV100" s="463">
        <f t="shared" si="307"/>
        <v>0.16677642508731685</v>
      </c>
      <c r="AW100" s="463">
        <f t="shared" si="308"/>
        <v>6.7612120646712334E-2</v>
      </c>
      <c r="AY100" s="268">
        <v>0</v>
      </c>
      <c r="AZ100" s="267"/>
      <c r="BA100" s="161">
        <v>1.7742712355360541</v>
      </c>
      <c r="BB100" s="161">
        <v>1.3935712355360539</v>
      </c>
      <c r="BG100" s="134">
        <v>-1.4495575387616047E-3</v>
      </c>
      <c r="BH100" s="134">
        <v>0</v>
      </c>
      <c r="BJ100" s="508">
        <v>0</v>
      </c>
      <c r="BK100" s="508">
        <v>0</v>
      </c>
      <c r="BL100" s="508">
        <v>15.762308821818454</v>
      </c>
      <c r="BM100" s="508">
        <v>16.586062667971792</v>
      </c>
      <c r="BO100" s="705">
        <v>41660</v>
      </c>
      <c r="CH100" s="283"/>
      <c r="CI100" s="283"/>
      <c r="CJ100" s="283"/>
      <c r="CK100" s="283"/>
      <c r="CL100" s="283"/>
      <c r="CM100" s="283"/>
      <c r="CN100" s="283"/>
      <c r="CO100" s="283"/>
      <c r="CS100" s="705">
        <v>41660</v>
      </c>
      <c r="CV100" s="743">
        <v>0.497</v>
      </c>
      <c r="CW100" s="714">
        <v>0.47599999999999998</v>
      </c>
      <c r="CY100" s="725"/>
      <c r="CZ100" s="725"/>
      <c r="DA100" s="727">
        <v>2.3192708821818453E-2</v>
      </c>
      <c r="DB100" s="736">
        <v>2.1438862667971792E-2</v>
      </c>
      <c r="DC100" s="463"/>
      <c r="DD100" s="463"/>
      <c r="DE100" s="463">
        <f t="shared" si="383"/>
        <v>-2.3926387921710202</v>
      </c>
      <c r="DF100" s="463">
        <f t="shared" si="384"/>
        <v>-2.172638792171</v>
      </c>
      <c r="DG100" s="483"/>
      <c r="DH100" s="483"/>
      <c r="DI100" s="483">
        <f t="shared" si="262"/>
        <v>2.3926387921710202</v>
      </c>
      <c r="DJ100" s="483">
        <f t="shared" si="263"/>
        <v>2.172638792171</v>
      </c>
      <c r="DK100" s="483"/>
      <c r="DL100" s="483"/>
      <c r="DM100" s="483">
        <f t="shared" si="329"/>
        <v>7.759714041948973E-2</v>
      </c>
      <c r="DN100" s="483">
        <f t="shared" si="330"/>
        <v>6.1650656700067863E-2</v>
      </c>
      <c r="DO100" s="483"/>
      <c r="DP100" s="483">
        <f t="shared" si="316"/>
        <v>0</v>
      </c>
      <c r="DQ100" s="483">
        <f t="shared" si="317"/>
        <v>4.6415482082303239</v>
      </c>
      <c r="DR100" s="483">
        <f t="shared" si="318"/>
        <v>3.3486152077346101</v>
      </c>
      <c r="DS100" s="324"/>
      <c r="DT100" s="324"/>
      <c r="DU100" s="324">
        <v>0.74303999999999992</v>
      </c>
      <c r="DV100" s="324">
        <v>0.48527999999999999</v>
      </c>
      <c r="DW100" s="716"/>
      <c r="DX100" s="742">
        <f t="shared" si="382"/>
        <v>41660</v>
      </c>
      <c r="DY100" s="716"/>
      <c r="DZ100" s="324"/>
      <c r="EA100" s="324"/>
      <c r="EB100" s="269">
        <f t="shared" si="355"/>
        <v>1.6495987921710202</v>
      </c>
      <c r="EC100" s="716">
        <f t="shared" si="356"/>
        <v>1.687358792171</v>
      </c>
      <c r="ED100" s="716"/>
      <c r="EE100" s="324"/>
      <c r="EF100" s="324"/>
      <c r="EG100" s="269">
        <f t="shared" si="385"/>
        <v>1.6495987921710202</v>
      </c>
      <c r="EH100" s="269">
        <f t="shared" si="386"/>
        <v>1.687358792171</v>
      </c>
      <c r="EI100" s="716"/>
      <c r="EJ100" s="324"/>
      <c r="EK100" s="324"/>
      <c r="EL100" s="269">
        <f t="shared" si="387"/>
        <v>1.6495987921710202</v>
      </c>
      <c r="EM100" s="269">
        <f t="shared" si="388"/>
        <v>1.687358792171</v>
      </c>
      <c r="EN100" s="716"/>
      <c r="EO100" s="269">
        <v>0</v>
      </c>
      <c r="EP100" s="324"/>
      <c r="EQ100" s="269">
        <f t="shared" si="353"/>
        <v>0.14495575387616047</v>
      </c>
      <c r="ER100" s="269"/>
      <c r="ES100" s="716"/>
      <c r="ET100" s="269"/>
      <c r="EU100" s="324"/>
      <c r="EV100" s="718">
        <f t="shared" si="352"/>
        <v>48.350404854606033</v>
      </c>
      <c r="EW100" s="269"/>
      <c r="EX100" s="716"/>
      <c r="EY100" s="742">
        <v>41660</v>
      </c>
      <c r="EZ100" s="716"/>
      <c r="FA100" s="763"/>
      <c r="FB100" s="763"/>
      <c r="FC100" s="759">
        <f t="shared" si="370"/>
        <v>0.59808424612383937</v>
      </c>
      <c r="FD100" s="759">
        <f t="shared" si="276"/>
        <v>0.48527999999999993</v>
      </c>
      <c r="FE100" s="760"/>
      <c r="FF100" s="782">
        <v>41660</v>
      </c>
      <c r="FG100" s="760"/>
      <c r="FH100" s="767"/>
      <c r="FI100" s="767"/>
      <c r="FJ100" s="766">
        <f t="shared" si="371"/>
        <v>199.49270493915375</v>
      </c>
      <c r="FK100" s="766">
        <f t="shared" si="372"/>
        <v>62.340538824129453</v>
      </c>
      <c r="FL100" s="760"/>
      <c r="FM100" s="763"/>
      <c r="FN100" s="763"/>
      <c r="FO100" s="759">
        <f t="shared" si="373"/>
        <v>199.49270493915375</v>
      </c>
      <c r="FP100" s="859">
        <f t="shared" si="374"/>
        <v>62.340538824129453</v>
      </c>
      <c r="FQ100" s="760"/>
      <c r="FR100" s="763"/>
      <c r="FS100" s="763"/>
      <c r="FT100" s="759">
        <f t="shared" si="375"/>
        <v>249.49270858593081</v>
      </c>
      <c r="FU100" s="759">
        <f t="shared" si="376"/>
        <v>64.02789761630045</v>
      </c>
      <c r="FV100" s="761"/>
      <c r="FW100" s="762">
        <v>41660</v>
      </c>
      <c r="FX100" s="761"/>
      <c r="FY100" s="763"/>
      <c r="FZ100" s="763"/>
      <c r="GA100" s="759">
        <f t="shared" si="377"/>
        <v>359755.31507612136</v>
      </c>
      <c r="GB100" s="759">
        <f t="shared" si="378"/>
        <v>379380.84361018491</v>
      </c>
      <c r="GC100" s="760"/>
      <c r="GD100" s="763"/>
      <c r="GE100" s="763"/>
      <c r="GF100" s="759">
        <f t="shared" si="286"/>
        <v>0.96587445186531218</v>
      </c>
      <c r="GG100" s="759">
        <f t="shared" si="287"/>
        <v>0.99014399390455488</v>
      </c>
      <c r="GH100" s="716"/>
      <c r="GI100" s="763"/>
      <c r="GJ100" s="763"/>
      <c r="GK100" s="759">
        <f t="shared" si="379"/>
        <v>0.96587445186531218</v>
      </c>
      <c r="GL100" s="759">
        <f t="shared" si="380"/>
        <v>0.99014399390455488</v>
      </c>
      <c r="GM100" s="716"/>
    </row>
    <row r="101" spans="1:195" s="134" customFormat="1">
      <c r="A101" s="705">
        <v>41661</v>
      </c>
      <c r="B101" s="273"/>
      <c r="C101" s="286"/>
      <c r="D101" s="273"/>
      <c r="E101" s="274"/>
      <c r="F101" s="276">
        <v>0.52868427880805713</v>
      </c>
      <c r="G101" s="134">
        <v>0.36144000000000004</v>
      </c>
      <c r="I101" s="705">
        <v>41661</v>
      </c>
      <c r="J101" s="270"/>
      <c r="K101" s="270"/>
      <c r="L101" s="270">
        <f t="shared" si="366"/>
        <v>0.52868427880805713</v>
      </c>
      <c r="M101" s="270">
        <f t="shared" si="367"/>
        <v>0.36144000000000004</v>
      </c>
      <c r="O101" s="705">
        <v>41661</v>
      </c>
      <c r="P101" s="270"/>
      <c r="Q101" s="270"/>
      <c r="R101" s="270">
        <f t="shared" si="368"/>
        <v>0.52868427880805713</v>
      </c>
      <c r="S101" s="270">
        <f t="shared" si="369"/>
        <v>0.36144000000000004</v>
      </c>
      <c r="T101" s="705">
        <v>41661</v>
      </c>
      <c r="U101" s="291"/>
      <c r="V101" s="291"/>
      <c r="W101" s="291">
        <v>0.52868427880805713</v>
      </c>
      <c r="X101" s="291">
        <v>0.36144000000000004</v>
      </c>
      <c r="Z101" s="705">
        <v>41661</v>
      </c>
      <c r="AA101" s="707">
        <v>41661</v>
      </c>
      <c r="AB101" s="286"/>
      <c r="AC101" s="268">
        <v>0</v>
      </c>
      <c r="AD101" s="291"/>
      <c r="AE101" s="291"/>
      <c r="AF101" s="267">
        <v>0.68514484761434402</v>
      </c>
      <c r="AG101" s="291"/>
      <c r="AH101" s="291"/>
      <c r="AI101" s="161">
        <v>1.7503448476143439</v>
      </c>
      <c r="AJ101" s="291">
        <v>0.52868427880805713</v>
      </c>
      <c r="AK101" s="291">
        <f t="shared" si="303"/>
        <v>172.44858601138</v>
      </c>
      <c r="AL101" s="161">
        <v>1.3718448476143439</v>
      </c>
      <c r="AM101" s="291">
        <v>0.36144000000000004</v>
      </c>
      <c r="AN101" s="291">
        <f t="shared" si="304"/>
        <v>44.320383972417581</v>
      </c>
      <c r="AO101" s="705">
        <v>41661</v>
      </c>
      <c r="AP101" s="463">
        <v>0</v>
      </c>
      <c r="AQ101" s="463">
        <v>0.49325930209035768</v>
      </c>
      <c r="AR101" s="463">
        <v>3.2618444111894762</v>
      </c>
      <c r="AS101" s="463">
        <v>1.2262169093741029</v>
      </c>
      <c r="AT101" s="463">
        <f t="shared" si="305"/>
        <v>0</v>
      </c>
      <c r="AU101" s="463">
        <f t="shared" si="306"/>
        <v>8.3603271540738586E-3</v>
      </c>
      <c r="AV101" s="463">
        <f t="shared" si="307"/>
        <v>0.16309222055947381</v>
      </c>
      <c r="AW101" s="463">
        <f t="shared" si="308"/>
        <v>6.4537732072321205E-2</v>
      </c>
      <c r="AY101" s="268">
        <v>0</v>
      </c>
      <c r="AZ101" s="267"/>
      <c r="BA101" s="161">
        <v>1.7503448476143439</v>
      </c>
      <c r="BB101" s="161">
        <v>1.3718448476143439</v>
      </c>
      <c r="BG101" s="134">
        <v>-1.0635572119194283E-3</v>
      </c>
      <c r="BH101" s="134">
        <v>0</v>
      </c>
      <c r="BJ101" s="508">
        <v>0</v>
      </c>
      <c r="BK101" s="508">
        <v>0</v>
      </c>
      <c r="BL101" s="508">
        <v>16.887068455766354</v>
      </c>
      <c r="BM101" s="508">
        <v>18.199991532689602</v>
      </c>
      <c r="BO101" s="705">
        <v>41661</v>
      </c>
      <c r="CH101" s="283"/>
      <c r="CI101" s="283"/>
      <c r="CJ101" s="283"/>
      <c r="CK101" s="283"/>
      <c r="CL101" s="283"/>
      <c r="CM101" s="283"/>
      <c r="CN101" s="283"/>
      <c r="CO101" s="283"/>
      <c r="CS101" s="705">
        <v>41661</v>
      </c>
      <c r="CV101" s="743">
        <v>0.34799999999999998</v>
      </c>
      <c r="CW101" s="714">
        <v>0.40400000000000003</v>
      </c>
      <c r="CY101" s="725"/>
      <c r="CZ101" s="725"/>
      <c r="DA101" s="727">
        <v>2.3237468455766352E-2</v>
      </c>
      <c r="DB101" s="736">
        <v>2.1814391532689603E-2</v>
      </c>
      <c r="DC101" s="463"/>
      <c r="DD101" s="463"/>
      <c r="DE101" s="463">
        <f t="shared" si="383"/>
        <v>-2.2486501006097726</v>
      </c>
      <c r="DF101" s="463">
        <f t="shared" si="384"/>
        <v>-2.1886501006097347</v>
      </c>
      <c r="DG101" s="483"/>
      <c r="DH101" s="483"/>
      <c r="DI101" s="483">
        <f t="shared" si="262"/>
        <v>2.2486501006097726</v>
      </c>
      <c r="DJ101" s="483">
        <f t="shared" si="263"/>
        <v>2.1886501006097347</v>
      </c>
      <c r="DK101" s="483"/>
      <c r="DL101" s="483"/>
      <c r="DM101" s="483">
        <f t="shared" si="329"/>
        <v>7.368409055686076E-2</v>
      </c>
      <c r="DN101" s="483">
        <f t="shared" si="330"/>
        <v>5.8413382913431455E-2</v>
      </c>
      <c r="DO101" s="483"/>
      <c r="DP101" s="483">
        <f t="shared" si="316"/>
        <v>0</v>
      </c>
      <c r="DQ101" s="483">
        <f t="shared" si="317"/>
        <v>4.1422434411006135</v>
      </c>
      <c r="DR101" s="483">
        <f t="shared" si="318"/>
        <v>3.1961614097609172</v>
      </c>
      <c r="DS101" s="324"/>
      <c r="DT101" s="324"/>
      <c r="DU101" s="324">
        <v>0.63504000000000005</v>
      </c>
      <c r="DV101" s="324">
        <v>0.36144000000000004</v>
      </c>
      <c r="DW101" s="716"/>
      <c r="DX101" s="742">
        <f t="shared" si="382"/>
        <v>41661</v>
      </c>
      <c r="DY101" s="716"/>
      <c r="DZ101" s="324"/>
      <c r="EA101" s="324"/>
      <c r="EB101" s="269">
        <f t="shared" si="355"/>
        <v>1.6136101006097725</v>
      </c>
      <c r="EC101" s="716">
        <f t="shared" si="356"/>
        <v>1.8272101006097348</v>
      </c>
      <c r="ED101" s="716"/>
      <c r="EE101" s="324"/>
      <c r="EF101" s="324"/>
      <c r="EG101" s="269">
        <f t="shared" si="385"/>
        <v>1.6136101006097725</v>
      </c>
      <c r="EH101" s="269">
        <f t="shared" si="386"/>
        <v>1.8272101006097348</v>
      </c>
      <c r="EI101" s="716"/>
      <c r="EJ101" s="324"/>
      <c r="EK101" s="324"/>
      <c r="EL101" s="269">
        <f t="shared" si="387"/>
        <v>1.6136101006097725</v>
      </c>
      <c r="EM101" s="269">
        <f t="shared" si="388"/>
        <v>1.8272101006097348</v>
      </c>
      <c r="EN101" s="716"/>
      <c r="EO101" s="269">
        <v>0</v>
      </c>
      <c r="EP101" s="324"/>
      <c r="EQ101" s="269">
        <f t="shared" si="353"/>
        <v>0.10635572119194284</v>
      </c>
      <c r="ER101" s="269"/>
      <c r="ES101" s="716"/>
      <c r="ET101" s="269"/>
      <c r="EU101" s="324"/>
      <c r="EV101" s="718">
        <f t="shared" si="352"/>
        <v>34.691581476796486</v>
      </c>
      <c r="EW101" s="269"/>
      <c r="EX101" s="716"/>
      <c r="EY101" s="742">
        <v>41661</v>
      </c>
      <c r="EZ101" s="716"/>
      <c r="FA101" s="763"/>
      <c r="FB101" s="763"/>
      <c r="FC101" s="759">
        <f t="shared" si="370"/>
        <v>0.52868427880805724</v>
      </c>
      <c r="FD101" s="759">
        <f t="shared" si="276"/>
        <v>0.36143999999999998</v>
      </c>
      <c r="FE101" s="760"/>
      <c r="FF101" s="782">
        <v>41661</v>
      </c>
      <c r="FG101" s="760"/>
      <c r="FH101" s="767"/>
      <c r="FI101" s="767"/>
      <c r="FJ101" s="766">
        <f t="shared" si="371"/>
        <v>172.44858601138003</v>
      </c>
      <c r="FK101" s="766">
        <f t="shared" si="372"/>
        <v>44.320383972417567</v>
      </c>
      <c r="FL101" s="760"/>
      <c r="FM101" s="763"/>
      <c r="FN101" s="763"/>
      <c r="FO101" s="759">
        <f t="shared" si="373"/>
        <v>172.44858601138003</v>
      </c>
      <c r="FP101" s="859">
        <f t="shared" si="374"/>
        <v>44.320383972417567</v>
      </c>
      <c r="FQ101" s="760"/>
      <c r="FR101" s="763"/>
      <c r="FS101" s="763"/>
      <c r="FT101" s="759">
        <f t="shared" si="375"/>
        <v>208.75377758878631</v>
      </c>
      <c r="FU101" s="759">
        <f t="shared" si="376"/>
        <v>46.1475940730273</v>
      </c>
      <c r="FV101" s="761"/>
      <c r="FW101" s="762">
        <v>41661</v>
      </c>
      <c r="FX101" s="761"/>
      <c r="FY101" s="763"/>
      <c r="FZ101" s="763"/>
      <c r="GA101" s="759">
        <f t="shared" si="377"/>
        <v>359964.06885371014</v>
      </c>
      <c r="GB101" s="759">
        <f t="shared" si="378"/>
        <v>379426.99120425794</v>
      </c>
      <c r="GC101" s="760"/>
      <c r="GD101" s="763"/>
      <c r="GE101" s="763"/>
      <c r="GF101" s="759">
        <f t="shared" si="286"/>
        <v>0.96643491596981257</v>
      </c>
      <c r="GG101" s="759">
        <f t="shared" si="287"/>
        <v>0.99026443425855315</v>
      </c>
      <c r="GH101" s="716"/>
      <c r="GI101" s="763"/>
      <c r="GJ101" s="763"/>
      <c r="GK101" s="759">
        <f t="shared" si="379"/>
        <v>0.96643491596981257</v>
      </c>
      <c r="GL101" s="759">
        <f t="shared" si="380"/>
        <v>0.99026443425855315</v>
      </c>
      <c r="GM101" s="716"/>
    </row>
    <row r="102" spans="1:195" s="134" customFormat="1">
      <c r="A102" s="705">
        <v>41662</v>
      </c>
      <c r="B102" s="273"/>
      <c r="C102" s="286"/>
      <c r="D102" s="273"/>
      <c r="E102" s="274"/>
      <c r="F102" s="276">
        <v>4.4321294862278964E-3</v>
      </c>
      <c r="G102" s="134">
        <v>6.3072000000000003E-2</v>
      </c>
      <c r="I102" s="705">
        <v>41662</v>
      </c>
      <c r="J102" s="270"/>
      <c r="K102" s="270"/>
      <c r="L102" s="270">
        <f t="shared" si="366"/>
        <v>4.4321294862278964E-3</v>
      </c>
      <c r="M102" s="270">
        <f t="shared" si="367"/>
        <v>6.3072000000000003E-2</v>
      </c>
      <c r="O102" s="705">
        <v>41662</v>
      </c>
      <c r="P102" s="270"/>
      <c r="Q102" s="270"/>
      <c r="R102" s="270">
        <f t="shared" si="368"/>
        <v>4.4321294862278964E-3</v>
      </c>
      <c r="S102" s="270">
        <f t="shared" si="369"/>
        <v>6.3072000000000003E-2</v>
      </c>
      <c r="T102" s="705">
        <v>41662</v>
      </c>
      <c r="U102" s="291"/>
      <c r="V102" s="291"/>
      <c r="W102" s="291">
        <v>4.4321294862278964E-3</v>
      </c>
      <c r="X102" s="291">
        <v>6.3072000000000003E-2</v>
      </c>
      <c r="Z102" s="705">
        <v>41662</v>
      </c>
      <c r="AA102" s="707">
        <v>41662</v>
      </c>
      <c r="AB102" s="286"/>
      <c r="AC102" s="268">
        <v>0</v>
      </c>
      <c r="AD102" s="291"/>
      <c r="AE102" s="291"/>
      <c r="AF102" s="267">
        <v>0.6803583466082459</v>
      </c>
      <c r="AG102" s="291"/>
      <c r="AH102" s="291"/>
      <c r="AI102" s="161">
        <v>1.7278583466082462</v>
      </c>
      <c r="AJ102" s="291">
        <v>4.4321294862278964E-3</v>
      </c>
      <c r="AK102" s="291">
        <f t="shared" si="303"/>
        <v>1.4109483536325369</v>
      </c>
      <c r="AL102" s="161">
        <v>1.3499583466082465</v>
      </c>
      <c r="AM102" s="291">
        <v>6.3072000000000003E-2</v>
      </c>
      <c r="AN102" s="291">
        <f t="shared" si="304"/>
        <v>7.3537328526074459</v>
      </c>
      <c r="AO102" s="705">
        <v>41662</v>
      </c>
      <c r="AP102" s="463">
        <v>0</v>
      </c>
      <c r="AQ102" s="463">
        <v>0.49320452669099524</v>
      </c>
      <c r="AR102" s="463">
        <v>3.1834547208442885</v>
      </c>
      <c r="AS102" s="463">
        <v>1.1659266953017895</v>
      </c>
      <c r="AT102" s="463">
        <f t="shared" si="305"/>
        <v>0</v>
      </c>
      <c r="AU102" s="463">
        <f t="shared" si="306"/>
        <v>8.3593987574744951E-3</v>
      </c>
      <c r="AV102" s="463">
        <f t="shared" si="307"/>
        <v>0.15917273604221444</v>
      </c>
      <c r="AW102" s="463">
        <f t="shared" si="308"/>
        <v>6.13645629106205E-2</v>
      </c>
      <c r="AY102" s="268">
        <v>0</v>
      </c>
      <c r="AZ102" s="267"/>
      <c r="BA102" s="161">
        <v>1.7278583466082462</v>
      </c>
      <c r="BB102" s="161">
        <v>1.3499583466082465</v>
      </c>
      <c r="BG102" s="134">
        <v>-6.8287870513772104E-4</v>
      </c>
      <c r="BH102" s="134">
        <v>0</v>
      </c>
      <c r="BJ102" s="508">
        <v>0</v>
      </c>
      <c r="BK102" s="508">
        <v>0</v>
      </c>
      <c r="BL102" s="508">
        <v>21.375411633211034</v>
      </c>
      <c r="BM102" s="508">
        <v>21.841122402441712</v>
      </c>
      <c r="BO102" s="705">
        <v>41662</v>
      </c>
      <c r="CH102" s="283"/>
      <c r="CI102" s="283"/>
      <c r="CJ102" s="283"/>
      <c r="CK102" s="283"/>
      <c r="CL102" s="283"/>
      <c r="CM102" s="283"/>
      <c r="CN102" s="283"/>
      <c r="CO102" s="283"/>
      <c r="CS102" s="705">
        <v>41662</v>
      </c>
      <c r="CV102" s="743">
        <v>0.628</v>
      </c>
      <c r="CW102" s="714">
        <v>2.1999999999999999E-2</v>
      </c>
      <c r="CY102" s="725"/>
      <c r="CZ102" s="725"/>
      <c r="DA102" s="727">
        <v>2.2102611633211033E-2</v>
      </c>
      <c r="DB102" s="736">
        <v>2.2471842402441711E-2</v>
      </c>
      <c r="DC102" s="463"/>
      <c r="DD102" s="463"/>
      <c r="DE102" s="463">
        <f t="shared" si="383"/>
        <v>-2.1544376398248133</v>
      </c>
      <c r="DF102" s="463">
        <f t="shared" si="384"/>
        <v>-2.2344376398248045</v>
      </c>
      <c r="DG102" s="483"/>
      <c r="DH102" s="483"/>
      <c r="DI102" s="483">
        <f t="shared" si="262"/>
        <v>2.1544376398248133</v>
      </c>
      <c r="DJ102" s="483">
        <f t="shared" si="263"/>
        <v>2.2344376398248045</v>
      </c>
      <c r="DK102" s="483"/>
      <c r="DL102" s="483"/>
      <c r="DM102" s="483">
        <f t="shared" si="329"/>
        <v>7.8389690345187724E-2</v>
      </c>
      <c r="DN102" s="483">
        <f t="shared" si="330"/>
        <v>6.0290214072313386E-2</v>
      </c>
      <c r="DO102" s="483"/>
      <c r="DP102" s="483">
        <f t="shared" si="316"/>
        <v>0</v>
      </c>
      <c r="DQ102" s="483">
        <f t="shared" si="317"/>
        <v>4.2221424863471047</v>
      </c>
      <c r="DR102" s="483">
        <f t="shared" si="318"/>
        <v>3.3678680909068031</v>
      </c>
      <c r="DS102" s="324"/>
      <c r="DT102" s="324"/>
      <c r="DU102" s="324"/>
      <c r="DV102" s="324"/>
      <c r="DW102" s="716"/>
      <c r="DX102" s="742">
        <f t="shared" si="382"/>
        <v>41662</v>
      </c>
      <c r="DY102" s="716"/>
      <c r="DZ102" s="324"/>
      <c r="EA102" s="324"/>
      <c r="EB102" s="269"/>
      <c r="EC102" s="716"/>
      <c r="ED102" s="716"/>
      <c r="EE102" s="324"/>
      <c r="EF102" s="324"/>
      <c r="EG102" s="267">
        <f>AVERAGE(EG101,EG103)</f>
        <v>1.7395662976360859</v>
      </c>
      <c r="EH102" s="267">
        <f>AVERAGE(EH101,EH103)</f>
        <v>1.8118862976360903</v>
      </c>
      <c r="EI102" s="716"/>
      <c r="EJ102" s="324"/>
      <c r="EK102" s="324"/>
      <c r="EL102" s="267">
        <f>AVERAGE(EL101,EL103)</f>
        <v>1.7395662976360859</v>
      </c>
      <c r="EM102" s="267">
        <f>AVERAGE(EM101,EM103)</f>
        <v>1.8118862976360903</v>
      </c>
      <c r="EN102" s="716"/>
      <c r="EO102" s="269">
        <v>0</v>
      </c>
      <c r="EP102" s="324"/>
      <c r="EQ102" s="269">
        <f t="shared" si="353"/>
        <v>6.8287870513772109E-2</v>
      </c>
      <c r="ER102" s="269"/>
      <c r="ES102" s="716"/>
      <c r="ET102" s="269"/>
      <c r="EU102" s="324"/>
      <c r="EV102" s="718">
        <f t="shared" si="352"/>
        <v>21.739134376347128</v>
      </c>
      <c r="EW102" s="269"/>
      <c r="EX102" s="716"/>
      <c r="EY102" s="742">
        <v>41662</v>
      </c>
      <c r="EZ102" s="716"/>
      <c r="FA102" s="763"/>
      <c r="FB102" s="763"/>
      <c r="FC102" s="759">
        <f t="shared" si="370"/>
        <v>0.34658347167495518</v>
      </c>
      <c r="FD102" s="759">
        <f t="shared" si="276"/>
        <v>0.42255134218871415</v>
      </c>
      <c r="FE102" s="760"/>
      <c r="FF102" s="782">
        <v>41662</v>
      </c>
      <c r="FG102" s="760"/>
      <c r="FH102" s="767"/>
      <c r="FI102" s="767"/>
      <c r="FJ102" s="766">
        <f t="shared" si="371"/>
        <v>110.33327890702388</v>
      </c>
      <c r="FK102" s="766">
        <f t="shared" si="372"/>
        <v>49.266388999342311</v>
      </c>
      <c r="FL102" s="760"/>
      <c r="FM102" s="763"/>
      <c r="FN102" s="763"/>
      <c r="FO102" s="759">
        <f t="shared" si="373"/>
        <v>110.33327890702388</v>
      </c>
      <c r="FP102" s="859">
        <f t="shared" si="374"/>
        <v>49.266388999342311</v>
      </c>
      <c r="FQ102" s="760"/>
      <c r="FR102" s="763"/>
      <c r="FS102" s="763"/>
      <c r="FT102" s="759">
        <f t="shared" si="375"/>
        <v>133.81197958100711</v>
      </c>
      <c r="FU102" s="759">
        <f t="shared" si="376"/>
        <v>51.078275296978404</v>
      </c>
      <c r="FV102" s="761"/>
      <c r="FW102" s="762">
        <v>41662</v>
      </c>
      <c r="FX102" s="761"/>
      <c r="FY102" s="763"/>
      <c r="FZ102" s="763"/>
      <c r="GA102" s="759">
        <f t="shared" si="377"/>
        <v>360097.88083329116</v>
      </c>
      <c r="GB102" s="759">
        <f t="shared" si="378"/>
        <v>379478.06947955489</v>
      </c>
      <c r="GC102" s="760"/>
      <c r="GD102" s="763"/>
      <c r="GE102" s="763"/>
      <c r="GF102" s="759">
        <f t="shared" si="286"/>
        <v>0.96679417563051684</v>
      </c>
      <c r="GG102" s="759">
        <f t="shared" si="287"/>
        <v>0.99039774317057672</v>
      </c>
      <c r="GH102" s="716"/>
      <c r="GI102" s="763"/>
      <c r="GJ102" s="763"/>
      <c r="GK102" s="759">
        <f t="shared" si="379"/>
        <v>0.96679417563051684</v>
      </c>
      <c r="GL102" s="759">
        <f t="shared" si="380"/>
        <v>0.99039774317057672</v>
      </c>
      <c r="GM102" s="716"/>
    </row>
    <row r="103" spans="1:195" s="134" customFormat="1">
      <c r="A103" s="705">
        <v>41663</v>
      </c>
      <c r="B103" s="273"/>
      <c r="C103" s="286"/>
      <c r="D103" s="273"/>
      <c r="E103" s="274"/>
      <c r="F103" s="276">
        <v>0.34718426852914031</v>
      </c>
      <c r="G103" s="134">
        <v>0.42624000000000006</v>
      </c>
      <c r="I103" s="705">
        <v>41663</v>
      </c>
      <c r="J103" s="270"/>
      <c r="K103" s="270"/>
      <c r="L103" s="270">
        <f t="shared" si="366"/>
        <v>0.34718426852914031</v>
      </c>
      <c r="M103" s="270">
        <f t="shared" si="367"/>
        <v>0.42624000000000006</v>
      </c>
      <c r="O103" s="705">
        <v>41663</v>
      </c>
      <c r="P103" s="270"/>
      <c r="Q103" s="270"/>
      <c r="R103" s="270">
        <f t="shared" si="368"/>
        <v>0.34718426852914031</v>
      </c>
      <c r="S103" s="270">
        <f t="shared" si="369"/>
        <v>0.42624000000000006</v>
      </c>
      <c r="T103" s="705">
        <v>41663</v>
      </c>
      <c r="U103" s="291"/>
      <c r="V103" s="291"/>
      <c r="W103" s="291">
        <v>0.34718426852914031</v>
      </c>
      <c r="X103" s="291">
        <v>0.42624000000000006</v>
      </c>
      <c r="Z103" s="705">
        <v>41663</v>
      </c>
      <c r="AA103" s="707">
        <v>41663</v>
      </c>
      <c r="AB103" s="286"/>
      <c r="AC103" s="268">
        <v>0</v>
      </c>
      <c r="AD103" s="291"/>
      <c r="AE103" s="291"/>
      <c r="AF103" s="267">
        <v>0.67871397020999935</v>
      </c>
      <c r="AG103" s="291"/>
      <c r="AH103" s="291"/>
      <c r="AI103" s="161">
        <v>1.7063139702099981</v>
      </c>
      <c r="AJ103" s="291">
        <v>0.34718426852914031</v>
      </c>
      <c r="AK103" s="291">
        <f t="shared" si="303"/>
        <v>107.99345872288994</v>
      </c>
      <c r="AL103" s="161">
        <v>1.3276139702099985</v>
      </c>
      <c r="AM103" s="291">
        <v>0.42624000000000006</v>
      </c>
      <c r="AN103" s="291">
        <f t="shared" si="304"/>
        <v>47.197019273819365</v>
      </c>
      <c r="AO103" s="705">
        <v>41663</v>
      </c>
      <c r="AP103" s="463">
        <v>0</v>
      </c>
      <c r="AQ103" s="463">
        <v>0.48333441773146696</v>
      </c>
      <c r="AR103" s="463">
        <v>3.1105516151526231</v>
      </c>
      <c r="AS103" s="463">
        <v>1.107287426656798</v>
      </c>
      <c r="AT103" s="463">
        <f t="shared" si="305"/>
        <v>0</v>
      </c>
      <c r="AU103" s="463">
        <f t="shared" si="306"/>
        <v>8.1921087751096102E-3</v>
      </c>
      <c r="AV103" s="463">
        <f t="shared" si="307"/>
        <v>0.15552758075763115</v>
      </c>
      <c r="AW103" s="463">
        <f t="shared" si="308"/>
        <v>5.8278285613515689E-2</v>
      </c>
      <c r="AY103" s="268">
        <v>0</v>
      </c>
      <c r="AZ103" s="267"/>
      <c r="BA103" s="161">
        <v>1.7063139702099981</v>
      </c>
      <c r="BB103" s="161">
        <v>1.3276139702099985</v>
      </c>
      <c r="BG103" s="134">
        <v>-3.0095731470859715E-4</v>
      </c>
      <c r="BH103" s="134">
        <v>0</v>
      </c>
      <c r="BJ103" s="508">
        <v>0</v>
      </c>
      <c r="BK103" s="508">
        <v>0</v>
      </c>
      <c r="BL103" s="508">
        <v>17.951118699691591</v>
      </c>
      <c r="BM103" s="508">
        <v>18.023057161230092</v>
      </c>
      <c r="BO103" s="705">
        <v>41663</v>
      </c>
      <c r="CH103" s="283"/>
      <c r="CI103" s="283"/>
      <c r="CJ103" s="283"/>
      <c r="CK103" s="283"/>
      <c r="CL103" s="283"/>
      <c r="CM103" s="283"/>
      <c r="CN103" s="283"/>
      <c r="CO103" s="283"/>
      <c r="CS103" s="705">
        <v>41663</v>
      </c>
      <c r="CV103" s="743">
        <v>0.252</v>
      </c>
      <c r="CW103" s="714">
        <v>0.50800000000000001</v>
      </c>
      <c r="CY103" s="725"/>
      <c r="CZ103" s="725"/>
      <c r="DA103" s="727">
        <v>2.1723918699691591E-2</v>
      </c>
      <c r="DB103" s="736">
        <v>2.2285457161230093E-2</v>
      </c>
      <c r="DC103" s="463"/>
      <c r="DD103" s="463"/>
      <c r="DE103" s="463">
        <f t="shared" si="383"/>
        <v>-2.2428024946623992</v>
      </c>
      <c r="DF103" s="463">
        <f t="shared" si="384"/>
        <v>-2.2228024946624458</v>
      </c>
      <c r="DG103" s="483"/>
      <c r="DH103" s="483"/>
      <c r="DI103" s="483">
        <f t="shared" si="262"/>
        <v>2.2428024946623992</v>
      </c>
      <c r="DJ103" s="483">
        <f t="shared" si="263"/>
        <v>2.2228024946624458</v>
      </c>
      <c r="DK103" s="483"/>
      <c r="DL103" s="483"/>
      <c r="DM103" s="483">
        <f t="shared" si="329"/>
        <v>7.290310569166536E-2</v>
      </c>
      <c r="DN103" s="483">
        <f t="shared" si="330"/>
        <v>5.8639268644991471E-2</v>
      </c>
      <c r="DO103" s="483"/>
      <c r="DP103" s="483">
        <f t="shared" si="316"/>
        <v>0</v>
      </c>
      <c r="DQ103" s="483">
        <f t="shared" si="317"/>
        <v>4.0876816828475908</v>
      </c>
      <c r="DR103" s="483">
        <f t="shared" si="318"/>
        <v>3.2585878157317092</v>
      </c>
      <c r="DS103" s="324"/>
      <c r="DT103" s="324"/>
      <c r="DU103" s="324">
        <v>0.37727999999999995</v>
      </c>
      <c r="DV103" s="324">
        <v>0.42624000000000006</v>
      </c>
      <c r="DW103" s="716"/>
      <c r="DX103" s="742">
        <f t="shared" si="382"/>
        <v>41663</v>
      </c>
      <c r="DY103" s="716"/>
      <c r="DZ103" s="324"/>
      <c r="EA103" s="324"/>
      <c r="EB103" s="269">
        <f t="shared" ref="EB103:EB129" si="389">-DE103-DU103</f>
        <v>1.8655224946623994</v>
      </c>
      <c r="EC103" s="716">
        <f t="shared" ref="EC103:EC129" si="390">-DF103-DV103</f>
        <v>1.7965624946624459</v>
      </c>
      <c r="ED103" s="716"/>
      <c r="EE103" s="324"/>
      <c r="EF103" s="324"/>
      <c r="EG103" s="269">
        <f t="shared" si="385"/>
        <v>1.8655224946623994</v>
      </c>
      <c r="EH103" s="269">
        <f t="shared" si="386"/>
        <v>1.7965624946624459</v>
      </c>
      <c r="EI103" s="716"/>
      <c r="EJ103" s="324"/>
      <c r="EK103" s="324"/>
      <c r="EL103" s="269">
        <f t="shared" ref="EL103:EL131" si="391">EG103</f>
        <v>1.8655224946623994</v>
      </c>
      <c r="EM103" s="269">
        <f t="shared" ref="EM103:EM131" si="392">EH103</f>
        <v>1.7965624946624459</v>
      </c>
      <c r="EN103" s="716"/>
      <c r="EO103" s="269">
        <v>0</v>
      </c>
      <c r="EP103" s="324"/>
      <c r="EQ103" s="269">
        <f t="shared" si="353"/>
        <v>3.0095731470859716E-2</v>
      </c>
      <c r="ER103" s="269"/>
      <c r="ES103" s="716"/>
      <c r="ET103" s="269"/>
      <c r="EU103" s="324"/>
      <c r="EV103" s="718">
        <f t="shared" si="352"/>
        <v>9.3614326135882315</v>
      </c>
      <c r="EW103" s="269"/>
      <c r="EX103" s="716"/>
      <c r="EY103" s="742">
        <v>41663</v>
      </c>
      <c r="EZ103" s="716"/>
      <c r="FA103" s="763"/>
      <c r="FB103" s="763"/>
      <c r="FC103" s="759">
        <f t="shared" si="370"/>
        <v>0.34718426852914019</v>
      </c>
      <c r="FD103" s="759">
        <f t="shared" si="276"/>
        <v>0.42623999999999995</v>
      </c>
      <c r="FE103" s="760"/>
      <c r="FF103" s="782">
        <v>41663</v>
      </c>
      <c r="FG103" s="760"/>
      <c r="FH103" s="767"/>
      <c r="FI103" s="767"/>
      <c r="FJ103" s="766">
        <f t="shared" si="371"/>
        <v>107.99345872288991</v>
      </c>
      <c r="FK103" s="766">
        <f t="shared" si="372"/>
        <v>47.197019273819357</v>
      </c>
      <c r="FL103" s="760"/>
      <c r="FM103" s="763"/>
      <c r="FN103" s="763"/>
      <c r="FO103" s="759">
        <f t="shared" si="373"/>
        <v>107.99345872288991</v>
      </c>
      <c r="FP103" s="859">
        <f t="shared" si="374"/>
        <v>47.197019273819357</v>
      </c>
      <c r="FQ103" s="760"/>
      <c r="FR103" s="763"/>
      <c r="FS103" s="763"/>
      <c r="FT103" s="759">
        <f t="shared" si="375"/>
        <v>119.22041383114055</v>
      </c>
      <c r="FU103" s="759">
        <f t="shared" si="376"/>
        <v>48.993581768481803</v>
      </c>
      <c r="FV103" s="761"/>
      <c r="FW103" s="762">
        <v>41663</v>
      </c>
      <c r="FX103" s="761"/>
      <c r="FY103" s="763"/>
      <c r="FZ103" s="763"/>
      <c r="GA103" s="759">
        <f t="shared" si="377"/>
        <v>360217.10124712228</v>
      </c>
      <c r="GB103" s="759">
        <f t="shared" si="378"/>
        <v>379527.06306132337</v>
      </c>
      <c r="GC103" s="760"/>
      <c r="GD103" s="763"/>
      <c r="GE103" s="763"/>
      <c r="GF103" s="759">
        <f t="shared" si="286"/>
        <v>0.9671142597183251</v>
      </c>
      <c r="GG103" s="759">
        <f t="shared" si="287"/>
        <v>0.99052561125233407</v>
      </c>
      <c r="GH103" s="716"/>
      <c r="GI103" s="763"/>
      <c r="GJ103" s="763"/>
      <c r="GK103" s="759">
        <f t="shared" si="379"/>
        <v>0.9671142597183251</v>
      </c>
      <c r="GL103" s="759">
        <f t="shared" si="380"/>
        <v>0.99052561125233407</v>
      </c>
      <c r="GM103" s="716"/>
    </row>
    <row r="104" spans="1:195" s="134" customFormat="1">
      <c r="A104" s="705">
        <v>41664</v>
      </c>
      <c r="B104" s="273"/>
      <c r="C104" s="286"/>
      <c r="D104" s="273"/>
      <c r="E104" s="276"/>
      <c r="F104" s="276">
        <v>-0.47808</v>
      </c>
      <c r="G104" s="134">
        <v>1.0396800000000002</v>
      </c>
      <c r="I104" s="705">
        <v>41664</v>
      </c>
      <c r="J104" s="270"/>
      <c r="K104" s="270"/>
      <c r="L104" s="270">
        <f t="shared" si="366"/>
        <v>-0.47808</v>
      </c>
      <c r="M104" s="270">
        <f t="shared" si="367"/>
        <v>1.0396800000000002</v>
      </c>
      <c r="O104" s="705">
        <v>41664</v>
      </c>
      <c r="P104" s="270"/>
      <c r="Q104" s="270"/>
      <c r="R104" s="270">
        <f t="shared" si="368"/>
        <v>-0.47808</v>
      </c>
      <c r="S104" s="270">
        <f t="shared" si="369"/>
        <v>1.0396800000000002</v>
      </c>
      <c r="T104" s="705">
        <v>41664</v>
      </c>
      <c r="U104" s="291"/>
      <c r="V104" s="291"/>
      <c r="W104" s="291">
        <v>-0.47808</v>
      </c>
      <c r="X104" s="291">
        <v>1.0396800000000002</v>
      </c>
      <c r="Z104" s="705">
        <v>41664</v>
      </c>
      <c r="AA104" s="707">
        <v>41664</v>
      </c>
      <c r="AB104" s="286"/>
      <c r="AC104" s="268">
        <v>0</v>
      </c>
      <c r="AD104" s="291"/>
      <c r="AE104" s="291"/>
      <c r="AF104" s="267">
        <v>0.67948594526337458</v>
      </c>
      <c r="AG104" s="291"/>
      <c r="AH104" s="291"/>
      <c r="AI104" s="161">
        <v>1.6838859452633741</v>
      </c>
      <c r="AJ104" s="291">
        <v>-0.47808</v>
      </c>
      <c r="AK104" s="291">
        <f t="shared" si="303"/>
        <v>-145.40343841675963</v>
      </c>
      <c r="AL104" s="161">
        <v>1.305385945263374</v>
      </c>
      <c r="AM104" s="291">
        <v>1.0396800000000002</v>
      </c>
      <c r="AN104" s="291">
        <f t="shared" si="304"/>
        <v>109.11949456460688</v>
      </c>
      <c r="AO104" s="705">
        <v>41664</v>
      </c>
      <c r="AP104" s="463">
        <v>0</v>
      </c>
      <c r="AQ104" s="463">
        <v>0.47997362090522255</v>
      </c>
      <c r="AR104" s="463">
        <v>3.0414039160132118</v>
      </c>
      <c r="AS104" s="463">
        <v>1.0495488473819528</v>
      </c>
      <c r="AT104" s="463">
        <f t="shared" si="305"/>
        <v>0</v>
      </c>
      <c r="AU104" s="463">
        <f t="shared" si="306"/>
        <v>8.1351461170376706E-3</v>
      </c>
      <c r="AV104" s="463">
        <f t="shared" si="307"/>
        <v>0.15207019580066058</v>
      </c>
      <c r="AW104" s="463">
        <f t="shared" si="308"/>
        <v>5.5239413020102775E-2</v>
      </c>
      <c r="AY104" s="268">
        <v>0</v>
      </c>
      <c r="AZ104" s="267"/>
      <c r="BA104" s="161">
        <v>1.6838859452633741</v>
      </c>
      <c r="BB104" s="161">
        <v>1.305385945263374</v>
      </c>
      <c r="BG104" s="134">
        <v>0</v>
      </c>
      <c r="BH104" s="134">
        <v>0</v>
      </c>
      <c r="BJ104" s="508">
        <v>0</v>
      </c>
      <c r="BK104" s="508">
        <v>0</v>
      </c>
      <c r="BL104" s="508">
        <v>25.013630416590189</v>
      </c>
      <c r="BM104" s="508">
        <v>12.236030416590364</v>
      </c>
      <c r="BO104" s="705">
        <v>41664</v>
      </c>
      <c r="CH104" s="283"/>
      <c r="CI104" s="283"/>
      <c r="CJ104" s="283"/>
      <c r="CK104" s="283"/>
      <c r="CL104" s="283"/>
      <c r="CM104" s="283"/>
      <c r="CN104" s="283"/>
      <c r="CO104" s="283"/>
      <c r="CS104" s="705">
        <v>41664</v>
      </c>
      <c r="CV104" s="743">
        <v>0.315</v>
      </c>
      <c r="CW104" s="714">
        <v>-0.89500000000000002</v>
      </c>
      <c r="CY104" s="725"/>
      <c r="CZ104" s="725"/>
      <c r="DA104" s="727">
        <v>2.0232830416590186E-2</v>
      </c>
      <c r="DB104" s="736">
        <v>2.2632830416590366E-2</v>
      </c>
      <c r="DC104" s="463"/>
      <c r="DD104" s="463"/>
      <c r="DE104" s="463">
        <f t="shared" si="383"/>
        <v>-2.0428425391509464</v>
      </c>
      <c r="DF104" s="463">
        <f t="shared" si="384"/>
        <v>-2.2428425391510132</v>
      </c>
      <c r="DG104" s="483"/>
      <c r="DH104" s="483"/>
      <c r="DI104" s="483">
        <f t="shared" si="262"/>
        <v>2.0428425391509464</v>
      </c>
      <c r="DJ104" s="483">
        <f t="shared" si="263"/>
        <v>2.2428425391510132</v>
      </c>
      <c r="DK104" s="483"/>
      <c r="DL104" s="483"/>
      <c r="DM104" s="483">
        <f t="shared" si="329"/>
        <v>6.9147699139411323E-2</v>
      </c>
      <c r="DN104" s="483">
        <f t="shared" si="330"/>
        <v>5.773857927484527E-2</v>
      </c>
      <c r="DO104" s="483"/>
      <c r="DP104" s="483">
        <f t="shared" si="316"/>
        <v>0</v>
      </c>
      <c r="DQ104" s="483">
        <f t="shared" si="317"/>
        <v>3.5314465321600186</v>
      </c>
      <c r="DR104" s="483">
        <f t="shared" si="318"/>
        <v>3.237463543694151</v>
      </c>
      <c r="DS104" s="324"/>
      <c r="DT104" s="324"/>
      <c r="DU104" s="324">
        <v>-0.47808</v>
      </c>
      <c r="DV104" s="324">
        <v>1.0396800000000002</v>
      </c>
      <c r="DW104" s="716"/>
      <c r="DX104" s="742">
        <f t="shared" si="382"/>
        <v>41664</v>
      </c>
      <c r="DY104" s="716"/>
      <c r="DZ104" s="324"/>
      <c r="EA104" s="324"/>
      <c r="EB104" s="269">
        <f t="shared" si="389"/>
        <v>2.5209225391509462</v>
      </c>
      <c r="EC104" s="716">
        <f t="shared" si="390"/>
        <v>1.203162539151013</v>
      </c>
      <c r="ED104" s="716"/>
      <c r="EE104" s="324"/>
      <c r="EF104" s="324"/>
      <c r="EG104" s="269">
        <f t="shared" si="385"/>
        <v>2.5209225391509462</v>
      </c>
      <c r="EH104" s="269">
        <f t="shared" si="386"/>
        <v>1.203162539151013</v>
      </c>
      <c r="EI104" s="716"/>
      <c r="EJ104" s="324"/>
      <c r="EK104" s="324"/>
      <c r="EL104" s="269">
        <f t="shared" si="391"/>
        <v>2.5209225391509462</v>
      </c>
      <c r="EM104" s="269">
        <f t="shared" si="392"/>
        <v>1.203162539151013</v>
      </c>
      <c r="EN104" s="716"/>
      <c r="EO104" s="269">
        <v>0</v>
      </c>
      <c r="EP104" s="324"/>
      <c r="EQ104" s="269"/>
      <c r="ER104" s="269"/>
      <c r="ES104" s="716"/>
      <c r="ET104" s="269"/>
      <c r="EU104" s="324"/>
      <c r="EV104" s="269"/>
      <c r="EW104" s="269"/>
      <c r="EX104" s="716"/>
      <c r="EY104" s="742">
        <v>41664</v>
      </c>
      <c r="EZ104" s="716"/>
      <c r="FA104" s="763"/>
      <c r="FB104" s="763"/>
      <c r="FC104" s="759">
        <f t="shared" si="370"/>
        <v>-0.47807999999999984</v>
      </c>
      <c r="FD104" s="759">
        <f t="shared" si="276"/>
        <v>1.0396800000000002</v>
      </c>
      <c r="FE104" s="760"/>
      <c r="FF104" s="782">
        <v>41664</v>
      </c>
      <c r="FG104" s="760"/>
      <c r="FH104" s="767"/>
      <c r="FI104" s="767"/>
      <c r="FJ104" s="858">
        <f t="shared" si="371"/>
        <v>-145.40343841675957</v>
      </c>
      <c r="FK104" s="766">
        <f t="shared" si="372"/>
        <v>109.11949456460688</v>
      </c>
      <c r="FL104" s="760"/>
      <c r="FM104" s="763"/>
      <c r="FN104" s="763"/>
      <c r="FO104" s="859">
        <f t="shared" si="373"/>
        <v>-145.40343841675957</v>
      </c>
      <c r="FP104" s="859">
        <f t="shared" si="374"/>
        <v>109.11949456460688</v>
      </c>
      <c r="FQ104" s="760"/>
      <c r="FR104" s="763"/>
      <c r="FS104" s="763"/>
      <c r="FT104" s="759">
        <f t="shared" si="375"/>
        <v>-142.88251587760863</v>
      </c>
      <c r="FU104" s="759">
        <f t="shared" si="376"/>
        <v>110.32265710375789</v>
      </c>
      <c r="FV104" s="761"/>
      <c r="FW104" s="762">
        <v>41664</v>
      </c>
      <c r="FX104" s="761"/>
      <c r="FY104" s="763"/>
      <c r="FZ104" s="763"/>
      <c r="GA104" s="759">
        <f t="shared" si="377"/>
        <v>360074.21873124468</v>
      </c>
      <c r="GB104" s="759">
        <f t="shared" si="378"/>
        <v>379637.38571842713</v>
      </c>
      <c r="GC104" s="760"/>
      <c r="GD104" s="763"/>
      <c r="GE104" s="763"/>
      <c r="GF104" s="759">
        <f t="shared" si="286"/>
        <v>0.96673064739650238</v>
      </c>
      <c r="GG104" s="759">
        <f t="shared" si="287"/>
        <v>0.99081354175320868</v>
      </c>
      <c r="GH104" s="716"/>
      <c r="GI104" s="763"/>
      <c r="GJ104" s="763"/>
      <c r="GK104" s="759">
        <f t="shared" si="379"/>
        <v>0.96673064739650238</v>
      </c>
      <c r="GL104" s="759">
        <f t="shared" si="380"/>
        <v>0.99081354175320868</v>
      </c>
      <c r="GM104" s="716"/>
    </row>
    <row r="105" spans="1:195" s="134" customFormat="1">
      <c r="A105" s="705">
        <v>41665</v>
      </c>
      <c r="B105" s="273"/>
      <c r="C105" s="286"/>
      <c r="D105" s="273"/>
      <c r="E105" s="276"/>
      <c r="F105" s="276">
        <v>-0.15984000000000001</v>
      </c>
      <c r="G105" s="134">
        <v>-2.6783999999999999E-2</v>
      </c>
      <c r="I105" s="705">
        <v>41665</v>
      </c>
      <c r="J105" s="270"/>
      <c r="K105" s="270"/>
      <c r="L105" s="270">
        <f t="shared" si="366"/>
        <v>-0.15984000000000001</v>
      </c>
      <c r="M105" s="270">
        <f t="shared" si="367"/>
        <v>-2.6783999999999999E-2</v>
      </c>
      <c r="O105" s="705">
        <v>41665</v>
      </c>
      <c r="P105" s="270"/>
      <c r="Q105" s="270"/>
      <c r="R105" s="270">
        <f t="shared" si="368"/>
        <v>-0.15984000000000001</v>
      </c>
      <c r="S105" s="270">
        <f t="shared" si="369"/>
        <v>-2.6783999999999999E-2</v>
      </c>
      <c r="T105" s="705">
        <v>41665</v>
      </c>
      <c r="U105" s="291"/>
      <c r="V105" s="291"/>
      <c r="W105" s="291">
        <v>-0.15984000000000001</v>
      </c>
      <c r="X105" s="291">
        <v>-2.6783999999999999E-2</v>
      </c>
      <c r="Z105" s="705">
        <v>41665</v>
      </c>
      <c r="AA105" s="707">
        <v>41665</v>
      </c>
      <c r="AB105" s="286"/>
      <c r="AC105" s="268">
        <v>0</v>
      </c>
      <c r="AD105" s="291"/>
      <c r="AE105" s="291"/>
      <c r="AF105" s="267">
        <v>0.68175751987186373</v>
      </c>
      <c r="AG105" s="291"/>
      <c r="AH105" s="291"/>
      <c r="AI105" s="161">
        <v>1.6634575198718646</v>
      </c>
      <c r="AJ105" s="291">
        <v>-0.15984000000000001</v>
      </c>
      <c r="AK105" s="291">
        <f t="shared" si="303"/>
        <v>-47.474890502771295</v>
      </c>
      <c r="AL105" s="161">
        <v>1.2829575198718639</v>
      </c>
      <c r="AM105" s="291">
        <v>-2.6783999999999999E-2</v>
      </c>
      <c r="AN105" s="291">
        <f t="shared" si="304"/>
        <v>-2.6628690464906075</v>
      </c>
      <c r="AO105" s="705">
        <v>41665</v>
      </c>
      <c r="AP105" s="463">
        <v>0</v>
      </c>
      <c r="AQ105" s="463">
        <v>0.48154948552814547</v>
      </c>
      <c r="AR105" s="463">
        <v>2.9701508072304361</v>
      </c>
      <c r="AS105" s="463">
        <v>0.99420140624649334</v>
      </c>
      <c r="AT105" s="463">
        <f t="shared" si="305"/>
        <v>0</v>
      </c>
      <c r="AU105" s="463">
        <f t="shared" si="306"/>
        <v>8.1618556869177197E-3</v>
      </c>
      <c r="AV105" s="463">
        <f t="shared" si="307"/>
        <v>0.14850754036152181</v>
      </c>
      <c r="AW105" s="463">
        <f t="shared" si="308"/>
        <v>5.2326389802447019E-2</v>
      </c>
      <c r="AY105" s="268">
        <v>0</v>
      </c>
      <c r="AZ105" s="267"/>
      <c r="BA105" s="161">
        <v>1.6634575198718646</v>
      </c>
      <c r="BB105" s="161">
        <v>1.2829575198718639</v>
      </c>
      <c r="BG105" s="134">
        <v>0</v>
      </c>
      <c r="BH105" s="134">
        <v>0</v>
      </c>
      <c r="BJ105" s="508">
        <v>0</v>
      </c>
      <c r="BK105" s="508">
        <v>0</v>
      </c>
      <c r="BL105" s="508">
        <v>23.921554654690258</v>
      </c>
      <c r="BM105" s="508">
        <v>23.844840808536748</v>
      </c>
      <c r="BO105" s="705">
        <v>41665</v>
      </c>
      <c r="CH105" s="283"/>
      <c r="CI105" s="283"/>
      <c r="CJ105" s="283"/>
      <c r="CK105" s="283"/>
      <c r="CL105" s="283"/>
      <c r="CM105" s="283"/>
      <c r="CN105" s="283"/>
      <c r="CO105" s="283"/>
      <c r="CS105" s="705">
        <v>41665</v>
      </c>
      <c r="CV105" s="743">
        <v>3.2000000000000001E-2</v>
      </c>
      <c r="CW105" s="714">
        <v>5.0000000000000001E-3</v>
      </c>
      <c r="CY105" s="725"/>
      <c r="CZ105" s="725"/>
      <c r="DA105" s="736">
        <v>2.2323154654690258E-2</v>
      </c>
      <c r="DB105" s="736">
        <v>2.3577000808536752E-2</v>
      </c>
      <c r="DC105" s="463"/>
      <c r="DD105" s="463"/>
      <c r="DE105" s="463">
        <f t="shared" si="383"/>
        <v>-2.1379140268209085</v>
      </c>
      <c r="DF105" s="463">
        <f t="shared" si="384"/>
        <v>-2.357914026820751</v>
      </c>
      <c r="DG105" s="483"/>
      <c r="DH105" s="483"/>
      <c r="DI105" s="483">
        <f t="shared" si="262"/>
        <v>2.1379140268209085</v>
      </c>
      <c r="DJ105" s="483">
        <f t="shared" si="263"/>
        <v>2.357914026820751</v>
      </c>
      <c r="DK105" s="483"/>
      <c r="DL105" s="483"/>
      <c r="DM105" s="483">
        <f t="shared" si="329"/>
        <v>7.1253108782775687E-2</v>
      </c>
      <c r="DN105" s="483">
        <f t="shared" si="330"/>
        <v>5.5347441135459419E-2</v>
      </c>
      <c r="DO105" s="483"/>
      <c r="DP105" s="483">
        <f t="shared" si="316"/>
        <v>0</v>
      </c>
      <c r="DQ105" s="483">
        <f t="shared" si="317"/>
        <v>3.8083255180323055</v>
      </c>
      <c r="DR105" s="483">
        <f t="shared" si="318"/>
        <v>3.2626126950483898</v>
      </c>
      <c r="DS105" s="324"/>
      <c r="DT105" s="324"/>
      <c r="DU105" s="324">
        <v>-0.15984000000000001</v>
      </c>
      <c r="DV105" s="324">
        <v>-2.6783999999999999E-2</v>
      </c>
      <c r="DW105" s="716"/>
      <c r="DX105" s="742">
        <f t="shared" si="382"/>
        <v>41665</v>
      </c>
      <c r="DY105" s="716"/>
      <c r="DZ105" s="324"/>
      <c r="EA105" s="324"/>
      <c r="EB105" s="269">
        <f t="shared" si="389"/>
        <v>2.2977540268209085</v>
      </c>
      <c r="EC105" s="716">
        <f t="shared" si="390"/>
        <v>2.3846980268207512</v>
      </c>
      <c r="ED105" s="716"/>
      <c r="EE105" s="324"/>
      <c r="EF105" s="324"/>
      <c r="EG105" s="269">
        <f t="shared" si="385"/>
        <v>2.2977540268209085</v>
      </c>
      <c r="EH105" s="269">
        <f t="shared" si="386"/>
        <v>2.3846980268207512</v>
      </c>
      <c r="EI105" s="716"/>
      <c r="EJ105" s="324"/>
      <c r="EK105" s="324"/>
      <c r="EL105" s="269">
        <f t="shared" si="391"/>
        <v>2.2977540268209085</v>
      </c>
      <c r="EM105" s="269">
        <f t="shared" si="392"/>
        <v>2.3846980268207512</v>
      </c>
      <c r="EN105" s="716"/>
      <c r="EO105" s="269">
        <v>0</v>
      </c>
      <c r="EP105" s="324"/>
      <c r="EQ105" s="269"/>
      <c r="ER105" s="269"/>
      <c r="ES105" s="716"/>
      <c r="ET105" s="269"/>
      <c r="EU105" s="324"/>
      <c r="EV105" s="269"/>
      <c r="EW105" s="269"/>
      <c r="EX105" s="716"/>
      <c r="EY105" s="742">
        <v>41665</v>
      </c>
      <c r="EZ105" s="716"/>
      <c r="FA105" s="763"/>
      <c r="FB105" s="763"/>
      <c r="FC105" s="759">
        <f t="shared" si="370"/>
        <v>-0.15983999999999998</v>
      </c>
      <c r="FD105" s="759">
        <f t="shared" si="276"/>
        <v>-2.6784000000000141E-2</v>
      </c>
      <c r="FE105" s="760"/>
      <c r="FF105" s="782">
        <v>41665</v>
      </c>
      <c r="FG105" s="760"/>
      <c r="FH105" s="767"/>
      <c r="FI105" s="767"/>
      <c r="FJ105" s="858">
        <f t="shared" si="371"/>
        <v>-47.474890502771288</v>
      </c>
      <c r="FK105" s="766">
        <f t="shared" si="372"/>
        <v>-2.6628690464906217</v>
      </c>
      <c r="FL105" s="760"/>
      <c r="FM105" s="763"/>
      <c r="FN105" s="763"/>
      <c r="FO105" s="859">
        <f t="shared" si="373"/>
        <v>-47.474890502771288</v>
      </c>
      <c r="FP105" s="859">
        <f t="shared" si="374"/>
        <v>-2.6628690464906217</v>
      </c>
      <c r="FQ105" s="760"/>
      <c r="FR105" s="763"/>
      <c r="FS105" s="763"/>
      <c r="FT105" s="759">
        <f t="shared" si="375"/>
        <v>-45.177136475950377</v>
      </c>
      <c r="FU105" s="759">
        <f t="shared" si="376"/>
        <v>-0.27817101966987057</v>
      </c>
      <c r="FV105" s="761"/>
      <c r="FW105" s="762">
        <v>41665</v>
      </c>
      <c r="FX105" s="761"/>
      <c r="FY105" s="763"/>
      <c r="FZ105" s="763"/>
      <c r="GA105" s="759">
        <f t="shared" si="377"/>
        <v>360029.0415947687</v>
      </c>
      <c r="GB105" s="759">
        <f t="shared" si="378"/>
        <v>379637.10754740745</v>
      </c>
      <c r="GC105" s="760"/>
      <c r="GD105" s="763"/>
      <c r="GE105" s="763"/>
      <c r="GF105" s="759">
        <f t="shared" si="286"/>
        <v>0.96660935539579529</v>
      </c>
      <c r="GG105" s="759">
        <f t="shared" si="287"/>
        <v>0.99081281575618207</v>
      </c>
      <c r="GH105" s="716"/>
      <c r="GI105" s="763"/>
      <c r="GJ105" s="763"/>
      <c r="GK105" s="759">
        <f t="shared" si="379"/>
        <v>0.96660935539579529</v>
      </c>
      <c r="GL105" s="759">
        <f t="shared" si="380"/>
        <v>0.99081281575618207</v>
      </c>
      <c r="GM105" s="716"/>
    </row>
    <row r="106" spans="1:195" s="134" customFormat="1">
      <c r="A106" s="705">
        <v>41666</v>
      </c>
      <c r="B106" s="273"/>
      <c r="C106" s="286"/>
      <c r="D106" s="273"/>
      <c r="E106" s="276"/>
      <c r="F106" s="276">
        <v>-0.41039999999999999</v>
      </c>
      <c r="G106" s="134">
        <v>-1.2830399999999999E-2</v>
      </c>
      <c r="I106" s="705">
        <v>41666</v>
      </c>
      <c r="J106" s="270"/>
      <c r="K106" s="270"/>
      <c r="L106" s="270">
        <f t="shared" si="366"/>
        <v>-0.41039999999999999</v>
      </c>
      <c r="M106" s="270">
        <f t="shared" si="367"/>
        <v>-1.2830399999999999E-2</v>
      </c>
      <c r="O106" s="705">
        <v>41666</v>
      </c>
      <c r="P106" s="270"/>
      <c r="Q106" s="270"/>
      <c r="R106" s="270">
        <f t="shared" si="368"/>
        <v>-0.41039999999999999</v>
      </c>
      <c r="S106" s="270">
        <f t="shared" si="369"/>
        <v>-1.2830399999999999E-2</v>
      </c>
      <c r="T106" s="705">
        <v>41666</v>
      </c>
      <c r="U106" s="291"/>
      <c r="V106" s="291"/>
      <c r="W106" s="291">
        <v>-0.41039999999999999</v>
      </c>
      <c r="X106" s="291">
        <v>-1.2830399999999999E-2</v>
      </c>
      <c r="Z106" s="705">
        <v>41666</v>
      </c>
      <c r="AA106" s="707">
        <v>41666</v>
      </c>
      <c r="AB106" s="286"/>
      <c r="AC106" s="268">
        <v>0</v>
      </c>
      <c r="AD106" s="291"/>
      <c r="AE106" s="291"/>
      <c r="AF106" s="267">
        <v>0.6814783796036552</v>
      </c>
      <c r="AG106" s="291"/>
      <c r="AH106" s="291"/>
      <c r="AI106" s="161">
        <v>1.6420783796036555</v>
      </c>
      <c r="AJ106" s="291">
        <v>-0.41039999999999999</v>
      </c>
      <c r="AK106" s="291">
        <f t="shared" si="303"/>
        <v>-119.25816634891667</v>
      </c>
      <c r="AL106" s="161">
        <v>1.2593783796036564</v>
      </c>
      <c r="AM106" s="291">
        <v>-1.2830399999999999E-2</v>
      </c>
      <c r="AN106" s="291">
        <f t="shared" si="304"/>
        <v>-1.2066033906967382</v>
      </c>
      <c r="AO106" s="705">
        <v>41666</v>
      </c>
      <c r="AP106" s="463">
        <v>0</v>
      </c>
      <c r="AQ106" s="463">
        <v>0.48620613887038144</v>
      </c>
      <c r="AR106" s="463">
        <v>2.9059007394960203</v>
      </c>
      <c r="AS106" s="463">
        <v>0.94042538868370307</v>
      </c>
      <c r="AT106" s="463">
        <f t="shared" si="305"/>
        <v>0</v>
      </c>
      <c r="AU106" s="463">
        <f t="shared" si="306"/>
        <v>8.2407820147522275E-3</v>
      </c>
      <c r="AV106" s="463">
        <f t="shared" si="307"/>
        <v>0.14529503697480101</v>
      </c>
      <c r="AW106" s="463">
        <f t="shared" si="308"/>
        <v>4.9496073088615949E-2</v>
      </c>
      <c r="AY106" s="268">
        <v>0</v>
      </c>
      <c r="AZ106" s="267"/>
      <c r="BA106" s="161">
        <v>1.6420783796036555</v>
      </c>
      <c r="BB106" s="161">
        <v>1.2593783796036564</v>
      </c>
      <c r="BG106" s="134">
        <v>0</v>
      </c>
      <c r="BH106" s="134">
        <v>0</v>
      </c>
      <c r="BJ106" s="508">
        <v>0</v>
      </c>
      <c r="BK106" s="508">
        <v>0</v>
      </c>
      <c r="BL106" s="508">
        <v>25.572727792239853</v>
      </c>
      <c r="BM106" s="508">
        <v>23.566262561470129</v>
      </c>
      <c r="BO106" s="705">
        <v>41666</v>
      </c>
      <c r="CH106" s="283"/>
      <c r="CI106" s="283"/>
      <c r="CJ106" s="283"/>
      <c r="CK106" s="283"/>
      <c r="CL106" s="283"/>
      <c r="CM106" s="283"/>
      <c r="CN106" s="283"/>
      <c r="CO106" s="283"/>
      <c r="CS106" s="705">
        <v>41666</v>
      </c>
      <c r="CV106" s="743">
        <v>0.23599999999999999</v>
      </c>
      <c r="CW106" s="714">
        <v>0</v>
      </c>
      <c r="CY106" s="725"/>
      <c r="CZ106" s="725"/>
      <c r="DA106" s="736">
        <v>2.146872779223985E-2</v>
      </c>
      <c r="DB106" s="736">
        <v>2.3437958561470129E-2</v>
      </c>
      <c r="DC106" s="463"/>
      <c r="DD106" s="463"/>
      <c r="DE106" s="463">
        <f t="shared" si="383"/>
        <v>-2.1896933221684733</v>
      </c>
      <c r="DF106" s="463">
        <f t="shared" si="384"/>
        <v>-2.3896933221687178</v>
      </c>
      <c r="DG106" s="483"/>
      <c r="DH106" s="483"/>
      <c r="DI106" s="483">
        <f t="shared" si="262"/>
        <v>2.1896933221684733</v>
      </c>
      <c r="DJ106" s="483">
        <f t="shared" si="263"/>
        <v>2.3896933221687178</v>
      </c>
      <c r="DK106" s="483"/>
      <c r="DL106" s="483"/>
      <c r="DM106" s="483">
        <f t="shared" si="329"/>
        <v>6.4250067734415772E-2</v>
      </c>
      <c r="DN106" s="483">
        <f t="shared" si="330"/>
        <v>5.3776017562790268E-2</v>
      </c>
      <c r="DO106" s="483"/>
      <c r="DP106" s="483">
        <f t="shared" si="316"/>
        <v>0</v>
      </c>
      <c r="DQ106" s="483">
        <f t="shared" si="317"/>
        <v>3.5171986066730572</v>
      </c>
      <c r="DR106" s="483">
        <f t="shared" si="318"/>
        <v>3.2127047515656892</v>
      </c>
      <c r="DS106" s="324"/>
      <c r="DT106" s="324"/>
      <c r="DU106" s="324">
        <v>-0.41039999999999999</v>
      </c>
      <c r="DV106" s="324">
        <v>-1.2830399999999999E-2</v>
      </c>
      <c r="DW106" s="716"/>
      <c r="DX106" s="742">
        <f t="shared" si="382"/>
        <v>41666</v>
      </c>
      <c r="DY106" s="716"/>
      <c r="DZ106" s="324"/>
      <c r="EA106" s="324"/>
      <c r="EB106" s="269">
        <f t="shared" si="389"/>
        <v>2.6000933221684734</v>
      </c>
      <c r="EC106" s="716">
        <f t="shared" si="390"/>
        <v>2.4025237221687177</v>
      </c>
      <c r="ED106" s="716"/>
      <c r="EE106" s="324"/>
      <c r="EF106" s="324"/>
      <c r="EG106" s="269">
        <f t="shared" si="385"/>
        <v>2.6000933221684734</v>
      </c>
      <c r="EH106" s="269">
        <f t="shared" si="386"/>
        <v>2.4025237221687177</v>
      </c>
      <c r="EI106" s="716"/>
      <c r="EJ106" s="324"/>
      <c r="EK106" s="324"/>
      <c r="EL106" s="269">
        <f t="shared" si="391"/>
        <v>2.6000933221684734</v>
      </c>
      <c r="EM106" s="269">
        <f t="shared" si="392"/>
        <v>2.4025237221687177</v>
      </c>
      <c r="EN106" s="716"/>
      <c r="EO106" s="269">
        <v>0</v>
      </c>
      <c r="EP106" s="324"/>
      <c r="EQ106" s="269"/>
      <c r="ER106" s="269"/>
      <c r="ES106" s="716"/>
      <c r="ET106" s="269"/>
      <c r="EU106" s="324"/>
      <c r="EV106" s="269"/>
      <c r="EW106" s="269"/>
      <c r="EX106" s="716"/>
      <c r="EY106" s="742">
        <v>41666</v>
      </c>
      <c r="EZ106" s="716"/>
      <c r="FA106" s="763"/>
      <c r="FB106" s="763"/>
      <c r="FC106" s="759">
        <f t="shared" si="370"/>
        <v>-0.4104000000000001</v>
      </c>
      <c r="FD106" s="759">
        <f t="shared" si="276"/>
        <v>-1.2830399999999909E-2</v>
      </c>
      <c r="FE106" s="760"/>
      <c r="FF106" s="782">
        <v>41666</v>
      </c>
      <c r="FG106" s="760"/>
      <c r="FH106" s="767"/>
      <c r="FI106" s="767"/>
      <c r="FJ106" s="858">
        <f t="shared" si="371"/>
        <v>-119.25816634891669</v>
      </c>
      <c r="FK106" s="766">
        <f t="shared" si="372"/>
        <v>-1.2066033906967299</v>
      </c>
      <c r="FL106" s="760"/>
      <c r="FM106" s="763"/>
      <c r="FN106" s="763"/>
      <c r="FO106" s="859">
        <f t="shared" si="373"/>
        <v>-119.25816634891669</v>
      </c>
      <c r="FP106" s="859">
        <f t="shared" si="374"/>
        <v>-1.2066033906967299</v>
      </c>
      <c r="FQ106" s="760"/>
      <c r="FR106" s="763"/>
      <c r="FS106" s="763"/>
      <c r="FT106" s="759">
        <f t="shared" si="375"/>
        <v>-116.65807302674821</v>
      </c>
      <c r="FU106" s="759">
        <f t="shared" si="376"/>
        <v>1.1959203314719877</v>
      </c>
      <c r="FV106" s="761"/>
      <c r="FW106" s="762">
        <v>41666</v>
      </c>
      <c r="FX106" s="761"/>
      <c r="FY106" s="763"/>
      <c r="FZ106" s="763"/>
      <c r="GA106" s="759">
        <f t="shared" si="377"/>
        <v>359912.38352174195</v>
      </c>
      <c r="GB106" s="759">
        <f t="shared" si="378"/>
        <v>379638.30346773891</v>
      </c>
      <c r="GC106" s="760"/>
      <c r="GD106" s="763"/>
      <c r="GE106" s="763"/>
      <c r="GF106" s="759">
        <f t="shared" si="286"/>
        <v>0.96629615070466646</v>
      </c>
      <c r="GG106" s="759">
        <f t="shared" si="287"/>
        <v>0.99081593698213044</v>
      </c>
      <c r="GH106" s="716"/>
      <c r="GI106" s="763"/>
      <c r="GJ106" s="763"/>
      <c r="GK106" s="759">
        <f t="shared" si="379"/>
        <v>0.96629615070466646</v>
      </c>
      <c r="GL106" s="759">
        <f t="shared" si="380"/>
        <v>0.99081593698213044</v>
      </c>
      <c r="GM106" s="716"/>
    </row>
    <row r="107" spans="1:195" s="134" customFormat="1">
      <c r="A107" s="705">
        <v>41667</v>
      </c>
      <c r="B107" s="273"/>
      <c r="C107" s="286"/>
      <c r="D107" s="273"/>
      <c r="E107" s="276"/>
      <c r="F107" s="276">
        <v>-0.24191999999999997</v>
      </c>
      <c r="G107" s="134">
        <v>9.6192E-2</v>
      </c>
      <c r="I107" s="705">
        <v>41667</v>
      </c>
      <c r="J107" s="270"/>
      <c r="K107" s="270"/>
      <c r="L107" s="270">
        <f t="shared" si="366"/>
        <v>-0.24191999999999997</v>
      </c>
      <c r="M107" s="270">
        <f t="shared" si="367"/>
        <v>9.6192E-2</v>
      </c>
      <c r="O107" s="705">
        <v>41667</v>
      </c>
      <c r="P107" s="270"/>
      <c r="Q107" s="270"/>
      <c r="R107" s="270">
        <f t="shared" si="368"/>
        <v>-0.24191999999999997</v>
      </c>
      <c r="S107" s="270">
        <f t="shared" si="369"/>
        <v>9.6192E-2</v>
      </c>
      <c r="T107" s="705">
        <v>41667</v>
      </c>
      <c r="U107" s="291"/>
      <c r="V107" s="291"/>
      <c r="W107" s="291">
        <v>-0.24191999999999997</v>
      </c>
      <c r="X107" s="291">
        <v>9.6192E-2</v>
      </c>
      <c r="Z107" s="705">
        <v>41667</v>
      </c>
      <c r="AA107" s="707">
        <v>41667</v>
      </c>
      <c r="AB107" s="286"/>
      <c r="AC107" s="268">
        <v>0</v>
      </c>
      <c r="AD107" s="291"/>
      <c r="AE107" s="291"/>
      <c r="AF107" s="267">
        <v>0.68158144638197071</v>
      </c>
      <c r="AG107" s="291"/>
      <c r="AH107" s="291"/>
      <c r="AI107" s="161">
        <v>1.6201814463819708</v>
      </c>
      <c r="AJ107" s="291">
        <v>-0.24191999999999997</v>
      </c>
      <c r="AK107" s="291">
        <f t="shared" si="303"/>
        <v>-68.688982049806356</v>
      </c>
      <c r="AL107" s="161">
        <v>1.2354814463819692</v>
      </c>
      <c r="AM107" s="291">
        <v>9.6192E-2</v>
      </c>
      <c r="AN107" s="291">
        <f t="shared" si="304"/>
        <v>8.5234355006888922</v>
      </c>
      <c r="AO107" s="705">
        <v>41667</v>
      </c>
      <c r="AP107" s="463">
        <v>0</v>
      </c>
      <c r="AQ107" s="463">
        <v>0.48563233235452263</v>
      </c>
      <c r="AR107" s="463">
        <v>2.8393263082757256</v>
      </c>
      <c r="AS107" s="463">
        <v>0.88608569326855591</v>
      </c>
      <c r="AT107" s="463">
        <f t="shared" si="305"/>
        <v>0</v>
      </c>
      <c r="AU107" s="463">
        <f t="shared" si="306"/>
        <v>8.2310564805851295E-3</v>
      </c>
      <c r="AV107" s="463">
        <f t="shared" si="307"/>
        <v>0.14196631541378629</v>
      </c>
      <c r="AW107" s="463">
        <f t="shared" si="308"/>
        <v>4.6636089119397678E-2</v>
      </c>
      <c r="AY107" s="268">
        <v>0</v>
      </c>
      <c r="AZ107" s="267"/>
      <c r="BA107" s="161">
        <v>1.6201814463819708</v>
      </c>
      <c r="BB107" s="161">
        <v>1.2354814463819692</v>
      </c>
      <c r="BG107" s="134">
        <v>0</v>
      </c>
      <c r="BH107" s="134">
        <v>0</v>
      </c>
      <c r="BJ107" s="508">
        <v>0</v>
      </c>
      <c r="BK107" s="508">
        <v>0</v>
      </c>
      <c r="BL107" s="508">
        <v>23.280124599787943</v>
      </c>
      <c r="BM107" s="508">
        <v>22.129773830557422</v>
      </c>
      <c r="BO107" s="705">
        <v>41667</v>
      </c>
      <c r="CH107" s="283"/>
      <c r="CI107" s="283"/>
      <c r="CJ107" s="283"/>
      <c r="CK107" s="283"/>
      <c r="CL107" s="283"/>
      <c r="CM107" s="283"/>
      <c r="CN107" s="283"/>
      <c r="CO107" s="283"/>
      <c r="CS107" s="705">
        <v>41667</v>
      </c>
      <c r="CV107" s="743">
        <v>0.123</v>
      </c>
      <c r="CW107" s="714">
        <v>30</v>
      </c>
      <c r="CY107" s="725"/>
      <c r="CZ107" s="725"/>
      <c r="DA107" s="736">
        <v>2.0860924599787944E-2</v>
      </c>
      <c r="DB107" s="736">
        <v>2.3091693830557425E-2</v>
      </c>
      <c r="DC107" s="463"/>
      <c r="DD107" s="463"/>
      <c r="DE107" s="463">
        <f t="shared" si="383"/>
        <v>-2.1055418679930327</v>
      </c>
      <c r="DF107" s="463">
        <f t="shared" si="384"/>
        <v>-2.3055418679927442</v>
      </c>
      <c r="DG107" s="483"/>
      <c r="DH107" s="483"/>
      <c r="DI107" s="483">
        <f t="shared" si="262"/>
        <v>2.1055418679930327</v>
      </c>
      <c r="DJ107" s="483">
        <f t="shared" si="263"/>
        <v>2.3055418679927442</v>
      </c>
      <c r="DK107" s="483"/>
      <c r="DL107" s="483"/>
      <c r="DM107" s="483">
        <f t="shared" si="329"/>
        <v>6.6574431220294716E-2</v>
      </c>
      <c r="DN107" s="483">
        <f t="shared" si="330"/>
        <v>5.433969541514716E-2</v>
      </c>
      <c r="DO107" s="483"/>
      <c r="DP107" s="483">
        <f t="shared" si="316"/>
        <v>0</v>
      </c>
      <c r="DQ107" s="483">
        <f t="shared" si="317"/>
        <v>3.5043813068038254</v>
      </c>
      <c r="DR107" s="483">
        <f t="shared" si="318"/>
        <v>3.1320610718398787</v>
      </c>
      <c r="DS107" s="324"/>
      <c r="DT107" s="324"/>
      <c r="DU107" s="324">
        <v>-0.24191999999999997</v>
      </c>
      <c r="DV107" s="324">
        <v>9.6192E-2</v>
      </c>
      <c r="DW107" s="716"/>
      <c r="DX107" s="742">
        <f t="shared" si="382"/>
        <v>41667</v>
      </c>
      <c r="DY107" s="716"/>
      <c r="DZ107" s="324"/>
      <c r="EA107" s="324"/>
      <c r="EB107" s="269">
        <f t="shared" si="389"/>
        <v>2.3474618679930326</v>
      </c>
      <c r="EC107" s="716">
        <f t="shared" si="390"/>
        <v>2.2093498679927444</v>
      </c>
      <c r="ED107" s="716"/>
      <c r="EE107" s="324"/>
      <c r="EF107" s="324"/>
      <c r="EG107" s="269">
        <f t="shared" si="385"/>
        <v>2.3474618679930326</v>
      </c>
      <c r="EH107" s="269">
        <f t="shared" si="386"/>
        <v>2.2093498679927444</v>
      </c>
      <c r="EI107" s="716"/>
      <c r="EJ107" s="324"/>
      <c r="EK107" s="324"/>
      <c r="EL107" s="269">
        <f t="shared" si="391"/>
        <v>2.3474618679930326</v>
      </c>
      <c r="EM107" s="269">
        <f t="shared" si="392"/>
        <v>2.2093498679927444</v>
      </c>
      <c r="EN107" s="716"/>
      <c r="EO107" s="269">
        <v>0</v>
      </c>
      <c r="EP107" s="324"/>
      <c r="EQ107" s="269"/>
      <c r="ER107" s="269"/>
      <c r="ES107" s="716"/>
      <c r="ET107" s="269"/>
      <c r="EU107" s="324"/>
      <c r="EV107" s="269"/>
      <c r="EW107" s="269"/>
      <c r="EX107" s="716"/>
      <c r="EY107" s="742">
        <v>41667</v>
      </c>
      <c r="EZ107" s="716"/>
      <c r="FA107" s="763"/>
      <c r="FB107" s="763"/>
      <c r="FC107" s="759">
        <f t="shared" si="370"/>
        <v>-0.24191999999999991</v>
      </c>
      <c r="FD107" s="759">
        <f t="shared" si="276"/>
        <v>9.6191999999999833E-2</v>
      </c>
      <c r="FE107" s="760"/>
      <c r="FF107" s="782">
        <v>41667</v>
      </c>
      <c r="FG107" s="760"/>
      <c r="FH107" s="767"/>
      <c r="FI107" s="767"/>
      <c r="FJ107" s="858">
        <f t="shared" si="371"/>
        <v>-68.688982049806327</v>
      </c>
      <c r="FK107" s="766">
        <f t="shared" si="372"/>
        <v>8.523435500688878</v>
      </c>
      <c r="FL107" s="760"/>
      <c r="FM107" s="763"/>
      <c r="FN107" s="763"/>
      <c r="FO107" s="859">
        <f t="shared" si="373"/>
        <v>-68.688982049806327</v>
      </c>
      <c r="FP107" s="859">
        <f t="shared" si="374"/>
        <v>8.523435500688878</v>
      </c>
      <c r="FQ107" s="760"/>
      <c r="FR107" s="763"/>
      <c r="FS107" s="763"/>
      <c r="FT107" s="759">
        <f t="shared" si="375"/>
        <v>-66.341520181813294</v>
      </c>
      <c r="FU107" s="759">
        <f t="shared" si="376"/>
        <v>10.732785368681622</v>
      </c>
      <c r="FV107" s="761"/>
      <c r="FW107" s="762">
        <v>41667</v>
      </c>
      <c r="FX107" s="761"/>
      <c r="FY107" s="763"/>
      <c r="FZ107" s="763"/>
      <c r="GA107" s="759">
        <f t="shared" si="377"/>
        <v>359846.04200156016</v>
      </c>
      <c r="GB107" s="759">
        <f t="shared" si="378"/>
        <v>379649.0362531076</v>
      </c>
      <c r="GC107" s="760"/>
      <c r="GD107" s="763"/>
      <c r="GE107" s="763"/>
      <c r="GF107" s="759">
        <f t="shared" si="286"/>
        <v>0.96611803636762617</v>
      </c>
      <c r="GG107" s="759">
        <f t="shared" si="287"/>
        <v>0.99084394842010803</v>
      </c>
      <c r="GH107" s="716"/>
      <c r="GI107" s="763"/>
      <c r="GJ107" s="763"/>
      <c r="GK107" s="759">
        <f t="shared" si="379"/>
        <v>0.96611803636762617</v>
      </c>
      <c r="GL107" s="759">
        <f t="shared" si="380"/>
        <v>0.99084394842010803</v>
      </c>
      <c r="GM107" s="716"/>
    </row>
    <row r="108" spans="1:195" s="134" customFormat="1">
      <c r="A108" s="705">
        <v>41668</v>
      </c>
      <c r="B108" s="273"/>
      <c r="C108" s="286"/>
      <c r="D108" s="277"/>
      <c r="E108" s="276"/>
      <c r="F108" s="276">
        <v>-0.23327999999999999</v>
      </c>
      <c r="G108" s="134">
        <v>0.18432000000000001</v>
      </c>
      <c r="I108" s="705">
        <v>41668</v>
      </c>
      <c r="J108" s="270"/>
      <c r="K108" s="270"/>
      <c r="L108" s="270">
        <f t="shared" si="366"/>
        <v>-0.23327999999999999</v>
      </c>
      <c r="M108" s="270">
        <f t="shared" si="367"/>
        <v>0.18432000000000001</v>
      </c>
      <c r="O108" s="705">
        <v>41668</v>
      </c>
      <c r="P108" s="270"/>
      <c r="Q108" s="270"/>
      <c r="R108" s="270">
        <f t="shared" si="368"/>
        <v>-0.23327999999999999</v>
      </c>
      <c r="S108" s="270">
        <f t="shared" si="369"/>
        <v>0.18432000000000001</v>
      </c>
      <c r="T108" s="705">
        <v>41668</v>
      </c>
      <c r="U108" s="291"/>
      <c r="V108" s="291"/>
      <c r="W108" s="291">
        <v>-0.23327999999999999</v>
      </c>
      <c r="X108" s="291">
        <v>0.18432000000000001</v>
      </c>
      <c r="Z108" s="705">
        <v>41668</v>
      </c>
      <c r="AA108" s="707">
        <v>41668</v>
      </c>
      <c r="AB108" s="286"/>
      <c r="AC108" s="268">
        <v>0</v>
      </c>
      <c r="AD108" s="291"/>
      <c r="AE108" s="291"/>
      <c r="AF108" s="267">
        <v>0.68152602770204118</v>
      </c>
      <c r="AG108" s="291"/>
      <c r="AH108" s="291"/>
      <c r="AI108" s="161">
        <v>1.5991260277020405</v>
      </c>
      <c r="AJ108" s="291">
        <v>-0.23327999999999999</v>
      </c>
      <c r="AK108" s="291">
        <f t="shared" si="303"/>
        <v>-64.661651524695969</v>
      </c>
      <c r="AL108" s="161">
        <v>1.2124260277020418</v>
      </c>
      <c r="AM108" s="291">
        <v>0.18432000000000001</v>
      </c>
      <c r="AN108" s="291">
        <f t="shared" si="304"/>
        <v>15.358634907520706</v>
      </c>
      <c r="AO108" s="705">
        <v>41668</v>
      </c>
      <c r="AP108" s="463">
        <v>0</v>
      </c>
      <c r="AQ108" s="463">
        <v>0.48584414701848799</v>
      </c>
      <c r="AR108" s="463">
        <v>2.7718472018473923</v>
      </c>
      <c r="AS108" s="463">
        <v>0.83325927232642716</v>
      </c>
      <c r="AT108" s="463">
        <f t="shared" si="305"/>
        <v>0</v>
      </c>
      <c r="AU108" s="463">
        <f t="shared" si="306"/>
        <v>8.2346465596353901E-3</v>
      </c>
      <c r="AV108" s="463">
        <f t="shared" si="307"/>
        <v>0.13859236009236961</v>
      </c>
      <c r="AW108" s="463">
        <f t="shared" si="308"/>
        <v>4.3855751175075113E-2</v>
      </c>
      <c r="AY108" s="268">
        <v>0</v>
      </c>
      <c r="AZ108" s="267"/>
      <c r="BA108" s="161">
        <v>1.5991260277020405</v>
      </c>
      <c r="BB108" s="161">
        <v>1.2124260277020418</v>
      </c>
      <c r="BG108" s="134">
        <v>0</v>
      </c>
      <c r="BH108" s="134">
        <v>0</v>
      </c>
      <c r="BJ108" s="508">
        <v>0</v>
      </c>
      <c r="BK108" s="508">
        <v>0</v>
      </c>
      <c r="BL108" s="508">
        <v>24.104952244421863</v>
      </c>
      <c r="BM108" s="508">
        <v>23.15972147519123</v>
      </c>
      <c r="BO108" s="705">
        <v>41668</v>
      </c>
      <c r="CH108" s="283"/>
      <c r="CI108" s="283"/>
      <c r="CJ108" s="283"/>
      <c r="CK108" s="283"/>
      <c r="CL108" s="283"/>
      <c r="CM108" s="283"/>
      <c r="CN108" s="283"/>
      <c r="CO108" s="283"/>
      <c r="CS108" s="705">
        <v>41668</v>
      </c>
      <c r="CV108" s="743">
        <v>0.83399999999999996</v>
      </c>
      <c r="CW108" s="714">
        <v>0.111</v>
      </c>
      <c r="CY108" s="725"/>
      <c r="CZ108" s="725"/>
      <c r="DA108" s="736">
        <v>2.1772152244421861E-2</v>
      </c>
      <c r="DB108" s="736">
        <v>2.5002921475191231E-2</v>
      </c>
      <c r="DC108" s="463"/>
      <c r="DD108" s="463"/>
      <c r="DE108" s="463">
        <f t="shared" si="383"/>
        <v>-2.1483022034438193</v>
      </c>
      <c r="DF108" s="463">
        <f t="shared" si="384"/>
        <v>-2.4683022034439617</v>
      </c>
      <c r="DG108" s="483"/>
      <c r="DH108" s="483"/>
      <c r="DI108" s="483">
        <f t="shared" si="262"/>
        <v>2.1483022034438193</v>
      </c>
      <c r="DJ108" s="483">
        <f t="shared" si="263"/>
        <v>2.4683022034439617</v>
      </c>
      <c r="DK108" s="483"/>
      <c r="DL108" s="483"/>
      <c r="DM108" s="483">
        <f t="shared" si="329"/>
        <v>6.7479106428333324E-2</v>
      </c>
      <c r="DN108" s="483">
        <f t="shared" si="330"/>
        <v>5.2826420942128749E-2</v>
      </c>
      <c r="DO108" s="483"/>
      <c r="DP108" s="483">
        <f t="shared" si="316"/>
        <v>0</v>
      </c>
      <c r="DQ108" s="483">
        <f t="shared" si="317"/>
        <v>3.6241378256602119</v>
      </c>
      <c r="DR108" s="483">
        <f t="shared" si="318"/>
        <v>3.2597892802878654</v>
      </c>
      <c r="DS108" s="324"/>
      <c r="DT108" s="324"/>
      <c r="DU108" s="324">
        <v>-0.23327999999999999</v>
      </c>
      <c r="DV108" s="324">
        <v>0.18432000000000001</v>
      </c>
      <c r="DW108" s="716"/>
      <c r="DX108" s="742">
        <f t="shared" si="382"/>
        <v>41668</v>
      </c>
      <c r="DY108" s="716"/>
      <c r="DZ108" s="324"/>
      <c r="EA108" s="324"/>
      <c r="EB108" s="269">
        <f t="shared" si="389"/>
        <v>2.3815822034438194</v>
      </c>
      <c r="EC108" s="716">
        <f t="shared" si="390"/>
        <v>2.2839822034439616</v>
      </c>
      <c r="ED108" s="716"/>
      <c r="EE108" s="324"/>
      <c r="EF108" s="324"/>
      <c r="EG108" s="269">
        <f t="shared" si="385"/>
        <v>2.3815822034438194</v>
      </c>
      <c r="EH108" s="269">
        <f t="shared" si="386"/>
        <v>2.2839822034439616</v>
      </c>
      <c r="EI108" s="716"/>
      <c r="EJ108" s="324"/>
      <c r="EK108" s="324"/>
      <c r="EL108" s="269">
        <f t="shared" si="391"/>
        <v>2.3815822034438194</v>
      </c>
      <c r="EM108" s="269">
        <f t="shared" si="392"/>
        <v>2.2839822034439616</v>
      </c>
      <c r="EN108" s="716"/>
      <c r="EO108" s="269">
        <v>0</v>
      </c>
      <c r="EP108" s="324"/>
      <c r="EQ108" s="269"/>
      <c r="ER108" s="269"/>
      <c r="ES108" s="716"/>
      <c r="ET108" s="269"/>
      <c r="EU108" s="324"/>
      <c r="EV108" s="269"/>
      <c r="EW108" s="269"/>
      <c r="EX108" s="716"/>
      <c r="EY108" s="742">
        <v>41668</v>
      </c>
      <c r="EZ108" s="716"/>
      <c r="FA108" s="763"/>
      <c r="FB108" s="763"/>
      <c r="FC108" s="759">
        <f t="shared" si="370"/>
        <v>-0.23328000000000015</v>
      </c>
      <c r="FD108" s="759">
        <f t="shared" si="276"/>
        <v>0.18432000000000004</v>
      </c>
      <c r="FE108" s="760"/>
      <c r="FF108" s="782">
        <v>41668</v>
      </c>
      <c r="FG108" s="760"/>
      <c r="FH108" s="767"/>
      <c r="FI108" s="767"/>
      <c r="FJ108" s="858">
        <f t="shared" si="371"/>
        <v>-64.661651524696012</v>
      </c>
      <c r="FK108" s="766">
        <f t="shared" si="372"/>
        <v>15.358634907520708</v>
      </c>
      <c r="FL108" s="760"/>
      <c r="FM108" s="763"/>
      <c r="FN108" s="763"/>
      <c r="FO108" s="859">
        <f t="shared" si="373"/>
        <v>-64.661651524696012</v>
      </c>
      <c r="FP108" s="859">
        <f t="shared" si="374"/>
        <v>15.358634907520708</v>
      </c>
      <c r="FQ108" s="760"/>
      <c r="FR108" s="763"/>
      <c r="FS108" s="763"/>
      <c r="FT108" s="759">
        <f t="shared" si="375"/>
        <v>-62.280069321252192</v>
      </c>
      <c r="FU108" s="759">
        <f t="shared" si="376"/>
        <v>17.642617110964668</v>
      </c>
      <c r="FV108" s="761"/>
      <c r="FW108" s="762">
        <v>41668</v>
      </c>
      <c r="FX108" s="761"/>
      <c r="FY108" s="763"/>
      <c r="FZ108" s="763"/>
      <c r="GA108" s="759">
        <f t="shared" si="377"/>
        <v>359783.76193223888</v>
      </c>
      <c r="GB108" s="759">
        <f t="shared" si="378"/>
        <v>379666.67887021857</v>
      </c>
      <c r="GC108" s="760"/>
      <c r="GD108" s="763"/>
      <c r="GE108" s="763"/>
      <c r="GF108" s="759">
        <f t="shared" si="286"/>
        <v>0.96595082625203665</v>
      </c>
      <c r="GG108" s="759">
        <f t="shared" si="287"/>
        <v>0.990889993790251</v>
      </c>
      <c r="GH108" s="716"/>
      <c r="GI108" s="763"/>
      <c r="GJ108" s="763"/>
      <c r="GK108" s="759">
        <f t="shared" si="379"/>
        <v>0.96595082625203665</v>
      </c>
      <c r="GL108" s="759">
        <f t="shared" si="380"/>
        <v>0.990889993790251</v>
      </c>
      <c r="GM108" s="716"/>
    </row>
    <row r="109" spans="1:195" s="134" customFormat="1">
      <c r="A109" s="705">
        <v>41669</v>
      </c>
      <c r="B109" s="277"/>
      <c r="C109" s="286"/>
      <c r="D109" s="277"/>
      <c r="E109" s="276"/>
      <c r="F109" s="276">
        <v>-7.1856000000000003E-2</v>
      </c>
      <c r="G109" s="134">
        <v>-3.8736E-2</v>
      </c>
      <c r="I109" s="705">
        <v>41669</v>
      </c>
      <c r="J109" s="270"/>
      <c r="K109" s="270"/>
      <c r="L109" s="270">
        <f t="shared" si="366"/>
        <v>-7.1856000000000003E-2</v>
      </c>
      <c r="M109" s="270">
        <f t="shared" si="367"/>
        <v>-3.8736E-2</v>
      </c>
      <c r="O109" s="705">
        <v>41669</v>
      </c>
      <c r="P109" s="270"/>
      <c r="Q109" s="270"/>
      <c r="R109" s="270">
        <f t="shared" si="368"/>
        <v>-7.1856000000000003E-2</v>
      </c>
      <c r="S109" s="270">
        <f t="shared" si="369"/>
        <v>-3.8736E-2</v>
      </c>
      <c r="T109" s="705">
        <v>41669</v>
      </c>
      <c r="U109" s="291"/>
      <c r="V109" s="291"/>
      <c r="W109" s="291">
        <v>-7.1856000000000003E-2</v>
      </c>
      <c r="X109" s="291">
        <v>-3.8736E-2</v>
      </c>
      <c r="Z109" s="705">
        <v>41669</v>
      </c>
      <c r="AA109" s="707">
        <v>41669</v>
      </c>
      <c r="AB109" s="286"/>
      <c r="AC109" s="268">
        <v>0</v>
      </c>
      <c r="AD109" s="291"/>
      <c r="AE109" s="291"/>
      <c r="AF109" s="267">
        <v>0.67944300566760218</v>
      </c>
      <c r="AG109" s="291"/>
      <c r="AH109" s="291"/>
      <c r="AI109" s="161">
        <v>1.5776430056676023</v>
      </c>
      <c r="AJ109" s="291">
        <v>-7.1856000000000003E-2</v>
      </c>
      <c r="AK109" s="291">
        <f t="shared" si="303"/>
        <v>-19.456008319169566</v>
      </c>
      <c r="AL109" s="161">
        <v>1.1877430056676022</v>
      </c>
      <c r="AM109" s="291">
        <v>-3.8736E-2</v>
      </c>
      <c r="AN109" s="291">
        <f t="shared" si="304"/>
        <v>-3.0384034803162008</v>
      </c>
      <c r="AO109" s="705">
        <v>41669</v>
      </c>
      <c r="AP109" s="463">
        <v>0</v>
      </c>
      <c r="AQ109" s="463">
        <v>0.48573024744647408</v>
      </c>
      <c r="AR109" s="463">
        <v>2.7076386549723845</v>
      </c>
      <c r="AS109" s="463">
        <v>0.78438751557109676</v>
      </c>
      <c r="AT109" s="463">
        <f t="shared" si="305"/>
        <v>0</v>
      </c>
      <c r="AU109" s="463">
        <f t="shared" si="306"/>
        <v>8.2327160584148157E-3</v>
      </c>
      <c r="AV109" s="463">
        <f t="shared" si="307"/>
        <v>0.13538193274861923</v>
      </c>
      <c r="AW109" s="463">
        <f t="shared" si="308"/>
        <v>4.1283553451110358E-2</v>
      </c>
      <c r="AY109" s="268">
        <v>0</v>
      </c>
      <c r="AZ109" s="267"/>
      <c r="BA109" s="161">
        <v>1.5776430056676023</v>
      </c>
      <c r="BB109" s="161">
        <v>1.1877430056676022</v>
      </c>
      <c r="BG109" s="134">
        <v>0</v>
      </c>
      <c r="BH109" s="134">
        <v>0</v>
      </c>
      <c r="BJ109" s="508">
        <v>0</v>
      </c>
      <c r="BK109" s="508">
        <v>0</v>
      </c>
      <c r="BL109" s="508">
        <v>22.093423156321975</v>
      </c>
      <c r="BM109" s="508">
        <v>25.508377002475822</v>
      </c>
      <c r="BO109" s="705">
        <v>41669</v>
      </c>
      <c r="CH109" s="283"/>
      <c r="CI109" s="283"/>
      <c r="CJ109" s="283"/>
      <c r="CK109" s="283"/>
      <c r="CL109" s="283"/>
      <c r="CM109" s="283"/>
      <c r="CN109" s="283"/>
      <c r="CO109" s="283"/>
      <c r="CS109" s="705">
        <v>41669</v>
      </c>
      <c r="CV109" s="743">
        <v>8.9999999999999993E-3</v>
      </c>
      <c r="CW109" s="714">
        <v>6.0000000000000001E-3</v>
      </c>
      <c r="CY109" s="725"/>
      <c r="CZ109" s="725"/>
      <c r="DA109" s="736">
        <v>2.1374863156321977E-2</v>
      </c>
      <c r="DB109" s="736">
        <v>2.5121017002475821E-2</v>
      </c>
      <c r="DC109" s="463"/>
      <c r="DD109" s="463"/>
      <c r="DE109" s="463">
        <f t="shared" si="383"/>
        <v>-2.1286708277617805</v>
      </c>
      <c r="DF109" s="463">
        <f t="shared" si="384"/>
        <v>-2.5286708277617365</v>
      </c>
      <c r="DG109" s="483"/>
      <c r="DH109" s="483"/>
      <c r="DI109" s="483">
        <f t="shared" si="262"/>
        <v>2.1286708277617805</v>
      </c>
      <c r="DJ109" s="483">
        <f t="shared" si="263"/>
        <v>2.5286708277617365</v>
      </c>
      <c r="DK109" s="483"/>
      <c r="DL109" s="483"/>
      <c r="DM109" s="483">
        <f t="shared" si="329"/>
        <v>6.4208546875007766E-2</v>
      </c>
      <c r="DN109" s="483">
        <f t="shared" si="330"/>
        <v>4.8871756755330398E-2</v>
      </c>
      <c r="DO109" s="483"/>
      <c r="DP109" s="483">
        <f t="shared" si="316"/>
        <v>0</v>
      </c>
      <c r="DQ109" s="483">
        <f t="shared" si="317"/>
        <v>3.4169715156450966</v>
      </c>
      <c r="DR109" s="483">
        <f t="shared" si="318"/>
        <v>3.0895146402167888</v>
      </c>
      <c r="DS109" s="324"/>
      <c r="DT109" s="324"/>
      <c r="DU109" s="324">
        <v>-7.1856000000000003E-2</v>
      </c>
      <c r="DV109" s="324">
        <v>-3.8736E-2</v>
      </c>
      <c r="DW109" s="716"/>
      <c r="DX109" s="742">
        <f t="shared" si="382"/>
        <v>41669</v>
      </c>
      <c r="DY109" s="716"/>
      <c r="DZ109" s="324"/>
      <c r="EA109" s="324"/>
      <c r="EB109" s="269">
        <f t="shared" si="389"/>
        <v>2.2005268277617804</v>
      </c>
      <c r="EC109" s="716">
        <f t="shared" si="390"/>
        <v>2.5674068277617366</v>
      </c>
      <c r="ED109" s="716"/>
      <c r="EE109" s="324"/>
      <c r="EF109" s="324"/>
      <c r="EG109" s="269">
        <f t="shared" si="385"/>
        <v>2.2005268277617804</v>
      </c>
      <c r="EH109" s="269">
        <f t="shared" si="386"/>
        <v>2.5674068277617366</v>
      </c>
      <c r="EI109" s="716"/>
      <c r="EJ109" s="324"/>
      <c r="EK109" s="324"/>
      <c r="EL109" s="269">
        <f t="shared" si="391"/>
        <v>2.2005268277617804</v>
      </c>
      <c r="EM109" s="269">
        <f t="shared" si="392"/>
        <v>2.5674068277617366</v>
      </c>
      <c r="EN109" s="716"/>
      <c r="EO109" s="269">
        <v>0</v>
      </c>
      <c r="EP109" s="324"/>
      <c r="EQ109" s="269"/>
      <c r="ER109" s="269"/>
      <c r="ES109" s="716"/>
      <c r="ET109" s="269"/>
      <c r="EU109" s="324"/>
      <c r="EV109" s="269"/>
      <c r="EW109" s="269"/>
      <c r="EX109" s="716"/>
      <c r="EY109" s="742">
        <v>41669</v>
      </c>
      <c r="EZ109" s="716"/>
      <c r="FA109" s="763"/>
      <c r="FB109" s="763"/>
      <c r="FC109" s="759">
        <f t="shared" si="370"/>
        <v>-7.185599999999992E-2</v>
      </c>
      <c r="FD109" s="759">
        <f t="shared" si="276"/>
        <v>-3.8736000000000104E-2</v>
      </c>
      <c r="FE109" s="760"/>
      <c r="FF109" s="782">
        <v>41669</v>
      </c>
      <c r="FG109" s="760"/>
      <c r="FH109" s="767"/>
      <c r="FI109" s="767"/>
      <c r="FJ109" s="858">
        <f t="shared" si="371"/>
        <v>-19.456008319169545</v>
      </c>
      <c r="FK109" s="766">
        <f t="shared" si="372"/>
        <v>-3.0384034803162088</v>
      </c>
      <c r="FL109" s="760"/>
      <c r="FM109" s="763"/>
      <c r="FN109" s="763"/>
      <c r="FO109" s="859">
        <f t="shared" si="373"/>
        <v>-19.456008319169545</v>
      </c>
      <c r="FP109" s="859">
        <f t="shared" si="374"/>
        <v>-3.0384034803162088</v>
      </c>
      <c r="FQ109" s="760"/>
      <c r="FR109" s="763"/>
      <c r="FS109" s="763"/>
      <c r="FT109" s="759">
        <f t="shared" si="375"/>
        <v>-17.255481491407764</v>
      </c>
      <c r="FU109" s="759">
        <f t="shared" si="376"/>
        <v>-0.47099665255447221</v>
      </c>
      <c r="FV109" s="761"/>
      <c r="FW109" s="762">
        <v>41669</v>
      </c>
      <c r="FX109" s="761"/>
      <c r="FY109" s="763"/>
      <c r="FZ109" s="763"/>
      <c r="GA109" s="759">
        <f t="shared" si="377"/>
        <v>359766.50645074749</v>
      </c>
      <c r="GB109" s="759">
        <f t="shared" si="378"/>
        <v>379666.20787356602</v>
      </c>
      <c r="GC109" s="760"/>
      <c r="GD109" s="763"/>
      <c r="GE109" s="763"/>
      <c r="GF109" s="759">
        <f t="shared" si="286"/>
        <v>0.96590449857311511</v>
      </c>
      <c r="GG109" s="759">
        <f t="shared" si="287"/>
        <v>0.99088876453865715</v>
      </c>
      <c r="GH109" s="716"/>
      <c r="GI109" s="763"/>
      <c r="GJ109" s="763"/>
      <c r="GK109" s="759">
        <f t="shared" si="379"/>
        <v>0.96590449857311511</v>
      </c>
      <c r="GL109" s="759">
        <f t="shared" si="380"/>
        <v>0.99088876453865715</v>
      </c>
      <c r="GM109" s="716"/>
    </row>
    <row r="110" spans="1:195" s="134" customFormat="1">
      <c r="A110" s="705">
        <v>41670</v>
      </c>
      <c r="B110" s="277"/>
      <c r="C110" s="286"/>
      <c r="D110" s="277"/>
      <c r="E110" s="276"/>
      <c r="F110" s="276">
        <v>-0.14371200000000001</v>
      </c>
      <c r="G110" s="134">
        <v>0.11232</v>
      </c>
      <c r="I110" s="705">
        <v>41670</v>
      </c>
      <c r="J110" s="270"/>
      <c r="K110" s="270"/>
      <c r="L110" s="270">
        <f t="shared" si="366"/>
        <v>-0.14371200000000001</v>
      </c>
      <c r="M110" s="270">
        <f t="shared" si="367"/>
        <v>0.11232</v>
      </c>
      <c r="O110" s="705">
        <v>41670</v>
      </c>
      <c r="P110" s="270"/>
      <c r="Q110" s="270"/>
      <c r="R110" s="270">
        <f t="shared" si="368"/>
        <v>-0.14371200000000001</v>
      </c>
      <c r="S110" s="270">
        <f t="shared" si="369"/>
        <v>0.11232</v>
      </c>
      <c r="T110" s="705">
        <v>41670</v>
      </c>
      <c r="U110" s="291"/>
      <c r="V110" s="291"/>
      <c r="W110" s="291">
        <v>-0.14371200000000001</v>
      </c>
      <c r="X110" s="291">
        <v>0.11232</v>
      </c>
      <c r="Z110" s="705">
        <v>41670</v>
      </c>
      <c r="AA110" s="707">
        <v>41670</v>
      </c>
      <c r="AB110" s="286"/>
      <c r="AC110" s="268">
        <v>0</v>
      </c>
      <c r="AD110" s="291"/>
      <c r="AE110" s="291"/>
      <c r="AF110" s="267">
        <v>0.68045629738998392</v>
      </c>
      <c r="AG110" s="291"/>
      <c r="AH110" s="291"/>
      <c r="AI110" s="161">
        <v>1.5563562973899845</v>
      </c>
      <c r="AJ110" s="291">
        <v>-0.14371200000000001</v>
      </c>
      <c r="AK110" s="291">
        <f t="shared" si="303"/>
        <v>-37.980385865135283</v>
      </c>
      <c r="AL110" s="161">
        <v>1.1624562973899848</v>
      </c>
      <c r="AM110" s="291">
        <v>0.11232</v>
      </c>
      <c r="AN110" s="291">
        <f t="shared" si="304"/>
        <v>8.2475713970074711</v>
      </c>
      <c r="AO110" s="705">
        <v>41670</v>
      </c>
      <c r="AP110" s="463">
        <v>0</v>
      </c>
      <c r="AQ110" s="463">
        <v>0.48146174252270685</v>
      </c>
      <c r="AR110" s="463">
        <v>2.6428124210320139</v>
      </c>
      <c r="AS110" s="463">
        <v>0.7342923252321466</v>
      </c>
      <c r="AT110" s="463">
        <f t="shared" si="305"/>
        <v>0</v>
      </c>
      <c r="AU110" s="463">
        <f t="shared" si="306"/>
        <v>8.1603685173340136E-3</v>
      </c>
      <c r="AV110" s="463">
        <f t="shared" si="307"/>
        <v>0.13214062105160068</v>
      </c>
      <c r="AW110" s="463">
        <f t="shared" si="308"/>
        <v>3.8646964485902456E-2</v>
      </c>
      <c r="AY110" s="268">
        <v>0</v>
      </c>
      <c r="AZ110" s="267"/>
      <c r="BA110" s="161">
        <v>1.5563562973899845</v>
      </c>
      <c r="BB110" s="161">
        <v>1.1624562973899848</v>
      </c>
      <c r="BG110" s="134">
        <v>0</v>
      </c>
      <c r="BH110" s="134">
        <v>0</v>
      </c>
      <c r="BJ110" s="508">
        <v>0</v>
      </c>
      <c r="BK110" s="508">
        <v>0</v>
      </c>
      <c r="BL110" s="508">
        <v>22.297045694880708</v>
      </c>
      <c r="BM110" s="508">
        <v>23.759802617957394</v>
      </c>
      <c r="BO110" s="705">
        <v>41670</v>
      </c>
      <c r="CH110" s="283"/>
      <c r="CI110" s="283"/>
      <c r="CJ110" s="283"/>
      <c r="CK110" s="283"/>
      <c r="CL110" s="283"/>
      <c r="CM110" s="283"/>
      <c r="CN110" s="283"/>
      <c r="CO110" s="283"/>
      <c r="CS110" s="705">
        <v>41670</v>
      </c>
      <c r="CV110" s="743">
        <v>4.0000000000000001E-3</v>
      </c>
      <c r="CW110" s="714">
        <v>4.8000000000000001E-2</v>
      </c>
      <c r="CY110" s="725"/>
      <c r="CZ110" s="725"/>
      <c r="DA110" s="736">
        <v>2.085992569488071E-2</v>
      </c>
      <c r="DB110" s="736">
        <v>2.4883002617957395E-2</v>
      </c>
      <c r="DC110" s="463"/>
      <c r="DD110" s="463"/>
      <c r="DE110" s="463">
        <f t="shared" si="383"/>
        <v>-2.1190191948658788</v>
      </c>
      <c r="DF110" s="463">
        <f t="shared" si="384"/>
        <v>-2.4790191948659057</v>
      </c>
      <c r="DG110" s="483"/>
      <c r="DH110" s="483"/>
      <c r="DI110" s="483">
        <f t="shared" si="262"/>
        <v>2.1190191948658788</v>
      </c>
      <c r="DJ110" s="483">
        <f t="shared" si="263"/>
        <v>2.4790191948659057</v>
      </c>
      <c r="DK110" s="483"/>
      <c r="DL110" s="483"/>
      <c r="DM110" s="483">
        <f t="shared" si="329"/>
        <v>6.4826233940370681E-2</v>
      </c>
      <c r="DN110" s="483">
        <f t="shared" si="330"/>
        <v>5.0095190338950157E-2</v>
      </c>
      <c r="DO110" s="483"/>
      <c r="DP110" s="483">
        <f t="shared" si="316"/>
        <v>0</v>
      </c>
      <c r="DQ110" s="483">
        <f t="shared" si="317"/>
        <v>3.4342008512627848</v>
      </c>
      <c r="DR110" s="483">
        <f t="shared" si="318"/>
        <v>3.1046734605179633</v>
      </c>
      <c r="DS110" s="324"/>
      <c r="DT110" s="324"/>
      <c r="DU110" s="324">
        <v>-0.14371200000000001</v>
      </c>
      <c r="DV110" s="324">
        <v>0.11232</v>
      </c>
      <c r="DW110" s="716"/>
      <c r="DX110" s="742">
        <f t="shared" si="382"/>
        <v>41670</v>
      </c>
      <c r="DY110" s="716"/>
      <c r="DZ110" s="324"/>
      <c r="EA110" s="324"/>
      <c r="EB110" s="269">
        <f t="shared" si="389"/>
        <v>2.2627311948658786</v>
      </c>
      <c r="EC110" s="716">
        <f t="shared" si="390"/>
        <v>2.3666991948659057</v>
      </c>
      <c r="ED110" s="716"/>
      <c r="EE110" s="324"/>
      <c r="EF110" s="324"/>
      <c r="EG110" s="269">
        <f t="shared" si="385"/>
        <v>2.2627311948658786</v>
      </c>
      <c r="EH110" s="269">
        <f t="shared" si="386"/>
        <v>2.3666991948659057</v>
      </c>
      <c r="EI110" s="716"/>
      <c r="EJ110" s="324"/>
      <c r="EK110" s="324"/>
      <c r="EL110" s="269">
        <f t="shared" si="391"/>
        <v>2.2627311948658786</v>
      </c>
      <c r="EM110" s="269">
        <f t="shared" si="392"/>
        <v>2.3666991948659057</v>
      </c>
      <c r="EN110" s="716"/>
      <c r="EO110" s="269">
        <v>0</v>
      </c>
      <c r="EP110" s="324"/>
      <c r="EQ110" s="269"/>
      <c r="ER110" s="269"/>
      <c r="ES110" s="716"/>
      <c r="ET110" s="269"/>
      <c r="EU110" s="324"/>
      <c r="EV110" s="269"/>
      <c r="EW110" s="269"/>
      <c r="EX110" s="716"/>
      <c r="EY110" s="742">
        <v>41670</v>
      </c>
      <c r="EZ110" s="716"/>
      <c r="FA110" s="763"/>
      <c r="FB110" s="763"/>
      <c r="FC110" s="759">
        <f t="shared" si="370"/>
        <v>-0.14371199999999984</v>
      </c>
      <c r="FD110" s="759">
        <f t="shared" si="276"/>
        <v>0.11231999999999998</v>
      </c>
      <c r="FE110" s="760"/>
      <c r="FF110" s="782">
        <v>41670</v>
      </c>
      <c r="FG110" s="760"/>
      <c r="FH110" s="767"/>
      <c r="FI110" s="767"/>
      <c r="FJ110" s="858">
        <f t="shared" si="371"/>
        <v>-37.980385865135233</v>
      </c>
      <c r="FK110" s="766">
        <f t="shared" si="372"/>
        <v>8.2475713970074693</v>
      </c>
      <c r="FL110" s="760"/>
      <c r="FM110" s="763"/>
      <c r="FN110" s="763"/>
      <c r="FO110" s="859">
        <f t="shared" si="373"/>
        <v>-37.980385865135233</v>
      </c>
      <c r="FP110" s="859">
        <f t="shared" si="374"/>
        <v>8.2475713970074693</v>
      </c>
      <c r="FQ110" s="760"/>
      <c r="FR110" s="763"/>
      <c r="FS110" s="763"/>
      <c r="FT110" s="759">
        <f t="shared" si="375"/>
        <v>-35.717654670269354</v>
      </c>
      <c r="FU110" s="759">
        <f t="shared" si="376"/>
        <v>10.614270591873375</v>
      </c>
      <c r="FV110" s="761"/>
      <c r="FW110" s="762">
        <v>41670</v>
      </c>
      <c r="FX110" s="761"/>
      <c r="FY110" s="763"/>
      <c r="FZ110" s="763"/>
      <c r="GA110" s="759">
        <f t="shared" si="377"/>
        <v>359730.78879607719</v>
      </c>
      <c r="GB110" s="759">
        <f t="shared" si="378"/>
        <v>379676.82214415789</v>
      </c>
      <c r="GC110" s="760"/>
      <c r="GD110" s="763"/>
      <c r="GE110" s="763"/>
      <c r="GF110" s="759">
        <f t="shared" si="286"/>
        <v>0.96580860347808561</v>
      </c>
      <c r="GG110" s="759">
        <f t="shared" si="287"/>
        <v>0.99091646666556532</v>
      </c>
      <c r="GH110" s="716"/>
      <c r="GI110" s="763"/>
      <c r="GJ110" s="763"/>
      <c r="GK110" s="759">
        <f t="shared" si="379"/>
        <v>0.96580860347808561</v>
      </c>
      <c r="GL110" s="759">
        <f t="shared" si="380"/>
        <v>0.99091646666556532</v>
      </c>
      <c r="GM110" s="716"/>
    </row>
    <row r="111" spans="1:195" s="134" customFormat="1">
      <c r="A111" s="705">
        <v>41671</v>
      </c>
      <c r="B111" s="277"/>
      <c r="C111" s="286"/>
      <c r="D111" s="277"/>
      <c r="E111" s="276"/>
      <c r="F111" s="276">
        <v>-6.3072000000000003E-2</v>
      </c>
      <c r="G111" s="134">
        <v>0.30528</v>
      </c>
      <c r="I111" s="705">
        <v>41671</v>
      </c>
      <c r="J111" s="270"/>
      <c r="K111" s="270"/>
      <c r="L111" s="270">
        <f t="shared" si="366"/>
        <v>-6.3072000000000003E-2</v>
      </c>
      <c r="M111" s="270">
        <f t="shared" si="367"/>
        <v>0.30528</v>
      </c>
      <c r="O111" s="705">
        <v>41671</v>
      </c>
      <c r="P111" s="270"/>
      <c r="Q111" s="270"/>
      <c r="R111" s="270">
        <f t="shared" si="368"/>
        <v>-6.3072000000000003E-2</v>
      </c>
      <c r="S111" s="270">
        <f t="shared" si="369"/>
        <v>0.30528</v>
      </c>
      <c r="T111" s="705">
        <v>41671</v>
      </c>
      <c r="U111" s="291"/>
      <c r="V111" s="291"/>
      <c r="W111" s="291">
        <v>-6.3072000000000003E-2</v>
      </c>
      <c r="X111" s="291">
        <v>0.30528</v>
      </c>
      <c r="Z111" s="705">
        <v>41671</v>
      </c>
      <c r="AA111" s="707">
        <v>41671</v>
      </c>
      <c r="AB111" s="286"/>
      <c r="AC111" s="268">
        <v>0</v>
      </c>
      <c r="AD111" s="291"/>
      <c r="AE111" s="291"/>
      <c r="AF111" s="267">
        <v>0.67946610544132624</v>
      </c>
      <c r="AG111" s="291"/>
      <c r="AH111" s="291"/>
      <c r="AI111" s="161">
        <v>1.5351661054413257</v>
      </c>
      <c r="AJ111" s="291">
        <v>-6.3072000000000003E-2</v>
      </c>
      <c r="AK111" s="291">
        <f t="shared" si="303"/>
        <v>-16.267935172971619</v>
      </c>
      <c r="AL111" s="161">
        <v>1.1376661054413257</v>
      </c>
      <c r="AM111" s="291">
        <v>0.30528</v>
      </c>
      <c r="AN111" s="291">
        <f t="shared" si="304"/>
        <v>20.920894867140646</v>
      </c>
      <c r="AO111" s="705">
        <v>41671</v>
      </c>
      <c r="AP111" s="463">
        <v>0</v>
      </c>
      <c r="AQ111" s="463">
        <v>0.48353509433803693</v>
      </c>
      <c r="AR111" s="463">
        <v>2.5792642017014868</v>
      </c>
      <c r="AS111" s="463">
        <v>0.68530184968359031</v>
      </c>
      <c r="AT111" s="463">
        <f t="shared" si="305"/>
        <v>0</v>
      </c>
      <c r="AU111" s="463">
        <f t="shared" si="306"/>
        <v>8.1955100735260494E-3</v>
      </c>
      <c r="AV111" s="463">
        <f t="shared" si="307"/>
        <v>0.12896321008507433</v>
      </c>
      <c r="AW111" s="463">
        <f t="shared" si="308"/>
        <v>3.6068518404399487E-2</v>
      </c>
      <c r="AY111" s="268">
        <v>0</v>
      </c>
      <c r="AZ111" s="267"/>
      <c r="BA111" s="161">
        <v>1.5351661054413257</v>
      </c>
      <c r="BB111" s="161">
        <v>1.1376661054413257</v>
      </c>
      <c r="BG111" s="134">
        <v>0</v>
      </c>
      <c r="BH111" s="134">
        <v>0</v>
      </c>
      <c r="BJ111" s="508">
        <v>0</v>
      </c>
      <c r="BK111" s="508">
        <v>0</v>
      </c>
      <c r="BL111" s="508">
        <v>20.746051541874504</v>
      </c>
      <c r="BM111" s="508">
        <v>22.416377695720101</v>
      </c>
      <c r="BO111" s="705">
        <v>41671</v>
      </c>
      <c r="CH111" s="283"/>
      <c r="CI111" s="283"/>
      <c r="CJ111" s="283"/>
      <c r="CK111" s="283"/>
      <c r="CL111" s="283"/>
      <c r="CM111" s="283"/>
      <c r="CN111" s="283"/>
      <c r="CO111" s="283"/>
      <c r="CS111" s="705">
        <v>41671</v>
      </c>
      <c r="CV111" s="743">
        <v>1.0999999999999999E-2</v>
      </c>
      <c r="CW111" s="714">
        <v>0.249</v>
      </c>
      <c r="CY111" s="725"/>
      <c r="CZ111" s="725"/>
      <c r="DA111" s="736">
        <v>2.0115331541874504E-2</v>
      </c>
      <c r="DB111" s="736">
        <v>2.5469177695720102E-2</v>
      </c>
      <c r="DC111" s="463"/>
      <c r="DD111" s="463"/>
      <c r="DE111" s="463">
        <f t="shared" si="383"/>
        <v>-1.990040279457439</v>
      </c>
      <c r="DF111" s="463">
        <f t="shared" si="384"/>
        <v>-2.5500402794573773</v>
      </c>
      <c r="DG111" s="483"/>
      <c r="DH111" s="483"/>
      <c r="DI111" s="483">
        <f t="shared" si="262"/>
        <v>1.990040279457439</v>
      </c>
      <c r="DJ111" s="483">
        <f t="shared" si="263"/>
        <v>2.5500402794573773</v>
      </c>
      <c r="DK111" s="483"/>
      <c r="DL111" s="483"/>
      <c r="DM111" s="483">
        <f t="shared" si="329"/>
        <v>6.3548219330527012E-2</v>
      </c>
      <c r="DN111" s="483">
        <f t="shared" si="330"/>
        <v>4.8990475548556289E-2</v>
      </c>
      <c r="DO111" s="483"/>
      <c r="DP111" s="483">
        <f t="shared" si="316"/>
        <v>0</v>
      </c>
      <c r="DQ111" s="483">
        <f t="shared" si="317"/>
        <v>3.161587903888615</v>
      </c>
      <c r="DR111" s="483">
        <f t="shared" si="318"/>
        <v>3.1231921489647574</v>
      </c>
      <c r="DS111" s="324"/>
      <c r="DT111" s="324"/>
      <c r="DU111" s="324">
        <v>-6.3072000000000003E-2</v>
      </c>
      <c r="DV111" s="324">
        <v>0.30528</v>
      </c>
      <c r="DW111" s="716"/>
      <c r="DX111" s="742">
        <f t="shared" si="382"/>
        <v>41671</v>
      </c>
      <c r="DY111" s="716"/>
      <c r="DZ111" s="324"/>
      <c r="EA111" s="324"/>
      <c r="EB111" s="269">
        <f t="shared" si="389"/>
        <v>2.053112279457439</v>
      </c>
      <c r="EC111" s="716">
        <f t="shared" si="390"/>
        <v>2.2447602794573775</v>
      </c>
      <c r="ED111" s="716"/>
      <c r="EE111" s="324"/>
      <c r="EF111" s="324"/>
      <c r="EG111" s="269">
        <f t="shared" si="385"/>
        <v>2.053112279457439</v>
      </c>
      <c r="EH111" s="269">
        <f t="shared" si="386"/>
        <v>2.2447602794573775</v>
      </c>
      <c r="EI111" s="716"/>
      <c r="EJ111" s="324"/>
      <c r="EK111" s="324"/>
      <c r="EL111" s="269">
        <f t="shared" si="391"/>
        <v>2.053112279457439</v>
      </c>
      <c r="EM111" s="269">
        <f t="shared" si="392"/>
        <v>2.2447602794573775</v>
      </c>
      <c r="EN111" s="716"/>
      <c r="EO111" s="269">
        <v>0</v>
      </c>
      <c r="EP111" s="324"/>
      <c r="EQ111" s="269"/>
      <c r="ER111" s="269"/>
      <c r="ES111" s="716"/>
      <c r="ET111" s="269"/>
      <c r="EU111" s="324"/>
      <c r="EV111" s="269"/>
      <c r="EW111" s="269"/>
      <c r="EX111" s="716"/>
      <c r="EY111" s="742">
        <v>41671</v>
      </c>
      <c r="EZ111" s="716"/>
      <c r="FA111" s="763"/>
      <c r="FB111" s="763"/>
      <c r="FC111" s="759">
        <f t="shared" si="370"/>
        <v>-6.3072000000000017E-2</v>
      </c>
      <c r="FD111" s="759">
        <f t="shared" si="276"/>
        <v>0.30527999999999977</v>
      </c>
      <c r="FE111" s="760"/>
      <c r="FF111" s="782">
        <v>41671</v>
      </c>
      <c r="FG111" s="760"/>
      <c r="FH111" s="767"/>
      <c r="FI111" s="767"/>
      <c r="FJ111" s="858">
        <f t="shared" si="371"/>
        <v>-16.267935172971622</v>
      </c>
      <c r="FK111" s="766">
        <f t="shared" si="372"/>
        <v>20.920894867140632</v>
      </c>
      <c r="FL111" s="760"/>
      <c r="FM111" s="763"/>
      <c r="FN111" s="763"/>
      <c r="FO111" s="859">
        <f t="shared" si="373"/>
        <v>-16.267935172971622</v>
      </c>
      <c r="FP111" s="859">
        <f t="shared" si="374"/>
        <v>20.920894867140632</v>
      </c>
      <c r="FQ111" s="760"/>
      <c r="FR111" s="763"/>
      <c r="FS111" s="763"/>
      <c r="FT111" s="759">
        <f t="shared" si="375"/>
        <v>-14.214822893514183</v>
      </c>
      <c r="FU111" s="759">
        <f t="shared" si="376"/>
        <v>23.165655146598009</v>
      </c>
      <c r="FV111" s="761"/>
      <c r="FW111" s="762">
        <v>41671</v>
      </c>
      <c r="FX111" s="761"/>
      <c r="FY111" s="763"/>
      <c r="FZ111" s="763"/>
      <c r="GA111" s="759">
        <f t="shared" si="377"/>
        <v>359716.57397318369</v>
      </c>
      <c r="GB111" s="759">
        <f t="shared" si="378"/>
        <v>379699.98779930448</v>
      </c>
      <c r="GC111" s="760"/>
      <c r="GD111" s="763"/>
      <c r="GE111" s="763"/>
      <c r="GF111" s="759">
        <f t="shared" si="286"/>
        <v>0.96577043938795193</v>
      </c>
      <c r="GG111" s="759">
        <f t="shared" si="287"/>
        <v>0.99097692658254477</v>
      </c>
      <c r="GH111" s="716"/>
      <c r="GI111" s="763"/>
      <c r="GJ111" s="763"/>
      <c r="GK111" s="759">
        <f t="shared" si="379"/>
        <v>0.96577043938795193</v>
      </c>
      <c r="GL111" s="759">
        <f t="shared" si="380"/>
        <v>0.99097692658254477</v>
      </c>
      <c r="GM111" s="716"/>
    </row>
    <row r="112" spans="1:195" s="134" customFormat="1">
      <c r="A112" s="705">
        <v>41672</v>
      </c>
      <c r="B112" s="277"/>
      <c r="C112" s="286"/>
      <c r="D112" s="277"/>
      <c r="E112" s="276"/>
      <c r="F112" s="276">
        <v>5.7312000000000002E-2</v>
      </c>
      <c r="G112" s="134">
        <v>-0.17712</v>
      </c>
      <c r="I112" s="705">
        <v>41672</v>
      </c>
      <c r="J112" s="270"/>
      <c r="K112" s="270"/>
      <c r="L112" s="270">
        <f t="shared" si="366"/>
        <v>5.7312000000000002E-2</v>
      </c>
      <c r="M112" s="270">
        <f t="shared" si="367"/>
        <v>-0.17712</v>
      </c>
      <c r="O112" s="705">
        <v>41672</v>
      </c>
      <c r="P112" s="270"/>
      <c r="Q112" s="270"/>
      <c r="R112" s="270">
        <f t="shared" si="368"/>
        <v>5.7312000000000002E-2</v>
      </c>
      <c r="S112" s="270">
        <f t="shared" si="369"/>
        <v>-0.17712</v>
      </c>
      <c r="T112" s="705">
        <v>41672</v>
      </c>
      <c r="U112" s="291"/>
      <c r="V112" s="291"/>
      <c r="W112" s="291">
        <v>5.7312000000000002E-2</v>
      </c>
      <c r="X112" s="291">
        <v>-0.17712</v>
      </c>
      <c r="Z112" s="705">
        <v>41672</v>
      </c>
      <c r="AA112" s="707">
        <v>41672</v>
      </c>
      <c r="AB112" s="286"/>
      <c r="AC112" s="268">
        <v>0</v>
      </c>
      <c r="AD112" s="291"/>
      <c r="AE112" s="291"/>
      <c r="AF112" s="267">
        <v>0.67936570264675189</v>
      </c>
      <c r="AG112" s="291"/>
      <c r="AH112" s="291"/>
      <c r="AI112" s="161">
        <v>1.5152657026467513</v>
      </c>
      <c r="AJ112" s="291">
        <v>5.7312000000000002E-2</v>
      </c>
      <c r="AK112" s="291">
        <f t="shared" si="303"/>
        <v>14.423618687340118</v>
      </c>
      <c r="AL112" s="161">
        <v>1.112165702646752</v>
      </c>
      <c r="AM112" s="291">
        <v>-0.17712</v>
      </c>
      <c r="AN112" s="291">
        <f t="shared" si="304"/>
        <v>-11.326903152403695</v>
      </c>
      <c r="AO112" s="705">
        <v>41672</v>
      </c>
      <c r="AP112" s="463">
        <v>0</v>
      </c>
      <c r="AQ112" s="463">
        <v>0.48150894342900663</v>
      </c>
      <c r="AR112" s="463">
        <v>2.516683885982014</v>
      </c>
      <c r="AS112" s="463">
        <v>0.63950446885748047</v>
      </c>
      <c r="AT112" s="463">
        <f t="shared" si="305"/>
        <v>0</v>
      </c>
      <c r="AU112" s="463">
        <f t="shared" si="306"/>
        <v>8.1611685326950269E-3</v>
      </c>
      <c r="AV112" s="463">
        <f t="shared" si="307"/>
        <v>0.1258341942991007</v>
      </c>
      <c r="AW112" s="463">
        <f t="shared" si="308"/>
        <v>3.3658129939867394E-2</v>
      </c>
      <c r="AY112" s="268">
        <v>0</v>
      </c>
      <c r="AZ112" s="267"/>
      <c r="BA112" s="161">
        <v>1.5152657026467513</v>
      </c>
      <c r="BB112" s="161">
        <v>1.112165702646752</v>
      </c>
      <c r="BG112" s="134">
        <v>0</v>
      </c>
      <c r="BH112" s="134">
        <v>0</v>
      </c>
      <c r="BJ112" s="508">
        <v>0</v>
      </c>
      <c r="BK112" s="508">
        <v>0</v>
      </c>
      <c r="BL112" s="508">
        <v>19.230836567563841</v>
      </c>
      <c r="BM112" s="508">
        <v>24.805925798333433</v>
      </c>
      <c r="BO112" s="705">
        <v>41672</v>
      </c>
      <c r="CH112" s="283"/>
      <c r="CI112" s="283"/>
      <c r="CJ112" s="283"/>
      <c r="CK112" s="283"/>
      <c r="CL112" s="283"/>
      <c r="CM112" s="283"/>
      <c r="CN112" s="283"/>
      <c r="CO112" s="283"/>
      <c r="CS112" s="705">
        <v>41672</v>
      </c>
      <c r="CV112" s="743">
        <v>4.0000000000000001E-3</v>
      </c>
      <c r="CW112" s="714">
        <v>0.186</v>
      </c>
      <c r="CY112" s="725"/>
      <c r="CZ112" s="725"/>
      <c r="DA112" s="736">
        <v>1.9803956567563841E-2</v>
      </c>
      <c r="DB112" s="736">
        <v>2.3034725798333433E-2</v>
      </c>
      <c r="DC112" s="463"/>
      <c r="DD112" s="463"/>
      <c r="DE112" s="463">
        <f t="shared" si="383"/>
        <v>-2.0089169689221364</v>
      </c>
      <c r="DF112" s="463">
        <f t="shared" si="384"/>
        <v>-2.2889169689221944</v>
      </c>
      <c r="DG112" s="483"/>
      <c r="DH112" s="483"/>
      <c r="DI112" s="483">
        <f t="shared" si="262"/>
        <v>2.0089169689221364</v>
      </c>
      <c r="DJ112" s="483">
        <f t="shared" si="263"/>
        <v>2.2889169689221944</v>
      </c>
      <c r="DK112" s="483"/>
      <c r="DL112" s="483"/>
      <c r="DM112" s="483">
        <f t="shared" si="329"/>
        <v>6.2580315719472868E-2</v>
      </c>
      <c r="DN112" s="483">
        <f t="shared" si="330"/>
        <v>4.5797380826109846E-2</v>
      </c>
      <c r="DO112" s="483"/>
      <c r="DP112" s="483">
        <f t="shared" si="316"/>
        <v>0</v>
      </c>
      <c r="DQ112" s="483">
        <f t="shared" si="317"/>
        <v>3.1429664542338442</v>
      </c>
      <c r="DR112" s="483">
        <f t="shared" si="318"/>
        <v>2.6206600526268691</v>
      </c>
      <c r="DS112" s="324"/>
      <c r="DT112" s="324"/>
      <c r="DU112" s="324">
        <v>5.7312000000000002E-2</v>
      </c>
      <c r="DV112" s="324">
        <v>-0.17712</v>
      </c>
      <c r="DW112" s="716"/>
      <c r="DX112" s="742">
        <f t="shared" si="382"/>
        <v>41672</v>
      </c>
      <c r="DY112" s="716"/>
      <c r="DZ112" s="324"/>
      <c r="EA112" s="324"/>
      <c r="EB112" s="269">
        <f t="shared" si="389"/>
        <v>1.9516049689221364</v>
      </c>
      <c r="EC112" s="716">
        <f t="shared" si="390"/>
        <v>2.4660369689221944</v>
      </c>
      <c r="ED112" s="716"/>
      <c r="EE112" s="324"/>
      <c r="EF112" s="324"/>
      <c r="EG112" s="269">
        <f t="shared" si="385"/>
        <v>1.9516049689221364</v>
      </c>
      <c r="EH112" s="269">
        <f t="shared" si="386"/>
        <v>2.4660369689221944</v>
      </c>
      <c r="EI112" s="716"/>
      <c r="EJ112" s="324"/>
      <c r="EK112" s="324"/>
      <c r="EL112" s="269">
        <f t="shared" si="391"/>
        <v>1.9516049689221364</v>
      </c>
      <c r="EM112" s="269">
        <f t="shared" si="392"/>
        <v>2.4660369689221944</v>
      </c>
      <c r="EN112" s="716"/>
      <c r="EO112" s="269">
        <v>0</v>
      </c>
      <c r="EP112" s="324"/>
      <c r="EQ112" s="269"/>
      <c r="ER112" s="269"/>
      <c r="ES112" s="716"/>
      <c r="ET112" s="269"/>
      <c r="EU112" s="324"/>
      <c r="EV112" s="269"/>
      <c r="EW112" s="269"/>
      <c r="EX112" s="716"/>
      <c r="EY112" s="742">
        <v>41672</v>
      </c>
      <c r="EZ112" s="716"/>
      <c r="FA112" s="763"/>
      <c r="FB112" s="763"/>
      <c r="FC112" s="759">
        <f t="shared" si="370"/>
        <v>5.731200000000003E-2</v>
      </c>
      <c r="FD112" s="759">
        <f t="shared" si="276"/>
        <v>-0.17711999999999994</v>
      </c>
      <c r="FE112" s="760"/>
      <c r="FF112" s="782">
        <v>41672</v>
      </c>
      <c r="FG112" s="760"/>
      <c r="FH112" s="767"/>
      <c r="FI112" s="767"/>
      <c r="FJ112" s="858">
        <f t="shared" si="371"/>
        <v>14.423618687340126</v>
      </c>
      <c r="FK112" s="766">
        <f t="shared" si="372"/>
        <v>-11.326903152403689</v>
      </c>
      <c r="FL112" s="760"/>
      <c r="FM112" s="763"/>
      <c r="FN112" s="763"/>
      <c r="FO112" s="859">
        <f t="shared" si="373"/>
        <v>14.423618687340126</v>
      </c>
      <c r="FP112" s="859">
        <f t="shared" si="374"/>
        <v>-11.326903152403689</v>
      </c>
      <c r="FQ112" s="760"/>
      <c r="FR112" s="763"/>
      <c r="FS112" s="763"/>
      <c r="FT112" s="759">
        <f t="shared" si="375"/>
        <v>16.375223656262261</v>
      </c>
      <c r="FU112" s="759">
        <f t="shared" si="376"/>
        <v>-8.8608661834814946</v>
      </c>
      <c r="FV112" s="761"/>
      <c r="FW112" s="762">
        <v>41672</v>
      </c>
      <c r="FX112" s="761"/>
      <c r="FY112" s="763"/>
      <c r="FZ112" s="763"/>
      <c r="GA112" s="759">
        <f t="shared" si="377"/>
        <v>359732.94919683994</v>
      </c>
      <c r="GB112" s="759">
        <f t="shared" si="378"/>
        <v>379691.12693312101</v>
      </c>
      <c r="GC112" s="760"/>
      <c r="GD112" s="763"/>
      <c r="GE112" s="763"/>
      <c r="GF112" s="759">
        <f t="shared" si="286"/>
        <v>0.96581440374236271</v>
      </c>
      <c r="GG112" s="759">
        <f t="shared" si="287"/>
        <v>0.99095380065623584</v>
      </c>
      <c r="GH112" s="716"/>
      <c r="GI112" s="763"/>
      <c r="GJ112" s="763"/>
      <c r="GK112" s="759">
        <f t="shared" si="379"/>
        <v>0.96581440374236271</v>
      </c>
      <c r="GL112" s="759">
        <f t="shared" si="380"/>
        <v>0.99095380065623584</v>
      </c>
      <c r="GM112" s="716"/>
    </row>
    <row r="113" spans="1:195" s="134" customFormat="1">
      <c r="A113" s="705">
        <v>41673</v>
      </c>
      <c r="B113" s="277"/>
      <c r="C113" s="286"/>
      <c r="D113" s="277"/>
      <c r="E113" s="276"/>
      <c r="F113" s="276">
        <v>0.11203199999999999</v>
      </c>
      <c r="G113" s="134">
        <v>-4.8528000000000002E-2</v>
      </c>
      <c r="I113" s="705">
        <v>41673</v>
      </c>
      <c r="J113" s="270"/>
      <c r="K113" s="270"/>
      <c r="L113" s="270">
        <f t="shared" si="366"/>
        <v>0.11203199999999999</v>
      </c>
      <c r="M113" s="270">
        <f t="shared" si="367"/>
        <v>-4.8528000000000002E-2</v>
      </c>
      <c r="O113" s="705">
        <v>41673</v>
      </c>
      <c r="P113" s="270"/>
      <c r="Q113" s="270"/>
      <c r="R113" s="270">
        <f t="shared" si="368"/>
        <v>0.11203199999999999</v>
      </c>
      <c r="S113" s="270">
        <f t="shared" si="369"/>
        <v>-4.8528000000000002E-2</v>
      </c>
      <c r="T113" s="705">
        <v>41673</v>
      </c>
      <c r="U113" s="291"/>
      <c r="V113" s="291"/>
      <c r="W113" s="291">
        <v>0.11203199999999999</v>
      </c>
      <c r="X113" s="291">
        <v>-4.8528000000000002E-2</v>
      </c>
      <c r="Z113" s="705">
        <v>41673</v>
      </c>
      <c r="AA113" s="707">
        <v>41673</v>
      </c>
      <c r="AB113" s="286"/>
      <c r="AC113" s="268">
        <v>0</v>
      </c>
      <c r="AD113" s="291"/>
      <c r="AE113" s="291"/>
      <c r="AF113" s="267">
        <v>0.67947653295753141</v>
      </c>
      <c r="AG113" s="291"/>
      <c r="AH113" s="291"/>
      <c r="AI113" s="161">
        <v>1.4951765329575299</v>
      </c>
      <c r="AJ113" s="291">
        <v>0.11203199999999999</v>
      </c>
      <c r="AK113" s="291">
        <f t="shared" si="303"/>
        <v>27.543425185394099</v>
      </c>
      <c r="AL113" s="161">
        <v>1.08927653295753</v>
      </c>
      <c r="AM113" s="291">
        <v>-4.8528000000000002E-2</v>
      </c>
      <c r="AN113" s="291">
        <f t="shared" si="304"/>
        <v>-2.8856674370514925</v>
      </c>
      <c r="AO113" s="705">
        <v>41673</v>
      </c>
      <c r="AP113" s="463">
        <v>0</v>
      </c>
      <c r="AQ113" s="463">
        <v>0.48130380743052475</v>
      </c>
      <c r="AR113" s="463">
        <v>2.4585319538519443</v>
      </c>
      <c r="AS113" s="463">
        <v>0.59463967957704666</v>
      </c>
      <c r="AT113" s="463">
        <f t="shared" si="305"/>
        <v>0</v>
      </c>
      <c r="AU113" s="463">
        <f t="shared" si="306"/>
        <v>8.1576916513648266E-3</v>
      </c>
      <c r="AV113" s="463">
        <f t="shared" si="307"/>
        <v>0.12292659769259721</v>
      </c>
      <c r="AW113" s="463">
        <f t="shared" si="308"/>
        <v>3.1296825240897191E-2</v>
      </c>
      <c r="AY113" s="268">
        <v>0</v>
      </c>
      <c r="AZ113" s="267"/>
      <c r="BA113" s="161">
        <v>1.4951765329575299</v>
      </c>
      <c r="BB113" s="161">
        <v>1.08927653295753</v>
      </c>
      <c r="BG113" s="134">
        <v>0</v>
      </c>
      <c r="BH113" s="134">
        <v>0</v>
      </c>
      <c r="BJ113" s="508">
        <v>0</v>
      </c>
      <c r="BK113" s="508">
        <v>0</v>
      </c>
      <c r="BL113" s="508">
        <v>21.514118987745086</v>
      </c>
      <c r="BM113" s="508">
        <v>24.604334372360839</v>
      </c>
      <c r="BO113" s="705">
        <v>41673</v>
      </c>
      <c r="CH113" s="283"/>
      <c r="CI113" s="283"/>
      <c r="CJ113" s="283"/>
      <c r="CK113" s="283"/>
      <c r="CL113" s="283"/>
      <c r="CM113" s="283"/>
      <c r="CN113" s="283"/>
      <c r="CO113" s="283"/>
      <c r="CS113" s="705">
        <v>41673</v>
      </c>
      <c r="CV113" s="743">
        <v>3.6999999999999998E-2</v>
      </c>
      <c r="CW113" s="714">
        <v>1.9E-2</v>
      </c>
      <c r="CY113" s="725"/>
      <c r="CZ113" s="725"/>
      <c r="DA113" s="736">
        <v>2.2634438987745087E-2</v>
      </c>
      <c r="DB113" s="736">
        <v>2.4119054372360837E-2</v>
      </c>
      <c r="DC113" s="463"/>
      <c r="DD113" s="463"/>
      <c r="DE113" s="463">
        <f t="shared" si="383"/>
        <v>-2.3019227406258835</v>
      </c>
      <c r="DF113" s="463">
        <f t="shared" si="384"/>
        <v>-2.4619227406260435</v>
      </c>
      <c r="DG113" s="483"/>
      <c r="DH113" s="483"/>
      <c r="DI113" s="483">
        <f t="shared" si="262"/>
        <v>2.3019227406258835</v>
      </c>
      <c r="DJ113" s="483">
        <f t="shared" si="263"/>
        <v>2.4619227406260435</v>
      </c>
      <c r="DK113" s="483"/>
      <c r="DL113" s="483"/>
      <c r="DM113" s="483">
        <f t="shared" si="329"/>
        <v>5.8151932130069639E-2</v>
      </c>
      <c r="DN113" s="483">
        <f t="shared" si="330"/>
        <v>4.4864789280433803E-2</v>
      </c>
      <c r="DO113" s="483"/>
      <c r="DP113" s="483">
        <f t="shared" si="316"/>
        <v>0</v>
      </c>
      <c r="DQ113" s="483">
        <f t="shared" si="317"/>
        <v>3.346531374538507</v>
      </c>
      <c r="DR113" s="483">
        <f t="shared" si="318"/>
        <v>2.7613411245723882</v>
      </c>
      <c r="DS113" s="324"/>
      <c r="DT113" s="324"/>
      <c r="DU113" s="324">
        <v>0.11203199999999999</v>
      </c>
      <c r="DV113" s="324">
        <v>-4.8528000000000002E-2</v>
      </c>
      <c r="DW113" s="716"/>
      <c r="DX113" s="742">
        <f t="shared" si="382"/>
        <v>41673</v>
      </c>
      <c r="DY113" s="716"/>
      <c r="DZ113" s="324"/>
      <c r="EA113" s="324"/>
      <c r="EB113" s="269">
        <f t="shared" si="389"/>
        <v>2.1898907406258834</v>
      </c>
      <c r="EC113" s="716">
        <f t="shared" si="390"/>
        <v>2.5104507406260437</v>
      </c>
      <c r="ED113" s="716"/>
      <c r="EE113" s="324"/>
      <c r="EF113" s="324"/>
      <c r="EG113" s="269">
        <f t="shared" si="385"/>
        <v>2.1898907406258834</v>
      </c>
      <c r="EH113" s="269">
        <f t="shared" si="386"/>
        <v>2.5104507406260437</v>
      </c>
      <c r="EI113" s="716"/>
      <c r="EJ113" s="324"/>
      <c r="EK113" s="324"/>
      <c r="EL113" s="269">
        <f t="shared" si="391"/>
        <v>2.1898907406258834</v>
      </c>
      <c r="EM113" s="269">
        <f t="shared" si="392"/>
        <v>2.5104507406260437</v>
      </c>
      <c r="EN113" s="716"/>
      <c r="EO113" s="269">
        <v>0</v>
      </c>
      <c r="EP113" s="324"/>
      <c r="EQ113" s="269"/>
      <c r="ER113" s="269"/>
      <c r="ES113" s="716"/>
      <c r="ET113" s="269"/>
      <c r="EU113" s="324"/>
      <c r="EV113" s="269"/>
      <c r="EW113" s="269"/>
      <c r="EX113" s="716"/>
      <c r="EY113" s="742">
        <v>41673</v>
      </c>
      <c r="EZ113" s="716"/>
      <c r="FA113" s="763"/>
      <c r="FB113" s="763"/>
      <c r="FC113" s="759">
        <f t="shared" si="370"/>
        <v>0.11203200000000013</v>
      </c>
      <c r="FD113" s="759">
        <f t="shared" si="276"/>
        <v>-4.8528000000000127E-2</v>
      </c>
      <c r="FE113" s="760"/>
      <c r="FF113" s="782">
        <v>41673</v>
      </c>
      <c r="FG113" s="760"/>
      <c r="FH113" s="767"/>
      <c r="FI113" s="767"/>
      <c r="FJ113" s="858">
        <f t="shared" si="371"/>
        <v>27.543425185394135</v>
      </c>
      <c r="FK113" s="766">
        <f t="shared" si="372"/>
        <v>-2.8856674370514996</v>
      </c>
      <c r="FL113" s="760"/>
      <c r="FM113" s="763"/>
      <c r="FN113" s="763"/>
      <c r="FO113" s="859">
        <f t="shared" si="373"/>
        <v>27.543425185394135</v>
      </c>
      <c r="FP113" s="859">
        <f t="shared" si="374"/>
        <v>-2.8856674370514996</v>
      </c>
      <c r="FQ113" s="760"/>
      <c r="FR113" s="763"/>
      <c r="FS113" s="763"/>
      <c r="FT113" s="759">
        <f t="shared" si="375"/>
        <v>29.733315926020019</v>
      </c>
      <c r="FU113" s="759">
        <f t="shared" si="376"/>
        <v>-0.37521669642545596</v>
      </c>
      <c r="FV113" s="761"/>
      <c r="FW113" s="762">
        <v>41673</v>
      </c>
      <c r="FX113" s="761"/>
      <c r="FY113" s="763"/>
      <c r="FZ113" s="763"/>
      <c r="GA113" s="759">
        <f t="shared" si="377"/>
        <v>359762.68251276598</v>
      </c>
      <c r="GB113" s="759">
        <f t="shared" si="378"/>
        <v>379690.75171642459</v>
      </c>
      <c r="GC113" s="760"/>
      <c r="GD113" s="763"/>
      <c r="GE113" s="763"/>
      <c r="GF113" s="759">
        <f t="shared" si="286"/>
        <v>0.96589423202847469</v>
      </c>
      <c r="GG113" s="759">
        <f t="shared" si="287"/>
        <v>0.990952821380227</v>
      </c>
      <c r="GH113" s="716"/>
      <c r="GI113" s="763"/>
      <c r="GJ113" s="763"/>
      <c r="GK113" s="759">
        <f t="shared" si="379"/>
        <v>0.96589423202847469</v>
      </c>
      <c r="GL113" s="759">
        <f t="shared" si="380"/>
        <v>0.990952821380227</v>
      </c>
      <c r="GM113" s="716"/>
    </row>
    <row r="114" spans="1:195" s="134" customFormat="1">
      <c r="A114" s="705">
        <v>41674</v>
      </c>
      <c r="B114" s="277"/>
      <c r="C114" s="286"/>
      <c r="D114" s="277"/>
      <c r="E114" s="276"/>
      <c r="F114" s="276">
        <v>-0.71279999999999999</v>
      </c>
      <c r="G114" s="134">
        <v>0.12844800000000001</v>
      </c>
      <c r="I114" s="705">
        <v>41674</v>
      </c>
      <c r="J114" s="270"/>
      <c r="K114" s="270"/>
      <c r="L114" s="270">
        <f t="shared" si="366"/>
        <v>-0.71279999999999999</v>
      </c>
      <c r="M114" s="270">
        <f t="shared" si="367"/>
        <v>0.12844800000000001</v>
      </c>
      <c r="O114" s="705">
        <v>41674</v>
      </c>
      <c r="P114" s="270"/>
      <c r="Q114" s="270"/>
      <c r="R114" s="270">
        <f t="shared" si="368"/>
        <v>-0.71279999999999999</v>
      </c>
      <c r="S114" s="270">
        <f t="shared" si="369"/>
        <v>0.12844800000000001</v>
      </c>
      <c r="T114" s="705">
        <v>41674</v>
      </c>
      <c r="U114" s="291"/>
      <c r="V114" s="291"/>
      <c r="W114" s="291">
        <v>-0.71279999999999999</v>
      </c>
      <c r="X114" s="291">
        <v>0.12844800000000001</v>
      </c>
      <c r="Z114" s="705">
        <v>41674</v>
      </c>
      <c r="AA114" s="707">
        <v>41674</v>
      </c>
      <c r="AB114" s="286"/>
      <c r="AC114" s="268">
        <v>0</v>
      </c>
      <c r="AD114" s="291"/>
      <c r="AE114" s="291"/>
      <c r="AF114" s="267">
        <v>0.68115730555127008</v>
      </c>
      <c r="AG114" s="291"/>
      <c r="AH114" s="291"/>
      <c r="AI114" s="161">
        <v>1.4721573055512711</v>
      </c>
      <c r="AJ114" s="291">
        <v>-0.71279999999999999</v>
      </c>
      <c r="AK114" s="291">
        <f t="shared" si="303"/>
        <v>-171.10325820822135</v>
      </c>
      <c r="AL114" s="161">
        <v>1.0646573055512696</v>
      </c>
      <c r="AM114" s="291">
        <v>0.12844800000000001</v>
      </c>
      <c r="AN114" s="291">
        <f t="shared" si="304"/>
        <v>7.1450165768680085</v>
      </c>
      <c r="AO114" s="705">
        <v>41674</v>
      </c>
      <c r="AP114" s="463">
        <v>0</v>
      </c>
      <c r="AQ114" s="463">
        <v>0.48153025147701944</v>
      </c>
      <c r="AR114" s="463">
        <v>2.400438527051366</v>
      </c>
      <c r="AS114" s="463">
        <v>0.55625751875218044</v>
      </c>
      <c r="AT114" s="463">
        <f t="shared" si="305"/>
        <v>0</v>
      </c>
      <c r="AU114" s="463">
        <f t="shared" si="306"/>
        <v>8.1615296860511766E-3</v>
      </c>
      <c r="AV114" s="463">
        <f t="shared" si="307"/>
        <v>0.1200219263525683</v>
      </c>
      <c r="AW114" s="463">
        <f t="shared" si="308"/>
        <v>2.9276711513272654E-2</v>
      </c>
      <c r="AY114" s="268">
        <v>0</v>
      </c>
      <c r="AZ114" s="267"/>
      <c r="BA114" s="161">
        <v>1.4721573055512711</v>
      </c>
      <c r="BB114" s="161">
        <v>1.0646573055512696</v>
      </c>
      <c r="BG114" s="134">
        <v>0</v>
      </c>
      <c r="BH114" s="134">
        <v>0</v>
      </c>
      <c r="BJ114" s="508">
        <v>0</v>
      </c>
      <c r="BK114" s="508">
        <v>0</v>
      </c>
      <c r="BL114" s="508">
        <v>27.140087534159175</v>
      </c>
      <c r="BM114" s="508">
        <v>23.773761380312649</v>
      </c>
      <c r="BO114" s="705">
        <v>41674</v>
      </c>
      <c r="CH114" s="283"/>
      <c r="CI114" s="283"/>
      <c r="CJ114" s="283"/>
      <c r="CK114" s="283"/>
      <c r="CL114" s="283"/>
      <c r="CM114" s="283"/>
      <c r="CN114" s="283"/>
      <c r="CO114" s="283"/>
      <c r="CS114" s="705">
        <v>41674</v>
      </c>
      <c r="CV114" s="743">
        <v>0.40899999999999997</v>
      </c>
      <c r="CW114" s="714">
        <v>90</v>
      </c>
      <c r="CY114" s="725"/>
      <c r="CZ114" s="725"/>
      <c r="DA114" s="736">
        <v>2.0012087534159173E-2</v>
      </c>
      <c r="DB114" s="736">
        <v>2.5058241380312651E-2</v>
      </c>
      <c r="DC114" s="463"/>
      <c r="DD114" s="463"/>
      <c r="DE114" s="463">
        <f t="shared" si="383"/>
        <v>-1.9602051567954248</v>
      </c>
      <c r="DF114" s="463">
        <f t="shared" si="384"/>
        <v>-2.4702051567951244</v>
      </c>
      <c r="DG114" s="483"/>
      <c r="DH114" s="483"/>
      <c r="DI114" s="483">
        <f t="shared" si="262"/>
        <v>1.9602051567954248</v>
      </c>
      <c r="DJ114" s="483">
        <f t="shared" si="263"/>
        <v>2.4702051567951244</v>
      </c>
      <c r="DK114" s="483"/>
      <c r="DL114" s="483"/>
      <c r="DM114" s="483">
        <f t="shared" si="329"/>
        <v>5.8093426800578385E-2</v>
      </c>
      <c r="DN114" s="483">
        <f t="shared" si="330"/>
        <v>3.8382160824866229E-2</v>
      </c>
      <c r="DO114" s="483"/>
      <c r="DP114" s="483">
        <f t="shared" si="316"/>
        <v>0</v>
      </c>
      <c r="DQ114" s="483">
        <f t="shared" si="317"/>
        <v>2.8468758697602823</v>
      </c>
      <c r="DR114" s="483">
        <f t="shared" si="318"/>
        <v>2.3702952899631091</v>
      </c>
      <c r="DS114" s="324"/>
      <c r="DT114" s="324"/>
      <c r="DU114" s="324">
        <v>-0.71279999999999999</v>
      </c>
      <c r="DV114" s="324">
        <v>0.12844800000000001</v>
      </c>
      <c r="DW114" s="716"/>
      <c r="DX114" s="742">
        <f t="shared" si="382"/>
        <v>41674</v>
      </c>
      <c r="DY114" s="716"/>
      <c r="DZ114" s="324"/>
      <c r="EA114" s="324"/>
      <c r="EB114" s="269">
        <f t="shared" si="389"/>
        <v>2.6730051567954249</v>
      </c>
      <c r="EC114" s="716">
        <f t="shared" si="390"/>
        <v>2.3417571567951243</v>
      </c>
      <c r="ED114" s="716"/>
      <c r="EE114" s="324"/>
      <c r="EF114" s="324"/>
      <c r="EG114" s="269">
        <f t="shared" si="385"/>
        <v>2.6730051567954249</v>
      </c>
      <c r="EH114" s="269">
        <f t="shared" si="386"/>
        <v>2.3417571567951243</v>
      </c>
      <c r="EI114" s="716"/>
      <c r="EJ114" s="324"/>
      <c r="EK114" s="324"/>
      <c r="EL114" s="269">
        <f t="shared" si="391"/>
        <v>2.6730051567954249</v>
      </c>
      <c r="EM114" s="269">
        <f t="shared" si="392"/>
        <v>2.3417571567951243</v>
      </c>
      <c r="EN114" s="716"/>
      <c r="EO114" s="269">
        <v>0</v>
      </c>
      <c r="EP114" s="324"/>
      <c r="EQ114" s="269"/>
      <c r="ER114" s="269"/>
      <c r="ES114" s="716"/>
      <c r="ET114" s="269"/>
      <c r="EU114" s="324"/>
      <c r="EV114" s="269"/>
      <c r="EW114" s="269"/>
      <c r="EX114" s="716"/>
      <c r="EY114" s="742">
        <v>41674</v>
      </c>
      <c r="EZ114" s="716"/>
      <c r="FA114" s="763"/>
      <c r="FB114" s="763"/>
      <c r="FC114" s="759">
        <f t="shared" si="370"/>
        <v>-0.7128000000000001</v>
      </c>
      <c r="FD114" s="759">
        <f t="shared" si="276"/>
        <v>0.12844800000000012</v>
      </c>
      <c r="FE114" s="760"/>
      <c r="FF114" s="782">
        <v>41674</v>
      </c>
      <c r="FG114" s="760"/>
      <c r="FH114" s="767"/>
      <c r="FI114" s="767"/>
      <c r="FJ114" s="858">
        <f t="shared" si="371"/>
        <v>-171.10325820822138</v>
      </c>
      <c r="FK114" s="766">
        <f t="shared" si="372"/>
        <v>7.1450165768680138</v>
      </c>
      <c r="FL114" s="760"/>
      <c r="FM114" s="763"/>
      <c r="FN114" s="763"/>
      <c r="FO114" s="859">
        <f t="shared" si="373"/>
        <v>-171.10325820822138</v>
      </c>
      <c r="FP114" s="859">
        <f t="shared" si="374"/>
        <v>7.1450165768680138</v>
      </c>
      <c r="FQ114" s="760"/>
      <c r="FR114" s="763"/>
      <c r="FS114" s="763"/>
      <c r="FT114" s="759">
        <f t="shared" si="375"/>
        <v>-168.43025305142595</v>
      </c>
      <c r="FU114" s="759">
        <f t="shared" si="376"/>
        <v>9.4867737336631386</v>
      </c>
      <c r="FV114" s="761"/>
      <c r="FW114" s="762">
        <v>41674</v>
      </c>
      <c r="FX114" s="761"/>
      <c r="FY114" s="763"/>
      <c r="FZ114" s="763"/>
      <c r="GA114" s="759">
        <f t="shared" si="377"/>
        <v>359594.25225971453</v>
      </c>
      <c r="GB114" s="759">
        <f t="shared" si="378"/>
        <v>379700.23849015828</v>
      </c>
      <c r="GC114" s="760"/>
      <c r="GD114" s="763"/>
      <c r="GE114" s="763"/>
      <c r="GF114" s="759">
        <f t="shared" si="286"/>
        <v>0.96544202890172115</v>
      </c>
      <c r="GG114" s="759">
        <f t="shared" si="287"/>
        <v>0.99097758085923637</v>
      </c>
      <c r="GH114" s="716"/>
      <c r="GI114" s="763"/>
      <c r="GJ114" s="763"/>
      <c r="GK114" s="759">
        <f t="shared" si="379"/>
        <v>0.96544202890172115</v>
      </c>
      <c r="GL114" s="759">
        <f t="shared" si="380"/>
        <v>0.99097758085923637</v>
      </c>
      <c r="GM114" s="716"/>
    </row>
    <row r="115" spans="1:195" s="134" customFormat="1">
      <c r="A115" s="705">
        <v>41675</v>
      </c>
      <c r="B115" s="277"/>
      <c r="C115" s="286"/>
      <c r="D115" s="277"/>
      <c r="E115" s="276"/>
      <c r="F115" s="276">
        <v>-0.66527999999999998</v>
      </c>
      <c r="G115" s="134">
        <v>-0.22320000000000001</v>
      </c>
      <c r="I115" s="705">
        <v>41675</v>
      </c>
      <c r="J115" s="270"/>
      <c r="K115" s="270"/>
      <c r="L115" s="270">
        <f t="shared" si="366"/>
        <v>-0.66527999999999998</v>
      </c>
      <c r="M115" s="270">
        <f t="shared" si="367"/>
        <v>-0.22320000000000001</v>
      </c>
      <c r="O115" s="705">
        <v>41675</v>
      </c>
      <c r="P115" s="270"/>
      <c r="Q115" s="270"/>
      <c r="R115" s="270">
        <f t="shared" si="368"/>
        <v>-0.66527999999999998</v>
      </c>
      <c r="S115" s="270">
        <f t="shared" si="369"/>
        <v>-0.22320000000000001</v>
      </c>
      <c r="T115" s="705">
        <v>41675</v>
      </c>
      <c r="U115" s="291"/>
      <c r="V115" s="291"/>
      <c r="W115" s="291">
        <v>-0.66527999999999998</v>
      </c>
      <c r="X115" s="291">
        <v>-0.22320000000000001</v>
      </c>
      <c r="Z115" s="705">
        <v>41675</v>
      </c>
      <c r="AA115" s="707">
        <v>41675</v>
      </c>
      <c r="AB115" s="286"/>
      <c r="AC115" s="268">
        <v>0</v>
      </c>
      <c r="AD115" s="291"/>
      <c r="AE115" s="291"/>
      <c r="AF115" s="267">
        <v>0.68275525398331793</v>
      </c>
      <c r="AG115" s="291"/>
      <c r="AH115" s="291"/>
      <c r="AI115" s="161">
        <v>1.4525552539833169</v>
      </c>
      <c r="AJ115" s="291">
        <v>-0.66527999999999998</v>
      </c>
      <c r="AK115" s="291">
        <f t="shared" si="303"/>
        <v>-155.31812075028355</v>
      </c>
      <c r="AL115" s="161">
        <v>1.0399552539833183</v>
      </c>
      <c r="AM115" s="291">
        <v>-0.22320000000000001</v>
      </c>
      <c r="AN115" s="291">
        <f t="shared" si="304"/>
        <v>-11.537563719401453</v>
      </c>
      <c r="AO115" s="705">
        <v>41675</v>
      </c>
      <c r="AP115" s="463">
        <v>0</v>
      </c>
      <c r="AQ115" s="463">
        <v>0.4849728731044689</v>
      </c>
      <c r="AR115" s="463">
        <v>2.3346278371555367</v>
      </c>
      <c r="AS115" s="463">
        <v>0.51691593724916907</v>
      </c>
      <c r="AT115" s="463">
        <f t="shared" si="305"/>
        <v>0</v>
      </c>
      <c r="AU115" s="463">
        <f t="shared" si="306"/>
        <v>8.2198792051604904E-3</v>
      </c>
      <c r="AV115" s="463">
        <f t="shared" si="307"/>
        <v>0.11673139185777684</v>
      </c>
      <c r="AW115" s="463">
        <f t="shared" si="308"/>
        <v>2.7206101960482582E-2</v>
      </c>
      <c r="AY115" s="268">
        <v>0</v>
      </c>
      <c r="AZ115" s="267"/>
      <c r="BA115" s="161">
        <v>1.4525552539833169</v>
      </c>
      <c r="BB115" s="161">
        <v>1.0399552539833183</v>
      </c>
      <c r="BG115" s="134">
        <v>0</v>
      </c>
      <c r="BH115" s="134">
        <v>0</v>
      </c>
      <c r="BJ115" s="508">
        <v>0</v>
      </c>
      <c r="BK115" s="508">
        <v>0</v>
      </c>
      <c r="BL115" s="508">
        <v>27.970240921075458</v>
      </c>
      <c r="BM115" s="508">
        <v>25.718671690305939</v>
      </c>
      <c r="BO115" s="705">
        <v>41675</v>
      </c>
      <c r="CH115" s="283"/>
      <c r="CI115" s="283"/>
      <c r="CJ115" s="283"/>
      <c r="CK115" s="283"/>
      <c r="CL115" s="283"/>
      <c r="CM115" s="283"/>
      <c r="CN115" s="283"/>
      <c r="CO115" s="283"/>
      <c r="CS115" s="705">
        <v>41675</v>
      </c>
      <c r="CV115" s="743">
        <v>0.51300000000000001</v>
      </c>
      <c r="CW115" s="714">
        <v>0.18</v>
      </c>
      <c r="CY115" s="725"/>
      <c r="CZ115" s="725"/>
      <c r="DA115" s="736">
        <v>2.1317440921075459E-2</v>
      </c>
      <c r="DB115" s="736">
        <v>2.3486671690305938E-2</v>
      </c>
      <c r="DC115" s="463"/>
      <c r="DD115" s="463"/>
      <c r="DE115" s="463">
        <f t="shared" si="383"/>
        <v>-2.0435373936054546</v>
      </c>
      <c r="DF115" s="463">
        <f t="shared" si="384"/>
        <v>-2.3435373936056436</v>
      </c>
      <c r="DG115" s="483"/>
      <c r="DH115" s="483"/>
      <c r="DI115" s="483">
        <f t="shared" si="262"/>
        <v>2.0435373936054546</v>
      </c>
      <c r="DJ115" s="483">
        <f t="shared" si="263"/>
        <v>2.3435373936056436</v>
      </c>
      <c r="DK115" s="483"/>
      <c r="DL115" s="483"/>
      <c r="DM115" s="483">
        <f t="shared" si="329"/>
        <v>6.5810689895829277E-2</v>
      </c>
      <c r="DN115" s="483">
        <f t="shared" si="330"/>
        <v>3.9341581503011369E-2</v>
      </c>
      <c r="DO115" s="483"/>
      <c r="DP115" s="483">
        <f t="shared" si="316"/>
        <v>0</v>
      </c>
      <c r="DQ115" s="483">
        <f t="shared" si="317"/>
        <v>3.3621651425274943</v>
      </c>
      <c r="DR115" s="483">
        <f t="shared" si="318"/>
        <v>2.3049616843972816</v>
      </c>
      <c r="DS115" s="324"/>
      <c r="DT115" s="324"/>
      <c r="DU115" s="324">
        <v>-0.66527999999999998</v>
      </c>
      <c r="DV115" s="324">
        <v>-0.22320000000000001</v>
      </c>
      <c r="DW115" s="716"/>
      <c r="DX115" s="742">
        <f t="shared" si="382"/>
        <v>41675</v>
      </c>
      <c r="DY115" s="716"/>
      <c r="DZ115" s="324"/>
      <c r="EA115" s="324"/>
      <c r="EB115" s="269">
        <f t="shared" si="389"/>
        <v>2.7088173936054547</v>
      </c>
      <c r="EC115" s="716">
        <f t="shared" si="390"/>
        <v>2.5667373936056435</v>
      </c>
      <c r="ED115" s="716"/>
      <c r="EE115" s="324"/>
      <c r="EF115" s="324"/>
      <c r="EG115" s="269">
        <f t="shared" si="385"/>
        <v>2.7088173936054547</v>
      </c>
      <c r="EH115" s="269">
        <f t="shared" si="386"/>
        <v>2.5667373936056435</v>
      </c>
      <c r="EI115" s="716"/>
      <c r="EJ115" s="324"/>
      <c r="EK115" s="324"/>
      <c r="EL115" s="269">
        <f t="shared" si="391"/>
        <v>2.7088173936054547</v>
      </c>
      <c r="EM115" s="269">
        <f t="shared" si="392"/>
        <v>2.5667373936056435</v>
      </c>
      <c r="EN115" s="716"/>
      <c r="EO115" s="269">
        <v>0</v>
      </c>
      <c r="EP115" s="324"/>
      <c r="EQ115" s="269"/>
      <c r="ER115" s="269"/>
      <c r="ES115" s="716"/>
      <c r="ET115" s="269"/>
      <c r="EU115" s="324"/>
      <c r="EV115" s="269"/>
      <c r="EW115" s="269"/>
      <c r="EX115" s="716"/>
      <c r="EY115" s="742">
        <v>41675</v>
      </c>
      <c r="EZ115" s="716"/>
      <c r="FA115" s="763"/>
      <c r="FB115" s="763"/>
      <c r="FC115" s="759">
        <f t="shared" si="370"/>
        <v>-0.66528000000000009</v>
      </c>
      <c r="FD115" s="759">
        <f t="shared" si="276"/>
        <v>-0.22319999999999984</v>
      </c>
      <c r="FE115" s="760"/>
      <c r="FF115" s="782">
        <v>41675</v>
      </c>
      <c r="FG115" s="760"/>
      <c r="FH115" s="767"/>
      <c r="FI115" s="767"/>
      <c r="FJ115" s="858">
        <f t="shared" si="371"/>
        <v>-155.31812075028358</v>
      </c>
      <c r="FK115" s="766">
        <f t="shared" si="372"/>
        <v>-11.537563719401444</v>
      </c>
      <c r="FL115" s="760"/>
      <c r="FM115" s="763"/>
      <c r="FN115" s="763"/>
      <c r="FO115" s="859">
        <f t="shared" si="373"/>
        <v>-155.31812075028358</v>
      </c>
      <c r="FP115" s="859">
        <f t="shared" si="374"/>
        <v>-11.537563719401444</v>
      </c>
      <c r="FQ115" s="760"/>
      <c r="FR115" s="763"/>
      <c r="FS115" s="763"/>
      <c r="FT115" s="759">
        <f t="shared" si="375"/>
        <v>-152.60930335667814</v>
      </c>
      <c r="FU115" s="759">
        <f t="shared" si="376"/>
        <v>-8.9708263257957999</v>
      </c>
      <c r="FV115" s="761"/>
      <c r="FW115" s="762">
        <v>41675</v>
      </c>
      <c r="FX115" s="761"/>
      <c r="FY115" s="763"/>
      <c r="FZ115" s="763"/>
      <c r="GA115" s="759">
        <f t="shared" si="377"/>
        <v>359441.64295635786</v>
      </c>
      <c r="GB115" s="759">
        <f t="shared" si="378"/>
        <v>379691.26766383246</v>
      </c>
      <c r="GC115" s="760"/>
      <c r="GD115" s="763"/>
      <c r="GE115" s="763"/>
      <c r="GF115" s="759">
        <f t="shared" si="286"/>
        <v>0.96503230200943613</v>
      </c>
      <c r="GG115" s="759">
        <f t="shared" si="287"/>
        <v>0.99095416794855185</v>
      </c>
      <c r="GH115" s="716"/>
      <c r="GI115" s="763"/>
      <c r="GJ115" s="763"/>
      <c r="GK115" s="759">
        <f t="shared" si="379"/>
        <v>0.96503230200943613</v>
      </c>
      <c r="GL115" s="759">
        <f t="shared" si="380"/>
        <v>0.99095416794855185</v>
      </c>
      <c r="GM115" s="716"/>
    </row>
    <row r="116" spans="1:195" s="134" customFormat="1">
      <c r="A116" s="705">
        <v>41676</v>
      </c>
      <c r="B116" s="277"/>
      <c r="C116" s="286"/>
      <c r="D116" s="277"/>
      <c r="E116" s="276"/>
      <c r="F116" s="276">
        <v>-1.2369600000000001</v>
      </c>
      <c r="G116" s="134">
        <v>-0.97776000000000007</v>
      </c>
      <c r="I116" s="705">
        <v>41676</v>
      </c>
      <c r="J116" s="270"/>
      <c r="K116" s="270"/>
      <c r="L116" s="270">
        <f t="shared" si="366"/>
        <v>-1.2369600000000001</v>
      </c>
      <c r="M116" s="270">
        <f t="shared" si="367"/>
        <v>-0.97776000000000007</v>
      </c>
      <c r="O116" s="705">
        <v>41676</v>
      </c>
      <c r="P116" s="270"/>
      <c r="Q116" s="270"/>
      <c r="R116" s="270">
        <f t="shared" si="368"/>
        <v>-1.2369600000000001</v>
      </c>
      <c r="S116" s="270">
        <f t="shared" si="369"/>
        <v>-0.97776000000000007</v>
      </c>
      <c r="T116" s="705">
        <v>41676</v>
      </c>
      <c r="U116" s="291"/>
      <c r="V116" s="291"/>
      <c r="W116" s="291">
        <v>-1.2369600000000001</v>
      </c>
      <c r="X116" s="291">
        <v>-0.97776000000000007</v>
      </c>
      <c r="Z116" s="705">
        <v>41676</v>
      </c>
      <c r="AA116" s="707">
        <v>41676</v>
      </c>
      <c r="AB116" s="286"/>
      <c r="AC116" s="268">
        <v>0</v>
      </c>
      <c r="AD116" s="291"/>
      <c r="AE116" s="291"/>
      <c r="AF116" s="267">
        <v>0.68241988004726273</v>
      </c>
      <c r="AG116" s="291"/>
      <c r="AH116" s="291"/>
      <c r="AI116" s="161">
        <v>1.4321198800472623</v>
      </c>
      <c r="AJ116" s="291">
        <v>-1.2369600000000001</v>
      </c>
      <c r="AK116" s="291">
        <f t="shared" si="303"/>
        <v>-281.93100013746647</v>
      </c>
      <c r="AL116" s="161">
        <v>1.0165198800472619</v>
      </c>
      <c r="AM116" s="291">
        <v>-0.97776000000000007</v>
      </c>
      <c r="AN116" s="291">
        <f t="shared" si="304"/>
        <v>-46.874852871542693</v>
      </c>
      <c r="AO116" s="705">
        <v>41676</v>
      </c>
      <c r="AP116" s="463">
        <v>0</v>
      </c>
      <c r="AQ116" s="463">
        <v>0.48826072181592955</v>
      </c>
      <c r="AR116" s="463">
        <v>2.2792248749956863</v>
      </c>
      <c r="AS116" s="463">
        <v>0.47941062092479431</v>
      </c>
      <c r="AT116" s="463">
        <f t="shared" si="305"/>
        <v>0</v>
      </c>
      <c r="AU116" s="463">
        <f t="shared" si="306"/>
        <v>8.2756054545072809E-3</v>
      </c>
      <c r="AV116" s="463">
        <f t="shared" si="307"/>
        <v>0.11396124374978431</v>
      </c>
      <c r="AW116" s="463">
        <f t="shared" si="308"/>
        <v>2.5232137943410227E-2</v>
      </c>
      <c r="AY116" s="268">
        <v>0</v>
      </c>
      <c r="AZ116" s="267"/>
      <c r="BA116" s="161">
        <v>1.4321198800472623</v>
      </c>
      <c r="BB116" s="161">
        <v>1.0165198800472619</v>
      </c>
      <c r="BG116" s="134">
        <v>0</v>
      </c>
      <c r="BH116" s="134">
        <v>0</v>
      </c>
      <c r="BJ116" s="508">
        <v>0</v>
      </c>
      <c r="BK116" s="508">
        <v>0</v>
      </c>
      <c r="BL116" s="508">
        <v>33.548697135703321</v>
      </c>
      <c r="BM116" s="508">
        <v>31.633620212627225</v>
      </c>
      <c r="BO116" s="705">
        <v>41676</v>
      </c>
      <c r="CH116" s="283"/>
      <c r="CI116" s="283"/>
      <c r="CJ116" s="283"/>
      <c r="CK116" s="283"/>
      <c r="CL116" s="283"/>
      <c r="CM116" s="283"/>
      <c r="CN116" s="283"/>
      <c r="CO116" s="283"/>
      <c r="CS116" s="705">
        <v>41676</v>
      </c>
      <c r="CV116" s="743">
        <v>0.78500000000000003</v>
      </c>
      <c r="CW116" s="714">
        <v>0.81899999999999995</v>
      </c>
      <c r="CY116" s="725"/>
      <c r="CZ116" s="725"/>
      <c r="DA116" s="736">
        <v>2.1179097135703318E-2</v>
      </c>
      <c r="DB116" s="736">
        <v>2.1856020212627225E-2</v>
      </c>
      <c r="DC116" s="463"/>
      <c r="DD116" s="463"/>
      <c r="DE116" s="463">
        <f t="shared" si="383"/>
        <v>-2.1945810851027758</v>
      </c>
      <c r="DF116" s="463">
        <f t="shared" si="384"/>
        <v>-2.1745810851028224</v>
      </c>
      <c r="DG116" s="483"/>
      <c r="DH116" s="483"/>
      <c r="DI116" s="483">
        <f t="shared" si="262"/>
        <v>2.1945810851027758</v>
      </c>
      <c r="DJ116" s="483">
        <f t="shared" si="263"/>
        <v>2.1745810851028224</v>
      </c>
      <c r="DK116" s="483"/>
      <c r="DL116" s="483"/>
      <c r="DM116" s="483">
        <f t="shared" si="329"/>
        <v>5.5402962159850411E-2</v>
      </c>
      <c r="DN116" s="483">
        <f t="shared" si="330"/>
        <v>3.750531632437476E-2</v>
      </c>
      <c r="DO116" s="483"/>
      <c r="DP116" s="483">
        <f t="shared" si="316"/>
        <v>0</v>
      </c>
      <c r="DQ116" s="483">
        <f t="shared" si="317"/>
        <v>3.039657320366814</v>
      </c>
      <c r="DR116" s="483">
        <f t="shared" si="318"/>
        <v>2.0389587867445864</v>
      </c>
      <c r="DS116" s="324"/>
      <c r="DT116" s="324"/>
      <c r="DU116" s="324">
        <v>-1.2369600000000001</v>
      </c>
      <c r="DV116" s="324">
        <v>-0.97776000000000007</v>
      </c>
      <c r="DW116" s="716"/>
      <c r="DX116" s="742">
        <f t="shared" si="382"/>
        <v>41676</v>
      </c>
      <c r="DY116" s="716"/>
      <c r="DZ116" s="324"/>
      <c r="EA116" s="324"/>
      <c r="EB116" s="269">
        <f t="shared" si="389"/>
        <v>3.4315410851027757</v>
      </c>
      <c r="EC116" s="716">
        <f t="shared" si="390"/>
        <v>3.1523410851028224</v>
      </c>
      <c r="ED116" s="716"/>
      <c r="EE116" s="324"/>
      <c r="EF116" s="324"/>
      <c r="EG116" s="269">
        <f t="shared" si="385"/>
        <v>3.4315410851027757</v>
      </c>
      <c r="EH116" s="269">
        <f t="shared" si="386"/>
        <v>3.1523410851028224</v>
      </c>
      <c r="EI116" s="716"/>
      <c r="EJ116" s="324"/>
      <c r="EK116" s="324"/>
      <c r="EL116" s="269">
        <f t="shared" si="391"/>
        <v>3.4315410851027757</v>
      </c>
      <c r="EM116" s="269">
        <f t="shared" si="392"/>
        <v>3.1523410851028224</v>
      </c>
      <c r="EN116" s="716"/>
      <c r="EO116" s="269">
        <v>0</v>
      </c>
      <c r="EP116" s="324"/>
      <c r="EQ116" s="269"/>
      <c r="ER116" s="269"/>
      <c r="ES116" s="716"/>
      <c r="ET116" s="269"/>
      <c r="EU116" s="324"/>
      <c r="EV116" s="269"/>
      <c r="EW116" s="269"/>
      <c r="EX116" s="716"/>
      <c r="EY116" s="742">
        <v>41676</v>
      </c>
      <c r="EZ116" s="716"/>
      <c r="FA116" s="763"/>
      <c r="FB116" s="763"/>
      <c r="FC116" s="759">
        <f t="shared" si="370"/>
        <v>-1.2369599999999998</v>
      </c>
      <c r="FD116" s="759">
        <f t="shared" si="276"/>
        <v>-0.97775999999999996</v>
      </c>
      <c r="FE116" s="760"/>
      <c r="FF116" s="782">
        <v>41676</v>
      </c>
      <c r="FG116" s="760"/>
      <c r="FH116" s="767"/>
      <c r="FI116" s="767"/>
      <c r="FJ116" s="858">
        <f t="shared" si="371"/>
        <v>-281.93100013746636</v>
      </c>
      <c r="FK116" s="766">
        <f t="shared" si="372"/>
        <v>-46.874852871542679</v>
      </c>
      <c r="FL116" s="760"/>
      <c r="FM116" s="763"/>
      <c r="FN116" s="763"/>
      <c r="FO116" s="859">
        <f t="shared" si="373"/>
        <v>-281.93100013746636</v>
      </c>
      <c r="FP116" s="859">
        <f t="shared" si="374"/>
        <v>-46.874852871542679</v>
      </c>
      <c r="FQ116" s="760"/>
      <c r="FR116" s="763"/>
      <c r="FS116" s="763"/>
      <c r="FT116" s="759">
        <f t="shared" si="375"/>
        <v>-278.49945905236359</v>
      </c>
      <c r="FU116" s="759">
        <f t="shared" si="376"/>
        <v>-43.722511786439853</v>
      </c>
      <c r="FV116" s="761"/>
      <c r="FW116" s="762">
        <v>41676</v>
      </c>
      <c r="FX116" s="761"/>
      <c r="FY116" s="763"/>
      <c r="FZ116" s="763"/>
      <c r="GA116" s="759">
        <f t="shared" si="377"/>
        <v>359163.14349730551</v>
      </c>
      <c r="GB116" s="759">
        <f t="shared" si="378"/>
        <v>379647.54515204602</v>
      </c>
      <c r="GC116" s="760"/>
      <c r="GD116" s="763"/>
      <c r="GE116" s="763"/>
      <c r="GF116" s="759">
        <f t="shared" si="286"/>
        <v>0.96428458404368478</v>
      </c>
      <c r="GG116" s="759">
        <f t="shared" si="287"/>
        <v>0.99084005680358256</v>
      </c>
      <c r="GH116" s="716"/>
      <c r="GI116" s="763"/>
      <c r="GJ116" s="763"/>
      <c r="GK116" s="759">
        <f t="shared" si="379"/>
        <v>0.96428458404368478</v>
      </c>
      <c r="GL116" s="759">
        <f t="shared" si="380"/>
        <v>0.99084005680358256</v>
      </c>
      <c r="GM116" s="716"/>
    </row>
    <row r="117" spans="1:195" s="134" customFormat="1">
      <c r="A117" s="705">
        <v>41677</v>
      </c>
      <c r="B117" s="277"/>
      <c r="C117" s="286"/>
      <c r="D117" s="277"/>
      <c r="E117" s="276"/>
      <c r="F117" s="276">
        <v>-1.04112</v>
      </c>
      <c r="G117" s="134">
        <v>-0.54576000000000002</v>
      </c>
      <c r="I117" s="705">
        <v>41677</v>
      </c>
      <c r="J117" s="270"/>
      <c r="K117" s="270"/>
      <c r="L117" s="270">
        <f t="shared" si="366"/>
        <v>-1.04112</v>
      </c>
      <c r="M117" s="270">
        <f t="shared" si="367"/>
        <v>-0.54576000000000002</v>
      </c>
      <c r="O117" s="705">
        <v>41677</v>
      </c>
      <c r="P117" s="270"/>
      <c r="Q117" s="270"/>
      <c r="R117" s="270">
        <f t="shared" si="368"/>
        <v>-1.04112</v>
      </c>
      <c r="S117" s="270">
        <f t="shared" si="369"/>
        <v>-0.54576000000000002</v>
      </c>
      <c r="T117" s="705">
        <v>41677</v>
      </c>
      <c r="U117" s="291"/>
      <c r="V117" s="291"/>
      <c r="W117" s="291">
        <v>-1.04112</v>
      </c>
      <c r="X117" s="291">
        <v>-0.54576000000000002</v>
      </c>
      <c r="Z117" s="705">
        <v>41677</v>
      </c>
      <c r="AA117" s="707">
        <v>41677</v>
      </c>
      <c r="AB117" s="286"/>
      <c r="AC117" s="268">
        <v>0</v>
      </c>
      <c r="AD117" s="291"/>
      <c r="AE117" s="291"/>
      <c r="AF117" s="267">
        <v>0.68287406919623428</v>
      </c>
      <c r="AG117" s="291"/>
      <c r="AH117" s="291"/>
      <c r="AI117" s="161">
        <v>1.4101740691962346</v>
      </c>
      <c r="AJ117" s="291">
        <v>-1.04112</v>
      </c>
      <c r="AK117" s="291">
        <f t="shared" si="303"/>
        <v>-231.3465988779968</v>
      </c>
      <c r="AL117" s="161">
        <v>0.99477406919623368</v>
      </c>
      <c r="AM117" s="291">
        <v>-0.54576000000000002</v>
      </c>
      <c r="AN117" s="291">
        <f t="shared" si="304"/>
        <v>-24.319135804339972</v>
      </c>
      <c r="AO117" s="705">
        <v>41677</v>
      </c>
      <c r="AP117" s="463">
        <v>0</v>
      </c>
      <c r="AQ117" s="463">
        <v>0.4875694719146656</v>
      </c>
      <c r="AR117" s="463">
        <v>2.2220935038996155</v>
      </c>
      <c r="AS117" s="463">
        <v>0.44560128635920498</v>
      </c>
      <c r="AT117" s="463">
        <f t="shared" si="305"/>
        <v>0</v>
      </c>
      <c r="AU117" s="463">
        <f t="shared" si="306"/>
        <v>8.2638893544858573E-3</v>
      </c>
      <c r="AV117" s="463">
        <f t="shared" si="307"/>
        <v>0.11110467519498077</v>
      </c>
      <c r="AW117" s="463">
        <f t="shared" si="308"/>
        <v>2.3452699282063422E-2</v>
      </c>
      <c r="AY117" s="268">
        <v>0</v>
      </c>
      <c r="AZ117" s="267"/>
      <c r="BA117" s="161">
        <v>1.4101740691962346</v>
      </c>
      <c r="BB117" s="161">
        <v>0.99477406919623368</v>
      </c>
      <c r="BG117" s="134">
        <v>0</v>
      </c>
      <c r="BH117" s="134">
        <v>0</v>
      </c>
      <c r="BJ117" s="508">
        <v>0</v>
      </c>
      <c r="BK117" s="508">
        <v>0</v>
      </c>
      <c r="BL117" s="508">
        <v>31.56199062011116</v>
      </c>
      <c r="BM117" s="508">
        <v>28.869929081649254</v>
      </c>
      <c r="BO117" s="705">
        <v>41677</v>
      </c>
      <c r="CH117" s="283"/>
      <c r="CI117" s="283"/>
      <c r="CJ117" s="283"/>
      <c r="CK117" s="283"/>
      <c r="CL117" s="283"/>
      <c r="CM117" s="283"/>
      <c r="CN117" s="283"/>
      <c r="CO117" s="283"/>
      <c r="CS117" s="705">
        <v>41677</v>
      </c>
      <c r="CV117" s="743">
        <v>0.746</v>
      </c>
      <c r="CW117" s="714">
        <v>0.59599999999999997</v>
      </c>
      <c r="CY117" s="725"/>
      <c r="CZ117" s="725"/>
      <c r="DA117" s="736">
        <v>2.115079062011116E-2</v>
      </c>
      <c r="DB117" s="736">
        <v>2.3412329081649252E-2</v>
      </c>
      <c r="DC117" s="463"/>
      <c r="DD117" s="463"/>
      <c r="DE117" s="463">
        <f t="shared" si="383"/>
        <v>-2.1144781542515645</v>
      </c>
      <c r="DF117" s="463">
        <f t="shared" si="384"/>
        <v>-2.3744781542514914</v>
      </c>
      <c r="DG117" s="483"/>
      <c r="DH117" s="483"/>
      <c r="DI117" s="483">
        <f t="shared" si="262"/>
        <v>2.1144781542515645</v>
      </c>
      <c r="DJ117" s="483">
        <f t="shared" si="263"/>
        <v>2.3744781542514914</v>
      </c>
      <c r="DK117" s="483"/>
      <c r="DL117" s="483"/>
      <c r="DM117" s="483">
        <f t="shared" si="329"/>
        <v>5.7131371096070804E-2</v>
      </c>
      <c r="DN117" s="483">
        <f t="shared" si="330"/>
        <v>3.3809334565589322E-2</v>
      </c>
      <c r="DO117" s="483"/>
      <c r="DP117" s="483">
        <f t="shared" si="316"/>
        <v>0</v>
      </c>
      <c r="DQ117" s="483">
        <f t="shared" si="317"/>
        <v>3.0200759026270241</v>
      </c>
      <c r="DR117" s="483">
        <f t="shared" si="318"/>
        <v>2.0069881583942921</v>
      </c>
      <c r="DS117" s="324"/>
      <c r="DT117" s="324"/>
      <c r="DU117" s="324">
        <v>-1.04112</v>
      </c>
      <c r="DV117" s="324">
        <v>-0.54576000000000002</v>
      </c>
      <c r="DW117" s="716"/>
      <c r="DX117" s="742">
        <f t="shared" si="382"/>
        <v>41677</v>
      </c>
      <c r="DY117" s="716"/>
      <c r="DZ117" s="324"/>
      <c r="EA117" s="324"/>
      <c r="EB117" s="269">
        <f t="shared" si="389"/>
        <v>3.1555981542515648</v>
      </c>
      <c r="EC117" s="716">
        <f t="shared" si="390"/>
        <v>2.9202381542514915</v>
      </c>
      <c r="ED117" s="716"/>
      <c r="EE117" s="324"/>
      <c r="EF117" s="324"/>
      <c r="EG117" s="269">
        <f t="shared" si="385"/>
        <v>3.1555981542515648</v>
      </c>
      <c r="EH117" s="269">
        <f t="shared" si="386"/>
        <v>2.9202381542514915</v>
      </c>
      <c r="EI117" s="716"/>
      <c r="EJ117" s="324"/>
      <c r="EK117" s="324"/>
      <c r="EL117" s="269">
        <f t="shared" si="391"/>
        <v>3.1555981542515648</v>
      </c>
      <c r="EM117" s="269">
        <f t="shared" si="392"/>
        <v>2.9202381542514915</v>
      </c>
      <c r="EN117" s="716"/>
      <c r="EO117" s="269">
        <v>0</v>
      </c>
      <c r="EP117" s="324"/>
      <c r="EQ117" s="269"/>
      <c r="ER117" s="269"/>
      <c r="ES117" s="716"/>
      <c r="ET117" s="269"/>
      <c r="EU117" s="324"/>
      <c r="EV117" s="269"/>
      <c r="EW117" s="269"/>
      <c r="EX117" s="716"/>
      <c r="EY117" s="742">
        <v>41677</v>
      </c>
      <c r="EZ117" s="716"/>
      <c r="FA117" s="763"/>
      <c r="FB117" s="763"/>
      <c r="FC117" s="759">
        <f t="shared" si="370"/>
        <v>-1.0411200000000003</v>
      </c>
      <c r="FD117" s="759">
        <f t="shared" si="276"/>
        <v>-0.54576000000000002</v>
      </c>
      <c r="FE117" s="760"/>
      <c r="FF117" s="782">
        <v>41677</v>
      </c>
      <c r="FG117" s="760"/>
      <c r="FH117" s="767"/>
      <c r="FI117" s="767"/>
      <c r="FJ117" s="858">
        <f t="shared" si="371"/>
        <v>-231.34659887799683</v>
      </c>
      <c r="FK117" s="766">
        <f t="shared" si="372"/>
        <v>-24.319135804339972</v>
      </c>
      <c r="FL117" s="760"/>
      <c r="FM117" s="763"/>
      <c r="FN117" s="763"/>
      <c r="FO117" s="859">
        <f t="shared" si="373"/>
        <v>-231.34659887799683</v>
      </c>
      <c r="FP117" s="859">
        <f t="shared" si="374"/>
        <v>-24.319135804339972</v>
      </c>
      <c r="FQ117" s="760"/>
      <c r="FR117" s="763"/>
      <c r="FS117" s="763"/>
      <c r="FT117" s="759">
        <f t="shared" si="375"/>
        <v>-228.19100072374525</v>
      </c>
      <c r="FU117" s="759">
        <f t="shared" si="376"/>
        <v>-21.398897650088479</v>
      </c>
      <c r="FV117" s="761"/>
      <c r="FW117" s="762">
        <v>41677</v>
      </c>
      <c r="FX117" s="761"/>
      <c r="FY117" s="763"/>
      <c r="FZ117" s="763"/>
      <c r="GA117" s="759">
        <f t="shared" si="377"/>
        <v>358934.95249658177</v>
      </c>
      <c r="GB117" s="759">
        <f t="shared" si="378"/>
        <v>379626.14625439595</v>
      </c>
      <c r="GC117" s="760"/>
      <c r="GD117" s="763"/>
      <c r="GE117" s="763"/>
      <c r="GF117" s="759">
        <f t="shared" si="286"/>
        <v>0.96367193469978829</v>
      </c>
      <c r="GG117" s="759">
        <f t="shared" si="287"/>
        <v>0.99078420793735422</v>
      </c>
      <c r="GH117" s="716"/>
      <c r="GI117" s="763"/>
      <c r="GJ117" s="763"/>
      <c r="GK117" s="759">
        <f t="shared" si="379"/>
        <v>0.96367193469978829</v>
      </c>
      <c r="GL117" s="759">
        <f t="shared" si="380"/>
        <v>0.99078420793735422</v>
      </c>
      <c r="GM117" s="716"/>
    </row>
    <row r="118" spans="1:195" s="134" customFormat="1">
      <c r="A118" s="705">
        <v>41678</v>
      </c>
      <c r="B118" s="277"/>
      <c r="C118" s="286"/>
      <c r="D118" s="277"/>
      <c r="E118" s="276"/>
      <c r="F118" s="276">
        <v>-0.87696000000000007</v>
      </c>
      <c r="G118" s="134">
        <v>-0.30528</v>
      </c>
      <c r="I118" s="705">
        <v>41678</v>
      </c>
      <c r="J118" s="270"/>
      <c r="K118" s="270"/>
      <c r="L118" s="270">
        <f t="shared" si="366"/>
        <v>-0.87696000000000007</v>
      </c>
      <c r="M118" s="270">
        <f t="shared" si="367"/>
        <v>-0.30528</v>
      </c>
      <c r="O118" s="705">
        <v>41678</v>
      </c>
      <c r="P118" s="270"/>
      <c r="Q118" s="270"/>
      <c r="R118" s="270">
        <f t="shared" si="368"/>
        <v>-0.87696000000000007</v>
      </c>
      <c r="S118" s="270">
        <f t="shared" si="369"/>
        <v>-0.30528</v>
      </c>
      <c r="T118" s="705">
        <v>41678</v>
      </c>
      <c r="U118" s="291"/>
      <c r="V118" s="291"/>
      <c r="W118" s="291">
        <v>-0.87696000000000007</v>
      </c>
      <c r="X118" s="291">
        <v>-0.30528</v>
      </c>
      <c r="Z118" s="705">
        <v>41678</v>
      </c>
      <c r="AA118" s="707">
        <v>41678</v>
      </c>
      <c r="AB118" s="286"/>
      <c r="AC118" s="268">
        <v>0</v>
      </c>
      <c r="AD118" s="291"/>
      <c r="AE118" s="291"/>
      <c r="AF118" s="267">
        <v>0.68332928765371981</v>
      </c>
      <c r="AG118" s="291"/>
      <c r="AH118" s="291"/>
      <c r="AI118" s="161">
        <v>1.3890292876537189</v>
      </c>
      <c r="AJ118" s="291">
        <v>-0.87696000000000007</v>
      </c>
      <c r="AK118" s="291">
        <f t="shared" si="303"/>
        <v>-189.55088280752665</v>
      </c>
      <c r="AL118" s="161">
        <v>0.97102928765371876</v>
      </c>
      <c r="AM118" s="291">
        <v>-0.30528</v>
      </c>
      <c r="AN118" s="291">
        <f t="shared" si="304"/>
        <v>-12.69145683118111</v>
      </c>
      <c r="AO118" s="705">
        <v>41678</v>
      </c>
      <c r="AP118" s="463">
        <v>0</v>
      </c>
      <c r="AQ118" s="463">
        <v>0.48850576911331539</v>
      </c>
      <c r="AR118" s="463">
        <v>2.1614541462270416</v>
      </c>
      <c r="AS118" s="463">
        <v>0.41573168341133093</v>
      </c>
      <c r="AT118" s="463">
        <f t="shared" si="305"/>
        <v>0</v>
      </c>
      <c r="AU118" s="463">
        <f t="shared" si="306"/>
        <v>8.2797587985307692E-3</v>
      </c>
      <c r="AV118" s="463">
        <f t="shared" si="307"/>
        <v>0.10807270731135207</v>
      </c>
      <c r="AW118" s="463">
        <f t="shared" si="308"/>
        <v>2.1880614916385838E-2</v>
      </c>
      <c r="AY118" s="268">
        <v>0</v>
      </c>
      <c r="AZ118" s="267"/>
      <c r="BA118" s="161">
        <v>1.3890292876537189</v>
      </c>
      <c r="BB118" s="161">
        <v>0.97102928765371876</v>
      </c>
      <c r="BG118" s="134">
        <v>0</v>
      </c>
      <c r="BH118" s="134">
        <v>0</v>
      </c>
      <c r="BJ118" s="508">
        <v>0</v>
      </c>
      <c r="BK118" s="508">
        <v>0</v>
      </c>
      <c r="BL118" s="508">
        <v>30.57149248981424</v>
      </c>
      <c r="BM118" s="508">
        <v>28.493154028275494</v>
      </c>
      <c r="BO118" s="705">
        <v>41678</v>
      </c>
      <c r="CH118" s="283"/>
      <c r="CI118" s="283"/>
      <c r="CJ118" s="283"/>
      <c r="CK118" s="283"/>
      <c r="CL118" s="283"/>
      <c r="CM118" s="283"/>
      <c r="CN118" s="283"/>
      <c r="CO118" s="283"/>
      <c r="CS118" s="705">
        <v>41678</v>
      </c>
      <c r="CV118" s="743">
        <v>0.65</v>
      </c>
      <c r="CW118" s="714">
        <v>0.34499999999999997</v>
      </c>
      <c r="CY118" s="725"/>
      <c r="CZ118" s="725"/>
      <c r="DA118" s="736">
        <v>2.1801892489814234E-2</v>
      </c>
      <c r="DB118" s="736">
        <v>2.5440354028275491E-2</v>
      </c>
      <c r="DC118" s="463"/>
      <c r="DD118" s="463"/>
      <c r="DE118" s="463">
        <f t="shared" si="383"/>
        <v>-2.1506753021487413</v>
      </c>
      <c r="DF118" s="463">
        <f t="shared" si="384"/>
        <v>-2.590675302148604</v>
      </c>
      <c r="DG118" s="483"/>
      <c r="DH118" s="483"/>
      <c r="DI118" s="483">
        <f t="shared" si="262"/>
        <v>2.1506753021487413</v>
      </c>
      <c r="DJ118" s="483">
        <f t="shared" si="263"/>
        <v>2.590675302148604</v>
      </c>
      <c r="DK118" s="483"/>
      <c r="DL118" s="483"/>
      <c r="DM118" s="483">
        <f t="shared" si="329"/>
        <v>6.063935767257389E-2</v>
      </c>
      <c r="DN118" s="483">
        <f t="shared" si="330"/>
        <v>2.9869602947874052E-2</v>
      </c>
      <c r="DO118" s="483"/>
      <c r="DP118" s="483">
        <f t="shared" si="316"/>
        <v>0</v>
      </c>
      <c r="DQ118" s="483">
        <f t="shared" si="317"/>
        <v>3.260389222114211</v>
      </c>
      <c r="DR118" s="483">
        <f t="shared" si="318"/>
        <v>1.934561066051061</v>
      </c>
      <c r="DS118" s="324"/>
      <c r="DT118" s="324"/>
      <c r="DU118" s="324">
        <v>-0.87696000000000007</v>
      </c>
      <c r="DV118" s="324">
        <v>-0.30528</v>
      </c>
      <c r="DW118" s="716"/>
      <c r="DX118" s="742">
        <f t="shared" si="382"/>
        <v>41678</v>
      </c>
      <c r="DY118" s="716"/>
      <c r="DZ118" s="324"/>
      <c r="EA118" s="324"/>
      <c r="EB118" s="269">
        <f t="shared" si="389"/>
        <v>3.0276353021487412</v>
      </c>
      <c r="EC118" s="716">
        <f t="shared" si="390"/>
        <v>2.8959553021486037</v>
      </c>
      <c r="ED118" s="716"/>
      <c r="EE118" s="324"/>
      <c r="EF118" s="324"/>
      <c r="EG118" s="269">
        <f t="shared" si="385"/>
        <v>3.0276353021487412</v>
      </c>
      <c r="EH118" s="269">
        <f t="shared" si="386"/>
        <v>2.8959553021486037</v>
      </c>
      <c r="EI118" s="716"/>
      <c r="EJ118" s="324"/>
      <c r="EK118" s="324"/>
      <c r="EL118" s="269">
        <f t="shared" si="391"/>
        <v>3.0276353021487412</v>
      </c>
      <c r="EM118" s="269">
        <f t="shared" si="392"/>
        <v>2.8959553021486037</v>
      </c>
      <c r="EN118" s="716"/>
      <c r="EO118" s="269">
        <v>0</v>
      </c>
      <c r="EP118" s="324"/>
      <c r="EQ118" s="269"/>
      <c r="ER118" s="269"/>
      <c r="ES118" s="716"/>
      <c r="ET118" s="269"/>
      <c r="EU118" s="324"/>
      <c r="EV118" s="269"/>
      <c r="EW118" s="269"/>
      <c r="EX118" s="716"/>
      <c r="EY118" s="742">
        <v>41678</v>
      </c>
      <c r="EZ118" s="716"/>
      <c r="FA118" s="763"/>
      <c r="FB118" s="763"/>
      <c r="FC118" s="759">
        <f t="shared" si="370"/>
        <v>-0.87695999999999996</v>
      </c>
      <c r="FD118" s="759">
        <f t="shared" si="276"/>
        <v>-0.30527999999999977</v>
      </c>
      <c r="FE118" s="760"/>
      <c r="FF118" s="782">
        <v>41678</v>
      </c>
      <c r="FG118" s="760"/>
      <c r="FH118" s="767"/>
      <c r="FI118" s="767"/>
      <c r="FJ118" s="858">
        <f t="shared" si="371"/>
        <v>-189.55088280752662</v>
      </c>
      <c r="FK118" s="766">
        <f t="shared" si="372"/>
        <v>-12.691456831181101</v>
      </c>
      <c r="FL118" s="760"/>
      <c r="FM118" s="763"/>
      <c r="FN118" s="763"/>
      <c r="FO118" s="859">
        <f t="shared" si="373"/>
        <v>-189.55088280752662</v>
      </c>
      <c r="FP118" s="859">
        <f t="shared" si="374"/>
        <v>-12.691456831181101</v>
      </c>
      <c r="FQ118" s="760"/>
      <c r="FR118" s="763"/>
      <c r="FS118" s="763"/>
      <c r="FT118" s="759">
        <f t="shared" si="375"/>
        <v>-186.52324750537787</v>
      </c>
      <c r="FU118" s="759">
        <f t="shared" si="376"/>
        <v>-9.7955015290324976</v>
      </c>
      <c r="FV118" s="761"/>
      <c r="FW118" s="762">
        <v>41678</v>
      </c>
      <c r="FX118" s="761"/>
      <c r="FY118" s="763"/>
      <c r="FZ118" s="763"/>
      <c r="GA118" s="759">
        <f t="shared" si="377"/>
        <v>358748.42924907641</v>
      </c>
      <c r="GB118" s="759">
        <f t="shared" si="378"/>
        <v>379616.35075286694</v>
      </c>
      <c r="GC118" s="760"/>
      <c r="GD118" s="763"/>
      <c r="GE118" s="763"/>
      <c r="GF118" s="759">
        <f t="shared" si="286"/>
        <v>0.96317115533143827</v>
      </c>
      <c r="GG118" s="759">
        <f t="shared" si="287"/>
        <v>0.99075864271135616</v>
      </c>
      <c r="GH118" s="716"/>
      <c r="GI118" s="763"/>
      <c r="GJ118" s="763"/>
      <c r="GK118" s="759">
        <f t="shared" si="379"/>
        <v>0.96317115533143827</v>
      </c>
      <c r="GL118" s="759">
        <f t="shared" si="380"/>
        <v>0.99075864271135616</v>
      </c>
      <c r="GM118" s="716"/>
    </row>
    <row r="119" spans="1:195" s="134" customFormat="1">
      <c r="A119" s="705">
        <v>41679</v>
      </c>
      <c r="B119" s="277"/>
      <c r="C119" s="286"/>
      <c r="D119" s="277"/>
      <c r="E119" s="276"/>
      <c r="F119" s="276">
        <v>-0.98352000000000006</v>
      </c>
      <c r="G119" s="134">
        <v>-0.4536</v>
      </c>
      <c r="I119" s="705">
        <v>41679</v>
      </c>
      <c r="J119" s="270"/>
      <c r="K119" s="270"/>
      <c r="L119" s="270">
        <f t="shared" si="366"/>
        <v>-0.98352000000000006</v>
      </c>
      <c r="M119" s="270">
        <f t="shared" si="367"/>
        <v>-0.4536</v>
      </c>
      <c r="O119" s="705">
        <v>41679</v>
      </c>
      <c r="P119" s="270"/>
      <c r="Q119" s="270"/>
      <c r="R119" s="270">
        <f t="shared" si="368"/>
        <v>-0.98352000000000006</v>
      </c>
      <c r="S119" s="270">
        <f t="shared" si="369"/>
        <v>-0.4536</v>
      </c>
      <c r="T119" s="705">
        <v>41679</v>
      </c>
      <c r="U119" s="291"/>
      <c r="V119" s="291"/>
      <c r="W119" s="291">
        <v>-0.98352000000000006</v>
      </c>
      <c r="X119" s="291">
        <v>-0.4536</v>
      </c>
      <c r="Z119" s="705">
        <v>41679</v>
      </c>
      <c r="AA119" s="707">
        <v>41679</v>
      </c>
      <c r="AB119" s="286"/>
      <c r="AC119" s="268">
        <v>0</v>
      </c>
      <c r="AD119" s="291"/>
      <c r="AE119" s="291"/>
      <c r="AF119" s="267">
        <v>0.68192253463223174</v>
      </c>
      <c r="AG119" s="291"/>
      <c r="AH119" s="291"/>
      <c r="AI119" s="161">
        <v>1.3675225346322315</v>
      </c>
      <c r="AJ119" s="291">
        <v>-0.98352000000000006</v>
      </c>
      <c r="AK119" s="291">
        <f t="shared" si="303"/>
        <v>-206.90610381119291</v>
      </c>
      <c r="AL119" s="161">
        <v>0.94512253463223272</v>
      </c>
      <c r="AM119" s="291">
        <v>-0.4536</v>
      </c>
      <c r="AN119" s="291">
        <f t="shared" si="304"/>
        <v>-17.451032660302037</v>
      </c>
      <c r="AO119" s="705">
        <v>41679</v>
      </c>
      <c r="AP119" s="463">
        <v>0</v>
      </c>
      <c r="AQ119" s="463">
        <v>0.48944536586780535</v>
      </c>
      <c r="AR119" s="463">
        <v>2.1037305170326266</v>
      </c>
      <c r="AS119" s="463">
        <v>0.38472294224651754</v>
      </c>
      <c r="AT119" s="463">
        <f t="shared" si="305"/>
        <v>0</v>
      </c>
      <c r="AU119" s="463">
        <f t="shared" si="306"/>
        <v>8.2956841672509381E-3</v>
      </c>
      <c r="AV119" s="463">
        <f t="shared" si="307"/>
        <v>0.10518652585163132</v>
      </c>
      <c r="AW119" s="463">
        <f t="shared" si="308"/>
        <v>2.0248575907711449E-2</v>
      </c>
      <c r="AY119" s="268">
        <v>0</v>
      </c>
      <c r="AZ119" s="267"/>
      <c r="BA119" s="161">
        <v>1.3675225346322315</v>
      </c>
      <c r="BB119" s="161">
        <v>0.94512253463223272</v>
      </c>
      <c r="BG119" s="134">
        <v>0</v>
      </c>
      <c r="BH119" s="134">
        <v>0</v>
      </c>
      <c r="BJ119" s="508">
        <v>0</v>
      </c>
      <c r="BK119" s="508">
        <v>0</v>
      </c>
      <c r="BL119" s="508">
        <v>30.237069677519894</v>
      </c>
      <c r="BM119" s="508">
        <v>29.15325429290484</v>
      </c>
      <c r="BO119" s="705">
        <v>41679</v>
      </c>
      <c r="CH119" s="283"/>
      <c r="CI119" s="283"/>
      <c r="CJ119" s="283"/>
      <c r="CK119" s="283"/>
      <c r="CL119" s="283"/>
      <c r="CM119" s="283"/>
      <c r="CN119" s="283"/>
      <c r="CO119" s="283"/>
      <c r="CS119" s="705">
        <v>41679</v>
      </c>
      <c r="CV119" s="743">
        <v>0.71899999999999997</v>
      </c>
      <c r="CW119" s="714">
        <v>0.47799999999999998</v>
      </c>
      <c r="CY119" s="725"/>
      <c r="CZ119" s="725"/>
      <c r="DA119" s="736">
        <v>2.040186967751989E-2</v>
      </c>
      <c r="DB119" s="736">
        <v>2.4617254292904844E-2</v>
      </c>
      <c r="DC119" s="463"/>
      <c r="DD119" s="463"/>
      <c r="DE119" s="463">
        <f t="shared" si="383"/>
        <v>-2.1556848433325726</v>
      </c>
      <c r="DF119" s="463">
        <f t="shared" si="384"/>
        <v>-2.4356848433326306</v>
      </c>
      <c r="DG119" s="483"/>
      <c r="DH119" s="483"/>
      <c r="DI119" s="483">
        <f t="shared" si="262"/>
        <v>2.1556848433325726</v>
      </c>
      <c r="DJ119" s="483">
        <f t="shared" si="263"/>
        <v>2.4356848433326306</v>
      </c>
      <c r="DK119" s="483"/>
      <c r="DL119" s="483"/>
      <c r="DM119" s="483">
        <f t="shared" si="329"/>
        <v>5.7723629194414983E-2</v>
      </c>
      <c r="DN119" s="483">
        <f t="shared" si="330"/>
        <v>3.1008741164813391E-2</v>
      </c>
      <c r="DO119" s="483"/>
      <c r="DP119" s="483">
        <f t="shared" si="316"/>
        <v>0</v>
      </c>
      <c r="DQ119" s="483">
        <f t="shared" si="317"/>
        <v>3.1108488139137496</v>
      </c>
      <c r="DR119" s="483">
        <f t="shared" si="318"/>
        <v>1.8881880216490152</v>
      </c>
      <c r="DS119" s="324"/>
      <c r="DT119" s="324"/>
      <c r="DU119" s="324">
        <v>-0.98352000000000006</v>
      </c>
      <c r="DV119" s="324">
        <v>-0.4536</v>
      </c>
      <c r="DW119" s="716"/>
      <c r="DX119" s="742">
        <f t="shared" si="382"/>
        <v>41679</v>
      </c>
      <c r="DY119" s="716"/>
      <c r="DZ119" s="324"/>
      <c r="EA119" s="324"/>
      <c r="EB119" s="269">
        <f t="shared" si="389"/>
        <v>3.1392048433325725</v>
      </c>
      <c r="EC119" s="716">
        <f t="shared" si="390"/>
        <v>2.8892848433326304</v>
      </c>
      <c r="ED119" s="716"/>
      <c r="EE119" s="324"/>
      <c r="EF119" s="324"/>
      <c r="EG119" s="269">
        <f t="shared" si="385"/>
        <v>3.1392048433325725</v>
      </c>
      <c r="EH119" s="269">
        <f t="shared" si="386"/>
        <v>2.8892848433326304</v>
      </c>
      <c r="EI119" s="716"/>
      <c r="EJ119" s="324"/>
      <c r="EK119" s="324"/>
      <c r="EL119" s="269">
        <f t="shared" si="391"/>
        <v>3.1392048433325725</v>
      </c>
      <c r="EM119" s="269">
        <f t="shared" si="392"/>
        <v>2.8892848433326304</v>
      </c>
      <c r="EN119" s="716"/>
      <c r="EO119" s="269">
        <v>0</v>
      </c>
      <c r="EP119" s="324"/>
      <c r="EQ119" s="269"/>
      <c r="ER119" s="269"/>
      <c r="ES119" s="716"/>
      <c r="ET119" s="269"/>
      <c r="EU119" s="324"/>
      <c r="EV119" s="269"/>
      <c r="EW119" s="269"/>
      <c r="EX119" s="716"/>
      <c r="EY119" s="742">
        <v>41679</v>
      </c>
      <c r="EZ119" s="716"/>
      <c r="FA119" s="763"/>
      <c r="FB119" s="763"/>
      <c r="FC119" s="759">
        <f t="shared" si="370"/>
        <v>-0.98351999999999995</v>
      </c>
      <c r="FD119" s="759">
        <f t="shared" si="276"/>
        <v>-0.45359999999999978</v>
      </c>
      <c r="FE119" s="760"/>
      <c r="FF119" s="782">
        <v>41679</v>
      </c>
      <c r="FG119" s="760"/>
      <c r="FH119" s="767"/>
      <c r="FI119" s="767"/>
      <c r="FJ119" s="858">
        <f t="shared" si="371"/>
        <v>-206.90610381119288</v>
      </c>
      <c r="FK119" s="766">
        <f t="shared" si="372"/>
        <v>-17.451032660302026</v>
      </c>
      <c r="FL119" s="760"/>
      <c r="FM119" s="763"/>
      <c r="FN119" s="763"/>
      <c r="FO119" s="859">
        <f t="shared" si="373"/>
        <v>-206.90610381119288</v>
      </c>
      <c r="FP119" s="859">
        <f t="shared" si="374"/>
        <v>-17.451032660302026</v>
      </c>
      <c r="FQ119" s="760"/>
      <c r="FR119" s="763"/>
      <c r="FS119" s="763"/>
      <c r="FT119" s="759">
        <f t="shared" si="375"/>
        <v>-203.7668989678603</v>
      </c>
      <c r="FU119" s="759">
        <f t="shared" si="376"/>
        <v>-14.561747816969396</v>
      </c>
      <c r="FV119" s="761"/>
      <c r="FW119" s="762">
        <v>41679</v>
      </c>
      <c r="FX119" s="761"/>
      <c r="FY119" s="763"/>
      <c r="FZ119" s="763"/>
      <c r="GA119" s="759">
        <f t="shared" si="377"/>
        <v>358544.66235010856</v>
      </c>
      <c r="GB119" s="759">
        <f t="shared" si="378"/>
        <v>379601.78900504997</v>
      </c>
      <c r="GC119" s="760"/>
      <c r="GD119" s="763"/>
      <c r="GE119" s="763"/>
      <c r="GF119" s="759">
        <f t="shared" si="286"/>
        <v>0.96262408004553957</v>
      </c>
      <c r="GG119" s="759">
        <f t="shared" si="287"/>
        <v>0.99072063808517485</v>
      </c>
      <c r="GH119" s="716"/>
      <c r="GI119" s="763"/>
      <c r="GJ119" s="763"/>
      <c r="GK119" s="759">
        <f t="shared" si="379"/>
        <v>0.96262408004553957</v>
      </c>
      <c r="GL119" s="759">
        <f t="shared" si="380"/>
        <v>0.99072063808517485</v>
      </c>
      <c r="GM119" s="716"/>
    </row>
    <row r="120" spans="1:195" s="134" customFormat="1">
      <c r="A120" s="705">
        <v>41680</v>
      </c>
      <c r="B120" s="277"/>
      <c r="C120" s="286"/>
      <c r="D120" s="277"/>
      <c r="E120" s="276"/>
      <c r="F120" s="276">
        <v>-1.05264</v>
      </c>
      <c r="G120" s="134">
        <v>-0.61199999999999999</v>
      </c>
      <c r="I120" s="705">
        <v>41680</v>
      </c>
      <c r="J120" s="270"/>
      <c r="K120" s="270"/>
      <c r="L120" s="270">
        <f t="shared" si="366"/>
        <v>-1.05264</v>
      </c>
      <c r="M120" s="270">
        <f t="shared" si="367"/>
        <v>-0.61199999999999999</v>
      </c>
      <c r="O120" s="705">
        <v>41680</v>
      </c>
      <c r="P120" s="270"/>
      <c r="Q120" s="270"/>
      <c r="R120" s="270">
        <f t="shared" si="368"/>
        <v>-1.05264</v>
      </c>
      <c r="S120" s="270">
        <f t="shared" si="369"/>
        <v>-0.61199999999999999</v>
      </c>
      <c r="T120" s="705">
        <v>41680</v>
      </c>
      <c r="U120" s="291"/>
      <c r="V120" s="291"/>
      <c r="W120" s="291">
        <v>-1.05264</v>
      </c>
      <c r="X120" s="291">
        <v>-0.61199999999999999</v>
      </c>
      <c r="Z120" s="705">
        <v>41680</v>
      </c>
      <c r="AA120" s="707">
        <v>41680</v>
      </c>
      <c r="AB120" s="286"/>
      <c r="AC120" s="268">
        <v>0</v>
      </c>
      <c r="AD120" s="291"/>
      <c r="AE120" s="291"/>
      <c r="AF120" s="267">
        <v>0.68356568619890701</v>
      </c>
      <c r="AG120" s="291"/>
      <c r="AH120" s="291"/>
      <c r="AI120" s="161">
        <v>1.3459656861989058</v>
      </c>
      <c r="AJ120" s="291">
        <v>-1.05264</v>
      </c>
      <c r="AK120" s="291">
        <f t="shared" si="303"/>
        <v>-215.34152479705665</v>
      </c>
      <c r="AL120" s="161">
        <v>0.92076568619890642</v>
      </c>
      <c r="AM120" s="291">
        <v>-0.61199999999999999</v>
      </c>
      <c r="AN120" s="291">
        <f t="shared" si="304"/>
        <v>-21.588229814728937</v>
      </c>
      <c r="AO120" s="705">
        <v>41680</v>
      </c>
      <c r="AP120" s="463">
        <v>0</v>
      </c>
      <c r="AQ120" s="463">
        <v>0.48654555481525869</v>
      </c>
      <c r="AR120" s="463">
        <v>2.0457281197470802</v>
      </c>
      <c r="AS120" s="463">
        <v>0.3527488531818454</v>
      </c>
      <c r="AT120" s="463">
        <f t="shared" si="305"/>
        <v>0</v>
      </c>
      <c r="AU120" s="463">
        <f t="shared" si="306"/>
        <v>8.2465348273772655E-3</v>
      </c>
      <c r="AV120" s="463">
        <f t="shared" si="307"/>
        <v>0.10228640598735401</v>
      </c>
      <c r="AW120" s="463">
        <f t="shared" si="308"/>
        <v>1.8565729114833968E-2</v>
      </c>
      <c r="AY120" s="268">
        <v>0</v>
      </c>
      <c r="AZ120" s="267"/>
      <c r="BA120" s="161">
        <v>1.3459656861989058</v>
      </c>
      <c r="BB120" s="161">
        <v>0.92076568619890642</v>
      </c>
      <c r="BG120" s="134">
        <v>0</v>
      </c>
      <c r="BH120" s="134">
        <v>0</v>
      </c>
      <c r="BJ120" s="508">
        <v>0</v>
      </c>
      <c r="BK120" s="508">
        <v>0</v>
      </c>
      <c r="BL120" s="508">
        <v>31.647873412796908</v>
      </c>
      <c r="BM120" s="508">
        <v>33.910704182027338</v>
      </c>
      <c r="BO120" s="705">
        <v>41680</v>
      </c>
      <c r="CH120" s="283"/>
      <c r="CI120" s="283"/>
      <c r="CJ120" s="283"/>
      <c r="CK120" s="283"/>
      <c r="CL120" s="283"/>
      <c r="CM120" s="283"/>
      <c r="CN120" s="283"/>
      <c r="CO120" s="283"/>
      <c r="CS120" s="705">
        <v>41680</v>
      </c>
      <c r="CV120" s="743">
        <v>0.68500000000000005</v>
      </c>
      <c r="CW120" s="714">
        <v>0.75700000000000001</v>
      </c>
      <c r="CY120" s="725"/>
      <c r="CZ120" s="725"/>
      <c r="DA120" s="736">
        <v>2.1121473412796909E-2</v>
      </c>
      <c r="DB120" s="736">
        <v>2.7790704182027337E-2</v>
      </c>
      <c r="DC120" s="463"/>
      <c r="DD120" s="463"/>
      <c r="DE120" s="463">
        <f t="shared" si="383"/>
        <v>-2.0215543512776435</v>
      </c>
      <c r="DF120" s="463">
        <f t="shared" si="384"/>
        <v>-2.7115543512776341</v>
      </c>
      <c r="DG120" s="483"/>
      <c r="DH120" s="483"/>
      <c r="DI120" s="483">
        <f t="shared" si="262"/>
        <v>2.0215543512776435</v>
      </c>
      <c r="DJ120" s="483">
        <f t="shared" si="263"/>
        <v>2.7115543512776341</v>
      </c>
      <c r="DK120" s="483"/>
      <c r="DL120" s="483"/>
      <c r="DM120" s="483">
        <f t="shared" si="329"/>
        <v>5.8002397285546348E-2</v>
      </c>
      <c r="DN120" s="483">
        <f t="shared" si="330"/>
        <v>3.197408906467214E-2</v>
      </c>
      <c r="DO120" s="483"/>
      <c r="DP120" s="483">
        <f t="shared" si="316"/>
        <v>0</v>
      </c>
      <c r="DQ120" s="483">
        <f t="shared" si="317"/>
        <v>2.9313749654282701</v>
      </c>
      <c r="DR120" s="483">
        <f t="shared" si="318"/>
        <v>2.1674870082862592</v>
      </c>
      <c r="DS120" s="324"/>
      <c r="DT120" s="324"/>
      <c r="DU120" s="324">
        <v>-1.05264</v>
      </c>
      <c r="DV120" s="324">
        <v>-0.61199999999999999</v>
      </c>
      <c r="DW120" s="716"/>
      <c r="DX120" s="742">
        <f t="shared" si="382"/>
        <v>41680</v>
      </c>
      <c r="DY120" s="716"/>
      <c r="DZ120" s="324"/>
      <c r="EA120" s="324"/>
      <c r="EB120" s="269">
        <f t="shared" si="389"/>
        <v>3.0741943512776437</v>
      </c>
      <c r="EC120" s="716">
        <f t="shared" si="390"/>
        <v>3.3235543512776342</v>
      </c>
      <c r="ED120" s="716"/>
      <c r="EE120" s="324"/>
      <c r="EF120" s="324"/>
      <c r="EG120" s="269">
        <f t="shared" si="385"/>
        <v>3.0741943512776437</v>
      </c>
      <c r="EH120" s="269">
        <f t="shared" si="386"/>
        <v>3.3235543512776342</v>
      </c>
      <c r="EI120" s="716"/>
      <c r="EJ120" s="324"/>
      <c r="EK120" s="324"/>
      <c r="EL120" s="269">
        <f t="shared" si="391"/>
        <v>3.0741943512776437</v>
      </c>
      <c r="EM120" s="269">
        <f t="shared" si="392"/>
        <v>3.3235543512776342</v>
      </c>
      <c r="EN120" s="716"/>
      <c r="EO120" s="269">
        <v>0</v>
      </c>
      <c r="EP120" s="324"/>
      <c r="EQ120" s="269"/>
      <c r="ER120" s="269"/>
      <c r="ES120" s="716"/>
      <c r="ET120" s="269"/>
      <c r="EU120" s="324"/>
      <c r="EV120" s="269"/>
      <c r="EW120" s="269"/>
      <c r="EX120" s="716"/>
      <c r="EY120" s="742">
        <v>41680</v>
      </c>
      <c r="EZ120" s="716"/>
      <c r="FA120" s="763"/>
      <c r="FB120" s="763"/>
      <c r="FC120" s="759">
        <f t="shared" si="370"/>
        <v>-1.0526400000000002</v>
      </c>
      <c r="FD120" s="759">
        <f t="shared" si="276"/>
        <v>-0.6120000000000001</v>
      </c>
      <c r="FE120" s="760"/>
      <c r="FF120" s="782">
        <v>41680</v>
      </c>
      <c r="FG120" s="760"/>
      <c r="FH120" s="767"/>
      <c r="FI120" s="767"/>
      <c r="FJ120" s="858">
        <f t="shared" si="371"/>
        <v>-215.34152479705668</v>
      </c>
      <c r="FK120" s="766">
        <f t="shared" si="372"/>
        <v>-21.58822981472894</v>
      </c>
      <c r="FL120" s="760"/>
      <c r="FM120" s="763"/>
      <c r="FN120" s="763"/>
      <c r="FO120" s="859">
        <f t="shared" si="373"/>
        <v>-215.34152479705668</v>
      </c>
      <c r="FP120" s="859">
        <f t="shared" si="374"/>
        <v>-21.58822981472894</v>
      </c>
      <c r="FQ120" s="760"/>
      <c r="FR120" s="763"/>
      <c r="FS120" s="763"/>
      <c r="FT120" s="759">
        <f t="shared" si="375"/>
        <v>-212.26733044577904</v>
      </c>
      <c r="FU120" s="759">
        <f t="shared" si="376"/>
        <v>-18.264675463451304</v>
      </c>
      <c r="FV120" s="761"/>
      <c r="FW120" s="762">
        <v>41680</v>
      </c>
      <c r="FX120" s="761"/>
      <c r="FY120" s="763"/>
      <c r="FZ120" s="763"/>
      <c r="GA120" s="759">
        <f t="shared" si="377"/>
        <v>358332.3950196628</v>
      </c>
      <c r="GB120" s="759">
        <f t="shared" si="378"/>
        <v>379583.52432958654</v>
      </c>
      <c r="GC120" s="760"/>
      <c r="GD120" s="763"/>
      <c r="GE120" s="763"/>
      <c r="GF120" s="759">
        <f t="shared" si="286"/>
        <v>0.96205418272129894</v>
      </c>
      <c r="GG120" s="759">
        <f t="shared" si="287"/>
        <v>0.9906729692083317</v>
      </c>
      <c r="GH120" s="716"/>
      <c r="GI120" s="763"/>
      <c r="GJ120" s="763"/>
      <c r="GK120" s="759">
        <f t="shared" si="379"/>
        <v>0.96205418272129894</v>
      </c>
      <c r="GL120" s="759">
        <f t="shared" si="380"/>
        <v>0.9906729692083317</v>
      </c>
      <c r="GM120" s="716"/>
    </row>
    <row r="121" spans="1:195" s="134" customFormat="1">
      <c r="A121" s="705">
        <v>41681</v>
      </c>
      <c r="B121" s="277"/>
      <c r="C121" s="286"/>
      <c r="D121" s="277"/>
      <c r="E121" s="276"/>
      <c r="F121" s="276">
        <v>-0.98063999999999996</v>
      </c>
      <c r="G121" s="134">
        <v>-0.93455999999999995</v>
      </c>
      <c r="I121" s="705">
        <v>41681</v>
      </c>
      <c r="J121" s="270"/>
      <c r="K121" s="270"/>
      <c r="L121" s="270">
        <f t="shared" si="366"/>
        <v>-0.98063999999999996</v>
      </c>
      <c r="M121" s="270">
        <f t="shared" si="367"/>
        <v>-0.93455999999999995</v>
      </c>
      <c r="O121" s="705">
        <v>41681</v>
      </c>
      <c r="P121" s="270"/>
      <c r="Q121" s="270"/>
      <c r="R121" s="270">
        <f t="shared" si="368"/>
        <v>-0.98063999999999996</v>
      </c>
      <c r="S121" s="270">
        <f t="shared" si="369"/>
        <v>-0.93455999999999995</v>
      </c>
      <c r="T121" s="705">
        <v>41681</v>
      </c>
      <c r="U121" s="291"/>
      <c r="V121" s="291"/>
      <c r="W121" s="291">
        <v>-0.98063999999999996</v>
      </c>
      <c r="X121" s="291">
        <v>-0.93455999999999995</v>
      </c>
      <c r="Z121" s="705">
        <v>41681</v>
      </c>
      <c r="AA121" s="707">
        <v>41681</v>
      </c>
      <c r="AB121" s="286"/>
      <c r="AC121" s="268">
        <v>0</v>
      </c>
      <c r="AD121" s="291"/>
      <c r="AE121" s="291"/>
      <c r="AF121" s="267">
        <v>0.68445014268613114</v>
      </c>
      <c r="AG121" s="291"/>
      <c r="AH121" s="291"/>
      <c r="AI121" s="161">
        <v>1.3257501426861293</v>
      </c>
      <c r="AJ121" s="291">
        <v>-0.98063999999999996</v>
      </c>
      <c r="AK121" s="291">
        <f t="shared" si="303"/>
        <v>-194.9817154482545</v>
      </c>
      <c r="AL121" s="161">
        <v>0.89365014268613008</v>
      </c>
      <c r="AM121" s="291">
        <v>-0.93455999999999995</v>
      </c>
      <c r="AN121" s="291">
        <f t="shared" si="304"/>
        <v>-30.317299199521223</v>
      </c>
      <c r="AO121" s="705">
        <v>41681</v>
      </c>
      <c r="AP121" s="463">
        <v>0</v>
      </c>
      <c r="AQ121" s="463">
        <v>0.48993377123222881</v>
      </c>
      <c r="AR121" s="463">
        <v>1.9883108525886615</v>
      </c>
      <c r="AS121" s="463">
        <v>0.32440184899333618</v>
      </c>
      <c r="AT121" s="463">
        <f t="shared" si="305"/>
        <v>0</v>
      </c>
      <c r="AU121" s="463">
        <f t="shared" si="306"/>
        <v>8.3039622242750653E-3</v>
      </c>
      <c r="AV121" s="463">
        <f t="shared" si="307"/>
        <v>9.9415542629433071E-2</v>
      </c>
      <c r="AW121" s="463">
        <f t="shared" si="308"/>
        <v>1.7073781525965063E-2</v>
      </c>
      <c r="AY121" s="268">
        <v>0</v>
      </c>
      <c r="AZ121" s="267"/>
      <c r="BA121" s="161">
        <v>1.3257501426861293</v>
      </c>
      <c r="BB121" s="161">
        <v>0.89365014268613008</v>
      </c>
      <c r="BG121" s="134">
        <v>0</v>
      </c>
      <c r="BH121" s="134">
        <v>0</v>
      </c>
      <c r="BJ121" s="508">
        <v>0</v>
      </c>
      <c r="BK121" s="508">
        <v>0</v>
      </c>
      <c r="BL121" s="508">
        <v>30.659089074528421</v>
      </c>
      <c r="BM121" s="508">
        <v>34.767519843759295</v>
      </c>
      <c r="BO121" s="705">
        <v>41681</v>
      </c>
      <c r="CH121" s="283"/>
      <c r="CI121" s="283"/>
      <c r="CJ121" s="283"/>
      <c r="CK121" s="283"/>
      <c r="CL121" s="283"/>
      <c r="CM121" s="283"/>
      <c r="CN121" s="283"/>
      <c r="CO121" s="283"/>
      <c r="CS121" s="705">
        <v>41681</v>
      </c>
      <c r="CV121" s="743">
        <v>0.624</v>
      </c>
      <c r="CW121" s="714">
        <v>0.84</v>
      </c>
      <c r="CY121" s="725"/>
      <c r="CZ121" s="725"/>
      <c r="DA121" s="736">
        <v>2.0852689074528419E-2</v>
      </c>
      <c r="DB121" s="736">
        <v>2.54219198437593E-2</v>
      </c>
      <c r="DC121" s="463"/>
      <c r="DD121" s="463"/>
      <c r="DE121" s="463">
        <f t="shared" si="383"/>
        <v>-2.0559107272795529</v>
      </c>
      <c r="DF121" s="463">
        <f t="shared" si="384"/>
        <v>-2.5559107272796311</v>
      </c>
      <c r="DG121" s="483"/>
      <c r="DH121" s="483"/>
      <c r="DI121" s="483">
        <f t="shared" si="262"/>
        <v>2.0559107272795529</v>
      </c>
      <c r="DJ121" s="483">
        <f t="shared" si="263"/>
        <v>2.5559107272796311</v>
      </c>
      <c r="DK121" s="483"/>
      <c r="DL121" s="483"/>
      <c r="DM121" s="483">
        <f t="shared" si="329"/>
        <v>5.7417267158418772E-2</v>
      </c>
      <c r="DN121" s="483">
        <f t="shared" si="330"/>
        <v>2.8347004188509217E-2</v>
      </c>
      <c r="DO121" s="483"/>
      <c r="DP121" s="483">
        <f t="shared" si="316"/>
        <v>0</v>
      </c>
      <c r="DQ121" s="483">
        <f t="shared" si="317"/>
        <v>2.9511193870517278</v>
      </c>
      <c r="DR121" s="483">
        <f t="shared" si="318"/>
        <v>1.8113103022912838</v>
      </c>
      <c r="DS121" s="324"/>
      <c r="DT121" s="324"/>
      <c r="DU121" s="324">
        <v>-0.98063999999999996</v>
      </c>
      <c r="DV121" s="324">
        <v>-0.93455999999999995</v>
      </c>
      <c r="DW121" s="716"/>
      <c r="DX121" s="742">
        <f t="shared" si="382"/>
        <v>41681</v>
      </c>
      <c r="DY121" s="716"/>
      <c r="DZ121" s="324"/>
      <c r="EA121" s="324"/>
      <c r="EB121" s="269">
        <f t="shared" si="389"/>
        <v>3.0365507272795531</v>
      </c>
      <c r="EC121" s="716">
        <f t="shared" si="390"/>
        <v>3.4904707272796309</v>
      </c>
      <c r="ED121" s="716"/>
      <c r="EE121" s="324"/>
      <c r="EF121" s="324"/>
      <c r="EG121" s="269">
        <f t="shared" si="385"/>
        <v>3.0365507272795531</v>
      </c>
      <c r="EH121" s="269">
        <f t="shared" si="386"/>
        <v>3.4904707272796309</v>
      </c>
      <c r="EI121" s="716"/>
      <c r="EJ121" s="324"/>
      <c r="EK121" s="324"/>
      <c r="EL121" s="269">
        <f t="shared" si="391"/>
        <v>3.0365507272795531</v>
      </c>
      <c r="EM121" s="269">
        <f t="shared" si="392"/>
        <v>3.4904707272796309</v>
      </c>
      <c r="EN121" s="716"/>
      <c r="EO121" s="269">
        <v>0</v>
      </c>
      <c r="EP121" s="324"/>
      <c r="EQ121" s="269"/>
      <c r="ER121" s="269"/>
      <c r="ES121" s="716"/>
      <c r="ET121" s="269"/>
      <c r="EU121" s="324"/>
      <c r="EV121" s="269"/>
      <c r="EW121" s="269"/>
      <c r="EX121" s="716"/>
      <c r="EY121" s="742">
        <v>41681</v>
      </c>
      <c r="EZ121" s="716"/>
      <c r="FA121" s="763"/>
      <c r="FB121" s="763"/>
      <c r="FC121" s="759">
        <f t="shared" si="370"/>
        <v>-0.98064000000000018</v>
      </c>
      <c r="FD121" s="759">
        <f t="shared" si="276"/>
        <v>-0.93455999999999984</v>
      </c>
      <c r="FE121" s="760"/>
      <c r="FF121" s="782">
        <v>41681</v>
      </c>
      <c r="FG121" s="760"/>
      <c r="FH121" s="767"/>
      <c r="FI121" s="767"/>
      <c r="FJ121" s="858">
        <f t="shared" si="371"/>
        <v>-194.98171544825453</v>
      </c>
      <c r="FK121" s="766">
        <f t="shared" si="372"/>
        <v>-30.317299199521223</v>
      </c>
      <c r="FL121" s="760"/>
      <c r="FM121" s="763"/>
      <c r="FN121" s="763"/>
      <c r="FO121" s="859">
        <f t="shared" si="373"/>
        <v>-194.98171544825453</v>
      </c>
      <c r="FP121" s="859">
        <f t="shared" si="374"/>
        <v>-30.317299199521223</v>
      </c>
      <c r="FQ121" s="760"/>
      <c r="FR121" s="763"/>
      <c r="FS121" s="763"/>
      <c r="FT121" s="759">
        <f t="shared" si="375"/>
        <v>-191.94516472097499</v>
      </c>
      <c r="FU121" s="759">
        <f t="shared" si="376"/>
        <v>-26.826828472241591</v>
      </c>
      <c r="FV121" s="761"/>
      <c r="FW121" s="762">
        <v>41681</v>
      </c>
      <c r="FX121" s="761"/>
      <c r="FY121" s="763"/>
      <c r="FZ121" s="763"/>
      <c r="GA121" s="759">
        <f t="shared" si="377"/>
        <v>358140.44985494181</v>
      </c>
      <c r="GB121" s="759">
        <f t="shared" si="378"/>
        <v>379556.69750111428</v>
      </c>
      <c r="GC121" s="760"/>
      <c r="GD121" s="763"/>
      <c r="GE121" s="763"/>
      <c r="GF121" s="759">
        <f t="shared" si="286"/>
        <v>0.96153884653863864</v>
      </c>
      <c r="GG121" s="759">
        <f t="shared" si="287"/>
        <v>0.99060295401506426</v>
      </c>
      <c r="GH121" s="716"/>
      <c r="GI121" s="763"/>
      <c r="GJ121" s="763"/>
      <c r="GK121" s="759">
        <f t="shared" si="379"/>
        <v>0.96153884653863864</v>
      </c>
      <c r="GL121" s="759">
        <f t="shared" si="380"/>
        <v>0.99060295401506426</v>
      </c>
      <c r="GM121" s="716"/>
    </row>
    <row r="122" spans="1:195" s="134" customFormat="1">
      <c r="A122" s="705">
        <v>41682</v>
      </c>
      <c r="B122" s="277"/>
      <c r="C122" s="286"/>
      <c r="D122" s="277"/>
      <c r="E122" s="276"/>
      <c r="F122" s="276">
        <v>-8.524799999999999E-2</v>
      </c>
      <c r="G122" s="134">
        <v>-0.12124800000000002</v>
      </c>
      <c r="I122" s="705">
        <v>41682</v>
      </c>
      <c r="J122" s="270"/>
      <c r="K122" s="270"/>
      <c r="L122" s="270">
        <f t="shared" si="366"/>
        <v>-8.524799999999999E-2</v>
      </c>
      <c r="M122" s="270">
        <f t="shared" si="367"/>
        <v>-0.12124800000000002</v>
      </c>
      <c r="O122" s="705">
        <v>41682</v>
      </c>
      <c r="P122" s="270"/>
      <c r="Q122" s="270"/>
      <c r="R122" s="270">
        <f t="shared" si="368"/>
        <v>-8.524799999999999E-2</v>
      </c>
      <c r="S122" s="270">
        <f t="shared" si="369"/>
        <v>-0.12124800000000002</v>
      </c>
      <c r="T122" s="705">
        <v>41682</v>
      </c>
      <c r="U122" s="291"/>
      <c r="V122" s="291"/>
      <c r="W122" s="291">
        <v>-8.524799999999999E-2</v>
      </c>
      <c r="X122" s="291">
        <v>-0.12124800000000002</v>
      </c>
      <c r="Z122" s="705">
        <v>41682</v>
      </c>
      <c r="AA122" s="707">
        <v>41682</v>
      </c>
      <c r="AB122" s="286"/>
      <c r="AC122" s="268">
        <v>0</v>
      </c>
      <c r="AD122" s="291"/>
      <c r="AE122" s="291"/>
      <c r="AF122" s="267">
        <v>0.68089103541333329</v>
      </c>
      <c r="AG122" s="291"/>
      <c r="AH122" s="291"/>
      <c r="AI122" s="161">
        <v>1.3051910354133338</v>
      </c>
      <c r="AJ122" s="291">
        <v>-8.524799999999999E-2</v>
      </c>
      <c r="AK122" s="291">
        <f t="shared" si="303"/>
        <v>-16.496540657137633</v>
      </c>
      <c r="AL122" s="161">
        <v>0.86809103541333377</v>
      </c>
      <c r="AM122" s="291">
        <v>-0.12124800000000002</v>
      </c>
      <c r="AN122" s="291">
        <f t="shared" si="304"/>
        <v>-3.5735935178867093</v>
      </c>
      <c r="AO122" s="705">
        <v>41682</v>
      </c>
      <c r="AP122" s="463">
        <v>0</v>
      </c>
      <c r="AQ122" s="463">
        <v>0.49176390411789045</v>
      </c>
      <c r="AR122" s="463">
        <v>1.9351234817400567</v>
      </c>
      <c r="AS122" s="463">
        <v>0.29473422389538045</v>
      </c>
      <c r="AT122" s="463">
        <f t="shared" si="305"/>
        <v>0</v>
      </c>
      <c r="AU122" s="463">
        <f t="shared" si="306"/>
        <v>8.3349814257269571E-3</v>
      </c>
      <c r="AV122" s="463">
        <f t="shared" si="307"/>
        <v>9.6756174087002836E-2</v>
      </c>
      <c r="AW122" s="463">
        <f t="shared" si="308"/>
        <v>1.5512327573441077E-2</v>
      </c>
      <c r="AY122" s="268">
        <v>0</v>
      </c>
      <c r="AZ122" s="267"/>
      <c r="BA122" s="161">
        <v>1.3051910354133338</v>
      </c>
      <c r="BB122" s="161">
        <v>0.86809103541333377</v>
      </c>
      <c r="BG122" s="134">
        <v>0</v>
      </c>
      <c r="BH122" s="134">
        <v>0</v>
      </c>
      <c r="BJ122" s="508">
        <v>0</v>
      </c>
      <c r="BK122" s="508">
        <v>0</v>
      </c>
      <c r="BL122" s="508">
        <v>21.100056911966103</v>
      </c>
      <c r="BM122" s="508">
        <v>25.798518450427729</v>
      </c>
      <c r="BO122" s="705">
        <v>41682</v>
      </c>
      <c r="CH122" s="283"/>
      <c r="CI122" s="283"/>
      <c r="CJ122" s="283"/>
      <c r="CK122" s="283"/>
      <c r="CL122" s="283"/>
      <c r="CM122" s="283"/>
      <c r="CN122" s="283"/>
      <c r="CO122" s="283"/>
      <c r="CS122" s="705">
        <v>41682</v>
      </c>
      <c r="CV122" s="743">
        <v>1.0999999999999999E-2</v>
      </c>
      <c r="CW122" s="714">
        <v>8.3000000000000004E-2</v>
      </c>
      <c r="CY122" s="725"/>
      <c r="CZ122" s="725"/>
      <c r="DA122" s="736">
        <v>2.0247576911966103E-2</v>
      </c>
      <c r="DB122" s="736">
        <v>2.4586038450427727E-2</v>
      </c>
      <c r="DC122" s="463"/>
      <c r="DD122" s="463"/>
      <c r="DE122" s="463">
        <f t="shared" si="383"/>
        <v>-2.0484244516321581</v>
      </c>
      <c r="DF122" s="463">
        <f t="shared" si="384"/>
        <v>-2.4684244516320675</v>
      </c>
      <c r="DG122" s="483"/>
      <c r="DH122" s="483"/>
      <c r="DI122" s="483">
        <f t="shared" si="262"/>
        <v>2.0484244516321581</v>
      </c>
      <c r="DJ122" s="483">
        <f t="shared" si="263"/>
        <v>2.4684244516320675</v>
      </c>
      <c r="DK122" s="483"/>
      <c r="DL122" s="483"/>
      <c r="DM122" s="483">
        <f t="shared" si="329"/>
        <v>5.3187370848604809E-2</v>
      </c>
      <c r="DN122" s="483">
        <f t="shared" si="330"/>
        <v>2.966762509795573E-2</v>
      </c>
      <c r="DO122" s="483"/>
      <c r="DP122" s="483">
        <f t="shared" si="316"/>
        <v>0</v>
      </c>
      <c r="DQ122" s="483">
        <f t="shared" si="317"/>
        <v>2.7237577741077388</v>
      </c>
      <c r="DR122" s="483">
        <f t="shared" si="318"/>
        <v>1.8308072803411783</v>
      </c>
      <c r="DS122" s="324"/>
      <c r="DT122" s="324"/>
      <c r="DU122" s="324">
        <v>-8.524799999999999E-2</v>
      </c>
      <c r="DV122" s="324">
        <v>-0.12124800000000002</v>
      </c>
      <c r="DW122" s="716"/>
      <c r="DX122" s="742">
        <f t="shared" si="382"/>
        <v>41682</v>
      </c>
      <c r="DY122" s="716"/>
      <c r="DZ122" s="324"/>
      <c r="EA122" s="324"/>
      <c r="EB122" s="269">
        <f t="shared" si="389"/>
        <v>2.1336724516321581</v>
      </c>
      <c r="EC122" s="716">
        <f t="shared" si="390"/>
        <v>2.5896724516320675</v>
      </c>
      <c r="ED122" s="716"/>
      <c r="EE122" s="324"/>
      <c r="EF122" s="324"/>
      <c r="EG122" s="269">
        <f t="shared" si="385"/>
        <v>2.1336724516321581</v>
      </c>
      <c r="EH122" s="269">
        <f t="shared" si="386"/>
        <v>2.5896724516320675</v>
      </c>
      <c r="EI122" s="716"/>
      <c r="EJ122" s="324"/>
      <c r="EK122" s="324"/>
      <c r="EL122" s="269">
        <f t="shared" si="391"/>
        <v>2.1336724516321581</v>
      </c>
      <c r="EM122" s="269">
        <f t="shared" si="392"/>
        <v>2.5896724516320675</v>
      </c>
      <c r="EN122" s="716"/>
      <c r="EO122" s="269">
        <v>0</v>
      </c>
      <c r="EP122" s="324"/>
      <c r="EQ122" s="269"/>
      <c r="ER122" s="269"/>
      <c r="ES122" s="716"/>
      <c r="ET122" s="269"/>
      <c r="EU122" s="324"/>
      <c r="EV122" s="269"/>
      <c r="EW122" s="269"/>
      <c r="EX122" s="716"/>
      <c r="EY122" s="742">
        <v>41682</v>
      </c>
      <c r="EZ122" s="716"/>
      <c r="FA122" s="763"/>
      <c r="FB122" s="763"/>
      <c r="FC122" s="759">
        <f t="shared" si="370"/>
        <v>-8.524799999999999E-2</v>
      </c>
      <c r="FD122" s="759">
        <f t="shared" si="276"/>
        <v>-0.12124800000000002</v>
      </c>
      <c r="FE122" s="760"/>
      <c r="FF122" s="782">
        <v>41682</v>
      </c>
      <c r="FG122" s="760"/>
      <c r="FH122" s="767"/>
      <c r="FI122" s="767"/>
      <c r="FJ122" s="858">
        <f t="shared" si="371"/>
        <v>-16.496540657137633</v>
      </c>
      <c r="FK122" s="766">
        <f t="shared" si="372"/>
        <v>-3.5735935178867093</v>
      </c>
      <c r="FL122" s="760"/>
      <c r="FM122" s="763"/>
      <c r="FN122" s="763"/>
      <c r="FO122" s="859">
        <f t="shared" si="373"/>
        <v>-16.496540657137633</v>
      </c>
      <c r="FP122" s="859">
        <f t="shared" si="374"/>
        <v>-3.5735935178867093</v>
      </c>
      <c r="FQ122" s="760"/>
      <c r="FR122" s="763"/>
      <c r="FS122" s="763"/>
      <c r="FT122" s="759">
        <f t="shared" si="375"/>
        <v>-14.362868205505475</v>
      </c>
      <c r="FU122" s="759">
        <f t="shared" si="376"/>
        <v>-0.98392106625464182</v>
      </c>
      <c r="FV122" s="761"/>
      <c r="FW122" s="762">
        <v>41682</v>
      </c>
      <c r="FX122" s="761"/>
      <c r="FY122" s="763"/>
      <c r="FZ122" s="763"/>
      <c r="GA122" s="759">
        <f t="shared" si="377"/>
        <v>358126.08698673628</v>
      </c>
      <c r="GB122" s="759">
        <f t="shared" si="378"/>
        <v>379555.713580048</v>
      </c>
      <c r="GC122" s="760"/>
      <c r="GD122" s="763"/>
      <c r="GE122" s="763"/>
      <c r="GF122" s="759">
        <f t="shared" si="286"/>
        <v>0.96150028497505957</v>
      </c>
      <c r="GG122" s="759">
        <f t="shared" si="287"/>
        <v>0.99060038608484147</v>
      </c>
      <c r="GH122" s="716"/>
      <c r="GI122" s="763"/>
      <c r="GJ122" s="763"/>
      <c r="GK122" s="759">
        <f t="shared" si="379"/>
        <v>0.96150028497505957</v>
      </c>
      <c r="GL122" s="759">
        <f t="shared" si="380"/>
        <v>0.99060038608484147</v>
      </c>
      <c r="GM122" s="716"/>
    </row>
    <row r="123" spans="1:195" s="134" customFormat="1">
      <c r="A123" s="705">
        <v>41683</v>
      </c>
      <c r="B123" s="277"/>
      <c r="C123" s="286"/>
      <c r="D123" s="277"/>
      <c r="E123" s="276"/>
      <c r="F123" s="276">
        <v>0.12196799999999999</v>
      </c>
      <c r="G123" s="134">
        <v>0.30384</v>
      </c>
      <c r="I123" s="705">
        <v>41683</v>
      </c>
      <c r="J123" s="270"/>
      <c r="K123" s="270"/>
      <c r="L123" s="270">
        <f t="shared" si="366"/>
        <v>0.12196799999999999</v>
      </c>
      <c r="M123" s="270">
        <f t="shared" si="367"/>
        <v>0.30384</v>
      </c>
      <c r="O123" s="705">
        <v>41683</v>
      </c>
      <c r="P123" s="270"/>
      <c r="Q123" s="270"/>
      <c r="R123" s="270">
        <f t="shared" si="368"/>
        <v>0.12196799999999999</v>
      </c>
      <c r="S123" s="270">
        <f t="shared" si="369"/>
        <v>0.30384</v>
      </c>
      <c r="T123" s="705">
        <v>41683</v>
      </c>
      <c r="U123" s="291"/>
      <c r="V123" s="291"/>
      <c r="W123" s="291">
        <v>0.12196799999999999</v>
      </c>
      <c r="X123" s="291">
        <v>0.30384</v>
      </c>
      <c r="Z123" s="705">
        <v>41683</v>
      </c>
      <c r="AA123" s="707">
        <v>41683</v>
      </c>
      <c r="AB123" s="286"/>
      <c r="AC123" s="268">
        <v>0</v>
      </c>
      <c r="AD123" s="291"/>
      <c r="AE123" s="291"/>
      <c r="AF123" s="267">
        <v>0.68080679089701213</v>
      </c>
      <c r="AG123" s="291"/>
      <c r="AH123" s="291"/>
      <c r="AI123" s="161">
        <v>1.2847067908970122</v>
      </c>
      <c r="AJ123" s="291">
        <v>0.12196799999999999</v>
      </c>
      <c r="AK123" s="291">
        <f t="shared" si="303"/>
        <v>22.950557618584682</v>
      </c>
      <c r="AL123" s="161">
        <v>0.84340679089701309</v>
      </c>
      <c r="AM123" s="291">
        <v>0.30384</v>
      </c>
      <c r="AN123" s="291">
        <f t="shared" si="304"/>
        <v>8.1590559553562674</v>
      </c>
      <c r="AO123" s="705">
        <v>41683</v>
      </c>
      <c r="AP123" s="463">
        <v>0</v>
      </c>
      <c r="AQ123" s="463">
        <v>0.48442642042996659</v>
      </c>
      <c r="AR123" s="463">
        <v>1.8816868046196282</v>
      </c>
      <c r="AS123" s="463">
        <v>0.2685313308108303</v>
      </c>
      <c r="AT123" s="463">
        <f t="shared" si="305"/>
        <v>0</v>
      </c>
      <c r="AU123" s="463">
        <f t="shared" si="306"/>
        <v>8.2106172954231633E-3</v>
      </c>
      <c r="AV123" s="463">
        <f t="shared" si="307"/>
        <v>9.4084340230981417E-2</v>
      </c>
      <c r="AW123" s="463">
        <f t="shared" si="308"/>
        <v>1.4133227937412122E-2</v>
      </c>
      <c r="AY123" s="268">
        <v>0</v>
      </c>
      <c r="AZ123" s="267"/>
      <c r="BA123" s="161">
        <v>1.2847067908970122</v>
      </c>
      <c r="BB123" s="161">
        <v>0.84340679089701309</v>
      </c>
      <c r="BG123" s="134">
        <v>0</v>
      </c>
      <c r="BH123" s="134">
        <v>0</v>
      </c>
      <c r="BJ123" s="508">
        <v>0</v>
      </c>
      <c r="BK123" s="508">
        <v>0</v>
      </c>
      <c r="BL123" s="508">
        <v>21.253930632326004</v>
      </c>
      <c r="BM123" s="508">
        <v>25.104441401556539</v>
      </c>
      <c r="BO123" s="705">
        <v>41683</v>
      </c>
      <c r="CH123" s="283"/>
      <c r="CI123" s="283"/>
      <c r="CJ123" s="283"/>
      <c r="CK123" s="283"/>
      <c r="CL123" s="283"/>
      <c r="CM123" s="283"/>
      <c r="CN123" s="283"/>
      <c r="CO123" s="283"/>
      <c r="CS123" s="705">
        <v>41683</v>
      </c>
      <c r="CV123" s="743">
        <v>3.3000000000000002E-2</v>
      </c>
      <c r="CW123" s="714">
        <v>0.19</v>
      </c>
      <c r="CY123" s="725"/>
      <c r="CZ123" s="725"/>
      <c r="DA123" s="736">
        <v>2.2473610632326002E-2</v>
      </c>
      <c r="DB123" s="736">
        <v>2.814284140155654E-2</v>
      </c>
      <c r="DC123" s="463"/>
      <c r="DD123" s="463"/>
      <c r="DE123" s="463">
        <f t="shared" si="383"/>
        <v>-2.2979745634916782</v>
      </c>
      <c r="DF123" s="463">
        <f t="shared" si="384"/>
        <v>-2.807974563491733</v>
      </c>
      <c r="DG123" s="483"/>
      <c r="DH123" s="483"/>
      <c r="DI123" s="483">
        <f t="shared" si="262"/>
        <v>2.2979745634916782</v>
      </c>
      <c r="DJ123" s="483">
        <f t="shared" si="263"/>
        <v>2.807974563491733</v>
      </c>
      <c r="DK123" s="483"/>
      <c r="DL123" s="483"/>
      <c r="DM123" s="483">
        <f t="shared" si="329"/>
        <v>5.3436677120428433E-2</v>
      </c>
      <c r="DN123" s="483">
        <f t="shared" si="330"/>
        <v>2.620289308455015E-2</v>
      </c>
      <c r="DO123" s="483"/>
      <c r="DP123" s="483">
        <f t="shared" si="316"/>
        <v>0</v>
      </c>
      <c r="DQ123" s="483">
        <f t="shared" si="317"/>
        <v>3.0699031195065567</v>
      </c>
      <c r="DR123" s="483">
        <f t="shared" si="318"/>
        <v>1.8394264317827567</v>
      </c>
      <c r="DS123" s="324"/>
      <c r="DT123" s="324"/>
      <c r="DU123" s="324">
        <v>0.12196799999999999</v>
      </c>
      <c r="DV123" s="324">
        <v>0.30384</v>
      </c>
      <c r="DW123" s="716"/>
      <c r="DX123" s="742">
        <f t="shared" si="382"/>
        <v>41683</v>
      </c>
      <c r="DY123" s="716"/>
      <c r="DZ123" s="324"/>
      <c r="EA123" s="324"/>
      <c r="EB123" s="269">
        <f t="shared" si="389"/>
        <v>2.1760065634916783</v>
      </c>
      <c r="EC123" s="716">
        <f t="shared" si="390"/>
        <v>2.5041345634917329</v>
      </c>
      <c r="ED123" s="716"/>
      <c r="EE123" s="324"/>
      <c r="EF123" s="324"/>
      <c r="EG123" s="269">
        <f t="shared" si="385"/>
        <v>2.1760065634916783</v>
      </c>
      <c r="EH123" s="269">
        <f t="shared" si="386"/>
        <v>2.5041345634917329</v>
      </c>
      <c r="EI123" s="716"/>
      <c r="EJ123" s="324"/>
      <c r="EK123" s="324"/>
      <c r="EL123" s="269">
        <f t="shared" si="391"/>
        <v>2.1760065634916783</v>
      </c>
      <c r="EM123" s="269">
        <f t="shared" si="392"/>
        <v>2.5041345634917329</v>
      </c>
      <c r="EN123" s="716"/>
      <c r="EO123" s="269">
        <v>0</v>
      </c>
      <c r="EP123" s="324"/>
      <c r="EQ123" s="269"/>
      <c r="ER123" s="269"/>
      <c r="ES123" s="716"/>
      <c r="ET123" s="269"/>
      <c r="EU123" s="324"/>
      <c r="EV123" s="269"/>
      <c r="EW123" s="269"/>
      <c r="EX123" s="716"/>
      <c r="EY123" s="742">
        <v>41683</v>
      </c>
      <c r="EZ123" s="716"/>
      <c r="FA123" s="763"/>
      <c r="FB123" s="763"/>
      <c r="FC123" s="759">
        <f t="shared" si="370"/>
        <v>0.12196799999999985</v>
      </c>
      <c r="FD123" s="759">
        <f t="shared" si="276"/>
        <v>0.30384000000000011</v>
      </c>
      <c r="FE123" s="760"/>
      <c r="FF123" s="782">
        <v>41683</v>
      </c>
      <c r="FG123" s="760"/>
      <c r="FH123" s="767"/>
      <c r="FI123" s="767"/>
      <c r="FJ123" s="858">
        <f t="shared" si="371"/>
        <v>22.950557618584654</v>
      </c>
      <c r="FK123" s="766">
        <f t="shared" si="372"/>
        <v>8.1590559553562709</v>
      </c>
      <c r="FL123" s="760"/>
      <c r="FM123" s="763"/>
      <c r="FN123" s="763"/>
      <c r="FO123" s="859">
        <f t="shared" si="373"/>
        <v>22.950557618584654</v>
      </c>
      <c r="FP123" s="859">
        <f t="shared" si="374"/>
        <v>8.1590559553562709</v>
      </c>
      <c r="FQ123" s="760"/>
      <c r="FR123" s="763"/>
      <c r="FS123" s="763"/>
      <c r="FT123" s="759">
        <f t="shared" si="375"/>
        <v>25.126564182076333</v>
      </c>
      <c r="FU123" s="759">
        <f t="shared" si="376"/>
        <v>10.663190518848005</v>
      </c>
      <c r="FV123" s="761"/>
      <c r="FW123" s="762">
        <v>41683</v>
      </c>
      <c r="FX123" s="761"/>
      <c r="FY123" s="763"/>
      <c r="FZ123" s="763"/>
      <c r="GA123" s="759">
        <f t="shared" si="377"/>
        <v>358151.21355091833</v>
      </c>
      <c r="GB123" s="759">
        <f t="shared" si="378"/>
        <v>379566.37677056686</v>
      </c>
      <c r="GC123" s="760"/>
      <c r="GD123" s="763"/>
      <c r="GE123" s="763"/>
      <c r="GF123" s="759">
        <f t="shared" si="286"/>
        <v>0.96156774501078257</v>
      </c>
      <c r="GG123" s="759">
        <f t="shared" si="287"/>
        <v>0.99062821588760019</v>
      </c>
      <c r="GH123" s="716"/>
      <c r="GI123" s="763"/>
      <c r="GJ123" s="763"/>
      <c r="GK123" s="759">
        <f t="shared" si="379"/>
        <v>0.96156774501078257</v>
      </c>
      <c r="GL123" s="759">
        <f t="shared" si="380"/>
        <v>0.99062821588760019</v>
      </c>
      <c r="GM123" s="716"/>
    </row>
    <row r="124" spans="1:195" s="134" customFormat="1">
      <c r="A124" s="705">
        <v>41684</v>
      </c>
      <c r="B124" s="277"/>
      <c r="C124" s="286"/>
      <c r="D124" s="277"/>
      <c r="E124" s="276"/>
      <c r="F124" s="276">
        <v>0.74015999999999993</v>
      </c>
      <c r="G124" s="134">
        <v>1.6992</v>
      </c>
      <c r="I124" s="705">
        <v>41684</v>
      </c>
      <c r="J124" s="270"/>
      <c r="K124" s="270"/>
      <c r="L124" s="270">
        <f t="shared" si="366"/>
        <v>0.74015999999999993</v>
      </c>
      <c r="M124" s="270">
        <f t="shared" si="367"/>
        <v>1.6992</v>
      </c>
      <c r="O124" s="705">
        <v>41684</v>
      </c>
      <c r="P124" s="270"/>
      <c r="Q124" s="270"/>
      <c r="R124" s="270">
        <f t="shared" si="368"/>
        <v>0.74015999999999993</v>
      </c>
      <c r="S124" s="270">
        <f t="shared" si="369"/>
        <v>1.6992</v>
      </c>
      <c r="T124" s="705">
        <v>41684</v>
      </c>
      <c r="U124" s="291"/>
      <c r="V124" s="291"/>
      <c r="W124" s="291">
        <v>0.74015999999999993</v>
      </c>
      <c r="X124" s="291">
        <v>1.6992</v>
      </c>
      <c r="Z124" s="705">
        <v>41684</v>
      </c>
      <c r="AA124" s="707">
        <v>41684</v>
      </c>
      <c r="AB124" s="286"/>
      <c r="AC124" s="268">
        <v>0</v>
      </c>
      <c r="AD124" s="291"/>
      <c r="AE124" s="291"/>
      <c r="AF124" s="267">
        <v>0.68272704526209593</v>
      </c>
      <c r="AG124" s="291"/>
      <c r="AH124" s="291"/>
      <c r="AI124" s="161">
        <v>1.2617270452620954</v>
      </c>
      <c r="AJ124" s="291">
        <v>0.74015999999999993</v>
      </c>
      <c r="AK124" s="291">
        <f t="shared" si="303"/>
        <v>135.38291461880428</v>
      </c>
      <c r="AL124" s="161">
        <v>0.81532704526209576</v>
      </c>
      <c r="AM124" s="291">
        <v>1.6992</v>
      </c>
      <c r="AN124" s="291">
        <f t="shared" si="304"/>
        <v>41.595040557287007</v>
      </c>
      <c r="AO124" s="705">
        <v>41684</v>
      </c>
      <c r="AP124" s="463">
        <v>0</v>
      </c>
      <c r="AQ124" s="463">
        <v>0.48425361348318274</v>
      </c>
      <c r="AR124" s="463">
        <v>1.8291033643915409</v>
      </c>
      <c r="AS124" s="463">
        <v>0.24479190535126535</v>
      </c>
      <c r="AT124" s="463">
        <f t="shared" si="305"/>
        <v>0</v>
      </c>
      <c r="AU124" s="463">
        <f t="shared" si="306"/>
        <v>8.2076883641217409E-3</v>
      </c>
      <c r="AV124" s="463">
        <f t="shared" si="307"/>
        <v>9.145516821957704E-2</v>
      </c>
      <c r="AW124" s="463">
        <f t="shared" si="308"/>
        <v>1.2883784492171861E-2</v>
      </c>
      <c r="AY124" s="268">
        <v>0</v>
      </c>
      <c r="AZ124" s="267"/>
      <c r="BA124" s="161">
        <v>1.2617270452620954</v>
      </c>
      <c r="BB124" s="161">
        <v>0.81532704526209576</v>
      </c>
      <c r="BG124" s="134">
        <v>0</v>
      </c>
      <c r="BH124" s="134">
        <v>0</v>
      </c>
      <c r="BJ124" s="508">
        <v>0</v>
      </c>
      <c r="BK124" s="508">
        <v>0</v>
      </c>
      <c r="BL124" s="508">
        <v>13.098718156276622</v>
      </c>
      <c r="BM124" s="508">
        <v>9.0390873870461803</v>
      </c>
      <c r="BO124" s="705">
        <v>41684</v>
      </c>
      <c r="CH124" s="283"/>
      <c r="CI124" s="283"/>
      <c r="CJ124" s="283"/>
      <c r="CK124" s="283"/>
      <c r="CL124" s="283"/>
      <c r="CM124" s="283"/>
      <c r="CN124" s="283"/>
      <c r="CO124" s="283"/>
      <c r="CS124" s="705">
        <v>41684</v>
      </c>
      <c r="CV124" s="743">
        <v>0.40200000000000002</v>
      </c>
      <c r="CW124" s="714">
        <v>0.89400000000000002</v>
      </c>
      <c r="CY124" s="725"/>
      <c r="CZ124" s="725"/>
      <c r="DA124" s="736">
        <v>2.050031815627662E-2</v>
      </c>
      <c r="DB124" s="736">
        <v>2.6031087387046181E-2</v>
      </c>
      <c r="DC124" s="463"/>
      <c r="DD124" s="463"/>
      <c r="DE124" s="463">
        <f t="shared" si="383"/>
        <v>-1.9833746309908307</v>
      </c>
      <c r="DF124" s="463">
        <f t="shared" si="384"/>
        <v>-2.5833746309908534</v>
      </c>
      <c r="DG124" s="483"/>
      <c r="DH124" s="483"/>
      <c r="DI124" s="483">
        <f t="shared" si="262"/>
        <v>1.9833746309908307</v>
      </c>
      <c r="DJ124" s="483">
        <f t="shared" si="263"/>
        <v>2.5833746309908534</v>
      </c>
      <c r="DK124" s="483"/>
      <c r="DL124" s="483"/>
      <c r="DM124" s="483">
        <f t="shared" si="329"/>
        <v>5.2583440228087364E-2</v>
      </c>
      <c r="DN124" s="483">
        <f t="shared" si="330"/>
        <v>2.373942545956495E-2</v>
      </c>
      <c r="DO124" s="483"/>
      <c r="DP124" s="483">
        <f t="shared" si="316"/>
        <v>0</v>
      </c>
      <c r="DQ124" s="483">
        <f t="shared" si="317"/>
        <v>2.6073165339652791</v>
      </c>
      <c r="DR124" s="483">
        <f t="shared" si="318"/>
        <v>1.5331957371634619</v>
      </c>
      <c r="DS124" s="324"/>
      <c r="DT124" s="324"/>
      <c r="DU124" s="324">
        <v>0.74015999999999993</v>
      </c>
      <c r="DV124" s="324">
        <v>1.6992</v>
      </c>
      <c r="DW124" s="716"/>
      <c r="DX124" s="742">
        <f t="shared" si="382"/>
        <v>41684</v>
      </c>
      <c r="DY124" s="716"/>
      <c r="DZ124" s="324"/>
      <c r="EA124" s="324"/>
      <c r="EB124" s="269">
        <f t="shared" si="389"/>
        <v>1.2432146309908307</v>
      </c>
      <c r="EC124" s="716">
        <f t="shared" si="390"/>
        <v>0.88417463099085336</v>
      </c>
      <c r="ED124" s="716"/>
      <c r="EE124" s="324"/>
      <c r="EF124" s="324"/>
      <c r="EG124" s="269">
        <f t="shared" si="385"/>
        <v>1.2432146309908307</v>
      </c>
      <c r="EH124" s="269">
        <f t="shared" si="386"/>
        <v>0.88417463099085336</v>
      </c>
      <c r="EI124" s="716"/>
      <c r="EJ124" s="324"/>
      <c r="EK124" s="324"/>
      <c r="EL124" s="269">
        <f t="shared" si="391"/>
        <v>1.2432146309908307</v>
      </c>
      <c r="EM124" s="269">
        <f t="shared" si="392"/>
        <v>0.88417463099085336</v>
      </c>
      <c r="EN124" s="716"/>
      <c r="EO124" s="269">
        <v>0</v>
      </c>
      <c r="EP124" s="324"/>
      <c r="EQ124" s="269"/>
      <c r="ER124" s="269"/>
      <c r="ES124" s="716"/>
      <c r="ET124" s="269"/>
      <c r="EU124" s="324"/>
      <c r="EV124" s="269"/>
      <c r="EW124" s="269"/>
      <c r="EX124" s="716"/>
      <c r="EY124" s="742">
        <v>41684</v>
      </c>
      <c r="EZ124" s="716"/>
      <c r="FA124" s="763"/>
      <c r="FB124" s="763"/>
      <c r="FC124" s="759">
        <f t="shared" si="370"/>
        <v>0.74015999999999993</v>
      </c>
      <c r="FD124" s="759">
        <f t="shared" si="276"/>
        <v>1.6992</v>
      </c>
      <c r="FE124" s="760"/>
      <c r="FF124" s="782">
        <v>41684</v>
      </c>
      <c r="FG124" s="760"/>
      <c r="FH124" s="767"/>
      <c r="FI124" s="767"/>
      <c r="FJ124" s="858">
        <f t="shared" si="371"/>
        <v>135.38291461880428</v>
      </c>
      <c r="FK124" s="766">
        <f t="shared" si="372"/>
        <v>41.595040557287007</v>
      </c>
      <c r="FL124" s="760"/>
      <c r="FM124" s="763"/>
      <c r="FN124" s="763"/>
      <c r="FO124" s="859">
        <f t="shared" si="373"/>
        <v>135.38291461880428</v>
      </c>
      <c r="FP124" s="859">
        <f t="shared" si="374"/>
        <v>41.595040557287007</v>
      </c>
      <c r="FQ124" s="760"/>
      <c r="FR124" s="763"/>
      <c r="FS124" s="763"/>
      <c r="FT124" s="759">
        <f t="shared" si="375"/>
        <v>136.6261292497951</v>
      </c>
      <c r="FU124" s="759">
        <f t="shared" si="376"/>
        <v>42.479215188277863</v>
      </c>
      <c r="FV124" s="761"/>
      <c r="FW124" s="762">
        <v>41684</v>
      </c>
      <c r="FX124" s="761"/>
      <c r="FY124" s="763"/>
      <c r="FZ124" s="763"/>
      <c r="GA124" s="759">
        <f t="shared" si="377"/>
        <v>358287.83968016814</v>
      </c>
      <c r="GB124" s="759">
        <f t="shared" si="378"/>
        <v>379608.85598575516</v>
      </c>
      <c r="GC124" s="760"/>
      <c r="GD124" s="763"/>
      <c r="GE124" s="763"/>
      <c r="GF124" s="759">
        <f t="shared" si="286"/>
        <v>0.96193456012697265</v>
      </c>
      <c r="GG124" s="759">
        <f t="shared" si="287"/>
        <v>0.99073908215956119</v>
      </c>
      <c r="GH124" s="716"/>
      <c r="GI124" s="763"/>
      <c r="GJ124" s="763"/>
      <c r="GK124" s="759">
        <f t="shared" si="379"/>
        <v>0.96193456012697265</v>
      </c>
      <c r="GL124" s="759">
        <f t="shared" si="380"/>
        <v>0.99073908215956119</v>
      </c>
      <c r="GM124" s="716"/>
    </row>
    <row r="125" spans="1:195" s="134" customFormat="1">
      <c r="A125" s="705">
        <v>41685</v>
      </c>
      <c r="B125" s="277"/>
      <c r="C125" s="286"/>
      <c r="D125" s="277"/>
      <c r="E125" s="276"/>
      <c r="F125" s="276">
        <v>0.22320000000000001</v>
      </c>
      <c r="G125" s="134">
        <v>-0.3024</v>
      </c>
      <c r="I125" s="705">
        <v>41685</v>
      </c>
      <c r="J125" s="270"/>
      <c r="K125" s="270"/>
      <c r="L125" s="270">
        <f t="shared" si="366"/>
        <v>0.22320000000000001</v>
      </c>
      <c r="M125" s="270">
        <f t="shared" si="367"/>
        <v>-0.3024</v>
      </c>
      <c r="O125" s="705">
        <v>41685</v>
      </c>
      <c r="P125" s="270"/>
      <c r="Q125" s="270"/>
      <c r="R125" s="270">
        <f t="shared" si="368"/>
        <v>0.22320000000000001</v>
      </c>
      <c r="S125" s="270">
        <f t="shared" si="369"/>
        <v>-0.3024</v>
      </c>
      <c r="T125" s="705">
        <v>41685</v>
      </c>
      <c r="U125" s="291"/>
      <c r="V125" s="291"/>
      <c r="W125" s="291">
        <v>0.22320000000000001</v>
      </c>
      <c r="X125" s="291">
        <v>-0.3024</v>
      </c>
      <c r="Z125" s="705">
        <v>41685</v>
      </c>
      <c r="AA125" s="707">
        <v>41685</v>
      </c>
      <c r="AB125" s="286"/>
      <c r="AC125" s="268">
        <v>0</v>
      </c>
      <c r="AD125" s="291"/>
      <c r="AE125" s="291"/>
      <c r="AF125" s="267">
        <v>0.68089329895218653</v>
      </c>
      <c r="AG125" s="291"/>
      <c r="AH125" s="291"/>
      <c r="AI125" s="161">
        <v>1.2418932989521871</v>
      </c>
      <c r="AJ125" s="291">
        <v>0.22320000000000001</v>
      </c>
      <c r="AK125" s="291">
        <f t="shared" si="303"/>
        <v>39.52646775979607</v>
      </c>
      <c r="AL125" s="161">
        <v>0.78949329895218723</v>
      </c>
      <c r="AM125" s="291">
        <v>-0.3024</v>
      </c>
      <c r="AN125" s="291">
        <f t="shared" si="304"/>
        <v>-6.6404206366702958</v>
      </c>
      <c r="AO125" s="705">
        <v>41685</v>
      </c>
      <c r="AP125" s="463">
        <v>0</v>
      </c>
      <c r="AQ125" s="463">
        <v>0.48820255528081591</v>
      </c>
      <c r="AR125" s="463">
        <v>1.7708990931808275</v>
      </c>
      <c r="AS125" s="463">
        <v>0.21959062951952033</v>
      </c>
      <c r="AT125" s="463">
        <f t="shared" si="305"/>
        <v>0</v>
      </c>
      <c r="AU125" s="463">
        <f t="shared" si="306"/>
        <v>8.2746195810307777E-3</v>
      </c>
      <c r="AV125" s="463">
        <f t="shared" si="307"/>
        <v>8.8544954659041372E-2</v>
      </c>
      <c r="AW125" s="463">
        <f t="shared" si="308"/>
        <v>1.1557401553658964E-2</v>
      </c>
      <c r="AY125" s="268">
        <v>0</v>
      </c>
      <c r="AZ125" s="267"/>
      <c r="BA125" s="161">
        <v>1.2418932989521871</v>
      </c>
      <c r="BB125" s="161">
        <v>0.78949329895218723</v>
      </c>
      <c r="BG125" s="134">
        <v>0</v>
      </c>
      <c r="BH125" s="134">
        <v>0</v>
      </c>
      <c r="BJ125" s="508">
        <v>0</v>
      </c>
      <c r="BK125" s="508">
        <v>0</v>
      </c>
      <c r="BL125" s="508">
        <v>17.200570213952172</v>
      </c>
      <c r="BM125" s="508">
        <v>26.918108675490689</v>
      </c>
      <c r="BO125" s="705">
        <v>41685</v>
      </c>
      <c r="CH125" s="283"/>
      <c r="CI125" s="283"/>
      <c r="CJ125" s="283"/>
      <c r="CK125" s="283"/>
      <c r="CL125" s="283"/>
      <c r="CM125" s="283"/>
      <c r="CN125" s="283"/>
      <c r="CO125" s="283"/>
      <c r="CS125" s="705">
        <v>41685</v>
      </c>
      <c r="CV125" s="743">
        <v>0.06</v>
      </c>
      <c r="CW125" s="714">
        <v>0.18</v>
      </c>
      <c r="CY125" s="725"/>
      <c r="CZ125" s="725"/>
      <c r="DA125" s="736">
        <v>1.9432570213952172E-2</v>
      </c>
      <c r="DB125" s="736">
        <v>2.3894108675490688E-2</v>
      </c>
      <c r="DC125" s="463"/>
      <c r="DD125" s="463"/>
      <c r="DE125" s="463">
        <f t="shared" si="383"/>
        <v>-1.9514935796374644</v>
      </c>
      <c r="DF125" s="463">
        <f t="shared" si="384"/>
        <v>-2.4314935796375892</v>
      </c>
      <c r="DG125" s="483"/>
      <c r="DH125" s="483"/>
      <c r="DI125" s="483">
        <f t="shared" si="262"/>
        <v>1.9514935796374644</v>
      </c>
      <c r="DJ125" s="483">
        <f t="shared" si="263"/>
        <v>2.4314935796375892</v>
      </c>
      <c r="DK125" s="483"/>
      <c r="DL125" s="483"/>
      <c r="DM125" s="483">
        <f t="shared" si="329"/>
        <v>5.8204271210713365E-2</v>
      </c>
      <c r="DN125" s="483">
        <f t="shared" si="330"/>
        <v>2.5201275831745029E-2</v>
      </c>
      <c r="DO125" s="483"/>
      <c r="DP125" s="483">
        <f t="shared" si="316"/>
        <v>0</v>
      </c>
      <c r="DQ125" s="483">
        <f t="shared" si="317"/>
        <v>2.8396315393796208</v>
      </c>
      <c r="DR125" s="483">
        <f t="shared" si="318"/>
        <v>1.5319185095890995</v>
      </c>
      <c r="DS125" s="324"/>
      <c r="DT125" s="324"/>
      <c r="DU125" s="324">
        <v>0.22320000000000001</v>
      </c>
      <c r="DV125" s="324">
        <v>-0.3024</v>
      </c>
      <c r="DW125" s="716"/>
      <c r="DX125" s="742">
        <f t="shared" si="382"/>
        <v>41685</v>
      </c>
      <c r="DY125" s="716"/>
      <c r="DZ125" s="324"/>
      <c r="EA125" s="324"/>
      <c r="EB125" s="269">
        <f t="shared" si="389"/>
        <v>1.7282935796374643</v>
      </c>
      <c r="EC125" s="716">
        <f t="shared" si="390"/>
        <v>2.7338935796375892</v>
      </c>
      <c r="ED125" s="716"/>
      <c r="EE125" s="324"/>
      <c r="EF125" s="324"/>
      <c r="EG125" s="269">
        <f t="shared" si="385"/>
        <v>1.7282935796374643</v>
      </c>
      <c r="EH125" s="269">
        <f t="shared" si="386"/>
        <v>2.7338935796375892</v>
      </c>
      <c r="EI125" s="716"/>
      <c r="EJ125" s="324"/>
      <c r="EK125" s="324"/>
      <c r="EL125" s="269">
        <f t="shared" si="391"/>
        <v>1.7282935796374643</v>
      </c>
      <c r="EM125" s="269">
        <f t="shared" si="392"/>
        <v>2.7338935796375892</v>
      </c>
      <c r="EN125" s="716"/>
      <c r="EO125" s="269">
        <v>0</v>
      </c>
      <c r="EP125" s="324"/>
      <c r="EQ125" s="269"/>
      <c r="ER125" s="269"/>
      <c r="ES125" s="716"/>
      <c r="ET125" s="269"/>
      <c r="EU125" s="324"/>
      <c r="EV125" s="269"/>
      <c r="EW125" s="269"/>
      <c r="EX125" s="716"/>
      <c r="EY125" s="742">
        <v>41685</v>
      </c>
      <c r="EZ125" s="716"/>
      <c r="FA125" s="763"/>
      <c r="FB125" s="763"/>
      <c r="FC125" s="759">
        <f t="shared" si="370"/>
        <v>0.22320000000000007</v>
      </c>
      <c r="FD125" s="759">
        <f t="shared" si="276"/>
        <v>-0.3024</v>
      </c>
      <c r="FE125" s="760"/>
      <c r="FF125" s="782">
        <v>41685</v>
      </c>
      <c r="FG125" s="760"/>
      <c r="FH125" s="767"/>
      <c r="FI125" s="767"/>
      <c r="FJ125" s="858">
        <f t="shared" si="371"/>
        <v>39.526467759796077</v>
      </c>
      <c r="FK125" s="766">
        <f t="shared" si="372"/>
        <v>-6.6404206366702958</v>
      </c>
      <c r="FL125" s="760"/>
      <c r="FM125" s="763"/>
      <c r="FN125" s="763"/>
      <c r="FO125" s="859">
        <f t="shared" si="373"/>
        <v>39.526467759796077</v>
      </c>
      <c r="FP125" s="859">
        <f t="shared" si="374"/>
        <v>-6.6404206366702958</v>
      </c>
      <c r="FQ125" s="760"/>
      <c r="FR125" s="763"/>
      <c r="FS125" s="763"/>
      <c r="FT125" s="759">
        <f t="shared" si="375"/>
        <v>41.254761339433543</v>
      </c>
      <c r="FU125" s="759">
        <f t="shared" si="376"/>
        <v>-3.9065270570327066</v>
      </c>
      <c r="FV125" s="761"/>
      <c r="FW125" s="762">
        <v>41685</v>
      </c>
      <c r="FX125" s="761"/>
      <c r="FY125" s="763"/>
      <c r="FZ125" s="763"/>
      <c r="GA125" s="759">
        <f t="shared" si="377"/>
        <v>358329.09444150759</v>
      </c>
      <c r="GB125" s="759">
        <f t="shared" si="378"/>
        <v>379604.9494586981</v>
      </c>
      <c r="GC125" s="760"/>
      <c r="GD125" s="763"/>
      <c r="GE125" s="763"/>
      <c r="GF125" s="759">
        <f t="shared" si="286"/>
        <v>0.9620453212980401</v>
      </c>
      <c r="GG125" s="759">
        <f t="shared" si="287"/>
        <v>0.99072888653590829</v>
      </c>
      <c r="GH125" s="716"/>
      <c r="GI125" s="763"/>
      <c r="GJ125" s="763"/>
      <c r="GK125" s="759">
        <f t="shared" si="379"/>
        <v>0.9620453212980401</v>
      </c>
      <c r="GL125" s="759">
        <f t="shared" si="380"/>
        <v>0.99072888653590829</v>
      </c>
      <c r="GM125" s="716"/>
    </row>
    <row r="126" spans="1:195" s="134" customFormat="1">
      <c r="A126" s="705">
        <v>41686</v>
      </c>
      <c r="B126" s="277"/>
      <c r="C126" s="286"/>
      <c r="D126" s="277"/>
      <c r="E126" s="276"/>
      <c r="F126" s="276">
        <v>0.19583999999999999</v>
      </c>
      <c r="G126" s="134">
        <v>-0.26495999999999997</v>
      </c>
      <c r="I126" s="705">
        <v>41686</v>
      </c>
      <c r="J126" s="270"/>
      <c r="K126" s="270"/>
      <c r="L126" s="270">
        <f t="shared" si="366"/>
        <v>0.19583999999999999</v>
      </c>
      <c r="M126" s="270">
        <f t="shared" si="367"/>
        <v>-0.26495999999999997</v>
      </c>
      <c r="O126" s="705">
        <v>41686</v>
      </c>
      <c r="P126" s="270"/>
      <c r="Q126" s="270"/>
      <c r="R126" s="270">
        <f t="shared" si="368"/>
        <v>0.19583999999999999</v>
      </c>
      <c r="S126" s="270">
        <f t="shared" si="369"/>
        <v>-0.26495999999999997</v>
      </c>
      <c r="T126" s="705">
        <v>41686</v>
      </c>
      <c r="U126" s="291"/>
      <c r="V126" s="291"/>
      <c r="W126" s="291">
        <v>0.19583999999999999</v>
      </c>
      <c r="X126" s="291">
        <v>-0.26495999999999997</v>
      </c>
      <c r="Z126" s="705">
        <v>41686</v>
      </c>
      <c r="AA126" s="707">
        <v>41686</v>
      </c>
      <c r="AB126" s="286"/>
      <c r="AC126" s="268">
        <v>0</v>
      </c>
      <c r="AD126" s="291"/>
      <c r="AE126" s="291"/>
      <c r="AF126" s="267">
        <v>0.67807836315581205</v>
      </c>
      <c r="AG126" s="291"/>
      <c r="AH126" s="291"/>
      <c r="AI126" s="161">
        <v>1.2223783631558125</v>
      </c>
      <c r="AJ126" s="291">
        <v>0.19583999999999999</v>
      </c>
      <c r="AK126" s="291">
        <f t="shared" si="303"/>
        <v>33.71058567876517</v>
      </c>
      <c r="AL126" s="161">
        <v>0.76517836315581134</v>
      </c>
      <c r="AM126" s="291">
        <v>-0.26495999999999997</v>
      </c>
      <c r="AN126" s="291">
        <f t="shared" si="304"/>
        <v>-5.2471922964852808</v>
      </c>
      <c r="AO126" s="705">
        <v>41686</v>
      </c>
      <c r="AP126" s="463">
        <v>0</v>
      </c>
      <c r="AQ126" s="463">
        <v>0.48443106407991515</v>
      </c>
      <c r="AR126" s="463">
        <v>1.7213330105578621</v>
      </c>
      <c r="AS126" s="463">
        <v>0.19803714887097226</v>
      </c>
      <c r="AT126" s="463">
        <f t="shared" si="305"/>
        <v>0</v>
      </c>
      <c r="AU126" s="463">
        <f t="shared" si="306"/>
        <v>8.2106960013544946E-3</v>
      </c>
      <c r="AV126" s="463">
        <f t="shared" si="307"/>
        <v>8.6066650527893113E-2</v>
      </c>
      <c r="AW126" s="463">
        <f t="shared" si="308"/>
        <v>1.042300783531433E-2</v>
      </c>
      <c r="AY126" s="268">
        <v>0</v>
      </c>
      <c r="AZ126" s="267"/>
      <c r="BA126" s="161">
        <v>1.2223783631558125</v>
      </c>
      <c r="BB126" s="161">
        <v>0.76517836315581134</v>
      </c>
      <c r="BG126" s="134">
        <v>0</v>
      </c>
      <c r="BH126" s="134">
        <v>0</v>
      </c>
      <c r="BJ126" s="508">
        <v>0</v>
      </c>
      <c r="BK126" s="508">
        <v>0</v>
      </c>
      <c r="BL126" s="508">
        <v>18.625107621505514</v>
      </c>
      <c r="BM126" s="508">
        <v>26.856184544582465</v>
      </c>
      <c r="BO126" s="705">
        <v>41686</v>
      </c>
      <c r="CH126" s="283"/>
      <c r="CI126" s="283"/>
      <c r="CJ126" s="283"/>
      <c r="CK126" s="283"/>
      <c r="CL126" s="283"/>
      <c r="CM126" s="283"/>
      <c r="CN126" s="283"/>
      <c r="CO126" s="283"/>
      <c r="CS126" s="705">
        <v>41686</v>
      </c>
      <c r="CV126" s="743">
        <v>9.7000000000000003E-2</v>
      </c>
      <c r="CW126" s="714">
        <v>0.17399999999999999</v>
      </c>
      <c r="CY126" s="725"/>
      <c r="CZ126" s="725"/>
      <c r="DA126" s="736">
        <v>2.0583507621505515E-2</v>
      </c>
      <c r="DB126" s="736">
        <v>2.4206584544582466E-2</v>
      </c>
      <c r="DC126" s="463"/>
      <c r="DD126" s="463"/>
      <c r="DE126" s="463">
        <f t="shared" si="383"/>
        <v>-2.0588950669241157</v>
      </c>
      <c r="DF126" s="463">
        <f t="shared" si="384"/>
        <v>-2.4188950669241649</v>
      </c>
      <c r="DG126" s="483"/>
      <c r="DH126" s="483"/>
      <c r="DI126" s="483">
        <f t="shared" si="262"/>
        <v>2.0588950669241157</v>
      </c>
      <c r="DJ126" s="483">
        <f t="shared" si="263"/>
        <v>2.4188950669241649</v>
      </c>
      <c r="DK126" s="483"/>
      <c r="DL126" s="483"/>
      <c r="DM126" s="483">
        <f t="shared" si="329"/>
        <v>4.9566082622965357E-2</v>
      </c>
      <c r="DN126" s="483">
        <f t="shared" si="330"/>
        <v>2.1553480648548062E-2</v>
      </c>
      <c r="DO126" s="483"/>
      <c r="DP126" s="483">
        <f t="shared" si="316"/>
        <v>0</v>
      </c>
      <c r="DQ126" s="483">
        <f t="shared" si="317"/>
        <v>2.5512840749794128</v>
      </c>
      <c r="DR126" s="483">
        <f t="shared" si="318"/>
        <v>1.3033902003954589</v>
      </c>
      <c r="DS126" s="324"/>
      <c r="DT126" s="324"/>
      <c r="DU126" s="324">
        <v>0.19583999999999999</v>
      </c>
      <c r="DV126" s="324">
        <v>-0.26495999999999997</v>
      </c>
      <c r="DW126" s="716"/>
      <c r="DX126" s="742">
        <f t="shared" si="382"/>
        <v>41686</v>
      </c>
      <c r="DY126" s="716"/>
      <c r="DZ126" s="324"/>
      <c r="EA126" s="324"/>
      <c r="EB126" s="269">
        <f t="shared" si="389"/>
        <v>1.8630550669241157</v>
      </c>
      <c r="EC126" s="716">
        <f t="shared" si="390"/>
        <v>2.6838550669241648</v>
      </c>
      <c r="ED126" s="716"/>
      <c r="EE126" s="324"/>
      <c r="EF126" s="324"/>
      <c r="EG126" s="269">
        <f t="shared" si="385"/>
        <v>1.8630550669241157</v>
      </c>
      <c r="EH126" s="269">
        <f t="shared" si="386"/>
        <v>2.6838550669241648</v>
      </c>
      <c r="EI126" s="716"/>
      <c r="EJ126" s="324"/>
      <c r="EK126" s="324"/>
      <c r="EL126" s="269">
        <f t="shared" si="391"/>
        <v>1.8630550669241157</v>
      </c>
      <c r="EM126" s="269">
        <f t="shared" si="392"/>
        <v>2.6838550669241648</v>
      </c>
      <c r="EN126" s="716"/>
      <c r="EO126" s="269">
        <v>0</v>
      </c>
      <c r="EP126" s="324"/>
      <c r="EQ126" s="269"/>
      <c r="ER126" s="269"/>
      <c r="ES126" s="716"/>
      <c r="ET126" s="269"/>
      <c r="EU126" s="324"/>
      <c r="EV126" s="269"/>
      <c r="EW126" s="269"/>
      <c r="EX126" s="716"/>
      <c r="EY126" s="742">
        <v>41686</v>
      </c>
      <c r="EZ126" s="716"/>
      <c r="FA126" s="763"/>
      <c r="FB126" s="763"/>
      <c r="FC126" s="759">
        <f t="shared" si="370"/>
        <v>0.19584000000000001</v>
      </c>
      <c r="FD126" s="759">
        <f t="shared" si="276"/>
        <v>-0.26495999999999986</v>
      </c>
      <c r="FE126" s="760"/>
      <c r="FF126" s="782">
        <v>41686</v>
      </c>
      <c r="FG126" s="760"/>
      <c r="FH126" s="767"/>
      <c r="FI126" s="767"/>
      <c r="FJ126" s="858">
        <f t="shared" si="371"/>
        <v>33.710585678765177</v>
      </c>
      <c r="FK126" s="766">
        <f t="shared" si="372"/>
        <v>-5.2471922964852782</v>
      </c>
      <c r="FL126" s="760"/>
      <c r="FM126" s="763"/>
      <c r="FN126" s="763"/>
      <c r="FO126" s="859">
        <f t="shared" si="373"/>
        <v>33.710585678765177</v>
      </c>
      <c r="FP126" s="859">
        <f t="shared" si="374"/>
        <v>-5.2471922964852782</v>
      </c>
      <c r="FQ126" s="760"/>
      <c r="FR126" s="763"/>
      <c r="FS126" s="763"/>
      <c r="FT126" s="759">
        <f t="shared" si="375"/>
        <v>35.573640745689296</v>
      </c>
      <c r="FU126" s="759">
        <f t="shared" si="376"/>
        <v>-2.5633372295611134</v>
      </c>
      <c r="FV126" s="761"/>
      <c r="FW126" s="762">
        <v>41686</v>
      </c>
      <c r="FX126" s="761"/>
      <c r="FY126" s="763"/>
      <c r="FZ126" s="763"/>
      <c r="GA126" s="759">
        <f t="shared" si="377"/>
        <v>358364.66808225331</v>
      </c>
      <c r="GB126" s="759">
        <f t="shared" si="378"/>
        <v>379602.38612146856</v>
      </c>
      <c r="GC126" s="760"/>
      <c r="GD126" s="763"/>
      <c r="GE126" s="763"/>
      <c r="GF126" s="759">
        <f t="shared" si="286"/>
        <v>0.96214082974313109</v>
      </c>
      <c r="GG126" s="759">
        <f t="shared" si="287"/>
        <v>0.99072219649605797</v>
      </c>
      <c r="GH126" s="716"/>
      <c r="GI126" s="763"/>
      <c r="GJ126" s="763"/>
      <c r="GK126" s="759">
        <f t="shared" si="379"/>
        <v>0.96214082974313109</v>
      </c>
      <c r="GL126" s="759">
        <f t="shared" si="380"/>
        <v>0.99072219649605797</v>
      </c>
      <c r="GM126" s="716"/>
    </row>
    <row r="127" spans="1:195" s="134" customFormat="1">
      <c r="A127" s="705">
        <v>41687</v>
      </c>
      <c r="B127" s="277"/>
      <c r="C127" s="286"/>
      <c r="D127" s="277"/>
      <c r="E127" s="276"/>
      <c r="F127" s="276">
        <v>0.52127999999999997</v>
      </c>
      <c r="G127" s="134">
        <v>0.71711999999999998</v>
      </c>
      <c r="I127" s="705">
        <v>41687</v>
      </c>
      <c r="J127" s="270"/>
      <c r="K127" s="270"/>
      <c r="L127" s="270">
        <f t="shared" si="366"/>
        <v>0.52127999999999997</v>
      </c>
      <c r="M127" s="270">
        <f t="shared" si="367"/>
        <v>0.71711999999999998</v>
      </c>
      <c r="O127" s="705">
        <v>41687</v>
      </c>
      <c r="P127" s="270"/>
      <c r="Q127" s="270"/>
      <c r="R127" s="270">
        <f t="shared" si="368"/>
        <v>0.52127999999999997</v>
      </c>
      <c r="S127" s="270">
        <f t="shared" si="369"/>
        <v>0.71711999999999998</v>
      </c>
      <c r="T127" s="705">
        <v>41687</v>
      </c>
      <c r="U127" s="291"/>
      <c r="V127" s="291"/>
      <c r="W127" s="291">
        <v>0.52127999999999997</v>
      </c>
      <c r="X127" s="291">
        <v>0.71711999999999998</v>
      </c>
      <c r="Z127" s="705">
        <v>41687</v>
      </c>
      <c r="AA127" s="707">
        <v>41687</v>
      </c>
      <c r="AB127" s="286"/>
      <c r="AC127" s="268">
        <v>0</v>
      </c>
      <c r="AD127" s="291"/>
      <c r="AE127" s="291"/>
      <c r="AF127" s="267">
        <v>0.67648941248657102</v>
      </c>
      <c r="AG127" s="291"/>
      <c r="AH127" s="291"/>
      <c r="AI127" s="161">
        <v>1.2017894124865713</v>
      </c>
      <c r="AJ127" s="291">
        <v>0.52127999999999997</v>
      </c>
      <c r="AK127" s="291">
        <f t="shared" si="303"/>
        <v>87.219083594331593</v>
      </c>
      <c r="AL127" s="161">
        <v>0.74098941248656969</v>
      </c>
      <c r="AM127" s="291">
        <v>0.71711999999999998</v>
      </c>
      <c r="AN127" s="291">
        <f t="shared" si="304"/>
        <v>12.845387433044127</v>
      </c>
      <c r="AO127" s="705">
        <v>41687</v>
      </c>
      <c r="AP127" s="463">
        <v>0</v>
      </c>
      <c r="AQ127" s="463">
        <v>0.47867866147819566</v>
      </c>
      <c r="AR127" s="463">
        <v>1.6731714931386508</v>
      </c>
      <c r="AS127" s="463">
        <v>0.17912465742196743</v>
      </c>
      <c r="AT127" s="463">
        <f t="shared" si="305"/>
        <v>0</v>
      </c>
      <c r="AU127" s="463">
        <f t="shared" si="306"/>
        <v>8.1131976521728079E-3</v>
      </c>
      <c r="AV127" s="463">
        <f t="shared" si="307"/>
        <v>8.3658574656932536E-2</v>
      </c>
      <c r="AW127" s="463">
        <f t="shared" si="308"/>
        <v>9.4276135485246021E-3</v>
      </c>
      <c r="AY127" s="268">
        <v>0</v>
      </c>
      <c r="AZ127" s="267"/>
      <c r="BA127" s="161">
        <v>1.2017894124865713</v>
      </c>
      <c r="BB127" s="161">
        <v>0.74098941248656969</v>
      </c>
      <c r="BG127" s="134">
        <v>0</v>
      </c>
      <c r="BH127" s="134">
        <v>0</v>
      </c>
      <c r="BJ127" s="508">
        <v>0</v>
      </c>
      <c r="BK127" s="508">
        <v>0</v>
      </c>
      <c r="BL127" s="508">
        <v>16.272419124615318</v>
      </c>
      <c r="BM127" s="508">
        <v>18.614019124615066</v>
      </c>
      <c r="BO127" s="705">
        <v>41687</v>
      </c>
      <c r="CH127" s="283"/>
      <c r="CI127" s="283"/>
      <c r="CJ127" s="283"/>
      <c r="CK127" s="283"/>
      <c r="CL127" s="283"/>
      <c r="CM127" s="283"/>
      <c r="CN127" s="283"/>
      <c r="CO127" s="283"/>
      <c r="CS127" s="705">
        <v>41687</v>
      </c>
      <c r="CV127" s="743">
        <v>0.33</v>
      </c>
      <c r="CW127" s="714">
        <v>0.70099999999999996</v>
      </c>
      <c r="CY127" s="725"/>
      <c r="CZ127" s="725"/>
      <c r="DA127" s="736">
        <v>2.1485219124615318E-2</v>
      </c>
      <c r="DB127" s="736">
        <v>2.5785219124615066E-2</v>
      </c>
      <c r="DC127" s="463"/>
      <c r="DD127" s="463"/>
      <c r="DE127" s="463">
        <f t="shared" si="383"/>
        <v>-2.1759908162563235</v>
      </c>
      <c r="DF127" s="463">
        <f t="shared" si="384"/>
        <v>-2.5459908162561717</v>
      </c>
      <c r="DG127" s="483"/>
      <c r="DH127" s="483"/>
      <c r="DI127" s="483">
        <f t="shared" si="262"/>
        <v>2.1759908162563235</v>
      </c>
      <c r="DJ127" s="483">
        <f t="shared" si="263"/>
        <v>2.5459908162561717</v>
      </c>
      <c r="DK127" s="483"/>
      <c r="DL127" s="483"/>
      <c r="DM127" s="483">
        <f t="shared" si="329"/>
        <v>4.8161517419211375E-2</v>
      </c>
      <c r="DN127" s="483">
        <f t="shared" si="330"/>
        <v>1.8912491449004837E-2</v>
      </c>
      <c r="DO127" s="483"/>
      <c r="DP127" s="483">
        <f t="shared" si="316"/>
        <v>0</v>
      </c>
      <c r="DQ127" s="483">
        <f t="shared" si="317"/>
        <v>2.6199754900293226</v>
      </c>
      <c r="DR127" s="483">
        <f t="shared" si="318"/>
        <v>1.2037757385422423</v>
      </c>
      <c r="DS127" s="324"/>
      <c r="DT127" s="324"/>
      <c r="DU127" s="324">
        <v>0.52127999999999997</v>
      </c>
      <c r="DV127" s="324">
        <v>0.71711999999999998</v>
      </c>
      <c r="DW127" s="716"/>
      <c r="DX127" s="742">
        <f t="shared" si="382"/>
        <v>41687</v>
      </c>
      <c r="DY127" s="716"/>
      <c r="DZ127" s="324"/>
      <c r="EA127" s="324"/>
      <c r="EB127" s="269">
        <f t="shared" si="389"/>
        <v>1.6547108162563235</v>
      </c>
      <c r="EC127" s="716">
        <f t="shared" si="390"/>
        <v>1.8288708162561718</v>
      </c>
      <c r="ED127" s="716"/>
      <c r="EE127" s="324"/>
      <c r="EF127" s="324"/>
      <c r="EG127" s="269">
        <f t="shared" si="385"/>
        <v>1.6547108162563235</v>
      </c>
      <c r="EH127" s="269">
        <f t="shared" si="386"/>
        <v>1.8288708162561718</v>
      </c>
      <c r="EI127" s="716"/>
      <c r="EJ127" s="324"/>
      <c r="EK127" s="324"/>
      <c r="EL127" s="269">
        <f t="shared" si="391"/>
        <v>1.6547108162563235</v>
      </c>
      <c r="EM127" s="269">
        <f t="shared" si="392"/>
        <v>1.8288708162561718</v>
      </c>
      <c r="EN127" s="716"/>
      <c r="EO127" s="269">
        <v>0</v>
      </c>
      <c r="EP127" s="324"/>
      <c r="EQ127" s="269"/>
      <c r="ER127" s="269"/>
      <c r="ES127" s="716"/>
      <c r="ET127" s="269"/>
      <c r="EU127" s="324"/>
      <c r="EV127" s="269"/>
      <c r="EW127" s="269"/>
      <c r="EX127" s="716"/>
      <c r="EY127" s="742">
        <v>41687</v>
      </c>
      <c r="EZ127" s="716"/>
      <c r="FA127" s="763"/>
      <c r="FB127" s="763"/>
      <c r="FC127" s="759">
        <f t="shared" si="370"/>
        <v>0.52127999999999997</v>
      </c>
      <c r="FD127" s="759">
        <f t="shared" si="276"/>
        <v>0.71711999999999998</v>
      </c>
      <c r="FE127" s="760"/>
      <c r="FF127" s="782">
        <v>41687</v>
      </c>
      <c r="FG127" s="760"/>
      <c r="FH127" s="767"/>
      <c r="FI127" s="767"/>
      <c r="FJ127" s="858">
        <f t="shared" si="371"/>
        <v>87.219083594331593</v>
      </c>
      <c r="FK127" s="766">
        <f t="shared" si="372"/>
        <v>12.845387433044127</v>
      </c>
      <c r="FL127" s="760"/>
      <c r="FM127" s="763"/>
      <c r="FN127" s="763"/>
      <c r="FO127" s="859">
        <f t="shared" si="373"/>
        <v>87.219083594331593</v>
      </c>
      <c r="FP127" s="859">
        <f t="shared" si="374"/>
        <v>12.845387433044127</v>
      </c>
      <c r="FQ127" s="760"/>
      <c r="FR127" s="763"/>
      <c r="FS127" s="763"/>
      <c r="FT127" s="759">
        <f t="shared" si="375"/>
        <v>88.873794410587919</v>
      </c>
      <c r="FU127" s="759">
        <f t="shared" si="376"/>
        <v>14.6742582493003</v>
      </c>
      <c r="FV127" s="761"/>
      <c r="FW127" s="762">
        <v>41687</v>
      </c>
      <c r="FX127" s="761"/>
      <c r="FY127" s="763"/>
      <c r="FZ127" s="763"/>
      <c r="GA127" s="759">
        <f t="shared" si="377"/>
        <v>358453.54187666392</v>
      </c>
      <c r="GB127" s="759">
        <f t="shared" si="378"/>
        <v>379617.06037971785</v>
      </c>
      <c r="GC127" s="760"/>
      <c r="GD127" s="763"/>
      <c r="GE127" s="763"/>
      <c r="GF127" s="759">
        <f t="shared" si="286"/>
        <v>0.96237943894183986</v>
      </c>
      <c r="GG127" s="759">
        <f t="shared" si="287"/>
        <v>0.99076049476260275</v>
      </c>
      <c r="GH127" s="716"/>
      <c r="GI127" s="763"/>
      <c r="GJ127" s="763"/>
      <c r="GK127" s="759">
        <f t="shared" si="379"/>
        <v>0.96237943894183986</v>
      </c>
      <c r="GL127" s="759">
        <f t="shared" si="380"/>
        <v>0.99076049476260275</v>
      </c>
      <c r="GM127" s="716"/>
    </row>
    <row r="128" spans="1:195" s="134" customFormat="1">
      <c r="A128" s="705">
        <v>41688</v>
      </c>
      <c r="B128" s="277"/>
      <c r="C128" s="286"/>
      <c r="D128" s="277"/>
      <c r="E128" s="276"/>
      <c r="F128" s="276">
        <v>7.6607999999999997E-3</v>
      </c>
      <c r="G128" s="134">
        <v>0.28223999999999999</v>
      </c>
      <c r="I128" s="705">
        <v>41688</v>
      </c>
      <c r="J128" s="270"/>
      <c r="K128" s="270"/>
      <c r="L128" s="270">
        <f t="shared" si="366"/>
        <v>7.6607999999999997E-3</v>
      </c>
      <c r="M128" s="270">
        <f t="shared" si="367"/>
        <v>0.28223999999999999</v>
      </c>
      <c r="O128" s="705">
        <v>41688</v>
      </c>
      <c r="P128" s="270"/>
      <c r="Q128" s="270"/>
      <c r="R128" s="270">
        <f t="shared" si="368"/>
        <v>7.6607999999999997E-3</v>
      </c>
      <c r="S128" s="270">
        <f t="shared" si="369"/>
        <v>0.28223999999999999</v>
      </c>
      <c r="T128" s="705">
        <v>41688</v>
      </c>
      <c r="U128" s="291"/>
      <c r="V128" s="291"/>
      <c r="W128" s="291">
        <v>7.6607999999999997E-3</v>
      </c>
      <c r="X128" s="291">
        <v>0.28223999999999999</v>
      </c>
      <c r="Z128" s="705">
        <v>41688</v>
      </c>
      <c r="AA128" s="707">
        <v>41688</v>
      </c>
      <c r="AB128" s="286"/>
      <c r="AC128" s="268">
        <v>0</v>
      </c>
      <c r="AD128" s="291"/>
      <c r="AE128" s="291"/>
      <c r="AF128" s="267">
        <v>0.67692950432400756</v>
      </c>
      <c r="AG128" s="291"/>
      <c r="AH128" s="291"/>
      <c r="AI128" s="161">
        <v>1.1800295043240081</v>
      </c>
      <c r="AJ128" s="291">
        <v>7.6607999999999997E-3</v>
      </c>
      <c r="AK128" s="291">
        <f t="shared" si="303"/>
        <v>1.2433594736761813</v>
      </c>
      <c r="AL128" s="161">
        <v>0.71552950432400797</v>
      </c>
      <c r="AM128" s="291">
        <v>0.28223999999999999</v>
      </c>
      <c r="AN128" s="291">
        <f t="shared" si="304"/>
        <v>4.5604929600245248</v>
      </c>
      <c r="AO128" s="705">
        <v>41688</v>
      </c>
      <c r="AP128" s="463">
        <v>0</v>
      </c>
      <c r="AQ128" s="463">
        <v>0.47545138816282678</v>
      </c>
      <c r="AR128" s="463">
        <v>1.6230151859808133</v>
      </c>
      <c r="AS128" s="463">
        <v>0.16158209183760364</v>
      </c>
      <c r="AT128" s="463">
        <f t="shared" si="305"/>
        <v>0</v>
      </c>
      <c r="AU128" s="463">
        <f t="shared" si="306"/>
        <v>8.0584981044546904E-3</v>
      </c>
      <c r="AV128" s="463">
        <f t="shared" si="307"/>
        <v>8.115075929904067E-2</v>
      </c>
      <c r="AW128" s="463">
        <f t="shared" si="308"/>
        <v>8.5043206230317695E-3</v>
      </c>
      <c r="AY128" s="268">
        <v>0</v>
      </c>
      <c r="AZ128" s="267"/>
      <c r="BA128" s="161">
        <v>1.1800295043240081</v>
      </c>
      <c r="BB128" s="161">
        <v>0.71552950432400797</v>
      </c>
      <c r="BG128" s="134">
        <v>0</v>
      </c>
      <c r="BH128" s="134">
        <v>0</v>
      </c>
      <c r="BJ128" s="508">
        <v>0</v>
      </c>
      <c r="BK128" s="508">
        <v>0</v>
      </c>
      <c r="BL128" s="508">
        <v>14.367954303434827</v>
      </c>
      <c r="BM128" s="508">
        <v>15.87600845728077</v>
      </c>
      <c r="BO128" s="705">
        <v>41688</v>
      </c>
      <c r="CH128" s="283"/>
      <c r="CI128" s="283"/>
      <c r="CJ128" s="283"/>
      <c r="CK128" s="283"/>
      <c r="CL128" s="283"/>
      <c r="CM128" s="283"/>
      <c r="CN128" s="283"/>
      <c r="CO128" s="283"/>
      <c r="CS128" s="705">
        <v>41688</v>
      </c>
      <c r="CV128" s="743">
        <v>0</v>
      </c>
      <c r="CW128" s="714">
        <v>0.219</v>
      </c>
      <c r="CY128" s="725"/>
      <c r="CZ128" s="725"/>
      <c r="DA128" s="736">
        <v>1.4444562303434827E-2</v>
      </c>
      <c r="DB128" s="736">
        <v>1.8698408457280769E-2</v>
      </c>
      <c r="DC128" s="463"/>
      <c r="DD128" s="463"/>
      <c r="DE128" s="463">
        <f t="shared" si="383"/>
        <v>-1.4185068903008968</v>
      </c>
      <c r="DF128" s="463">
        <f t="shared" si="384"/>
        <v>-1.8785068903008906</v>
      </c>
      <c r="DG128" s="483"/>
      <c r="DH128" s="483"/>
      <c r="DI128" s="483">
        <f t="shared" si="262"/>
        <v>1.4185068903008968</v>
      </c>
      <c r="DJ128" s="483">
        <f t="shared" si="263"/>
        <v>1.8785068903008906</v>
      </c>
      <c r="DK128" s="483"/>
      <c r="DL128" s="483"/>
      <c r="DM128" s="483">
        <f t="shared" si="329"/>
        <v>5.0156307157837476E-2</v>
      </c>
      <c r="DN128" s="483">
        <f t="shared" si="330"/>
        <v>1.754256558436379E-2</v>
      </c>
      <c r="DO128" s="483"/>
      <c r="DP128" s="483">
        <f t="shared" si="316"/>
        <v>0</v>
      </c>
      <c r="DQ128" s="483">
        <f t="shared" si="317"/>
        <v>1.7786766823860163</v>
      </c>
      <c r="DR128" s="483">
        <f t="shared" si="318"/>
        <v>0.82384575809456606</v>
      </c>
      <c r="DS128" s="324"/>
      <c r="DT128" s="324"/>
      <c r="DU128" s="324">
        <v>7.6607999999999997E-3</v>
      </c>
      <c r="DV128" s="324">
        <v>0.28223999999999999</v>
      </c>
      <c r="DW128" s="716"/>
      <c r="DX128" s="742">
        <f t="shared" si="382"/>
        <v>41688</v>
      </c>
      <c r="DY128" s="716"/>
      <c r="DZ128" s="324"/>
      <c r="EA128" s="324"/>
      <c r="EB128" s="269">
        <f t="shared" si="389"/>
        <v>1.4108460903008968</v>
      </c>
      <c r="EC128" s="716">
        <f t="shared" si="390"/>
        <v>1.5962668903008905</v>
      </c>
      <c r="ED128" s="716"/>
      <c r="EE128" s="324"/>
      <c r="EF128" s="324"/>
      <c r="EG128" s="269">
        <f t="shared" si="385"/>
        <v>1.4108460903008968</v>
      </c>
      <c r="EH128" s="269">
        <f t="shared" si="386"/>
        <v>1.5962668903008905</v>
      </c>
      <c r="EI128" s="716"/>
      <c r="EJ128" s="324"/>
      <c r="EK128" s="324"/>
      <c r="EL128" s="269">
        <f t="shared" si="391"/>
        <v>1.4108460903008968</v>
      </c>
      <c r="EM128" s="269">
        <f t="shared" si="392"/>
        <v>1.5962668903008905</v>
      </c>
      <c r="EN128" s="716"/>
      <c r="EO128" s="269">
        <v>0</v>
      </c>
      <c r="EP128" s="324"/>
      <c r="EQ128" s="269"/>
      <c r="ER128" s="269"/>
      <c r="ES128" s="716"/>
      <c r="ET128" s="269"/>
      <c r="EU128" s="324"/>
      <c r="EV128" s="269"/>
      <c r="EW128" s="269"/>
      <c r="EX128" s="716"/>
      <c r="EY128" s="742">
        <v>41688</v>
      </c>
      <c r="EZ128" s="716"/>
      <c r="FA128" s="763"/>
      <c r="FB128" s="763"/>
      <c r="FC128" s="759">
        <f t="shared" si="370"/>
        <v>7.6608000000000231E-3</v>
      </c>
      <c r="FD128" s="759">
        <f t="shared" si="276"/>
        <v>0.28224000000000005</v>
      </c>
      <c r="FE128" s="760"/>
      <c r="FF128" s="782">
        <v>41688</v>
      </c>
      <c r="FG128" s="760"/>
      <c r="FH128" s="767"/>
      <c r="FI128" s="767"/>
      <c r="FJ128" s="858">
        <f t="shared" si="371"/>
        <v>1.243359473676185</v>
      </c>
      <c r="FK128" s="766">
        <f t="shared" si="372"/>
        <v>4.5604929600245256</v>
      </c>
      <c r="FL128" s="760"/>
      <c r="FM128" s="763"/>
      <c r="FN128" s="763"/>
      <c r="FO128" s="859">
        <f t="shared" si="373"/>
        <v>1.243359473676185</v>
      </c>
      <c r="FP128" s="859">
        <f t="shared" si="374"/>
        <v>4.5604929600245256</v>
      </c>
      <c r="FQ128" s="760"/>
      <c r="FR128" s="763"/>
      <c r="FS128" s="763"/>
      <c r="FT128" s="759">
        <f t="shared" si="375"/>
        <v>2.6542055639770821</v>
      </c>
      <c r="FU128" s="759">
        <f t="shared" si="376"/>
        <v>6.1567598503254164</v>
      </c>
      <c r="FV128" s="761"/>
      <c r="FW128" s="762">
        <v>41688</v>
      </c>
      <c r="FX128" s="761"/>
      <c r="FY128" s="763"/>
      <c r="FZ128" s="763"/>
      <c r="GA128" s="759">
        <f t="shared" si="377"/>
        <v>358456.19608222792</v>
      </c>
      <c r="GB128" s="759">
        <f t="shared" si="378"/>
        <v>379623.21713956818</v>
      </c>
      <c r="GC128" s="760"/>
      <c r="GD128" s="763"/>
      <c r="GE128" s="763"/>
      <c r="GF128" s="759">
        <f t="shared" si="286"/>
        <v>0.96238656497788944</v>
      </c>
      <c r="GG128" s="759">
        <f t="shared" si="287"/>
        <v>0.99077656325654595</v>
      </c>
      <c r="GH128" s="716"/>
      <c r="GI128" s="763"/>
      <c r="GJ128" s="763"/>
      <c r="GK128" s="759">
        <f t="shared" si="379"/>
        <v>0.96238656497788944</v>
      </c>
      <c r="GL128" s="759">
        <f t="shared" si="380"/>
        <v>0.99077656325654595</v>
      </c>
      <c r="GM128" s="716"/>
    </row>
    <row r="129" spans="1:195" s="134" customFormat="1">
      <c r="A129" s="705">
        <v>41689</v>
      </c>
      <c r="B129" s="277"/>
      <c r="C129" s="286"/>
      <c r="D129" s="277"/>
      <c r="E129" s="276"/>
      <c r="F129" s="276">
        <v>-0.13852800000000001</v>
      </c>
      <c r="G129" s="134">
        <v>-1.1664000000000001</v>
      </c>
      <c r="I129" s="705">
        <v>41689</v>
      </c>
      <c r="J129" s="270"/>
      <c r="K129" s="270"/>
      <c r="L129" s="270">
        <f t="shared" si="366"/>
        <v>-0.13852800000000001</v>
      </c>
      <c r="M129" s="270">
        <f t="shared" si="367"/>
        <v>-1.1664000000000001</v>
      </c>
      <c r="O129" s="705">
        <v>41689</v>
      </c>
      <c r="P129" s="270"/>
      <c r="Q129" s="270"/>
      <c r="R129" s="270">
        <f t="shared" si="368"/>
        <v>-0.13852800000000001</v>
      </c>
      <c r="S129" s="270">
        <f t="shared" si="369"/>
        <v>-1.1664000000000001</v>
      </c>
      <c r="T129" s="705">
        <v>41689</v>
      </c>
      <c r="U129" s="291"/>
      <c r="V129" s="291"/>
      <c r="W129" s="291">
        <v>-0.13852800000000001</v>
      </c>
      <c r="X129" s="291">
        <v>-1.1664000000000001</v>
      </c>
      <c r="Z129" s="705">
        <v>41689</v>
      </c>
      <c r="AA129" s="707">
        <v>41689</v>
      </c>
      <c r="AB129" s="286"/>
      <c r="AC129" s="268">
        <v>0</v>
      </c>
      <c r="AD129" s="291"/>
      <c r="AE129" s="291"/>
      <c r="AF129" s="267">
        <v>0.67544443542099919</v>
      </c>
      <c r="AG129" s="291"/>
      <c r="AH129" s="291"/>
      <c r="AI129" s="161">
        <v>1.1658444354209991</v>
      </c>
      <c r="AJ129" s="291">
        <v>-0.13852800000000001</v>
      </c>
      <c r="AK129" s="291">
        <f t="shared" si="303"/>
        <v>-21.75915864848708</v>
      </c>
      <c r="AL129" s="161">
        <v>0.69674443542099906</v>
      </c>
      <c r="AM129" s="291">
        <v>-1.1664000000000001</v>
      </c>
      <c r="AN129" s="291">
        <f t="shared" si="304"/>
        <v>-16.846895825365682</v>
      </c>
      <c r="AO129" s="705">
        <v>41689</v>
      </c>
      <c r="AP129" s="463">
        <v>0</v>
      </c>
      <c r="AQ129" s="463">
        <v>0.47634381871213016</v>
      </c>
      <c r="AR129" s="463">
        <v>1.5707408356784966</v>
      </c>
      <c r="AS129" s="463">
        <v>0.14443497792666052</v>
      </c>
      <c r="AT129" s="463">
        <f t="shared" si="305"/>
        <v>0</v>
      </c>
      <c r="AU129" s="463">
        <f t="shared" si="306"/>
        <v>8.073624045968307E-3</v>
      </c>
      <c r="AV129" s="463">
        <f t="shared" si="307"/>
        <v>7.853704178392483E-2</v>
      </c>
      <c r="AW129" s="463">
        <f t="shared" si="308"/>
        <v>7.6018409435084479E-3</v>
      </c>
      <c r="AY129" s="268">
        <v>0</v>
      </c>
      <c r="AZ129" s="267"/>
      <c r="BA129" s="161">
        <v>1.1658444354209991</v>
      </c>
      <c r="BB129" s="161">
        <v>0.69674443542099906</v>
      </c>
      <c r="BG129" s="134">
        <v>0</v>
      </c>
      <c r="BH129" s="134">
        <v>0</v>
      </c>
      <c r="BJ129" s="508">
        <v>0</v>
      </c>
      <c r="BK129" s="508">
        <v>0</v>
      </c>
      <c r="BL129" s="508">
        <v>23.687630165354314</v>
      </c>
      <c r="BM129" s="508">
        <v>36.174042473046995</v>
      </c>
      <c r="BO129" s="705">
        <v>41689</v>
      </c>
      <c r="CH129" s="283"/>
      <c r="CI129" s="283"/>
      <c r="CJ129" s="283"/>
      <c r="CK129" s="283"/>
      <c r="CL129" s="283"/>
      <c r="CM129" s="283"/>
      <c r="CN129" s="283"/>
      <c r="CO129" s="283"/>
      <c r="CS129" s="705">
        <v>41689</v>
      </c>
      <c r="CV129" s="743">
        <v>6.2E-2</v>
      </c>
      <c r="CW129" s="714">
        <v>0.86399999999999999</v>
      </c>
      <c r="CY129" s="725"/>
      <c r="CZ129" s="725"/>
      <c r="DA129" s="736">
        <v>2.2302350165354312E-2</v>
      </c>
      <c r="DB129" s="736">
        <v>2.4510042473047E-2</v>
      </c>
      <c r="DC129" s="463"/>
      <c r="DD129" s="463"/>
      <c r="DE129" s="463">
        <f t="shared" si="383"/>
        <v>-2.2041724162969345</v>
      </c>
      <c r="DF129" s="463">
        <f t="shared" si="384"/>
        <v>-2.4641724162968615</v>
      </c>
      <c r="DG129" s="483"/>
      <c r="DH129" s="483"/>
      <c r="DI129" s="483">
        <f t="shared" si="262"/>
        <v>2.2041724162969345</v>
      </c>
      <c r="DJ129" s="483">
        <f t="shared" si="263"/>
        <v>2.4641724162968615</v>
      </c>
      <c r="DK129" s="483"/>
      <c r="DL129" s="483"/>
      <c r="DM129" s="483">
        <f t="shared" si="329"/>
        <v>5.2274350302316641E-2</v>
      </c>
      <c r="DN129" s="483">
        <f t="shared" si="330"/>
        <v>1.7147113910943118E-2</v>
      </c>
      <c r="DO129" s="483"/>
      <c r="DP129" s="483">
        <f t="shared" si="316"/>
        <v>0</v>
      </c>
      <c r="DQ129" s="483">
        <f t="shared" si="317"/>
        <v>2.8805420254052416</v>
      </c>
      <c r="DR129" s="483">
        <f t="shared" si="318"/>
        <v>1.0563361279611558</v>
      </c>
      <c r="DS129" s="324"/>
      <c r="DT129" s="324"/>
      <c r="DU129" s="324">
        <v>-0.13852800000000001</v>
      </c>
      <c r="DV129" s="324">
        <v>-1.1664000000000001</v>
      </c>
      <c r="DW129" s="716"/>
      <c r="DX129" s="742">
        <f t="shared" si="382"/>
        <v>41689</v>
      </c>
      <c r="DY129" s="716"/>
      <c r="DZ129" s="324"/>
      <c r="EA129" s="324"/>
      <c r="EB129" s="269">
        <f t="shared" si="389"/>
        <v>2.3427004162969345</v>
      </c>
      <c r="EC129" s="716">
        <f t="shared" si="390"/>
        <v>3.6305724162968618</v>
      </c>
      <c r="ED129" s="716"/>
      <c r="EE129" s="324"/>
      <c r="EF129" s="324"/>
      <c r="EG129" s="269">
        <f t="shared" si="385"/>
        <v>2.3427004162969345</v>
      </c>
      <c r="EH129" s="269">
        <f t="shared" si="386"/>
        <v>3.6305724162968618</v>
      </c>
      <c r="EI129" s="716"/>
      <c r="EJ129" s="324"/>
      <c r="EK129" s="324"/>
      <c r="EL129" s="269">
        <f t="shared" si="391"/>
        <v>2.3427004162969345</v>
      </c>
      <c r="EM129" s="269">
        <f t="shared" si="392"/>
        <v>3.6305724162968618</v>
      </c>
      <c r="EN129" s="716"/>
      <c r="EO129" s="269">
        <v>0</v>
      </c>
      <c r="EP129" s="324"/>
      <c r="EQ129" s="269"/>
      <c r="ER129" s="269"/>
      <c r="ES129" s="716"/>
      <c r="ET129" s="269"/>
      <c r="EU129" s="324"/>
      <c r="EV129" s="269"/>
      <c r="EW129" s="269"/>
      <c r="EX129" s="716"/>
      <c r="EY129" s="742">
        <v>41689</v>
      </c>
      <c r="EZ129" s="716"/>
      <c r="FA129" s="763"/>
      <c r="FB129" s="763"/>
      <c r="FC129" s="759">
        <f t="shared" si="370"/>
        <v>-0.13852799999999998</v>
      </c>
      <c r="FD129" s="759">
        <f t="shared" si="276"/>
        <v>-1.1664000000000003</v>
      </c>
      <c r="FE129" s="760"/>
      <c r="FF129" s="782">
        <v>41689</v>
      </c>
      <c r="FG129" s="760"/>
      <c r="FH129" s="767"/>
      <c r="FI129" s="767"/>
      <c r="FJ129" s="858">
        <f t="shared" si="371"/>
        <v>-21.759158648487073</v>
      </c>
      <c r="FK129" s="766">
        <f t="shared" si="372"/>
        <v>-16.846895825365689</v>
      </c>
      <c r="FL129" s="760"/>
      <c r="FM129" s="763"/>
      <c r="FN129" s="763"/>
      <c r="FO129" s="859">
        <f t="shared" si="373"/>
        <v>-21.759158648487073</v>
      </c>
      <c r="FP129" s="859">
        <f t="shared" si="374"/>
        <v>-16.846895825365689</v>
      </c>
      <c r="FQ129" s="760"/>
      <c r="FR129" s="763"/>
      <c r="FS129" s="763"/>
      <c r="FT129" s="759">
        <f t="shared" si="375"/>
        <v>-19.416458232190138</v>
      </c>
      <c r="FU129" s="759">
        <f t="shared" si="376"/>
        <v>-13.216323409068828</v>
      </c>
      <c r="FV129" s="761"/>
      <c r="FW129" s="762">
        <v>41689</v>
      </c>
      <c r="FX129" s="761"/>
      <c r="FY129" s="763"/>
      <c r="FZ129" s="763"/>
      <c r="GA129" s="759">
        <f t="shared" si="377"/>
        <v>358436.77962399571</v>
      </c>
      <c r="GB129" s="759">
        <f t="shared" si="378"/>
        <v>379610.00081615912</v>
      </c>
      <c r="GC129" s="760"/>
      <c r="GD129" s="763"/>
      <c r="GE129" s="763"/>
      <c r="GF129" s="759">
        <f t="shared" si="286"/>
        <v>0.96233443548829944</v>
      </c>
      <c r="GG129" s="759">
        <f t="shared" si="287"/>
        <v>0.99074207004618653</v>
      </c>
      <c r="GH129" s="716"/>
      <c r="GI129" s="763"/>
      <c r="GJ129" s="763"/>
      <c r="GK129" s="759">
        <f t="shared" si="379"/>
        <v>0.96233443548829944</v>
      </c>
      <c r="GL129" s="759">
        <f t="shared" si="380"/>
        <v>0.99074207004618653</v>
      </c>
      <c r="GM129" s="716"/>
    </row>
    <row r="130" spans="1:195" s="134" customFormat="1">
      <c r="A130" s="705">
        <v>41690</v>
      </c>
      <c r="B130" s="277"/>
      <c r="C130" s="286"/>
      <c r="D130" s="277"/>
      <c r="E130" s="276"/>
      <c r="F130" s="276">
        <v>3.0096000000000001E-2</v>
      </c>
      <c r="G130" s="134">
        <v>-6.6096000000000002E-2</v>
      </c>
      <c r="I130" s="705">
        <v>41690</v>
      </c>
      <c r="J130" s="270"/>
      <c r="K130" s="270"/>
      <c r="L130" s="270">
        <f t="shared" si="366"/>
        <v>3.0096000000000001E-2</v>
      </c>
      <c r="M130" s="270">
        <f t="shared" si="367"/>
        <v>-6.6096000000000002E-2</v>
      </c>
      <c r="O130" s="705">
        <v>41690</v>
      </c>
      <c r="P130" s="270"/>
      <c r="Q130" s="270"/>
      <c r="R130" s="270">
        <f t="shared" si="368"/>
        <v>3.0096000000000001E-2</v>
      </c>
      <c r="S130" s="270">
        <f t="shared" si="369"/>
        <v>-6.6096000000000002E-2</v>
      </c>
      <c r="T130" s="705">
        <v>41690</v>
      </c>
      <c r="U130" s="291"/>
      <c r="V130" s="291"/>
      <c r="W130" s="291">
        <v>3.0096000000000001E-2</v>
      </c>
      <c r="X130" s="291">
        <v>-6.6096000000000002E-2</v>
      </c>
      <c r="Z130" s="705">
        <v>41690</v>
      </c>
      <c r="AA130" s="707">
        <v>41690</v>
      </c>
      <c r="AB130" s="286"/>
      <c r="AC130" s="268">
        <v>0</v>
      </c>
      <c r="AD130" s="291"/>
      <c r="AE130" s="291"/>
      <c r="AF130" s="267">
        <v>0.67470271125802994</v>
      </c>
      <c r="AG130" s="291"/>
      <c r="AH130" s="291"/>
      <c r="AI130" s="161">
        <v>1.1438027112580298</v>
      </c>
      <c r="AJ130" s="291">
        <v>3.0096000000000001E-2</v>
      </c>
      <c r="AK130" s="291">
        <f t="shared" si="303"/>
        <v>4.6259702450121587</v>
      </c>
      <c r="AL130" s="161">
        <v>0.67210271125803045</v>
      </c>
      <c r="AM130" s="291">
        <v>-6.6096000000000002E-2</v>
      </c>
      <c r="AN130" s="291">
        <f t="shared" si="304"/>
        <v>-0.8765471311244778</v>
      </c>
      <c r="AO130" s="705">
        <v>41690</v>
      </c>
      <c r="AP130" s="463">
        <v>0</v>
      </c>
      <c r="AQ130" s="463">
        <v>0.4733367314342623</v>
      </c>
      <c r="AR130" s="463">
        <v>1.5370714530210521</v>
      </c>
      <c r="AS130" s="463">
        <v>0.13261727353008923</v>
      </c>
      <c r="AT130" s="463">
        <f t="shared" si="305"/>
        <v>0</v>
      </c>
      <c r="AU130" s="463">
        <f t="shared" si="306"/>
        <v>8.022656464987496E-3</v>
      </c>
      <c r="AV130" s="463">
        <f t="shared" si="307"/>
        <v>7.685357265105261E-2</v>
      </c>
      <c r="AW130" s="463">
        <f t="shared" si="308"/>
        <v>6.979856501583644E-3</v>
      </c>
      <c r="AY130" s="268">
        <v>0</v>
      </c>
      <c r="AZ130" s="267"/>
      <c r="BA130" s="161">
        <v>1.1438027112580298</v>
      </c>
      <c r="BB130" s="161">
        <v>0.67210271125803045</v>
      </c>
      <c r="BG130" s="134">
        <v>0</v>
      </c>
      <c r="BH130" s="134">
        <v>0</v>
      </c>
      <c r="BJ130" s="508">
        <v>0</v>
      </c>
      <c r="BK130" s="508">
        <v>0</v>
      </c>
      <c r="BL130" s="508">
        <v>19.82953438774317</v>
      </c>
      <c r="BM130" s="508">
        <v>144.09914669543517</v>
      </c>
      <c r="BO130" s="705">
        <v>41690</v>
      </c>
      <c r="CH130" s="283"/>
      <c r="CI130" s="283"/>
      <c r="CJ130" s="283"/>
      <c r="CK130" s="283"/>
      <c r="CL130" s="283"/>
      <c r="CM130" s="283"/>
      <c r="CN130" s="283"/>
      <c r="CO130" s="283"/>
      <c r="CS130" s="705">
        <v>41690</v>
      </c>
      <c r="CV130" s="743">
        <v>1E-3</v>
      </c>
      <c r="CW130" s="714">
        <v>1.4999999999999999E-2</v>
      </c>
      <c r="CY130" s="725"/>
      <c r="CZ130" s="725"/>
      <c r="DA130" s="736">
        <v>2.013049438774317E-2</v>
      </c>
      <c r="DB130" s="736">
        <v>0.14343818669543518</v>
      </c>
      <c r="DC130" s="463"/>
      <c r="DD130" s="463"/>
      <c r="DE130" s="463">
        <f t="shared" si="383"/>
        <v>-2.0676066440817209</v>
      </c>
      <c r="DF130" s="463">
        <f t="shared" si="384"/>
        <v>-14.347606644081701</v>
      </c>
      <c r="DG130" s="483"/>
      <c r="DH130" s="483"/>
      <c r="DI130" s="483">
        <f t="shared" si="262"/>
        <v>2.0676066440817209</v>
      </c>
      <c r="DJ130" s="483">
        <f t="shared" si="263"/>
        <v>14.347606644081701</v>
      </c>
      <c r="DK130" s="483"/>
      <c r="DL130" s="483"/>
      <c r="DM130" s="483">
        <f t="shared" si="329"/>
        <v>3.3669382657444569E-2</v>
      </c>
      <c r="DN130" s="483">
        <f t="shared" si="330"/>
        <v>1.1817704396571288E-2</v>
      </c>
      <c r="DO130" s="483"/>
      <c r="DP130" s="483">
        <f t="shared" si="316"/>
        <v>0</v>
      </c>
      <c r="DQ130" s="483">
        <f t="shared" si="317"/>
        <v>1.7403759821165565</v>
      </c>
      <c r="DR130" s="483">
        <f t="shared" si="318"/>
        <v>4.2388943529509939</v>
      </c>
      <c r="DS130" s="324"/>
      <c r="DT130" s="324"/>
      <c r="DU130" s="324">
        <v>3.0096000000000001E-2</v>
      </c>
      <c r="DV130" s="324">
        <v>-6.6096000000000002E-2</v>
      </c>
      <c r="DW130" s="716"/>
      <c r="DX130" s="742">
        <f t="shared" si="382"/>
        <v>41690</v>
      </c>
      <c r="DY130" s="716"/>
      <c r="DZ130" s="324"/>
      <c r="EA130" s="324"/>
      <c r="EB130" s="269">
        <f>-DE130-DU130</f>
        <v>2.037510644081721</v>
      </c>
      <c r="EC130" s="716"/>
      <c r="ED130" s="716"/>
      <c r="EE130" s="324"/>
      <c r="EF130" s="324"/>
      <c r="EG130" s="269">
        <f t="shared" si="385"/>
        <v>2.037510644081721</v>
      </c>
      <c r="EH130" s="269">
        <f t="shared" si="386"/>
        <v>0</v>
      </c>
      <c r="EI130" s="716"/>
      <c r="EJ130" s="324"/>
      <c r="EK130" s="324"/>
      <c r="EL130" s="269">
        <f t="shared" si="391"/>
        <v>2.037510644081721</v>
      </c>
      <c r="EM130" s="269">
        <f t="shared" si="392"/>
        <v>0</v>
      </c>
      <c r="EN130" s="716"/>
      <c r="EO130" s="269">
        <v>0</v>
      </c>
      <c r="EP130" s="324"/>
      <c r="EQ130" s="269"/>
      <c r="ER130" s="269"/>
      <c r="ES130" s="716"/>
      <c r="ET130" s="269"/>
      <c r="EU130" s="324"/>
      <c r="EV130" s="269"/>
      <c r="EW130" s="269"/>
      <c r="EX130" s="716"/>
      <c r="EY130" s="742">
        <v>41690</v>
      </c>
      <c r="EZ130" s="716"/>
      <c r="FA130" s="763"/>
      <c r="FB130" s="763"/>
      <c r="FC130" s="759">
        <f t="shared" si="370"/>
        <v>3.0095999999999901E-2</v>
      </c>
      <c r="FD130" s="759">
        <f t="shared" si="276"/>
        <v>14.347606644081701</v>
      </c>
      <c r="FE130" s="760"/>
      <c r="FF130" s="782">
        <v>41690</v>
      </c>
      <c r="FG130" s="760"/>
      <c r="FH130" s="767"/>
      <c r="FI130" s="767"/>
      <c r="FJ130" s="858">
        <f t="shared" si="371"/>
        <v>4.6259702450121427</v>
      </c>
      <c r="FK130" s="766">
        <f t="shared" si="372"/>
        <v>190.27404748203085</v>
      </c>
      <c r="FL130" s="760"/>
      <c r="FM130" s="763"/>
      <c r="FN130" s="763"/>
      <c r="FO130" s="859">
        <f t="shared" si="373"/>
        <v>4.6259702450121427</v>
      </c>
      <c r="FP130" s="859">
        <f t="shared" si="374"/>
        <v>190.27404748203085</v>
      </c>
      <c r="FQ130" s="760"/>
      <c r="FR130" s="763"/>
      <c r="FS130" s="763"/>
      <c r="FT130" s="759">
        <f t="shared" si="375"/>
        <v>6.6634808890938633</v>
      </c>
      <c r="FU130" s="759">
        <f t="shared" si="376"/>
        <v>190.27404748203085</v>
      </c>
      <c r="FV130" s="761"/>
      <c r="FW130" s="762">
        <v>41690</v>
      </c>
      <c r="FX130" s="761"/>
      <c r="FY130" s="763"/>
      <c r="FZ130" s="763"/>
      <c r="GA130" s="759">
        <f t="shared" si="377"/>
        <v>358443.44310488482</v>
      </c>
      <c r="GB130" s="759">
        <f t="shared" si="378"/>
        <v>379800.27486364113</v>
      </c>
      <c r="GC130" s="760"/>
      <c r="GD130" s="763"/>
      <c r="GE130" s="763"/>
      <c r="GF130" s="759">
        <f t="shared" si="286"/>
        <v>0.96235232566443185</v>
      </c>
      <c r="GG130" s="759">
        <f t="shared" si="287"/>
        <v>0.9912386652446088</v>
      </c>
      <c r="GH130" s="716"/>
      <c r="GI130" s="763"/>
      <c r="GJ130" s="763"/>
      <c r="GK130" s="759">
        <f t="shared" si="379"/>
        <v>0.96235232566443185</v>
      </c>
      <c r="GL130" s="759">
        <f t="shared" si="380"/>
        <v>0.9912386652446088</v>
      </c>
      <c r="GM130" s="716"/>
    </row>
    <row r="131" spans="1:195" s="134" customFormat="1">
      <c r="A131" s="705">
        <v>41691</v>
      </c>
      <c r="B131" s="277"/>
      <c r="C131" s="286"/>
      <c r="D131" s="277"/>
      <c r="E131" s="276"/>
      <c r="F131" s="276">
        <v>0.16847999999999999</v>
      </c>
      <c r="G131" s="134">
        <v>-1.0728</v>
      </c>
      <c r="I131" s="705">
        <v>41691</v>
      </c>
      <c r="J131" s="270"/>
      <c r="K131" s="270"/>
      <c r="L131" s="270">
        <f t="shared" si="366"/>
        <v>0.16847999999999999</v>
      </c>
      <c r="M131" s="270">
        <f t="shared" si="367"/>
        <v>-1.0728</v>
      </c>
      <c r="O131" s="705">
        <v>41691</v>
      </c>
      <c r="P131" s="270"/>
      <c r="Q131" s="270"/>
      <c r="R131" s="270">
        <f t="shared" si="368"/>
        <v>0.16847999999999999</v>
      </c>
      <c r="S131" s="270">
        <f t="shared" si="369"/>
        <v>-1.0728</v>
      </c>
      <c r="T131" s="705">
        <v>41691</v>
      </c>
      <c r="U131" s="291"/>
      <c r="V131" s="291"/>
      <c r="W131" s="291">
        <v>0.16847999999999999</v>
      </c>
      <c r="X131" s="291">
        <v>-1.0728</v>
      </c>
      <c r="Z131" s="705">
        <v>41691</v>
      </c>
      <c r="AA131" s="707">
        <v>41691</v>
      </c>
      <c r="AB131" s="286"/>
      <c r="AC131" s="268">
        <v>0</v>
      </c>
      <c r="AD131" s="291"/>
      <c r="AE131" s="291"/>
      <c r="AF131" s="267">
        <v>0.67712664481721219</v>
      </c>
      <c r="AG131" s="291"/>
      <c r="AH131" s="291"/>
      <c r="AI131" s="161">
        <v>1.1231266448172126</v>
      </c>
      <c r="AJ131" s="291">
        <v>0.16847999999999999</v>
      </c>
      <c r="AK131" s="291">
        <f t="shared" si="303"/>
        <v>25.025925353590221</v>
      </c>
      <c r="AL131" s="161">
        <v>0.52862664481721344</v>
      </c>
      <c r="AM131" s="291">
        <v>-1.0728</v>
      </c>
      <c r="AN131" s="291">
        <f t="shared" si="304"/>
        <v>-12.67486135115878</v>
      </c>
      <c r="AO131" s="705">
        <v>41691</v>
      </c>
      <c r="AP131" s="463">
        <v>0</v>
      </c>
      <c r="AQ131" s="463">
        <v>0.47183948342420101</v>
      </c>
      <c r="AR131" s="463">
        <v>1.4853944298189827</v>
      </c>
      <c r="AS131" s="463">
        <v>0.11814747717336672</v>
      </c>
      <c r="AT131" s="463">
        <f t="shared" si="305"/>
        <v>0</v>
      </c>
      <c r="AU131" s="463">
        <f t="shared" si="306"/>
        <v>7.9972793800712032E-3</v>
      </c>
      <c r="AV131" s="463">
        <f t="shared" si="307"/>
        <v>7.4269721490949139E-2</v>
      </c>
      <c r="AW131" s="463">
        <f t="shared" si="308"/>
        <v>6.2182882722824594E-3</v>
      </c>
      <c r="AY131" s="268">
        <v>0</v>
      </c>
      <c r="AZ131" s="267"/>
      <c r="BA131" s="161">
        <v>1.1231266448172126</v>
      </c>
      <c r="BB131" s="161">
        <v>0.52862664481721344</v>
      </c>
      <c r="BG131" s="134">
        <v>0</v>
      </c>
      <c r="BH131" s="134">
        <v>0</v>
      </c>
      <c r="BJ131" s="508">
        <v>0</v>
      </c>
      <c r="BK131" s="508">
        <v>0</v>
      </c>
      <c r="BL131" s="508">
        <v>18.94976057484525</v>
      </c>
      <c r="BM131" s="508">
        <v>78.370252882537557</v>
      </c>
      <c r="BO131" s="705">
        <v>41691</v>
      </c>
      <c r="CH131" s="283"/>
      <c r="CI131" s="283"/>
      <c r="CJ131" s="283"/>
      <c r="CK131" s="283"/>
      <c r="CL131" s="283"/>
      <c r="CM131" s="283"/>
      <c r="CN131" s="283"/>
      <c r="CO131" s="283"/>
      <c r="CS131" s="705">
        <v>41691</v>
      </c>
      <c r="CV131" s="743">
        <v>3.7999999999999999E-2</v>
      </c>
      <c r="CW131" s="714">
        <v>0.79700000000000004</v>
      </c>
      <c r="CY131" s="725"/>
      <c r="CZ131" s="725"/>
      <c r="DA131" s="736">
        <v>2.0634560574845251E-2</v>
      </c>
      <c r="DB131" s="736">
        <v>6.7642252882537557E-2</v>
      </c>
      <c r="DC131" s="463"/>
      <c r="DD131" s="463"/>
      <c r="DE131" s="463">
        <f t="shared" si="383"/>
        <v>-2.0484048993264281</v>
      </c>
      <c r="DF131" s="463">
        <f t="shared" si="384"/>
        <v>-6.7684048993264412</v>
      </c>
      <c r="DG131" s="483"/>
      <c r="DH131" s="483"/>
      <c r="DI131" s="483">
        <f t="shared" ref="DI131:DI145" si="393">IF(DE131&lt;0,ABS(DE131),0)</f>
        <v>2.0484048993264281</v>
      </c>
      <c r="DJ131" s="483">
        <f t="shared" ref="DJ131:DJ145" si="394">IF(DF131&lt;0,ABS(DF131),0)</f>
        <v>6.7684048993264412</v>
      </c>
      <c r="DK131" s="483"/>
      <c r="DL131" s="483"/>
      <c r="DM131" s="483">
        <f t="shared" si="329"/>
        <v>5.167702320206935E-2</v>
      </c>
      <c r="DN131" s="483">
        <f t="shared" si="330"/>
        <v>1.4469796356722506E-2</v>
      </c>
      <c r="DO131" s="483"/>
      <c r="DP131" s="483">
        <f t="shared" si="316"/>
        <v>0</v>
      </c>
      <c r="DQ131" s="483">
        <f t="shared" si="317"/>
        <v>2.6463866877431088</v>
      </c>
      <c r="DR131" s="483">
        <f t="shared" si="318"/>
        <v>2.4484360138274126</v>
      </c>
      <c r="DS131" s="324"/>
      <c r="DT131" s="324"/>
      <c r="DU131" s="324">
        <v>0.16847999999999999</v>
      </c>
      <c r="DV131" s="324">
        <v>-1.0728</v>
      </c>
      <c r="DW131" s="716"/>
      <c r="DX131" s="742">
        <f t="shared" si="382"/>
        <v>41691</v>
      </c>
      <c r="DY131" s="716"/>
      <c r="DZ131" s="324"/>
      <c r="EA131" s="324"/>
      <c r="EB131" s="269">
        <f>-DE131-DU131</f>
        <v>1.8799248993264281</v>
      </c>
      <c r="EC131" s="716"/>
      <c r="ED131" s="716"/>
      <c r="EE131" s="324"/>
      <c r="EF131" s="324"/>
      <c r="EG131" s="269">
        <f t="shared" si="385"/>
        <v>1.8799248993264281</v>
      </c>
      <c r="EH131" s="269">
        <f t="shared" si="386"/>
        <v>0</v>
      </c>
      <c r="EI131" s="716"/>
      <c r="EJ131" s="324"/>
      <c r="EK131" s="324"/>
      <c r="EL131" s="269">
        <f t="shared" si="391"/>
        <v>1.8799248993264281</v>
      </c>
      <c r="EM131" s="269">
        <f t="shared" si="392"/>
        <v>0</v>
      </c>
      <c r="EN131" s="716"/>
      <c r="EO131" s="269">
        <v>0</v>
      </c>
      <c r="EP131" s="324"/>
      <c r="EQ131" s="269"/>
      <c r="ER131" s="269"/>
      <c r="ES131" s="716"/>
      <c r="ET131" s="269"/>
      <c r="EU131" s="324"/>
      <c r="EV131" s="269"/>
      <c r="EW131" s="269"/>
      <c r="EX131" s="716"/>
      <c r="EY131" s="742">
        <v>41691</v>
      </c>
      <c r="EZ131" s="716"/>
      <c r="FA131" s="763"/>
      <c r="FB131" s="763"/>
      <c r="FC131" s="759">
        <f t="shared" si="370"/>
        <v>0.16847999999999996</v>
      </c>
      <c r="FD131" s="759">
        <f t="shared" ref="FD131:FD146" si="395">CR131-EH131-ER131-DF131</f>
        <v>6.7684048993264412</v>
      </c>
      <c r="FE131" s="760"/>
      <c r="FF131" s="782">
        <v>41691</v>
      </c>
      <c r="FG131" s="760"/>
      <c r="FH131" s="767"/>
      <c r="FI131" s="767"/>
      <c r="FJ131" s="858">
        <f t="shared" si="371"/>
        <v>25.025925353590214</v>
      </c>
      <c r="FK131" s="766">
        <f t="shared" si="372"/>
        <v>79.966996334327419</v>
      </c>
      <c r="FL131" s="760"/>
      <c r="FM131" s="763"/>
      <c r="FN131" s="763"/>
      <c r="FO131" s="859">
        <f t="shared" si="373"/>
        <v>25.025925353590214</v>
      </c>
      <c r="FP131" s="859">
        <f t="shared" si="374"/>
        <v>79.966996334327419</v>
      </c>
      <c r="FQ131" s="760"/>
      <c r="FR131" s="763"/>
      <c r="FS131" s="763"/>
      <c r="FT131" s="759">
        <f t="shared" si="375"/>
        <v>26.905850252916643</v>
      </c>
      <c r="FU131" s="759">
        <f t="shared" si="376"/>
        <v>79.966996334327419</v>
      </c>
      <c r="FV131" s="761"/>
      <c r="FW131" s="762">
        <v>41691</v>
      </c>
      <c r="FX131" s="761"/>
      <c r="FY131" s="763"/>
      <c r="FZ131" s="763"/>
      <c r="GA131" s="759">
        <f t="shared" si="377"/>
        <v>358470.34895513771</v>
      </c>
      <c r="GB131" s="759">
        <f t="shared" si="378"/>
        <v>379880.24185997545</v>
      </c>
      <c r="GC131" s="760"/>
      <c r="GD131" s="763"/>
      <c r="GE131" s="763"/>
      <c r="GF131" s="759">
        <f t="shared" ref="GF131:GF146" si="396">GA131/GA$146</f>
        <v>0.96242456274412447</v>
      </c>
      <c r="GG131" s="759">
        <f t="shared" ref="GG131:GG146" si="397">GB131/GB$146</f>
        <v>0.99144737067205613</v>
      </c>
      <c r="GH131" s="716"/>
      <c r="GI131" s="763"/>
      <c r="GJ131" s="763"/>
      <c r="GK131" s="759">
        <f t="shared" ref="GK131:GK146" si="398">GF131/GF$146</f>
        <v>0.96242456274412447</v>
      </c>
      <c r="GL131" s="759">
        <f t="shared" ref="GL131:GL146" si="399">GG131/GG$146</f>
        <v>0.99144737067205613</v>
      </c>
      <c r="GM131" s="716"/>
    </row>
    <row r="132" spans="1:195">
      <c r="B132" s="277"/>
      <c r="C132" s="287"/>
      <c r="D132" s="134"/>
      <c r="E132" s="134"/>
      <c r="F132" s="134"/>
      <c r="G132" s="134"/>
      <c r="J132" s="134"/>
      <c r="K132" s="134"/>
      <c r="L132" s="134"/>
      <c r="M132" s="134"/>
      <c r="O132" s="300" t="s">
        <v>139</v>
      </c>
      <c r="P132" s="236">
        <f>AVERAGE(P4:P131)</f>
        <v>1.1880329857806784</v>
      </c>
      <c r="Q132" s="236">
        <f>AVERAGE(Q4:Q131)</f>
        <v>1.414343777145046</v>
      </c>
      <c r="R132" s="236">
        <f>AVERAGE(R4:R131)</f>
        <v>0.92709863538773529</v>
      </c>
      <c r="S132" s="236">
        <f>AVERAGE(S4:S131)</f>
        <v>1.0237501084343985</v>
      </c>
      <c r="T132" s="300" t="s">
        <v>139</v>
      </c>
      <c r="U132" s="236">
        <f>AVERAGE(U4:U131)</f>
        <v>0.8636004795816028</v>
      </c>
      <c r="V132" s="236">
        <f t="shared" ref="V132:X132" si="400">AVERAGE(V4:V131)</f>
        <v>1.4018440383153139</v>
      </c>
      <c r="W132" s="236">
        <f t="shared" si="400"/>
        <v>1.1963559577629446</v>
      </c>
      <c r="X132" s="236">
        <f t="shared" si="400"/>
        <v>0.36429635445927494</v>
      </c>
      <c r="Z132" s="300" t="s">
        <v>139</v>
      </c>
      <c r="AA132" s="300" t="s">
        <v>139</v>
      </c>
      <c r="AB132" s="287"/>
      <c r="AC132" s="267">
        <v>0</v>
      </c>
      <c r="AD132" s="236">
        <f>AVERAGE(AD4:AD131)</f>
        <v>0.78414607576100814</v>
      </c>
      <c r="AE132" s="236"/>
      <c r="AF132" s="267">
        <v>0.67754259582394893</v>
      </c>
      <c r="AG132" s="236">
        <f t="shared" ref="AG132" si="401">AVERAGE(AG4:AG131)</f>
        <v>1.3395814674676578</v>
      </c>
      <c r="AH132" s="236"/>
      <c r="AI132" s="269">
        <v>1.1026425958239483</v>
      </c>
      <c r="AJ132" s="236">
        <f t="shared" ref="AJ132" si="402">AVERAGE(AJ4:AJ131)</f>
        <v>1.1583943714971299</v>
      </c>
      <c r="AK132" s="297">
        <f t="shared" si="303"/>
        <v>166.53429443370948</v>
      </c>
      <c r="AL132" s="269">
        <v>0.46094259582394903</v>
      </c>
      <c r="AM132" s="236">
        <f t="shared" ref="AM132" si="403">AVERAGE(AM4:AM131)</f>
        <v>0.2452717195949245</v>
      </c>
      <c r="AN132" s="297">
        <f t="shared" si="304"/>
        <v>1.3410900811605015</v>
      </c>
      <c r="AP132" s="463">
        <v>0</v>
      </c>
      <c r="AQ132" s="463">
        <v>0.47674394030586564</v>
      </c>
      <c r="AR132" s="463">
        <v>1.4376303833251327</v>
      </c>
      <c r="AS132" s="463">
        <v>5.4677729800050437E-2</v>
      </c>
      <c r="AT132" s="463">
        <f t="shared" si="305"/>
        <v>0</v>
      </c>
      <c r="AU132" s="530">
        <f t="shared" si="306"/>
        <v>8.0804057678960286E-3</v>
      </c>
      <c r="AV132" s="530">
        <f t="shared" si="307"/>
        <v>7.1881519166256638E-2</v>
      </c>
      <c r="AW132" s="530">
        <f t="shared" si="308"/>
        <v>2.8777752526342334E-3</v>
      </c>
      <c r="AX132" s="134"/>
      <c r="AY132" s="267">
        <v>0</v>
      </c>
      <c r="AZ132" s="267"/>
      <c r="BA132" s="269">
        <v>1.1026425958239483</v>
      </c>
      <c r="BB132" s="269">
        <v>0.46094259582394903</v>
      </c>
      <c r="BO132"/>
      <c r="BP132" s="300"/>
      <c r="CG132"/>
      <c r="CO132" s="34"/>
      <c r="CY132" s="520"/>
      <c r="CZ132" s="520"/>
      <c r="DA132" s="523">
        <v>1.9866495922210348E-2</v>
      </c>
      <c r="DB132" s="523">
        <v>7.2958803614518009E-2</v>
      </c>
      <c r="DC132" s="463"/>
      <c r="DD132" s="463"/>
      <c r="DE132" s="463">
        <f t="shared" si="383"/>
        <v>-2.0292026846323807</v>
      </c>
      <c r="DF132" s="463">
        <f t="shared" si="384"/>
        <v>-7.3092026846323321</v>
      </c>
      <c r="DG132" s="483"/>
      <c r="DH132" s="483"/>
      <c r="DI132" s="483">
        <f t="shared" si="393"/>
        <v>2.0292026846323807</v>
      </c>
      <c r="DJ132" s="483">
        <f t="shared" si="394"/>
        <v>7.3092026846323321</v>
      </c>
      <c r="DK132" s="483"/>
      <c r="DL132" s="483"/>
      <c r="DM132" s="483">
        <f t="shared" si="329"/>
        <v>4.7764046493850021E-2</v>
      </c>
      <c r="DN132" s="483">
        <f t="shared" si="330"/>
        <v>6.3469747373316288E-2</v>
      </c>
      <c r="DO132" s="483"/>
      <c r="DP132" s="483">
        <f t="shared" si="316"/>
        <v>0</v>
      </c>
      <c r="DQ132" s="483">
        <f t="shared" si="317"/>
        <v>2.4230732843556577</v>
      </c>
      <c r="DR132" s="483">
        <f t="shared" si="318"/>
        <v>11.597831197349484</v>
      </c>
      <c r="DS132" s="1"/>
      <c r="DT132" s="1"/>
      <c r="DU132" s="1"/>
      <c r="DV132" s="1"/>
      <c r="DW132" s="552"/>
      <c r="DX132" s="533"/>
      <c r="DY132" s="552"/>
      <c r="DZ132" s="1"/>
      <c r="EA132" s="1"/>
      <c r="EB132" s="1"/>
      <c r="EC132" s="547"/>
      <c r="ED132" s="552"/>
      <c r="EE132" s="1"/>
      <c r="EF132" s="1"/>
      <c r="EG132" s="1"/>
      <c r="EH132" s="1"/>
      <c r="EI132" s="552"/>
      <c r="EJ132" s="1"/>
      <c r="EK132" s="1"/>
      <c r="EL132" s="1"/>
      <c r="EM132" s="1"/>
      <c r="EN132" s="552"/>
      <c r="EO132" s="1"/>
      <c r="EP132" s="1"/>
      <c r="EQ132" s="1"/>
      <c r="ER132" s="1"/>
      <c r="ES132" s="552"/>
      <c r="ET132" s="1"/>
      <c r="EU132" s="1"/>
      <c r="EV132" s="1"/>
      <c r="EW132" s="1"/>
      <c r="EX132" s="552"/>
      <c r="EY132" s="533"/>
      <c r="EZ132" s="552"/>
      <c r="FA132" s="764"/>
      <c r="FB132" s="764"/>
      <c r="FC132" s="756">
        <f t="shared" si="370"/>
        <v>2.0292026846323807</v>
      </c>
      <c r="FD132" s="756">
        <f t="shared" si="395"/>
        <v>7.3092026846323321</v>
      </c>
      <c r="FE132" s="761"/>
      <c r="FF132" s="783"/>
      <c r="FG132" s="761"/>
      <c r="FH132" s="768"/>
      <c r="FI132" s="768"/>
      <c r="FJ132" s="858">
        <f t="shared" si="371"/>
        <v>291.72434333524382</v>
      </c>
      <c r="FK132" s="745">
        <f t="shared" si="372"/>
        <v>39.96506094441299</v>
      </c>
      <c r="FL132" s="761"/>
      <c r="FM132" s="764"/>
      <c r="FN132" s="764"/>
      <c r="FO132" s="859">
        <f t="shared" si="373"/>
        <v>291.72434333524382</v>
      </c>
      <c r="FP132" s="859">
        <f t="shared" si="374"/>
        <v>39.96506094441299</v>
      </c>
      <c r="FQ132" s="761"/>
      <c r="FR132" s="764"/>
      <c r="FS132" s="764"/>
      <c r="FT132" s="756">
        <f t="shared" si="375"/>
        <v>291.72434333524382</v>
      </c>
      <c r="FU132" s="756">
        <f t="shared" si="376"/>
        <v>39.96506094441299</v>
      </c>
      <c r="FV132" s="761"/>
      <c r="FW132" s="765"/>
      <c r="FX132" s="761"/>
      <c r="FY132" s="764"/>
      <c r="FZ132" s="764"/>
      <c r="GA132" s="756">
        <f t="shared" si="377"/>
        <v>358762.07329847297</v>
      </c>
      <c r="GB132" s="756">
        <f t="shared" si="378"/>
        <v>379920.20692091988</v>
      </c>
      <c r="GC132" s="761"/>
      <c r="GD132" s="764"/>
      <c r="GE132" s="764"/>
      <c r="GF132" s="756">
        <f t="shared" si="396"/>
        <v>0.96320778700352172</v>
      </c>
      <c r="GG132" s="756">
        <f t="shared" si="397"/>
        <v>0.99155167526657284</v>
      </c>
      <c r="GH132" s="552"/>
      <c r="GI132" s="764"/>
      <c r="GJ132" s="764"/>
      <c r="GK132" s="756">
        <f t="shared" si="398"/>
        <v>0.96320778700352172</v>
      </c>
      <c r="GL132" s="756">
        <f t="shared" si="399"/>
        <v>0.99155167526657284</v>
      </c>
      <c r="GM132" s="552"/>
    </row>
    <row r="133" spans="1:195">
      <c r="A133" s="300" t="s">
        <v>626</v>
      </c>
      <c r="B133" s="830">
        <f>SUM(B2:B92)</f>
        <v>346.08333333333536</v>
      </c>
      <c r="C133" s="288"/>
      <c r="D133" s="134"/>
      <c r="E133" s="134"/>
      <c r="F133" s="134"/>
      <c r="G133" s="134"/>
      <c r="J133" s="134"/>
      <c r="K133" s="134"/>
      <c r="L133" s="134"/>
      <c r="M133" s="134"/>
      <c r="O133" s="300" t="s">
        <v>140</v>
      </c>
      <c r="P133" s="134">
        <f>STDEV(P4:P131)</f>
        <v>5.4488247466160926</v>
      </c>
      <c r="Q133" s="134">
        <f>STDEV(Q4:Q131)</f>
        <v>5.6802824201853612</v>
      </c>
      <c r="R133" s="134">
        <f>STDEV(R4:R131)</f>
        <v>10.183755817074463</v>
      </c>
      <c r="S133" s="134">
        <f>STDEV(S4:S131)</f>
        <v>8.0043375167057036</v>
      </c>
      <c r="T133" s="300" t="s">
        <v>140</v>
      </c>
      <c r="U133" s="134">
        <f>STDEV(U4:U131)</f>
        <v>1.6563699941273222</v>
      </c>
      <c r="V133" s="134">
        <f t="shared" ref="V133:X133" si="404">STDEV(V4:V131)</f>
        <v>1.968780163239459</v>
      </c>
      <c r="W133" s="134">
        <f t="shared" si="404"/>
        <v>1.461402986775026</v>
      </c>
      <c r="X133" s="134">
        <f t="shared" si="404"/>
        <v>1.7168404607071408</v>
      </c>
      <c r="Z133" s="300" t="s">
        <v>140</v>
      </c>
      <c r="AA133" s="300" t="s">
        <v>140</v>
      </c>
      <c r="AB133" s="288"/>
      <c r="AC133" s="267">
        <v>0</v>
      </c>
      <c r="AD133" s="134">
        <f>STDEV(AD4:AD131)</f>
        <v>1.2025403577774545</v>
      </c>
      <c r="AE133" s="134"/>
      <c r="AF133" s="267">
        <v>0.67535056897762558</v>
      </c>
      <c r="AG133" s="134">
        <f t="shared" ref="AG133" si="405">STDEV(AG4:AG131)</f>
        <v>1.182631269189089</v>
      </c>
      <c r="AH133" s="134"/>
      <c r="AI133" s="269">
        <v>1.0823505689776245</v>
      </c>
      <c r="AJ133" s="134">
        <f t="shared" ref="AJ133" si="406">STDEV(AJ4:AJ131)</f>
        <v>1.3059987358696397</v>
      </c>
      <c r="AK133" s="297">
        <f t="shared" ref="AK133:AK136" si="407">AJ133/100*AR133*10^4</f>
        <v>181.66330553775435</v>
      </c>
      <c r="AL133" s="267">
        <v>0.38785056897762571</v>
      </c>
      <c r="AM133" s="134">
        <f t="shared" ref="AM133" si="408">STDEV(AM4:AM131)</f>
        <v>1.2532120088152698</v>
      </c>
      <c r="AN133" s="297">
        <f t="shared" ref="AN133:AN136" si="409">AM133/100*AS133*10^4</f>
        <v>4.414852958232732</v>
      </c>
      <c r="AO133" s="300" t="s">
        <v>626</v>
      </c>
      <c r="AP133" s="463">
        <v>0</v>
      </c>
      <c r="AQ133" s="463">
        <v>0.47758888567164787</v>
      </c>
      <c r="AR133" s="463">
        <v>1.3909914347412309</v>
      </c>
      <c r="AS133" s="463">
        <v>3.5228300775750912E-2</v>
      </c>
      <c r="AT133" s="463">
        <f t="shared" ref="AT133:AT146" si="410">AP133/28</f>
        <v>0</v>
      </c>
      <c r="AU133" s="530">
        <f t="shared" ref="AU133:AU146" si="411">AQ133/59</f>
        <v>8.0947268757906414E-3</v>
      </c>
      <c r="AV133" s="530">
        <f t="shared" ref="AV133:AV146" si="412">AR133/20</f>
        <v>6.9549571737061541E-2</v>
      </c>
      <c r="AW133" s="530">
        <f t="shared" ref="AW133:AW146" si="413">AS133/19</f>
        <v>1.8541210934605744E-3</v>
      </c>
      <c r="AX133" s="134"/>
      <c r="AY133" s="267">
        <v>0</v>
      </c>
      <c r="AZ133" s="267"/>
      <c r="BA133" s="269">
        <v>1.0823505689776245</v>
      </c>
      <c r="BB133" s="267">
        <v>0.38785056897762571</v>
      </c>
      <c r="BO133"/>
      <c r="BP133" s="300"/>
      <c r="CG133"/>
      <c r="CO133" s="34"/>
      <c r="CY133" s="524"/>
      <c r="CZ133" s="524"/>
      <c r="DA133" s="524">
        <v>1.9489743890986233E-2</v>
      </c>
      <c r="DB133" s="524">
        <v>-9.1025610901374066E-4</v>
      </c>
      <c r="DC133" s="463"/>
      <c r="DD133" s="463"/>
      <c r="DE133" s="463">
        <f t="shared" si="383"/>
        <v>-1.9811452125333417</v>
      </c>
      <c r="DF133" s="463">
        <f t="shared" si="384"/>
        <v>8.8854787466452478E-2</v>
      </c>
      <c r="DG133" s="483"/>
      <c r="DH133" s="483"/>
      <c r="DI133" s="483">
        <f t="shared" si="393"/>
        <v>1.9811452125333417</v>
      </c>
      <c r="DJ133" s="483">
        <f t="shared" si="394"/>
        <v>0</v>
      </c>
      <c r="DK133" s="483"/>
      <c r="DL133" s="483"/>
      <c r="DM133" s="483">
        <f t="shared" si="329"/>
        <v>4.6638948583901829E-2</v>
      </c>
      <c r="DN133" s="483">
        <f t="shared" si="330"/>
        <v>0</v>
      </c>
      <c r="DO133" s="483"/>
      <c r="DP133" s="483">
        <f t="shared" si="316"/>
        <v>0</v>
      </c>
      <c r="DQ133" s="483">
        <f t="shared" si="317"/>
        <v>2.3099632426146446</v>
      </c>
      <c r="DR133" s="483">
        <f t="shared" si="318"/>
        <v>0</v>
      </c>
      <c r="DS133" s="1"/>
      <c r="DT133" s="1"/>
      <c r="DU133" s="1"/>
      <c r="DV133" s="1" t="s">
        <v>139</v>
      </c>
      <c r="DW133" s="551"/>
      <c r="DX133" s="533"/>
      <c r="DY133" s="551"/>
      <c r="DZ133" s="1">
        <f>AVERAGE(DZ$2:DZ$53)</f>
        <v>0.54775251020650462</v>
      </c>
      <c r="EA133" s="528">
        <f>AVERAGE(EA$4:EA$80)</f>
        <v>0.91062328506962176</v>
      </c>
      <c r="EB133" s="528">
        <f>AVERAGE(EB$6:EB$82)</f>
        <v>1.0102644158018974</v>
      </c>
      <c r="EC133" s="546">
        <f>AVERAGE(EC$4:EC$71)</f>
        <v>0.72775691442460133</v>
      </c>
      <c r="ED133" s="551"/>
      <c r="EE133" s="1">
        <f>AVERAGE(EE5:EE48)</f>
        <v>0.48344042969057077</v>
      </c>
      <c r="EF133" s="528">
        <f>AVERAGE(EF10:EF73)</f>
        <v>0.60739814762378241</v>
      </c>
      <c r="EG133" s="528">
        <f>AVERAGE(EG4:EG80)</f>
        <v>0.99534255711909125</v>
      </c>
      <c r="EH133" s="528">
        <f>AVERAGE(EH9:EH71)</f>
        <v>0.72638448101441777</v>
      </c>
      <c r="EI133" s="551"/>
      <c r="EJ133" s="1">
        <f>AVERAGE(EJ5:EJ48)</f>
        <v>552.90037896702916</v>
      </c>
      <c r="EK133" s="528">
        <f>AVERAGE(EK10:EK73)</f>
        <v>1833.5694016759396</v>
      </c>
      <c r="EL133" s="528">
        <f>AVERAGE(EL4:EL80)</f>
        <v>924.02071250339725</v>
      </c>
      <c r="EM133" s="528">
        <f>AVERAGE(EM9:EM71)</f>
        <v>856.0782528533224</v>
      </c>
      <c r="EN133" s="551"/>
      <c r="EO133" s="1"/>
      <c r="EP133" s="528"/>
      <c r="EQ133" s="528"/>
      <c r="ER133" s="528"/>
      <c r="ES133" s="551"/>
      <c r="ET133" s="1"/>
      <c r="EU133" s="528"/>
      <c r="EV133" s="528"/>
      <c r="EW133" s="528"/>
      <c r="EX133" s="551"/>
      <c r="EY133" s="533"/>
      <c r="EZ133" s="551"/>
      <c r="FA133" s="764"/>
      <c r="FB133" s="764"/>
      <c r="FC133" s="756">
        <f t="shared" si="370"/>
        <v>0.98580265541425049</v>
      </c>
      <c r="FD133" s="756">
        <f t="shared" si="395"/>
        <v>-0.81523926848087025</v>
      </c>
      <c r="FE133" s="761"/>
      <c r="FF133" s="783"/>
      <c r="FG133" s="761"/>
      <c r="FH133" s="768"/>
      <c r="FI133" s="768"/>
      <c r="FJ133" s="858">
        <f t="shared" si="371"/>
        <v>137.12430500263835</v>
      </c>
      <c r="FK133" s="745">
        <f t="shared" si="372"/>
        <v>-2.8719494154247247</v>
      </c>
      <c r="FL133" s="761"/>
      <c r="FM133" s="764"/>
      <c r="FN133" s="764"/>
      <c r="FO133" s="859">
        <f t="shared" si="373"/>
        <v>137.12430500263835</v>
      </c>
      <c r="FP133" s="859">
        <f t="shared" si="374"/>
        <v>-2.8719494154247247</v>
      </c>
      <c r="FQ133" s="761"/>
      <c r="FR133" s="764"/>
      <c r="FS133" s="764"/>
      <c r="FT133" s="756">
        <f t="shared" si="375"/>
        <v>1061.1450175060356</v>
      </c>
      <c r="FU133" s="756">
        <f t="shared" si="376"/>
        <v>853.20630343789765</v>
      </c>
      <c r="FV133" s="761"/>
      <c r="FW133" s="765"/>
      <c r="FX133" s="761"/>
      <c r="FY133" s="764"/>
      <c r="FZ133" s="764"/>
      <c r="GA133" s="756">
        <f t="shared" si="377"/>
        <v>359823.218315979</v>
      </c>
      <c r="GB133" s="756">
        <f t="shared" si="378"/>
        <v>380773.41322435776</v>
      </c>
      <c r="GC133" s="761"/>
      <c r="GD133" s="764"/>
      <c r="GE133" s="764"/>
      <c r="GF133" s="756">
        <f t="shared" si="396"/>
        <v>0.96605675912201949</v>
      </c>
      <c r="GG133" s="756">
        <f t="shared" si="397"/>
        <v>0.99377845374297524</v>
      </c>
      <c r="GH133" s="551"/>
      <c r="GI133" s="764"/>
      <c r="GJ133" s="764"/>
      <c r="GK133" s="756">
        <f t="shared" si="398"/>
        <v>0.96605675912201949</v>
      </c>
      <c r="GL133" s="756">
        <f t="shared" si="399"/>
        <v>0.99377845374297524</v>
      </c>
      <c r="GM133" s="551"/>
    </row>
    <row r="134" spans="1:195">
      <c r="B134" s="134"/>
      <c r="C134" s="288"/>
      <c r="D134" s="134"/>
      <c r="E134" s="134"/>
      <c r="F134" s="134"/>
      <c r="G134" s="134"/>
      <c r="J134" s="134"/>
      <c r="K134" s="134"/>
      <c r="L134" s="134"/>
      <c r="M134" s="134"/>
      <c r="O134" s="300" t="s">
        <v>141</v>
      </c>
      <c r="P134" s="134">
        <f>P132+2*P133</f>
        <v>12.085682479012863</v>
      </c>
      <c r="Q134" s="134">
        <f>Q132+2*Q133</f>
        <v>12.774908617515768</v>
      </c>
      <c r="R134" s="134">
        <f>R132+2*R133</f>
        <v>21.294610269536662</v>
      </c>
      <c r="S134" s="134">
        <f>S132+2*S133</f>
        <v>17.032425141845806</v>
      </c>
      <c r="T134" s="300" t="s">
        <v>141</v>
      </c>
      <c r="U134" s="134">
        <f>U132+2*U133</f>
        <v>4.1763404678362477</v>
      </c>
      <c r="V134" s="134">
        <f t="shared" ref="V134:X134" si="414">V132+2*V133</f>
        <v>5.3394043647942322</v>
      </c>
      <c r="W134" s="134">
        <f t="shared" si="414"/>
        <v>4.1191619313129966</v>
      </c>
      <c r="X134" s="134">
        <f t="shared" si="414"/>
        <v>3.7979772758735564</v>
      </c>
      <c r="Z134" s="300" t="s">
        <v>141</v>
      </c>
      <c r="AA134" s="300" t="s">
        <v>141</v>
      </c>
      <c r="AB134" s="288"/>
      <c r="AC134" s="267">
        <v>0</v>
      </c>
      <c r="AD134" s="134">
        <f>AD132+2*AD133</f>
        <v>3.1892267913159174</v>
      </c>
      <c r="AE134" s="134"/>
      <c r="AF134" s="267">
        <v>0.67653911685229118</v>
      </c>
      <c r="AG134" s="134">
        <f t="shared" ref="AG134" si="415">AG132+2*AG133</f>
        <v>3.7048440058458358</v>
      </c>
      <c r="AH134" s="134"/>
      <c r="AI134" s="269">
        <v>1.0625391168522911</v>
      </c>
      <c r="AJ134" s="134">
        <f t="shared" ref="AJ134" si="416">AJ132+2*AJ133</f>
        <v>3.7703918432364092</v>
      </c>
      <c r="AK134" s="297">
        <f t="shared" si="407"/>
        <v>507.29155100518233</v>
      </c>
      <c r="AL134" s="267">
        <v>0.38873911685229023</v>
      </c>
      <c r="AM134" s="134">
        <f t="shared" ref="AM134" si="417">AM132+2*AM133</f>
        <v>2.751695737225464</v>
      </c>
      <c r="AN134" s="297">
        <f t="shared" si="409"/>
        <v>5.5706201383308507</v>
      </c>
      <c r="AP134" s="463">
        <v>0</v>
      </c>
      <c r="AQ134" s="463">
        <v>0.47314708090541369</v>
      </c>
      <c r="AR134" s="463">
        <v>1.3454610875927846</v>
      </c>
      <c r="AS134" s="463">
        <v>2.0244317214910212E-2</v>
      </c>
      <c r="AT134" s="463">
        <f t="shared" si="410"/>
        <v>0</v>
      </c>
      <c r="AU134" s="530">
        <f t="shared" si="411"/>
        <v>8.0194420492442995E-3</v>
      </c>
      <c r="AV134" s="530">
        <f t="shared" si="412"/>
        <v>6.7273054379639236E-2</v>
      </c>
      <c r="AW134" s="530">
        <f t="shared" si="413"/>
        <v>1.0654903797321165E-3</v>
      </c>
      <c r="AX134" s="134"/>
      <c r="AY134" s="267">
        <v>0</v>
      </c>
      <c r="AZ134" s="267"/>
      <c r="BA134" s="269">
        <v>1.0625391168522911</v>
      </c>
      <c r="BB134" s="267">
        <v>0.38873911685229023</v>
      </c>
      <c r="BO134"/>
      <c r="BP134" s="300"/>
      <c r="CG134"/>
      <c r="CO134" s="34"/>
      <c r="CY134" s="524"/>
      <c r="CZ134" s="524"/>
      <c r="DA134" s="524">
        <v>1.2622760032019231E-2</v>
      </c>
      <c r="DB134" s="525">
        <v>-7.1541630449043492E-3</v>
      </c>
      <c r="DC134" s="463"/>
      <c r="DD134" s="463"/>
      <c r="DE134" s="463">
        <f t="shared" si="383"/>
        <v>-1.1896725950167664</v>
      </c>
      <c r="DF134" s="463">
        <f t="shared" si="384"/>
        <v>0.72032740498340075</v>
      </c>
      <c r="DG134" s="483"/>
      <c r="DH134" s="483"/>
      <c r="DI134" s="483">
        <f t="shared" si="393"/>
        <v>1.1896725950167664</v>
      </c>
      <c r="DJ134" s="483">
        <f t="shared" si="394"/>
        <v>0</v>
      </c>
      <c r="DK134" s="483"/>
      <c r="DL134" s="483"/>
      <c r="DM134" s="483">
        <f t="shared" si="329"/>
        <v>4.5530347148446282E-2</v>
      </c>
      <c r="DN134" s="483">
        <f t="shared" si="330"/>
        <v>0</v>
      </c>
      <c r="DO134" s="483"/>
      <c r="DP134" s="483">
        <f t="shared" si="316"/>
        <v>0</v>
      </c>
      <c r="DQ134" s="483">
        <f t="shared" si="317"/>
        <v>1.3541551561026579</v>
      </c>
      <c r="DR134" s="483">
        <f t="shared" si="318"/>
        <v>0</v>
      </c>
      <c r="DS134" s="1"/>
      <c r="DT134" s="1"/>
      <c r="DU134" s="1"/>
      <c r="DV134" s="1" t="s">
        <v>151</v>
      </c>
      <c r="DW134" s="552"/>
      <c r="DX134" s="533"/>
      <c r="DY134" s="552"/>
      <c r="DZ134" s="1">
        <f>STDEV(DZ$2:DZ$53)</f>
        <v>0.42257650914071193</v>
      </c>
      <c r="EA134" s="528">
        <f>STDEV(EA$4:EA$80)</f>
        <v>0.75313565338842092</v>
      </c>
      <c r="EB134" s="528">
        <f>STDEV(EB$6:EB$82)</f>
        <v>0.51894585431012397</v>
      </c>
      <c r="EC134" s="546">
        <f>STDEV(EC$4:EC$71)</f>
        <v>0.50175142641831905</v>
      </c>
      <c r="ED134" s="552"/>
      <c r="EE134" s="1">
        <f>STDEV(EE5:EE48)</f>
        <v>0.27856965438164755</v>
      </c>
      <c r="EF134" s="1">
        <f>STDEV(EF10:EF73)</f>
        <v>0.43278280195350971</v>
      </c>
      <c r="EG134" s="1">
        <f>STDEV(EG4:EG80)</f>
        <v>0.42458377858172247</v>
      </c>
      <c r="EH134" s="1">
        <f>STDEV(EH9:EH71)</f>
        <v>0.40817182640875072</v>
      </c>
      <c r="EI134" s="552"/>
      <c r="EJ134" s="1">
        <f>STDEV(EJ5:EJ48)</f>
        <v>239.61270262528885</v>
      </c>
      <c r="EK134" s="1">
        <f>STDEV(EK10:EK73)</f>
        <v>1026.4699738115403</v>
      </c>
      <c r="EL134" s="1">
        <f>STDEV(EL4:EL80)</f>
        <v>334.31704187664383</v>
      </c>
      <c r="EM134" s="1">
        <f>STDEV(EM9:EM71)</f>
        <v>478.67339731823802</v>
      </c>
      <c r="EN134" s="552"/>
      <c r="EO134" s="1"/>
      <c r="EP134" s="1"/>
      <c r="EQ134" s="1"/>
      <c r="ER134" s="1"/>
      <c r="ES134" s="552"/>
      <c r="ET134" s="1"/>
      <c r="EU134" s="1"/>
      <c r="EV134" s="1"/>
      <c r="EW134" s="1"/>
      <c r="EX134" s="552"/>
      <c r="EY134" s="533"/>
      <c r="EZ134" s="552"/>
      <c r="FA134" s="764"/>
      <c r="FB134" s="764"/>
      <c r="FC134" s="756">
        <f t="shared" si="370"/>
        <v>0.76508881643504389</v>
      </c>
      <c r="FD134" s="756">
        <f t="shared" si="395"/>
        <v>-1.1284992313921514</v>
      </c>
      <c r="FE134" s="761"/>
      <c r="FF134" s="783"/>
      <c r="FG134" s="761"/>
      <c r="FH134" s="768"/>
      <c r="FI134" s="768"/>
      <c r="FJ134" s="858">
        <f t="shared" si="371"/>
        <v>102.93972310657705</v>
      </c>
      <c r="FK134" s="745">
        <f t="shared" si="372"/>
        <v>-2.2845696417085075</v>
      </c>
      <c r="FL134" s="761"/>
      <c r="FM134" s="764"/>
      <c r="FN134" s="764"/>
      <c r="FO134" s="859">
        <f t="shared" si="373"/>
        <v>102.93972310657705</v>
      </c>
      <c r="FP134" s="859">
        <f t="shared" si="374"/>
        <v>-2.2845696417085075</v>
      </c>
      <c r="FQ134" s="761"/>
      <c r="FR134" s="764"/>
      <c r="FS134" s="764"/>
      <c r="FT134" s="756">
        <f t="shared" si="375"/>
        <v>437.25676498322088</v>
      </c>
      <c r="FU134" s="756">
        <f t="shared" si="376"/>
        <v>476.3888276765295</v>
      </c>
      <c r="FV134" s="761"/>
      <c r="FW134" s="765"/>
      <c r="FX134" s="761"/>
      <c r="FY134" s="764"/>
      <c r="FZ134" s="764"/>
      <c r="GA134" s="756">
        <f t="shared" si="377"/>
        <v>360260.47508096223</v>
      </c>
      <c r="GB134" s="756">
        <f t="shared" si="378"/>
        <v>381249.8020520343</v>
      </c>
      <c r="GC134" s="761"/>
      <c r="GD134" s="764"/>
      <c r="GE134" s="764"/>
      <c r="GF134" s="756">
        <f t="shared" si="396"/>
        <v>0.9672307101951626</v>
      </c>
      <c r="GG134" s="756">
        <f t="shared" si="397"/>
        <v>0.99502177834523642</v>
      </c>
      <c r="GH134" s="552"/>
      <c r="GI134" s="764"/>
      <c r="GJ134" s="764"/>
      <c r="GK134" s="756">
        <f t="shared" si="398"/>
        <v>0.9672307101951626</v>
      </c>
      <c r="GL134" s="756">
        <f t="shared" si="399"/>
        <v>0.99502177834523642</v>
      </c>
      <c r="GM134" s="552"/>
    </row>
    <row r="135" spans="1:195">
      <c r="B135" s="134"/>
      <c r="C135" s="288"/>
      <c r="D135" s="134"/>
      <c r="E135" s="134"/>
      <c r="F135" s="134"/>
      <c r="G135" s="134"/>
      <c r="J135" s="134"/>
      <c r="K135" s="134"/>
      <c r="L135" s="134"/>
      <c r="M135" s="134"/>
      <c r="O135" s="300" t="s">
        <v>142</v>
      </c>
      <c r="P135" s="134">
        <f>P132-2*P133</f>
        <v>-9.7096165074515071</v>
      </c>
      <c r="Q135" s="134">
        <f>Q132-2*Q133</f>
        <v>-9.9462210632256767</v>
      </c>
      <c r="R135" s="134">
        <f>R132-2*R133</f>
        <v>-19.44041299876119</v>
      </c>
      <c r="S135" s="134">
        <f>S132-2*S133</f>
        <v>-14.984924924977008</v>
      </c>
      <c r="T135" s="300" t="s">
        <v>142</v>
      </c>
      <c r="U135" s="134">
        <f>U132-2*U133</f>
        <v>-2.4491395086730416</v>
      </c>
      <c r="V135" s="134">
        <f t="shared" ref="V135:X135" si="418">V132-2*V133</f>
        <v>-2.5357162881636039</v>
      </c>
      <c r="W135" s="134">
        <f t="shared" si="418"/>
        <v>-1.7264500157871074</v>
      </c>
      <c r="X135" s="134">
        <f t="shared" si="418"/>
        <v>-3.0693845669550068</v>
      </c>
      <c r="Z135" s="300" t="s">
        <v>142</v>
      </c>
      <c r="AA135" s="300" t="s">
        <v>142</v>
      </c>
      <c r="AB135" s="288"/>
      <c r="AC135" s="267">
        <v>0</v>
      </c>
      <c r="AD135" s="134">
        <f>AD132-2*AD133</f>
        <v>-1.6209346397939008</v>
      </c>
      <c r="AE135" s="134"/>
      <c r="AF135" s="267">
        <v>0.67894239090212394</v>
      </c>
      <c r="AG135" s="134">
        <f t="shared" ref="AG135" si="419">AG132-2*AG133</f>
        <v>-1.0256810709105202</v>
      </c>
      <c r="AH135" s="134"/>
      <c r="AI135" s="269">
        <v>1.0506423909021234</v>
      </c>
      <c r="AJ135" s="134">
        <f t="shared" ref="AJ135" si="420">AJ132-2*AJ133</f>
        <v>-1.4536031002421494</v>
      </c>
      <c r="AK135" s="297">
        <f t="shared" si="407"/>
        <v>-189.20914935443341</v>
      </c>
      <c r="AL135" s="267">
        <v>0.39594239090212424</v>
      </c>
      <c r="AM135" s="134">
        <f t="shared" ref="AM135" si="421">AM132-2*AM133</f>
        <v>-2.2611522980356153</v>
      </c>
      <c r="AN135" s="297">
        <f t="shared" si="409"/>
        <v>-4.6112820845085754</v>
      </c>
      <c r="AP135" s="463">
        <v>0</v>
      </c>
      <c r="AQ135" s="463">
        <v>0.47555212531235558</v>
      </c>
      <c r="AR135" s="463">
        <v>1.3016562039728305</v>
      </c>
      <c r="AS135" s="463">
        <v>2.0393505066043736E-2</v>
      </c>
      <c r="AT135" s="463">
        <f t="shared" si="410"/>
        <v>0</v>
      </c>
      <c r="AU135" s="530">
        <f t="shared" si="411"/>
        <v>8.0602055137687385E-3</v>
      </c>
      <c r="AV135" s="530">
        <f t="shared" si="412"/>
        <v>6.5082810198641525E-2</v>
      </c>
      <c r="AW135" s="530">
        <f t="shared" si="413"/>
        <v>1.0733423718970387E-3</v>
      </c>
      <c r="AX135" s="134"/>
      <c r="AY135" s="267">
        <v>0</v>
      </c>
      <c r="AZ135" s="267"/>
      <c r="BA135" s="269">
        <v>1.0506423909021234</v>
      </c>
      <c r="BB135" s="267">
        <v>0.39594239090212424</v>
      </c>
      <c r="BO135" t="s">
        <v>628</v>
      </c>
      <c r="BP135" s="832">
        <f>SUM(BP2:BP92)</f>
        <v>77.560000000001253</v>
      </c>
      <c r="CG135"/>
      <c r="CO135" s="34"/>
      <c r="CY135" s="524"/>
      <c r="CZ135" s="524"/>
      <c r="DA135" s="524">
        <v>2.4101256900243229E-2</v>
      </c>
      <c r="DB135" s="525">
        <v>1.0001256900243893E-2</v>
      </c>
      <c r="DC135" s="463"/>
      <c r="DD135" s="463"/>
      <c r="DE135" s="463">
        <f t="shared" si="383"/>
        <v>-2.4579752683994371</v>
      </c>
      <c r="DF135" s="463">
        <f t="shared" si="384"/>
        <v>-0.96797526839953463</v>
      </c>
      <c r="DG135" s="483"/>
      <c r="DH135" s="483"/>
      <c r="DI135" s="483">
        <f t="shared" si="393"/>
        <v>2.4579752683994371</v>
      </c>
      <c r="DJ135" s="483">
        <f t="shared" si="394"/>
        <v>0.96797526839953463</v>
      </c>
      <c r="DK135" s="483"/>
      <c r="DL135" s="483"/>
      <c r="DM135" s="483">
        <f t="shared" si="329"/>
        <v>4.3804883619954049E-2</v>
      </c>
      <c r="DN135" s="483">
        <f t="shared" si="330"/>
        <v>-1.4918785113352331E-4</v>
      </c>
      <c r="DO135" s="483"/>
      <c r="DP135" s="483">
        <f t="shared" ref="DP135:DP145" si="422">IF(DL135&gt;0,(DL135*10^4*DH135/100*0.25),0)</f>
        <v>0</v>
      </c>
      <c r="DQ135" s="483">
        <f t="shared" ref="DQ135:DQ143" si="423">IF(DM135&gt;0,(DM135*10^4*DI135/100*0.25),0)</f>
        <v>2.6917830143240669</v>
      </c>
      <c r="DR135" s="483">
        <f t="shared" ref="DR135:DR145" si="424">IF(DN135&gt;0,(DN135*10^4*DJ135/100*0.25),0)</f>
        <v>0</v>
      </c>
      <c r="DS135" s="1"/>
      <c r="DT135" s="1"/>
      <c r="DU135" s="1"/>
      <c r="DV135" s="1" t="s">
        <v>632</v>
      </c>
      <c r="DW135" s="552"/>
      <c r="DX135" s="533"/>
      <c r="DY135" s="552"/>
      <c r="DZ135" s="1">
        <f>COUNT(DZ$2:DZ$53)</f>
        <v>17</v>
      </c>
      <c r="EA135" s="528">
        <f>COUNT(EA$4:EA$80)</f>
        <v>35</v>
      </c>
      <c r="EB135" s="528">
        <f>COUNT(EB$6:EB$82)</f>
        <v>44</v>
      </c>
      <c r="EC135" s="546">
        <f>COUNT(EC$4:EC$71)</f>
        <v>27</v>
      </c>
      <c r="ED135" s="552"/>
      <c r="EE135" s="1">
        <f>EE133+2*EE134</f>
        <v>1.0405797384538658</v>
      </c>
      <c r="EF135" s="1">
        <f>EF133+2*EF134</f>
        <v>1.4729637515308018</v>
      </c>
      <c r="EG135" s="1">
        <f>EG133+2*EG134</f>
        <v>1.8445101142825362</v>
      </c>
      <c r="EH135" s="1">
        <f>EH133+2*EH134</f>
        <v>1.5427281338319192</v>
      </c>
      <c r="EI135" s="552"/>
      <c r="EJ135" s="1">
        <f>EJ133+2*EJ134</f>
        <v>1032.1257842176069</v>
      </c>
      <c r="EK135" s="1">
        <f>EK133+2*EK134</f>
        <v>3886.50934929902</v>
      </c>
      <c r="EL135" s="1">
        <f>EL133+2*EL134</f>
        <v>1592.6547962566849</v>
      </c>
      <c r="EM135" s="1">
        <f>EM133+2*EM134</f>
        <v>1813.4250474897985</v>
      </c>
      <c r="EN135" s="552"/>
      <c r="EO135" s="1"/>
      <c r="EP135" s="1"/>
      <c r="EQ135" s="1"/>
      <c r="ER135" s="1"/>
      <c r="ES135" s="552"/>
      <c r="ET135" s="1"/>
      <c r="EU135" s="1"/>
      <c r="EV135" s="1"/>
      <c r="EW135" s="1"/>
      <c r="EX135" s="552"/>
      <c r="EY135" s="533"/>
      <c r="EZ135" s="552"/>
      <c r="FA135" s="764"/>
      <c r="FB135" s="764"/>
      <c r="FC135" s="756">
        <f t="shared" si="370"/>
        <v>0.61346515411690095</v>
      </c>
      <c r="FD135" s="756">
        <f t="shared" si="395"/>
        <v>-0.57475286543238457</v>
      </c>
      <c r="FE135" s="761"/>
      <c r="FF135" s="783"/>
      <c r="FG135" s="761"/>
      <c r="FH135" s="768"/>
      <c r="FI135" s="768"/>
      <c r="FJ135" s="858">
        <f t="shared" si="371"/>
        <v>79.85207237774128</v>
      </c>
      <c r="FK135" s="745">
        <f t="shared" si="372"/>
        <v>-1.1721225472918488</v>
      </c>
      <c r="FL135" s="761"/>
      <c r="FM135" s="764"/>
      <c r="FN135" s="764"/>
      <c r="FO135" s="859">
        <f t="shared" si="373"/>
        <v>79.85207237774128</v>
      </c>
      <c r="FP135" s="859">
        <f t="shared" si="374"/>
        <v>-1.1721225472918488</v>
      </c>
      <c r="FQ135" s="761"/>
      <c r="FR135" s="764"/>
      <c r="FS135" s="764"/>
      <c r="FT135" s="756">
        <f t="shared" si="375"/>
        <v>1672.5068686344262</v>
      </c>
      <c r="FU135" s="756">
        <f t="shared" si="376"/>
        <v>1812.2529249425068</v>
      </c>
      <c r="FV135" s="761"/>
      <c r="FW135" s="765"/>
      <c r="FX135" s="761"/>
      <c r="FY135" s="764"/>
      <c r="FZ135" s="764"/>
      <c r="GA135" s="756">
        <f t="shared" si="377"/>
        <v>361932.98194959667</v>
      </c>
      <c r="GB135" s="756">
        <f t="shared" si="378"/>
        <v>383062.05497697683</v>
      </c>
      <c r="GC135" s="761"/>
      <c r="GD135" s="764"/>
      <c r="GE135" s="764"/>
      <c r="GF135" s="756">
        <f t="shared" si="396"/>
        <v>0.97172107235879446</v>
      </c>
      <c r="GG135" s="756">
        <f t="shared" si="397"/>
        <v>0.99975156736671777</v>
      </c>
      <c r="GH135" s="552"/>
      <c r="GI135" s="764"/>
      <c r="GJ135" s="764"/>
      <c r="GK135" s="756">
        <f t="shared" si="398"/>
        <v>0.97172107235879446</v>
      </c>
      <c r="GL135" s="756">
        <f t="shared" si="399"/>
        <v>0.99975156736671777</v>
      </c>
      <c r="GM135" s="552"/>
    </row>
    <row r="136" spans="1:195">
      <c r="B136" s="134"/>
      <c r="C136" s="288"/>
      <c r="D136" s="134"/>
      <c r="E136" s="134"/>
      <c r="F136" s="134"/>
      <c r="G136" s="134"/>
      <c r="J136" s="134"/>
      <c r="K136" s="134"/>
      <c r="L136" s="134"/>
      <c r="M136" s="134"/>
      <c r="P136" s="134"/>
      <c r="Q136" s="134"/>
      <c r="R136" s="134"/>
      <c r="S136" s="134"/>
      <c r="T136" s="300" t="s">
        <v>144</v>
      </c>
      <c r="U136" s="236">
        <f>AVERAGE(U4:U8,U18:U24,U31,U33:U35,U48:U51,U56:U58,U62,U80)</f>
        <v>0.86446298412735956</v>
      </c>
      <c r="V136" s="236">
        <f>AVERAGE(V4:V8,V18:V24,V31,V33:V35,V48:V51,V56:V58,V62,V80)</f>
        <v>1.5024595617922167</v>
      </c>
      <c r="W136" s="236">
        <f>AVERAGE(W4:W8,W18:W24,W31,W33:W35,W48:W51,W56:W58,W62,W80)</f>
        <v>1.7463322549806843</v>
      </c>
      <c r="X136" s="236">
        <f>AVERAGE(X4:X8,X18:X24,X31,X33:X35,X48:X51,X56:X58,X62,X80)</f>
        <v>-0.11642445833742594</v>
      </c>
      <c r="Z136" s="300" t="s">
        <v>144</v>
      </c>
      <c r="AA136" s="300" t="s">
        <v>144</v>
      </c>
      <c r="AB136" s="288"/>
      <c r="AC136" s="267">
        <v>0</v>
      </c>
      <c r="AD136" s="236">
        <f>AVERAGE(AD4:AD8,AD18:AD24,AD31,AD33:AD35,AD48:AD51,AD56:AD58,AD62,AD80)</f>
        <v>0.62934046435693913</v>
      </c>
      <c r="AE136" s="236"/>
      <c r="AF136" s="267">
        <v>0.67656263821812934</v>
      </c>
      <c r="AG136" s="236">
        <f>AVERAGE(AG4:AG8,AG18:AG24,AG31,AG33:AG35,AG48:AG51,AG56:AG58,AG62,AG80)</f>
        <v>1.4220787237573562</v>
      </c>
      <c r="AH136" s="236"/>
      <c r="AI136" s="269">
        <v>1.026062638218129</v>
      </c>
      <c r="AJ136" s="236">
        <f>AVERAGE(AJ4:AJ8,AJ18:AJ24,AJ31,AJ33:AJ35,AJ48:AJ51,AJ56:AJ58,AJ62,AJ80)</f>
        <v>1.7340722953743242</v>
      </c>
      <c r="AK136" s="297">
        <f t="shared" si="407"/>
        <v>221.20862967196561</v>
      </c>
      <c r="AL136" s="267">
        <v>0.3862626382181289</v>
      </c>
      <c r="AM136" s="236">
        <f>AVERAGE(AM4:AM8,AM18:AM24,AM31,AM33:AM35,AM48:AM51,AM56:AM58,AM62,AM80)</f>
        <v>0.28161767232045676</v>
      </c>
      <c r="AN136" s="297">
        <f t="shared" si="409"/>
        <v>0.6091670134865057</v>
      </c>
      <c r="AP136" s="463">
        <v>0</v>
      </c>
      <c r="AQ136" s="463">
        <v>0.48043955406453004</v>
      </c>
      <c r="AR136" s="463">
        <v>1.2756597880148624</v>
      </c>
      <c r="AS136" s="463">
        <v>2.1630993838814415E-2</v>
      </c>
      <c r="AT136" s="463">
        <f t="shared" si="410"/>
        <v>0</v>
      </c>
      <c r="AU136" s="530">
        <f t="shared" si="411"/>
        <v>8.1430432892293219E-3</v>
      </c>
      <c r="AV136" s="530">
        <f t="shared" si="412"/>
        <v>6.3782989400743118E-2</v>
      </c>
      <c r="AW136" s="530">
        <f t="shared" si="413"/>
        <v>1.1384733599376009E-3</v>
      </c>
      <c r="AX136" s="134"/>
      <c r="AY136" s="267">
        <v>0</v>
      </c>
      <c r="AZ136" s="267"/>
      <c r="BA136" s="269">
        <v>1.026062638218129</v>
      </c>
      <c r="BB136" s="267">
        <v>0.3862626382181289</v>
      </c>
      <c r="BO136"/>
      <c r="BP136" s="300"/>
      <c r="CG136"/>
      <c r="CO136" s="34"/>
      <c r="CY136" s="524"/>
      <c r="CZ136" s="524"/>
      <c r="DA136" s="524">
        <v>2.302094053608017E-2</v>
      </c>
      <c r="DB136" s="524">
        <v>2.4401745915714201E-4</v>
      </c>
      <c r="DC136" s="463"/>
      <c r="DD136" s="463"/>
      <c r="DE136" s="463">
        <f t="shared" si="383"/>
        <v>-2.2676485683238212</v>
      </c>
      <c r="DF136" s="463">
        <f t="shared" si="384"/>
        <v>-7.7648568323773759E-2</v>
      </c>
      <c r="DG136" s="483"/>
      <c r="DH136" s="483"/>
      <c r="DI136" s="483">
        <f t="shared" si="393"/>
        <v>2.2676485683238212</v>
      </c>
      <c r="DJ136" s="483">
        <f t="shared" si="394"/>
        <v>7.7648568323773759E-2</v>
      </c>
      <c r="DK136" s="483"/>
      <c r="DL136" s="483"/>
      <c r="DM136" s="483">
        <f t="shared" si="329"/>
        <v>2.59964159579682E-2</v>
      </c>
      <c r="DN136" s="483" t="s">
        <v>106</v>
      </c>
      <c r="DO136" s="483"/>
      <c r="DP136" s="483">
        <f t="shared" si="422"/>
        <v>0</v>
      </c>
      <c r="DQ136" s="483">
        <f t="shared" si="423"/>
        <v>1.4737683857159283</v>
      </c>
      <c r="DR136" s="483" t="s">
        <v>106</v>
      </c>
      <c r="DS136" s="1"/>
      <c r="DT136" s="1"/>
      <c r="DU136" s="1"/>
      <c r="DV136" s="1" t="s">
        <v>593</v>
      </c>
      <c r="DW136" s="552"/>
      <c r="DX136" s="533"/>
      <c r="DY136" s="552"/>
      <c r="DZ136" s="1">
        <f>DZ134/SQRT(DZ135)</f>
        <v>0.10248985777011424</v>
      </c>
      <c r="EA136" s="1">
        <f>EA134/SQRT(EA135)</f>
        <v>0.12730316036979306</v>
      </c>
      <c r="EB136" s="1">
        <f>EB134/SQRT(EB135)</f>
        <v>7.8234031148050859E-2</v>
      </c>
      <c r="EC136" s="1">
        <f>EC134/SQRT(EC135)</f>
        <v>9.6562107036298403E-2</v>
      </c>
      <c r="ED136" s="552"/>
      <c r="EE136" s="1"/>
      <c r="EF136" s="1"/>
      <c r="EG136" s="1"/>
      <c r="EH136" s="1"/>
      <c r="EI136" s="552"/>
      <c r="EJ136" s="1"/>
      <c r="EK136" s="1"/>
      <c r="EL136" s="1"/>
      <c r="EM136" s="1"/>
      <c r="EN136" s="552"/>
      <c r="EO136" s="1"/>
      <c r="EP136" s="1"/>
      <c r="EQ136" s="1"/>
      <c r="ER136" s="1"/>
      <c r="ES136" s="552"/>
      <c r="ET136" s="1"/>
      <c r="EU136" s="1"/>
      <c r="EV136" s="1"/>
      <c r="EW136" s="1"/>
      <c r="EX136" s="552"/>
      <c r="EY136" s="533"/>
      <c r="EZ136" s="552"/>
      <c r="FA136" s="764"/>
      <c r="FB136" s="764"/>
      <c r="FC136" s="756">
        <f t="shared" si="370"/>
        <v>2.2676485683238212</v>
      </c>
      <c r="FD136" s="756">
        <f t="shared" si="395"/>
        <v>7.7648568323773759E-2</v>
      </c>
      <c r="FE136" s="761"/>
      <c r="FF136" s="783"/>
      <c r="FG136" s="761"/>
      <c r="FH136" s="768"/>
      <c r="FI136" s="768"/>
      <c r="FJ136" s="858">
        <f t="shared" si="371"/>
        <v>289.2748091960172</v>
      </c>
      <c r="FK136" s="745">
        <f t="shared" si="372"/>
        <v>0.16796157030043102</v>
      </c>
      <c r="FL136" s="761"/>
      <c r="FM136" s="764"/>
      <c r="FN136" s="764"/>
      <c r="FO136" s="859">
        <f t="shared" si="373"/>
        <v>289.2748091960172</v>
      </c>
      <c r="FP136" s="859">
        <f t="shared" si="374"/>
        <v>0.16796157030043102</v>
      </c>
      <c r="FQ136" s="761"/>
      <c r="FR136" s="764"/>
      <c r="FS136" s="764"/>
      <c r="FT136" s="756">
        <f t="shared" si="375"/>
        <v>289.2748091960172</v>
      </c>
      <c r="FU136" s="756">
        <f t="shared" si="376"/>
        <v>0.16796157030043102</v>
      </c>
      <c r="FV136" s="761"/>
      <c r="FW136" s="765"/>
      <c r="FX136" s="761"/>
      <c r="FY136" s="764"/>
      <c r="FZ136" s="764"/>
      <c r="GA136" s="756">
        <f t="shared" si="377"/>
        <v>362222.25675879268</v>
      </c>
      <c r="GB136" s="756">
        <f t="shared" si="378"/>
        <v>383062.22293854714</v>
      </c>
      <c r="GC136" s="761"/>
      <c r="GD136" s="764"/>
      <c r="GE136" s="764"/>
      <c r="GF136" s="756">
        <f t="shared" si="396"/>
        <v>0.97249772008590729</v>
      </c>
      <c r="GG136" s="756">
        <f t="shared" si="397"/>
        <v>0.99975200572870382</v>
      </c>
      <c r="GH136" s="552"/>
      <c r="GI136" s="764"/>
      <c r="GJ136" s="764"/>
      <c r="GK136" s="756">
        <f t="shared" si="398"/>
        <v>0.97249772008590729</v>
      </c>
      <c r="GL136" s="756">
        <f t="shared" si="399"/>
        <v>0.99975200572870382</v>
      </c>
      <c r="GM136" s="552"/>
    </row>
    <row r="137" spans="1:195">
      <c r="B137" s="134"/>
      <c r="C137" s="288"/>
      <c r="D137" s="134"/>
      <c r="E137" s="134"/>
      <c r="F137" s="134"/>
      <c r="G137" s="134"/>
      <c r="J137" s="134"/>
      <c r="K137" s="134"/>
      <c r="L137" s="134"/>
      <c r="M137" s="134"/>
      <c r="P137" s="134"/>
      <c r="Q137" s="134"/>
      <c r="R137" s="134"/>
      <c r="S137" s="134"/>
      <c r="U137" s="134"/>
      <c r="V137" s="134"/>
      <c r="W137" s="134"/>
      <c r="X137" s="134"/>
      <c r="AB137" s="288"/>
      <c r="AC137" s="267">
        <v>0</v>
      </c>
      <c r="AD137" s="134"/>
      <c r="AE137" s="134"/>
      <c r="AF137" s="267">
        <v>0.6774861525348912</v>
      </c>
      <c r="AG137" s="134"/>
      <c r="AH137" s="134"/>
      <c r="AI137" s="269">
        <v>1.0033861525348908</v>
      </c>
      <c r="AJ137" s="134"/>
      <c r="AK137" s="134"/>
      <c r="AL137" s="267">
        <v>0.38548615253489116</v>
      </c>
      <c r="AM137" s="134"/>
      <c r="AN137" s="134"/>
      <c r="AP137" s="463">
        <v>0</v>
      </c>
      <c r="AQ137" s="463">
        <v>0.47559980154461917</v>
      </c>
      <c r="AR137" s="463">
        <v>1.2226842458916023</v>
      </c>
      <c r="AS137" s="463">
        <v>1.9979576274281003E-2</v>
      </c>
      <c r="AT137" s="463">
        <f t="shared" si="410"/>
        <v>0</v>
      </c>
      <c r="AU137" s="530">
        <f t="shared" si="411"/>
        <v>8.0610135855020207E-3</v>
      </c>
      <c r="AV137" s="530">
        <f t="shared" si="412"/>
        <v>6.1134212294580118E-2</v>
      </c>
      <c r="AW137" s="530">
        <f t="shared" si="413"/>
        <v>1.0515566460147896E-3</v>
      </c>
      <c r="AX137" s="134"/>
      <c r="AY137" s="267">
        <v>0</v>
      </c>
      <c r="AZ137" s="267"/>
      <c r="BA137" s="269">
        <v>1.0033861525348908</v>
      </c>
      <c r="BB137" s="267">
        <v>0.38548615253489116</v>
      </c>
      <c r="BO137"/>
      <c r="BP137" s="300"/>
      <c r="CG137"/>
      <c r="CO137" s="34"/>
      <c r="CS137"/>
      <c r="CT137" s="300"/>
      <c r="CY137" s="524"/>
      <c r="CZ137" s="524"/>
      <c r="DA137" s="524">
        <v>2.1011878997422073E-2</v>
      </c>
      <c r="DB137" s="524">
        <v>2.7041866897294931E-3</v>
      </c>
      <c r="DC137" s="463"/>
      <c r="DD137" s="463"/>
      <c r="DE137" s="463">
        <f t="shared" si="383"/>
        <v>-2.1160124832849792</v>
      </c>
      <c r="DF137" s="463">
        <f t="shared" si="384"/>
        <v>-0.20601248328500077</v>
      </c>
      <c r="DG137" s="483"/>
      <c r="DH137" s="483"/>
      <c r="DI137" s="483">
        <f t="shared" si="393"/>
        <v>2.1160124832849792</v>
      </c>
      <c r="DJ137" s="483">
        <f t="shared" si="394"/>
        <v>0.20601248328500077</v>
      </c>
      <c r="DK137" s="483"/>
      <c r="DL137" s="483"/>
      <c r="DM137" s="483">
        <f t="shared" si="329"/>
        <v>5.2975542123260055E-2</v>
      </c>
      <c r="DN137" s="483">
        <f t="shared" si="330"/>
        <v>1.6514175645334118E-3</v>
      </c>
      <c r="DO137" s="483"/>
      <c r="DP137" s="483">
        <f t="shared" si="422"/>
        <v>0</v>
      </c>
      <c r="DQ137" s="483">
        <f t="shared" si="423"/>
        <v>2.8024227110401885</v>
      </c>
      <c r="DR137" s="483">
        <f t="shared" si="424"/>
        <v>8.5053158352499051E-3</v>
      </c>
      <c r="DS137" s="1"/>
      <c r="DT137" s="1"/>
      <c r="DU137" s="1"/>
      <c r="DV137" s="1"/>
      <c r="DW137" s="552"/>
      <c r="DX137" s="533"/>
      <c r="DY137" s="552"/>
      <c r="DZ137" s="1"/>
      <c r="EA137" s="1"/>
      <c r="EB137" s="1"/>
      <c r="EC137" s="547"/>
      <c r="ED137" s="552"/>
      <c r="EE137" s="1"/>
      <c r="EF137" s="1"/>
      <c r="EG137" s="1"/>
      <c r="EI137" s="552"/>
      <c r="EJ137" s="1"/>
      <c r="EK137" s="1"/>
      <c r="EL137" s="1"/>
      <c r="EN137" s="552"/>
      <c r="EO137" s="1"/>
      <c r="EP137" s="1"/>
      <c r="EQ137" s="1"/>
      <c r="EX137" s="552"/>
      <c r="EY137" s="533"/>
      <c r="EZ137" s="552"/>
      <c r="FA137" s="764"/>
      <c r="FB137" s="764"/>
      <c r="FC137" s="756">
        <f t="shared" si="370"/>
        <v>2.1160124832849792</v>
      </c>
      <c r="FD137" s="756" t="e">
        <f>CR137-ER149-#REF!-DF137</f>
        <v>#VALUE!</v>
      </c>
      <c r="FE137" s="761"/>
      <c r="FF137" s="783"/>
      <c r="FG137" s="761"/>
      <c r="FH137" s="768"/>
      <c r="FI137" s="768"/>
      <c r="FJ137" s="858">
        <f t="shared" ref="FJ137:FJ146" si="425">FC137/100*AR137*10^4</f>
        <v>258.72151274225115</v>
      </c>
      <c r="FK137" s="745">
        <f>AVERAGE(FK136,FK138)</f>
        <v>9.6281572325541603E-2</v>
      </c>
      <c r="FL137" s="761"/>
      <c r="FM137" s="764"/>
      <c r="FN137" s="764"/>
      <c r="FO137" s="859">
        <f t="shared" si="373"/>
        <v>258.72151274225115</v>
      </c>
      <c r="FP137" s="859">
        <f t="shared" si="374"/>
        <v>9.6281572325541603E-2</v>
      </c>
      <c r="FQ137" s="761"/>
      <c r="FR137" s="764"/>
      <c r="FS137" s="764"/>
      <c r="FT137" s="756">
        <f t="shared" si="375"/>
        <v>258.72151274225115</v>
      </c>
      <c r="FU137" s="756">
        <f t="shared" si="376"/>
        <v>9.6281572325541603E-2</v>
      </c>
      <c r="FV137" s="761"/>
      <c r="FW137" s="765"/>
      <c r="FX137" s="761"/>
      <c r="FY137" s="764"/>
      <c r="FZ137" s="764"/>
      <c r="GA137" s="756">
        <f t="shared" si="377"/>
        <v>362480.9782715349</v>
      </c>
      <c r="GB137" s="756">
        <f t="shared" si="378"/>
        <v>383062.31922011945</v>
      </c>
      <c r="GC137" s="761"/>
      <c r="GD137" s="764"/>
      <c r="GE137" s="764"/>
      <c r="GF137" s="756">
        <f t="shared" si="396"/>
        <v>0.97319233803547889</v>
      </c>
      <c r="GG137" s="756">
        <f t="shared" si="397"/>
        <v>0.99975225701345405</v>
      </c>
      <c r="GH137" s="552"/>
      <c r="GI137" s="764"/>
      <c r="GJ137" s="764"/>
      <c r="GK137" s="756">
        <f t="shared" si="398"/>
        <v>0.97319233803547889</v>
      </c>
      <c r="GL137" s="756">
        <f t="shared" si="399"/>
        <v>0.99975225701345405</v>
      </c>
      <c r="GM137" s="552"/>
    </row>
    <row r="138" spans="1:195">
      <c r="B138" s="134"/>
      <c r="C138" s="288"/>
      <c r="D138" s="134"/>
      <c r="E138" s="134"/>
      <c r="F138" s="134"/>
      <c r="G138" s="134"/>
      <c r="J138" s="134"/>
      <c r="K138" s="134"/>
      <c r="L138" s="134"/>
      <c r="M138" s="134"/>
      <c r="P138" s="134"/>
      <c r="Q138" s="134"/>
      <c r="R138" s="134"/>
      <c r="S138" s="134"/>
      <c r="U138" s="134"/>
      <c r="V138" s="134"/>
      <c r="W138" s="134"/>
      <c r="X138" s="134"/>
      <c r="AB138" s="288"/>
      <c r="AC138" s="267">
        <v>0</v>
      </c>
      <c r="AD138" s="134"/>
      <c r="AE138" s="134"/>
      <c r="AF138" s="267">
        <v>0.67782602770204092</v>
      </c>
      <c r="AG138" s="134"/>
      <c r="AH138" s="134"/>
      <c r="AI138" s="269">
        <v>0.98222602770204104</v>
      </c>
      <c r="AJ138" s="236"/>
      <c r="AK138" s="236"/>
      <c r="AL138" s="267">
        <v>0.38342602770204115</v>
      </c>
      <c r="AM138" s="236">
        <f>MAX(AM4:AM132)</f>
        <v>3.5424000000000002</v>
      </c>
      <c r="AN138" s="236"/>
      <c r="AP138" s="463">
        <v>0</v>
      </c>
      <c r="AQ138" s="463">
        <v>0.47747417183526297</v>
      </c>
      <c r="AR138" s="463">
        <v>1.1746932865312707</v>
      </c>
      <c r="AS138" s="463">
        <v>1.9850991894769097E-2</v>
      </c>
      <c r="AT138" s="463">
        <f t="shared" si="410"/>
        <v>0</v>
      </c>
      <c r="AU138" s="530">
        <f t="shared" si="411"/>
        <v>8.0927825734790331E-3</v>
      </c>
      <c r="AV138" s="530">
        <f t="shared" si="412"/>
        <v>5.8734664326563532E-2</v>
      </c>
      <c r="AW138" s="530">
        <f t="shared" si="413"/>
        <v>1.0447890470931104E-3</v>
      </c>
      <c r="AX138" s="134"/>
      <c r="AY138" s="267">
        <v>0</v>
      </c>
      <c r="AZ138" s="267"/>
      <c r="BA138" s="269">
        <v>0.98222602770204104</v>
      </c>
      <c r="BB138" s="267">
        <v>0.38342602770204115</v>
      </c>
      <c r="BO138"/>
      <c r="BP138" s="300"/>
      <c r="CG138"/>
      <c r="CO138" s="34"/>
      <c r="CS138"/>
      <c r="CT138" s="300"/>
      <c r="CY138" s="524"/>
      <c r="CZ138" s="524"/>
      <c r="DA138" s="524">
        <v>2.288336119555523E-2</v>
      </c>
      <c r="DB138" s="524">
        <v>-1.0894649675219359E-4</v>
      </c>
      <c r="DC138" s="463"/>
      <c r="DD138" s="463"/>
      <c r="DE138" s="463">
        <f t="shared" si="383"/>
        <v>-2.262393120948758</v>
      </c>
      <c r="DF138" s="463">
        <f t="shared" si="384"/>
        <v>-1.2393120948850367E-2</v>
      </c>
      <c r="DG138" s="483"/>
      <c r="DH138" s="483"/>
      <c r="DI138" s="483">
        <f t="shared" si="393"/>
        <v>2.262393120948758</v>
      </c>
      <c r="DJ138" s="483">
        <f t="shared" si="394"/>
        <v>1.2393120948850367E-2</v>
      </c>
      <c r="DK138" s="483"/>
      <c r="DL138" s="483"/>
      <c r="DM138" s="483">
        <f t="shared" si="329"/>
        <v>4.7990959360331598E-2</v>
      </c>
      <c r="DN138" s="483">
        <f t="shared" si="330"/>
        <v>1.2858437951190557E-4</v>
      </c>
      <c r="DO138" s="483"/>
      <c r="DP138" s="483">
        <f t="shared" si="422"/>
        <v>0</v>
      </c>
      <c r="DQ138" s="483">
        <f t="shared" si="423"/>
        <v>2.7143604081136403</v>
      </c>
      <c r="DR138" s="483">
        <f t="shared" si="424"/>
        <v>3.9839044185598074E-5</v>
      </c>
      <c r="DS138" s="1"/>
      <c r="DT138" s="1"/>
      <c r="DU138" s="1"/>
      <c r="DV138" s="1"/>
      <c r="DW138" s="552"/>
      <c r="DX138" s="533"/>
      <c r="DY138" s="552"/>
      <c r="DZ138" s="674">
        <f>DZ133*10</f>
        <v>5.4775251020650462</v>
      </c>
      <c r="EA138" s="674">
        <f t="shared" ref="EA138:EC138" si="426">EA133*10</f>
        <v>9.1062328506962178</v>
      </c>
      <c r="EB138" s="674">
        <f t="shared" si="426"/>
        <v>10.102644158018974</v>
      </c>
      <c r="EC138" s="674">
        <f t="shared" si="426"/>
        <v>7.2775691442460131</v>
      </c>
      <c r="ED138" s="552"/>
      <c r="EE138" s="1"/>
      <c r="EF138" s="1"/>
      <c r="EG138" s="1"/>
      <c r="EH138" s="1"/>
      <c r="EI138" s="552"/>
      <c r="EJ138" s="1"/>
      <c r="EK138" s="1"/>
      <c r="EL138" s="1"/>
      <c r="EM138" s="1"/>
      <c r="EN138" s="552"/>
      <c r="EO138" s="1"/>
      <c r="EP138" s="1"/>
      <c r="EQ138" s="1"/>
      <c r="ER138" s="1"/>
      <c r="ES138" s="552"/>
      <c r="ET138" s="1"/>
      <c r="EU138" s="1"/>
      <c r="EV138" s="1"/>
      <c r="EW138" s="1"/>
      <c r="EX138" s="552"/>
      <c r="EY138" s="533"/>
      <c r="EZ138" s="552"/>
      <c r="FA138" s="764"/>
      <c r="FB138" s="764"/>
      <c r="FC138" s="756">
        <f t="shared" si="370"/>
        <v>2.262393120948758</v>
      </c>
      <c r="FD138" s="756">
        <f t="shared" si="395"/>
        <v>1.2393120948850367E-2</v>
      </c>
      <c r="FE138" s="761"/>
      <c r="FF138" s="783"/>
      <c r="FG138" s="761"/>
      <c r="FH138" s="768"/>
      <c r="FI138" s="768"/>
      <c r="FJ138" s="858">
        <f t="shared" si="425"/>
        <v>265.76180106730351</v>
      </c>
      <c r="FK138" s="745">
        <f t="shared" ref="FK138:FK146" si="427">FD138/100*AS138*10^4</f>
        <v>2.4601574350652175E-2</v>
      </c>
      <c r="FL138" s="761"/>
      <c r="FM138" s="764"/>
      <c r="FN138" s="764"/>
      <c r="FO138" s="859">
        <f t="shared" si="373"/>
        <v>265.76180106730351</v>
      </c>
      <c r="FP138" s="859">
        <f t="shared" si="374"/>
        <v>2.4601574350652175E-2</v>
      </c>
      <c r="FQ138" s="761"/>
      <c r="FR138" s="764"/>
      <c r="FS138" s="764"/>
      <c r="FT138" s="756">
        <f t="shared" si="375"/>
        <v>265.76180106730351</v>
      </c>
      <c r="FU138" s="756">
        <f t="shared" si="376"/>
        <v>2.4601574350652175E-2</v>
      </c>
      <c r="FV138" s="761"/>
      <c r="FW138" s="765"/>
      <c r="FX138" s="761"/>
      <c r="FY138" s="764"/>
      <c r="FZ138" s="764"/>
      <c r="GA138" s="756">
        <f t="shared" si="377"/>
        <v>362746.74007260223</v>
      </c>
      <c r="GB138" s="756">
        <f t="shared" si="378"/>
        <v>383062.34382169379</v>
      </c>
      <c r="GC138" s="761"/>
      <c r="GD138" s="764"/>
      <c r="GE138" s="764"/>
      <c r="GF138" s="756">
        <f t="shared" si="396"/>
        <v>0.9739058578173293</v>
      </c>
      <c r="GG138" s="756">
        <f t="shared" si="397"/>
        <v>0.9997523212209688</v>
      </c>
      <c r="GH138" s="552"/>
      <c r="GI138" s="764"/>
      <c r="GJ138" s="764"/>
      <c r="GK138" s="756">
        <f t="shared" si="398"/>
        <v>0.9739058578173293</v>
      </c>
      <c r="GL138" s="756">
        <f t="shared" si="399"/>
        <v>0.9997523212209688</v>
      </c>
      <c r="GM138" s="552"/>
    </row>
    <row r="139" spans="1:195">
      <c r="B139" s="134"/>
      <c r="C139" s="288"/>
      <c r="D139" s="134"/>
      <c r="E139" s="134"/>
      <c r="F139" s="134"/>
      <c r="G139" s="134"/>
      <c r="J139" s="134"/>
      <c r="K139" s="134"/>
      <c r="L139" s="134"/>
      <c r="M139" s="134"/>
      <c r="P139" s="134"/>
      <c r="Q139" s="134"/>
      <c r="R139" s="134"/>
      <c r="S139" s="134"/>
      <c r="U139" s="134"/>
      <c r="V139" s="134"/>
      <c r="W139" s="134"/>
      <c r="X139" s="134"/>
      <c r="AB139" s="288"/>
      <c r="AC139" s="267">
        <v>0</v>
      </c>
      <c r="AD139" s="134"/>
      <c r="AE139" s="134"/>
      <c r="AF139" s="267">
        <v>0.6777020964925542</v>
      </c>
      <c r="AG139" s="134"/>
      <c r="AH139" s="134"/>
      <c r="AI139" s="269">
        <v>0.95960209649255346</v>
      </c>
      <c r="AJ139" s="134"/>
      <c r="AK139" s="134"/>
      <c r="AL139" s="267">
        <v>0.38330209649255265</v>
      </c>
      <c r="AM139" s="134"/>
      <c r="AN139" s="134"/>
      <c r="AP139" s="463">
        <v>0</v>
      </c>
      <c r="AQ139" s="463">
        <v>0.47816519724139001</v>
      </c>
      <c r="AR139" s="463">
        <v>1.130678984316456</v>
      </c>
      <c r="AS139" s="463">
        <v>1.9512601943028601E-2</v>
      </c>
      <c r="AT139" s="463">
        <f t="shared" si="410"/>
        <v>0</v>
      </c>
      <c r="AU139" s="530">
        <f t="shared" si="411"/>
        <v>8.1044948684981365E-3</v>
      </c>
      <c r="AV139" s="530">
        <f t="shared" si="412"/>
        <v>5.6533949215822797E-2</v>
      </c>
      <c r="AW139" s="530">
        <f t="shared" si="413"/>
        <v>1.0269790496330842E-3</v>
      </c>
      <c r="AX139" s="134"/>
      <c r="AY139" s="267">
        <v>0</v>
      </c>
      <c r="AZ139" s="267"/>
      <c r="BA139" s="269">
        <v>0.95960209649255346</v>
      </c>
      <c r="BB139" s="267">
        <v>0.38330209649255265</v>
      </c>
      <c r="BO139"/>
      <c r="BP139" s="300"/>
      <c r="CG139"/>
      <c r="CO139" s="34"/>
      <c r="CS139"/>
      <c r="CT139" s="300"/>
      <c r="CY139" s="524"/>
      <c r="CZ139" s="524"/>
      <c r="DA139" s="524">
        <v>-4.2555201067558723E-2</v>
      </c>
      <c r="DB139" s="525">
        <v>-7.3370585682943634E-2</v>
      </c>
      <c r="DC139" s="463"/>
      <c r="DD139" s="463"/>
      <c r="DE139" s="463">
        <f t="shared" si="383"/>
        <v>4.2951127070041899</v>
      </c>
      <c r="DF139" s="463">
        <f t="shared" si="384"/>
        <v>7.3751127070043054</v>
      </c>
      <c r="DG139" s="483"/>
      <c r="DH139" s="483"/>
      <c r="DI139" s="483">
        <f t="shared" si="393"/>
        <v>0</v>
      </c>
      <c r="DJ139" s="483">
        <f t="shared" si="394"/>
        <v>0</v>
      </c>
      <c r="DK139" s="483"/>
      <c r="DL139" s="483"/>
      <c r="DM139" s="483">
        <f t="shared" si="329"/>
        <v>0</v>
      </c>
      <c r="DN139" s="483">
        <f t="shared" si="330"/>
        <v>0</v>
      </c>
      <c r="DO139" s="483"/>
      <c r="DP139" s="483">
        <f t="shared" si="422"/>
        <v>0</v>
      </c>
      <c r="DQ139" s="483">
        <f t="shared" si="423"/>
        <v>0</v>
      </c>
      <c r="DR139" s="483">
        <f t="shared" si="424"/>
        <v>0</v>
      </c>
      <c r="DS139" s="1"/>
      <c r="DT139" s="1"/>
      <c r="DU139" s="1"/>
      <c r="DV139" s="1"/>
      <c r="DW139" s="552"/>
      <c r="DX139" s="533"/>
      <c r="DY139" s="552"/>
      <c r="DZ139" s="674">
        <f t="shared" ref="DZ139:EC139" si="428">DZ134*10</f>
        <v>4.2257650914071192</v>
      </c>
      <c r="EA139" s="674">
        <f t="shared" si="428"/>
        <v>7.5313565338842094</v>
      </c>
      <c r="EB139" s="674">
        <f t="shared" si="428"/>
        <v>5.1894585431012397</v>
      </c>
      <c r="EC139" s="674">
        <f t="shared" si="428"/>
        <v>5.0175142641831902</v>
      </c>
      <c r="ED139" s="552"/>
      <c r="EE139" s="1"/>
      <c r="EF139" s="1"/>
      <c r="EG139" s="1"/>
      <c r="EH139" s="1"/>
      <c r="EI139" s="552"/>
      <c r="EJ139" s="1"/>
      <c r="EK139" s="1"/>
      <c r="EL139" s="1"/>
      <c r="EM139" s="1"/>
      <c r="EN139" s="552"/>
      <c r="EO139" s="1"/>
      <c r="EP139" s="1"/>
      <c r="EQ139" s="1"/>
      <c r="ER139" s="1"/>
      <c r="ES139" s="552"/>
      <c r="ET139" s="1"/>
      <c r="EU139" s="1"/>
      <c r="EV139" s="1"/>
      <c r="EW139" s="1"/>
      <c r="EX139" s="552"/>
      <c r="EY139" s="533"/>
      <c r="EZ139" s="552"/>
      <c r="FA139" s="764"/>
      <c r="FB139" s="764"/>
      <c r="FC139" s="756">
        <f t="shared" si="370"/>
        <v>-4.2951127070041899</v>
      </c>
      <c r="FD139" s="756">
        <f t="shared" si="395"/>
        <v>-7.3751127070043054</v>
      </c>
      <c r="FE139" s="761"/>
      <c r="FF139" s="783"/>
      <c r="FG139" s="761"/>
      <c r="FH139" s="768"/>
      <c r="FI139" s="768"/>
      <c r="FJ139" s="858">
        <f t="shared" si="425"/>
        <v>-485.6393673080201</v>
      </c>
      <c r="FK139" s="745">
        <f t="shared" si="427"/>
        <v>-14.390763853674713</v>
      </c>
      <c r="FL139" s="761"/>
      <c r="FM139" s="764"/>
      <c r="FN139" s="764"/>
      <c r="FO139" s="859">
        <f t="shared" si="373"/>
        <v>-485.6393673080201</v>
      </c>
      <c r="FP139" s="859">
        <f t="shared" si="374"/>
        <v>-14.390763853674713</v>
      </c>
      <c r="FQ139" s="761"/>
      <c r="FR139" s="764"/>
      <c r="FS139" s="764"/>
      <c r="FT139" s="756">
        <f t="shared" si="375"/>
        <v>-485.6393673080201</v>
      </c>
      <c r="FU139" s="756">
        <f t="shared" si="376"/>
        <v>-14.390763853674713</v>
      </c>
      <c r="FV139" s="761"/>
      <c r="FW139" s="765"/>
      <c r="FX139" s="761"/>
      <c r="FY139" s="764"/>
      <c r="FZ139" s="764"/>
      <c r="GA139" s="756">
        <f t="shared" si="377"/>
        <v>362261.10070529423</v>
      </c>
      <c r="GB139" s="756">
        <f t="shared" si="378"/>
        <v>383047.95305784012</v>
      </c>
      <c r="GC139" s="761"/>
      <c r="GD139" s="764"/>
      <c r="GE139" s="764"/>
      <c r="GF139" s="756">
        <f t="shared" si="396"/>
        <v>0.97260200867863467</v>
      </c>
      <c r="GG139" s="756">
        <f t="shared" si="397"/>
        <v>0.99971476284490046</v>
      </c>
      <c r="GH139" s="552"/>
      <c r="GI139" s="764"/>
      <c r="GJ139" s="764"/>
      <c r="GK139" s="756">
        <f t="shared" si="398"/>
        <v>0.97260200867863467</v>
      </c>
      <c r="GL139" s="756">
        <f t="shared" si="399"/>
        <v>0.99971476284490046</v>
      </c>
      <c r="GM139" s="552"/>
    </row>
    <row r="140" spans="1:195">
      <c r="B140" s="134"/>
      <c r="C140" s="288"/>
      <c r="D140" s="134"/>
      <c r="E140" s="134"/>
      <c r="F140" s="134"/>
      <c r="G140" s="134"/>
      <c r="J140" s="134"/>
      <c r="K140" s="134"/>
      <c r="L140" s="134"/>
      <c r="M140" s="134"/>
      <c r="P140" s="134"/>
      <c r="Q140" s="134"/>
      <c r="R140" s="134"/>
      <c r="S140" s="134"/>
      <c r="U140" s="134"/>
      <c r="V140" s="134"/>
      <c r="W140" s="134"/>
      <c r="X140" s="134"/>
      <c r="AB140" s="288"/>
      <c r="AC140" s="267">
        <v>0</v>
      </c>
      <c r="AD140" s="134"/>
      <c r="AE140" s="134"/>
      <c r="AF140" s="267">
        <v>0.6775532235625954</v>
      </c>
      <c r="AG140" s="134"/>
      <c r="AH140" s="134"/>
      <c r="AI140" s="269">
        <v>1.0025532235625954</v>
      </c>
      <c r="AJ140" s="134"/>
      <c r="AK140" s="134"/>
      <c r="AL140" s="267">
        <v>0.4570532235625957</v>
      </c>
      <c r="AM140" s="134"/>
      <c r="AN140" s="134"/>
      <c r="AP140" s="463">
        <v>0</v>
      </c>
      <c r="AQ140" s="463">
        <v>0.47791314789007372</v>
      </c>
      <c r="AR140" s="463">
        <v>1.0844433453736262</v>
      </c>
      <c r="AS140" s="463">
        <v>1.9492372923170177E-2</v>
      </c>
      <c r="AT140" s="463">
        <f t="shared" si="410"/>
        <v>0</v>
      </c>
      <c r="AU140" s="530">
        <f t="shared" si="411"/>
        <v>8.1002228455944701E-3</v>
      </c>
      <c r="AV140" s="530">
        <f t="shared" si="412"/>
        <v>5.4222167268681308E-2</v>
      </c>
      <c r="AW140" s="530">
        <f t="shared" si="413"/>
        <v>1.0259143643773776E-3</v>
      </c>
      <c r="AX140" s="134"/>
      <c r="AY140" s="267">
        <v>0</v>
      </c>
      <c r="AZ140" s="267"/>
      <c r="BA140" s="269">
        <v>1.0025532235625954</v>
      </c>
      <c r="BB140" s="267">
        <v>0.4570532235625957</v>
      </c>
      <c r="BO140"/>
      <c r="BP140" s="300"/>
      <c r="CG140"/>
      <c r="CO140" s="34"/>
      <c r="CS140"/>
      <c r="CT140" s="300"/>
      <c r="CY140" s="524"/>
      <c r="CZ140" s="524"/>
      <c r="DA140" s="525">
        <v>1.4997046456137086E-2</v>
      </c>
      <c r="DB140" s="525">
        <v>-3.5849107390016455E-2</v>
      </c>
      <c r="DC140" s="463"/>
      <c r="DD140" s="463"/>
      <c r="DE140" s="463">
        <f t="shared" si="383"/>
        <v>-1.499632315559285</v>
      </c>
      <c r="DF140" s="463">
        <f t="shared" si="384"/>
        <v>3.6003676844405419</v>
      </c>
      <c r="DG140" s="483"/>
      <c r="DH140" s="483"/>
      <c r="DI140" s="483">
        <f t="shared" si="393"/>
        <v>1.499632315559285</v>
      </c>
      <c r="DJ140" s="483">
        <f t="shared" si="394"/>
        <v>0</v>
      </c>
      <c r="DK140" s="483"/>
      <c r="DL140" s="483"/>
      <c r="DM140" s="483">
        <f t="shared" ref="DM140:DM145" si="429">IF(DI140=0,0,AR139-AR140)</f>
        <v>4.6235638942829782E-2</v>
      </c>
      <c r="DN140" s="483">
        <f t="shared" ref="DN140:DN143" si="430">IF(DJ140=0,0,AS139-AS140)</f>
        <v>0</v>
      </c>
      <c r="DO140" s="483"/>
      <c r="DP140" s="483">
        <f t="shared" si="422"/>
        <v>0</v>
      </c>
      <c r="DQ140" s="483">
        <f t="shared" si="423"/>
        <v>1.7334114572299719</v>
      </c>
      <c r="DR140" s="483">
        <f t="shared" si="424"/>
        <v>0</v>
      </c>
      <c r="DS140" s="1"/>
      <c r="DT140" s="1"/>
      <c r="DU140" s="1"/>
      <c r="DV140" s="1"/>
      <c r="DW140" s="552"/>
      <c r="DX140" s="533"/>
      <c r="DY140" s="552"/>
      <c r="DZ140" s="674">
        <f t="shared" ref="DZ140:EC141" si="431">DZ135*10</f>
        <v>170</v>
      </c>
      <c r="EA140" s="674">
        <f t="shared" si="431"/>
        <v>350</v>
      </c>
      <c r="EB140" s="674">
        <f t="shared" si="431"/>
        <v>440</v>
      </c>
      <c r="EC140" s="674">
        <f t="shared" si="431"/>
        <v>270</v>
      </c>
      <c r="ED140" s="552"/>
      <c r="EE140" s="1"/>
      <c r="EF140" s="1"/>
      <c r="EG140" s="1"/>
      <c r="EH140" s="1"/>
      <c r="EI140" s="552"/>
      <c r="EJ140" s="1"/>
      <c r="EK140" s="1"/>
      <c r="EL140" s="1"/>
      <c r="EM140" s="1"/>
      <c r="EN140" s="552"/>
      <c r="EO140" s="1"/>
      <c r="EP140" s="1"/>
      <c r="EQ140" s="1"/>
      <c r="ER140" s="1"/>
      <c r="ES140" s="552"/>
      <c r="ET140" s="1"/>
      <c r="EU140" s="1"/>
      <c r="EV140" s="1"/>
      <c r="EW140" s="1"/>
      <c r="EX140" s="552"/>
      <c r="EY140" s="533"/>
      <c r="EZ140" s="552"/>
      <c r="FA140" s="764"/>
      <c r="FB140" s="764"/>
      <c r="FC140" s="756">
        <f t="shared" si="370"/>
        <v>1.499632315559285</v>
      </c>
      <c r="FD140" s="756">
        <f t="shared" si="395"/>
        <v>-3.6003676844405419</v>
      </c>
      <c r="FE140" s="761"/>
      <c r="FF140" s="783"/>
      <c r="FG140" s="761"/>
      <c r="FH140" s="768"/>
      <c r="FI140" s="768"/>
      <c r="FJ140" s="858">
        <f t="shared" si="425"/>
        <v>162.62662851155085</v>
      </c>
      <c r="FK140" s="745">
        <f t="shared" si="427"/>
        <v>-7.0179709565645725</v>
      </c>
      <c r="FL140" s="761"/>
      <c r="FM140" s="764"/>
      <c r="FN140" s="764"/>
      <c r="FO140" s="859">
        <f t="shared" si="373"/>
        <v>162.62662851155085</v>
      </c>
      <c r="FP140" s="859">
        <f t="shared" si="374"/>
        <v>-7.0179709565645725</v>
      </c>
      <c r="FQ140" s="761"/>
      <c r="FR140" s="764"/>
      <c r="FS140" s="764"/>
      <c r="FT140" s="756">
        <f t="shared" si="375"/>
        <v>162.62662851155085</v>
      </c>
      <c r="FU140" s="756">
        <f t="shared" si="376"/>
        <v>-7.0179709565645725</v>
      </c>
      <c r="FV140" s="761"/>
      <c r="FW140" s="765"/>
      <c r="FX140" s="761"/>
      <c r="FY140" s="764"/>
      <c r="FZ140" s="764"/>
      <c r="GA140" s="756">
        <f t="shared" si="377"/>
        <v>362423.72733380576</v>
      </c>
      <c r="GB140" s="756">
        <f t="shared" si="378"/>
        <v>383040.93508688355</v>
      </c>
      <c r="GC140" s="761"/>
      <c r="GD140" s="764"/>
      <c r="GE140" s="764"/>
      <c r="GF140" s="756">
        <f t="shared" si="396"/>
        <v>0.9730386301796653</v>
      </c>
      <c r="GG140" s="756">
        <f t="shared" si="397"/>
        <v>0.99969644668078972</v>
      </c>
      <c r="GH140" s="552"/>
      <c r="GI140" s="764"/>
      <c r="GJ140" s="764"/>
      <c r="GK140" s="756">
        <f t="shared" si="398"/>
        <v>0.9730386301796653</v>
      </c>
      <c r="GL140" s="756">
        <f t="shared" si="399"/>
        <v>0.99969644668078972</v>
      </c>
      <c r="GM140" s="552"/>
    </row>
    <row r="141" spans="1:195">
      <c r="B141" s="134"/>
      <c r="C141" s="288"/>
      <c r="D141" s="134"/>
      <c r="E141" s="134"/>
      <c r="F141" s="134"/>
      <c r="G141" s="134"/>
      <c r="J141" s="134"/>
      <c r="K141" s="134"/>
      <c r="L141" s="134"/>
      <c r="M141" s="134"/>
      <c r="P141" s="134"/>
      <c r="Q141" s="134"/>
      <c r="R141" s="134"/>
      <c r="S141" s="134"/>
      <c r="U141" s="134"/>
      <c r="V141" s="134"/>
      <c r="W141" s="134"/>
      <c r="X141" s="134"/>
      <c r="AB141" s="288"/>
      <c r="AC141" s="267">
        <v>0</v>
      </c>
      <c r="AD141" s="134"/>
      <c r="AE141" s="134"/>
      <c r="AF141" s="267">
        <v>0.67885690040700175</v>
      </c>
      <c r="AG141" s="134"/>
      <c r="AH141" s="134"/>
      <c r="AI141" s="269">
        <v>0.9875569004070025</v>
      </c>
      <c r="AJ141" s="134"/>
      <c r="AK141" s="134"/>
      <c r="AL141" s="267">
        <v>0.49305690040700112</v>
      </c>
      <c r="AM141" s="134"/>
      <c r="AN141" s="134"/>
      <c r="AP141" s="463">
        <v>0</v>
      </c>
      <c r="AQ141" s="463">
        <v>0.4776104872181699</v>
      </c>
      <c r="AR141" s="463">
        <v>1.1729467128799538</v>
      </c>
      <c r="AS141" s="463">
        <v>3.4283395827165483E-2</v>
      </c>
      <c r="AT141" s="463">
        <f t="shared" si="410"/>
        <v>0</v>
      </c>
      <c r="AU141" s="530">
        <f t="shared" si="411"/>
        <v>8.0950930036977949E-3</v>
      </c>
      <c r="AV141" s="530">
        <f t="shared" si="412"/>
        <v>5.864733564399769E-2</v>
      </c>
      <c r="AW141" s="530">
        <f t="shared" si="413"/>
        <v>1.8043892540613412E-3</v>
      </c>
      <c r="AX141" s="134"/>
      <c r="AY141" s="267">
        <v>0</v>
      </c>
      <c r="AZ141" s="267"/>
      <c r="BA141" s="269">
        <v>0.9875569004070025</v>
      </c>
      <c r="BB141" s="267">
        <v>0.49305690040700112</v>
      </c>
      <c r="BO141"/>
      <c r="BP141" s="300"/>
      <c r="CG141"/>
      <c r="CO141" s="34"/>
      <c r="CS141"/>
      <c r="CT141" s="300"/>
      <c r="CY141" s="524"/>
      <c r="CZ141" s="524"/>
      <c r="DA141" s="524">
        <v>1.8886926070730725E-2</v>
      </c>
      <c r="DB141" s="525">
        <v>9.8094618378423371E-2</v>
      </c>
      <c r="DC141" s="463"/>
      <c r="DD141" s="463"/>
      <c r="DE141" s="463">
        <f t="shared" si="383"/>
        <v>-1.9398975390870987</v>
      </c>
      <c r="DF141" s="463">
        <f t="shared" si="384"/>
        <v>-9.8998975390870214</v>
      </c>
      <c r="DG141" s="483"/>
      <c r="DH141" s="483"/>
      <c r="DI141" s="483">
        <f t="shared" si="393"/>
        <v>1.9398975390870987</v>
      </c>
      <c r="DJ141" s="483">
        <f t="shared" si="394"/>
        <v>9.8998975390870214</v>
      </c>
      <c r="DK141" s="483"/>
      <c r="DL141" s="483"/>
      <c r="DM141" s="483" t="s">
        <v>106</v>
      </c>
      <c r="DN141" s="483" t="s">
        <v>106</v>
      </c>
      <c r="DO141" s="483"/>
      <c r="DP141" s="483">
        <f t="shared" si="422"/>
        <v>0</v>
      </c>
      <c r="DQ141" s="483" t="s">
        <v>106</v>
      </c>
      <c r="DR141" s="483" t="s">
        <v>106</v>
      </c>
      <c r="DS141" s="1"/>
      <c r="DT141" s="1"/>
      <c r="DU141" s="1"/>
      <c r="DV141" s="1"/>
      <c r="DW141" s="552"/>
      <c r="DX141" s="533"/>
      <c r="DY141" s="552"/>
      <c r="DZ141" s="674">
        <f t="shared" si="431"/>
        <v>1.0248985777011423</v>
      </c>
      <c r="EA141" s="674">
        <f t="shared" si="431"/>
        <v>1.2730316036979306</v>
      </c>
      <c r="EB141" s="674">
        <f t="shared" si="431"/>
        <v>0.78234031148050853</v>
      </c>
      <c r="EC141" s="674">
        <f t="shared" si="431"/>
        <v>0.96562107036298406</v>
      </c>
      <c r="ED141" s="552"/>
      <c r="EE141" s="1"/>
      <c r="EF141" s="1"/>
      <c r="EG141" s="1"/>
      <c r="EH141" s="1"/>
      <c r="EI141" s="552"/>
      <c r="EJ141" s="1"/>
      <c r="EK141" s="1"/>
      <c r="EL141" s="1"/>
      <c r="EM141" s="1"/>
      <c r="EN141" s="552"/>
      <c r="EO141" s="1"/>
      <c r="EP141" s="1"/>
      <c r="EQ141" s="1"/>
      <c r="ER141" s="1"/>
      <c r="ES141" s="552"/>
      <c r="ET141" s="1"/>
      <c r="EU141" s="1"/>
      <c r="EV141" s="1"/>
      <c r="EW141" s="1"/>
      <c r="EX141" s="552"/>
      <c r="EY141" s="533"/>
      <c r="EZ141" s="552"/>
      <c r="FA141" s="764"/>
      <c r="FB141" s="764"/>
      <c r="FC141" s="756">
        <f t="shared" si="370"/>
        <v>1.9398975390870987</v>
      </c>
      <c r="FD141" s="756">
        <f t="shared" si="395"/>
        <v>9.8998975390870214</v>
      </c>
      <c r="FE141" s="761"/>
      <c r="FF141" s="783"/>
      <c r="FG141" s="761"/>
      <c r="FH141" s="768"/>
      <c r="FI141" s="768"/>
      <c r="FJ141" s="858">
        <f t="shared" si="425"/>
        <v>227.5396441796124</v>
      </c>
      <c r="FK141" s="745">
        <f t="shared" si="427"/>
        <v>33.940210598090182</v>
      </c>
      <c r="FL141" s="761"/>
      <c r="FM141" s="764"/>
      <c r="FN141" s="764"/>
      <c r="FO141" s="859">
        <f t="shared" si="373"/>
        <v>227.5396441796124</v>
      </c>
      <c r="FP141" s="859">
        <f t="shared" si="374"/>
        <v>33.940210598090182</v>
      </c>
      <c r="FQ141" s="761"/>
      <c r="FR141" s="764"/>
      <c r="FS141" s="764"/>
      <c r="FT141" s="756">
        <f t="shared" si="375"/>
        <v>227.5396441796124</v>
      </c>
      <c r="FU141" s="756">
        <f t="shared" si="376"/>
        <v>33.940210598090182</v>
      </c>
      <c r="FV141" s="761"/>
      <c r="FW141" s="765"/>
      <c r="FX141" s="761"/>
      <c r="FY141" s="764"/>
      <c r="FZ141" s="764"/>
      <c r="GA141" s="756">
        <f t="shared" si="377"/>
        <v>362651.26697798539</v>
      </c>
      <c r="GB141" s="756">
        <f t="shared" si="378"/>
        <v>383074.87529748166</v>
      </c>
      <c r="GC141" s="761"/>
      <c r="GD141" s="764"/>
      <c r="GE141" s="764"/>
      <c r="GF141" s="756">
        <f t="shared" si="396"/>
        <v>0.97364953075538885</v>
      </c>
      <c r="GG141" s="756">
        <f t="shared" si="397"/>
        <v>0.99978502705125805</v>
      </c>
      <c r="GH141" s="552"/>
      <c r="GI141" s="764"/>
      <c r="GJ141" s="764"/>
      <c r="GK141" s="756">
        <f t="shared" si="398"/>
        <v>0.97364953075538885</v>
      </c>
      <c r="GL141" s="756">
        <f t="shared" si="399"/>
        <v>0.99978502705125805</v>
      </c>
      <c r="GM141" s="552"/>
    </row>
    <row r="142" spans="1:195">
      <c r="B142" s="134"/>
      <c r="C142" s="288"/>
      <c r="D142" s="134"/>
      <c r="E142" s="134"/>
      <c r="F142" s="134"/>
      <c r="G142" s="134"/>
      <c r="J142" s="134"/>
      <c r="K142" s="134"/>
      <c r="L142" s="134"/>
      <c r="M142" s="134"/>
      <c r="P142" s="134"/>
      <c r="Q142" s="134"/>
      <c r="R142" s="134"/>
      <c r="S142" s="134"/>
      <c r="U142" s="134"/>
      <c r="V142" s="134"/>
      <c r="W142" s="134"/>
      <c r="X142" s="134"/>
      <c r="AB142" s="288"/>
      <c r="AC142" s="267">
        <v>0</v>
      </c>
      <c r="AD142" s="134"/>
      <c r="AE142" s="134"/>
      <c r="AF142" s="267">
        <v>0.67535792501613101</v>
      </c>
      <c r="AG142" s="134"/>
      <c r="AH142" s="134"/>
      <c r="AI142" s="269">
        <v>0.96815792501613152</v>
      </c>
      <c r="AJ142" s="134"/>
      <c r="AK142" s="134"/>
      <c r="AL142" s="267">
        <v>0.39405792501613091</v>
      </c>
      <c r="AM142" s="134"/>
      <c r="AN142" s="134"/>
      <c r="AP142" s="463">
        <v>0</v>
      </c>
      <c r="AQ142" s="463">
        <v>0.48026513573732527</v>
      </c>
      <c r="AR142" s="463">
        <v>1.1416975021794444</v>
      </c>
      <c r="AS142" s="463">
        <v>4.3726415858478945E-2</v>
      </c>
      <c r="AT142" s="463">
        <f t="shared" si="410"/>
        <v>0</v>
      </c>
      <c r="AU142" s="530">
        <f t="shared" si="411"/>
        <v>8.1400870463953431E-3</v>
      </c>
      <c r="AV142" s="530">
        <f t="shared" si="412"/>
        <v>5.708487510897222E-2</v>
      </c>
      <c r="AW142" s="530">
        <f t="shared" si="413"/>
        <v>2.3013903083409972E-3</v>
      </c>
      <c r="AX142" s="134"/>
      <c r="AY142" s="267">
        <v>0</v>
      </c>
      <c r="AZ142" s="267"/>
      <c r="BA142" s="269">
        <v>0.96815792501613152</v>
      </c>
      <c r="BB142" s="267">
        <v>0.39405792501613091</v>
      </c>
      <c r="BO142"/>
      <c r="BP142" s="300"/>
      <c r="CG142"/>
      <c r="CO142" s="34"/>
      <c r="CS142"/>
      <c r="CT142" s="300"/>
      <c r="CY142" s="524"/>
      <c r="CZ142" s="524"/>
      <c r="DA142" s="524">
        <v>-2.1520596094989797E-2</v>
      </c>
      <c r="DB142" s="524">
        <v>3.1255577511634103E-3</v>
      </c>
      <c r="DC142" s="463"/>
      <c r="DD142" s="463"/>
      <c r="DE142" s="463">
        <f t="shared" si="383"/>
        <v>2.1405525840226147</v>
      </c>
      <c r="DF142" s="463">
        <f t="shared" si="384"/>
        <v>-0.2494474159773219</v>
      </c>
      <c r="DG142" s="483"/>
      <c r="DH142" s="483"/>
      <c r="DI142" s="483">
        <f t="shared" si="393"/>
        <v>0</v>
      </c>
      <c r="DJ142" s="483">
        <f t="shared" si="394"/>
        <v>0.2494474159773219</v>
      </c>
      <c r="DK142" s="483"/>
      <c r="DL142" s="483"/>
      <c r="DM142" s="483">
        <f t="shared" si="429"/>
        <v>0</v>
      </c>
      <c r="DN142" s="483" t="s">
        <v>106</v>
      </c>
      <c r="DO142" s="483"/>
      <c r="DP142" s="483">
        <f t="shared" si="422"/>
        <v>0</v>
      </c>
      <c r="DQ142" s="483">
        <f t="shared" si="423"/>
        <v>0</v>
      </c>
      <c r="DR142" s="483" t="s">
        <v>106</v>
      </c>
      <c r="DS142" s="1"/>
      <c r="DT142" s="1"/>
      <c r="DU142" s="1"/>
      <c r="DV142" s="1" t="s">
        <v>139</v>
      </c>
      <c r="DW142" s="552"/>
      <c r="DX142" s="533"/>
      <c r="DY142" s="552"/>
      <c r="DZ142" s="1">
        <f>AVERAGE(DZ2:DZ82)</f>
        <v>0.89316856565564762</v>
      </c>
      <c r="EA142" s="1">
        <f>AVERAGE(EA2:EA79)</f>
        <v>0.91062328506962176</v>
      </c>
      <c r="EB142" s="1">
        <f>AVERAGE(EB2:EB97)</f>
        <v>1.0446070391285671</v>
      </c>
      <c r="EC142" s="1">
        <f>AVERAGE(EC2:EC71)</f>
        <v>0.72775691442460133</v>
      </c>
      <c r="ED142" s="552"/>
      <c r="EE142" s="1"/>
      <c r="EF142" s="1"/>
      <c r="EG142" s="1"/>
      <c r="EH142" s="1"/>
      <c r="EI142" s="552"/>
      <c r="EJ142" s="1"/>
      <c r="EK142" s="1"/>
      <c r="EL142" s="1"/>
      <c r="EM142" s="1"/>
      <c r="EN142" s="552"/>
      <c r="EO142" s="1"/>
      <c r="EP142" s="1"/>
      <c r="EQ142" s="1"/>
      <c r="ER142" s="1"/>
      <c r="ES142" s="552"/>
      <c r="ET142" s="1"/>
      <c r="EU142" s="1"/>
      <c r="EV142" s="1"/>
      <c r="EW142" s="1"/>
      <c r="EX142" s="552"/>
      <c r="EY142" s="533"/>
      <c r="EZ142" s="552"/>
      <c r="FA142" s="764"/>
      <c r="FB142" s="764"/>
      <c r="FC142" s="756">
        <f t="shared" si="370"/>
        <v>-2.1405525840226147</v>
      </c>
      <c r="FD142" s="756">
        <f t="shared" si="395"/>
        <v>0.2494474159773219</v>
      </c>
      <c r="FE142" s="761"/>
      <c r="FF142" s="783"/>
      <c r="FG142" s="761"/>
      <c r="FH142" s="768"/>
      <c r="FI142" s="768"/>
      <c r="FJ142" s="858">
        <f t="shared" si="425"/>
        <v>-244.38635384623745</v>
      </c>
      <c r="FK142" s="745">
        <f t="shared" si="427"/>
        <v>1.0907441445847363</v>
      </c>
      <c r="FL142" s="761"/>
      <c r="FM142" s="764"/>
      <c r="FN142" s="764"/>
      <c r="FO142" s="859">
        <f t="shared" si="373"/>
        <v>-244.38635384623745</v>
      </c>
      <c r="FP142" s="859">
        <f t="shared" si="374"/>
        <v>1.0907441445847363</v>
      </c>
      <c r="FQ142" s="761"/>
      <c r="FR142" s="764"/>
      <c r="FS142" s="764"/>
      <c r="FT142" s="756">
        <f t="shared" si="375"/>
        <v>-244.38635384623745</v>
      </c>
      <c r="FU142" s="756">
        <f t="shared" si="376"/>
        <v>1.0907441445847363</v>
      </c>
      <c r="FV142" s="761"/>
      <c r="FW142" s="765"/>
      <c r="FX142" s="761"/>
      <c r="FY142" s="764"/>
      <c r="FZ142" s="764"/>
      <c r="GA142" s="756">
        <f t="shared" si="377"/>
        <v>362406.88062413916</v>
      </c>
      <c r="GB142" s="756">
        <f t="shared" si="378"/>
        <v>383075.96604162623</v>
      </c>
      <c r="GC142" s="761"/>
      <c r="GD142" s="764"/>
      <c r="GE142" s="764"/>
      <c r="GF142" s="756">
        <f t="shared" si="396"/>
        <v>0.97299339997518164</v>
      </c>
      <c r="GG142" s="756">
        <f t="shared" si="397"/>
        <v>0.99978787377845002</v>
      </c>
      <c r="GH142" s="552"/>
      <c r="GI142" s="764"/>
      <c r="GJ142" s="764"/>
      <c r="GK142" s="756">
        <f t="shared" si="398"/>
        <v>0.97299339997518164</v>
      </c>
      <c r="GL142" s="756">
        <f t="shared" si="399"/>
        <v>0.99978787377845002</v>
      </c>
      <c r="GM142" s="552"/>
    </row>
    <row r="143" spans="1:195">
      <c r="B143" s="134"/>
      <c r="C143" s="288"/>
      <c r="D143" s="134"/>
      <c r="E143" s="134"/>
      <c r="F143" s="134"/>
      <c r="G143" s="134"/>
      <c r="J143" s="134"/>
      <c r="K143" s="134"/>
      <c r="L143" s="134"/>
      <c r="M143" s="134"/>
      <c r="P143" s="134"/>
      <c r="Q143" s="134"/>
      <c r="R143" s="134"/>
      <c r="S143" s="134"/>
      <c r="U143" s="134"/>
      <c r="V143" s="134"/>
      <c r="W143" s="134"/>
      <c r="X143" s="134"/>
      <c r="AB143" s="288"/>
      <c r="AC143" s="267">
        <v>0</v>
      </c>
      <c r="AD143" s="134"/>
      <c r="AE143" s="134"/>
      <c r="AF143" s="267">
        <v>0.67626345085635875</v>
      </c>
      <c r="AG143" s="134"/>
      <c r="AH143" s="134"/>
      <c r="AI143" s="269">
        <v>0.98956345085635766</v>
      </c>
      <c r="AJ143" s="134"/>
      <c r="AK143" s="134"/>
      <c r="AL143" s="267">
        <v>0.39156345085635769</v>
      </c>
      <c r="AM143" s="134"/>
      <c r="AN143" s="134"/>
      <c r="AP143" s="463">
        <v>0</v>
      </c>
      <c r="AQ143" s="463">
        <v>0.47316194146965435</v>
      </c>
      <c r="AR143" s="463">
        <v>1.1018282457009827</v>
      </c>
      <c r="AS143" s="463">
        <v>2.1302396439499823E-2</v>
      </c>
      <c r="AT143" s="463">
        <f t="shared" si="410"/>
        <v>0</v>
      </c>
      <c r="AU143" s="530">
        <f t="shared" si="411"/>
        <v>8.0196939232144802E-3</v>
      </c>
      <c r="AV143" s="530">
        <f t="shared" si="412"/>
        <v>5.5091412285049136E-2</v>
      </c>
      <c r="AW143" s="530">
        <f t="shared" si="413"/>
        <v>1.1211787599736749E-3</v>
      </c>
      <c r="AX143" s="134"/>
      <c r="AY143" s="267">
        <v>0</v>
      </c>
      <c r="AZ143" s="267"/>
      <c r="BA143" s="269">
        <v>0.98956345085635766</v>
      </c>
      <c r="BB143" s="267">
        <v>0.39156345085635769</v>
      </c>
      <c r="BO143"/>
      <c r="BP143" s="300"/>
      <c r="CG143"/>
      <c r="CO143" s="34"/>
      <c r="CS143"/>
      <c r="CT143" s="300"/>
      <c r="CY143" s="524"/>
      <c r="CZ143" s="524"/>
      <c r="DA143" s="525">
        <v>9.8005868654605699E-2</v>
      </c>
      <c r="DB143" s="524">
        <v>1.0586865460626704E-4</v>
      </c>
      <c r="DC143" s="463"/>
      <c r="DD143" s="463"/>
      <c r="DE143" s="463">
        <f t="shared" si="383"/>
        <v>-9.8880982214950564</v>
      </c>
      <c r="DF143" s="463">
        <f t="shared" si="384"/>
        <v>-6.8098221495027644E-2</v>
      </c>
      <c r="DG143" s="483"/>
      <c r="DH143" s="483"/>
      <c r="DI143" s="483">
        <f t="shared" si="393"/>
        <v>9.8880982214950564</v>
      </c>
      <c r="DJ143" s="483">
        <f t="shared" si="394"/>
        <v>6.8098221495027644E-2</v>
      </c>
      <c r="DK143" s="483"/>
      <c r="DL143" s="483"/>
      <c r="DM143" s="483">
        <f t="shared" si="429"/>
        <v>3.9869256478461734E-2</v>
      </c>
      <c r="DN143" s="483">
        <f t="shared" si="430"/>
        <v>2.2424019418979122E-2</v>
      </c>
      <c r="DO143" s="483"/>
      <c r="DP143" s="483">
        <f t="shared" si="422"/>
        <v>0</v>
      </c>
      <c r="DQ143" s="483">
        <f t="shared" si="423"/>
        <v>9.8557781019251927</v>
      </c>
      <c r="DR143" s="483">
        <f t="shared" si="424"/>
        <v>3.8175896030061038E-2</v>
      </c>
      <c r="DS143" s="1"/>
      <c r="DT143" s="1"/>
      <c r="DU143" s="1"/>
      <c r="DV143" s="1" t="s">
        <v>151</v>
      </c>
      <c r="DW143" s="552"/>
      <c r="DX143" s="533"/>
      <c r="DY143" s="552"/>
      <c r="DZ143" s="1">
        <f>STDEV(DZ2:DZ82)</f>
        <v>0.63288322052711399</v>
      </c>
      <c r="EA143" s="1">
        <f>STDEV(EA2:EA79)</f>
        <v>0.75313565338842092</v>
      </c>
      <c r="EB143" s="1">
        <f>STDEV(EB2:EB97)</f>
        <v>0.47368457552927767</v>
      </c>
      <c r="EC143" s="1">
        <f>STDEV(EC2:EC71)</f>
        <v>0.50175142641831905</v>
      </c>
      <c r="ED143" s="552"/>
      <c r="EE143" s="1"/>
      <c r="EF143" s="1"/>
      <c r="EG143" s="1"/>
      <c r="EH143" s="1"/>
      <c r="EI143" s="552"/>
      <c r="EJ143" s="1"/>
      <c r="EK143" s="1"/>
      <c r="EL143" s="1"/>
      <c r="EM143" s="1"/>
      <c r="EN143" s="552"/>
      <c r="EO143" s="1"/>
      <c r="EP143" s="1"/>
      <c r="EQ143" s="1"/>
      <c r="ER143" s="1"/>
      <c r="ES143" s="552"/>
      <c r="ET143" s="1"/>
      <c r="EU143" s="1"/>
      <c r="EV143" s="1"/>
      <c r="EW143" s="1"/>
      <c r="EX143" s="552"/>
      <c r="EY143" s="533"/>
      <c r="EZ143" s="552"/>
      <c r="FA143" s="764"/>
      <c r="FB143" s="764"/>
      <c r="FC143" s="756">
        <f t="shared" si="370"/>
        <v>9.8880982214950564</v>
      </c>
      <c r="FD143" s="756">
        <f t="shared" si="395"/>
        <v>6.8098221495027644E-2</v>
      </c>
      <c r="FE143" s="761"/>
      <c r="FF143" s="783"/>
      <c r="FG143" s="761"/>
      <c r="FH143" s="768"/>
      <c r="FI143" s="768"/>
      <c r="FJ143" s="858">
        <f t="shared" si="425"/>
        <v>1089.4985916708904</v>
      </c>
      <c r="FK143" s="745">
        <f t="shared" si="427"/>
        <v>0.14506553111119472</v>
      </c>
      <c r="FL143" s="761"/>
      <c r="FM143" s="764"/>
      <c r="FN143" s="764"/>
      <c r="FO143" s="859">
        <f t="shared" si="373"/>
        <v>1089.4985916708904</v>
      </c>
      <c r="FP143" s="859">
        <f t="shared" si="374"/>
        <v>0.14506553111119472</v>
      </c>
      <c r="FQ143" s="761"/>
      <c r="FR143" s="764"/>
      <c r="FS143" s="764"/>
      <c r="FT143" s="756">
        <f t="shared" si="375"/>
        <v>1089.4985916708904</v>
      </c>
      <c r="FU143" s="756">
        <f t="shared" si="376"/>
        <v>0.14506553111119472</v>
      </c>
      <c r="FV143" s="761"/>
      <c r="FW143" s="765"/>
      <c r="FX143" s="761"/>
      <c r="FY143" s="764"/>
      <c r="FZ143" s="764"/>
      <c r="GA143" s="756">
        <f t="shared" si="377"/>
        <v>363496.37921581004</v>
      </c>
      <c r="GB143" s="756">
        <f t="shared" si="378"/>
        <v>383076.11110715737</v>
      </c>
      <c r="GC143" s="761"/>
      <c r="GD143" s="764"/>
      <c r="GE143" s="764"/>
      <c r="GF143" s="756">
        <f t="shared" si="396"/>
        <v>0.97591849603614045</v>
      </c>
      <c r="GG143" s="756">
        <f t="shared" si="397"/>
        <v>0.99978825238418834</v>
      </c>
      <c r="GH143" s="552"/>
      <c r="GI143" s="764"/>
      <c r="GJ143" s="764"/>
      <c r="GK143" s="756">
        <f t="shared" si="398"/>
        <v>0.97591849603614045</v>
      </c>
      <c r="GL143" s="756">
        <f t="shared" si="399"/>
        <v>0.99978825238418834</v>
      </c>
      <c r="GM143" s="552"/>
    </row>
    <row r="144" spans="1:195">
      <c r="B144" s="134"/>
      <c r="C144" s="288"/>
      <c r="D144" s="134"/>
      <c r="E144" s="134"/>
      <c r="F144" s="134"/>
      <c r="G144" s="134"/>
      <c r="J144" s="134"/>
      <c r="K144" s="134"/>
      <c r="L144" s="134"/>
      <c r="M144" s="134"/>
      <c r="P144" s="134"/>
      <c r="Q144" s="134"/>
      <c r="R144" s="134"/>
      <c r="S144" s="134"/>
      <c r="U144" s="134"/>
      <c r="V144" s="134"/>
      <c r="W144" s="134"/>
      <c r="X144" s="134"/>
      <c r="AB144" s="288"/>
      <c r="AC144" s="267">
        <v>0</v>
      </c>
      <c r="AD144" s="134"/>
      <c r="AE144" s="134"/>
      <c r="AF144" s="267">
        <v>0.67378246864140734</v>
      </c>
      <c r="AG144" s="134"/>
      <c r="AH144" s="134"/>
      <c r="AI144" s="269">
        <v>0.8906824686414071</v>
      </c>
      <c r="AJ144" s="134"/>
      <c r="AK144" s="134"/>
      <c r="AL144" s="267">
        <v>0.39088246864140741</v>
      </c>
      <c r="AM144" s="134"/>
      <c r="AN144" s="134"/>
      <c r="AP144" s="463">
        <v>0</v>
      </c>
      <c r="AQ144" s="463">
        <v>0.47499360148578534</v>
      </c>
      <c r="AR144" s="463">
        <v>1.1458571198448499</v>
      </c>
      <c r="AS144" s="463">
        <v>2.0872737157538696E-2</v>
      </c>
      <c r="AT144" s="463">
        <f t="shared" si="410"/>
        <v>0</v>
      </c>
      <c r="AU144" s="530">
        <f t="shared" si="411"/>
        <v>8.0507390082336493E-3</v>
      </c>
      <c r="AV144" s="530">
        <f t="shared" si="412"/>
        <v>5.72928559922425E-2</v>
      </c>
      <c r="AW144" s="530">
        <f t="shared" si="413"/>
        <v>1.0985651135546682E-3</v>
      </c>
      <c r="AX144" s="134"/>
      <c r="AY144" s="267">
        <v>0</v>
      </c>
      <c r="AZ144" s="267"/>
      <c r="BA144" s="269">
        <v>0.8906824686414071</v>
      </c>
      <c r="BB144" s="267">
        <v>0.39088246864140741</v>
      </c>
      <c r="BO144"/>
      <c r="BP144" s="300"/>
      <c r="CG144"/>
      <c r="CO144" s="34"/>
      <c r="CS144"/>
      <c r="CT144" s="300"/>
      <c r="CY144" s="524"/>
      <c r="CZ144" s="524"/>
      <c r="DA144" s="524">
        <v>0.26511587363661437</v>
      </c>
      <c r="DB144" s="524">
        <v>2.6202748276860088E-4</v>
      </c>
      <c r="DC144" s="463"/>
      <c r="DD144" s="463"/>
      <c r="DE144" s="463">
        <f t="shared" si="383"/>
        <v>-26.298159698042589</v>
      </c>
      <c r="DF144" s="463">
        <f t="shared" si="384"/>
        <v>7.1840301957237784E-2</v>
      </c>
      <c r="DG144" s="483"/>
      <c r="DH144" s="483"/>
      <c r="DI144" s="483">
        <f t="shared" si="393"/>
        <v>26.298159698042589</v>
      </c>
      <c r="DJ144" s="483">
        <f t="shared" si="394"/>
        <v>0</v>
      </c>
      <c r="DK144" s="483"/>
      <c r="DL144" s="483"/>
      <c r="DM144" s="483" t="s">
        <v>106</v>
      </c>
      <c r="DN144" s="483"/>
      <c r="DO144" s="483"/>
      <c r="DP144" s="483">
        <f t="shared" si="422"/>
        <v>0</v>
      </c>
      <c r="DQ144" s="483" t="s">
        <v>106</v>
      </c>
      <c r="DR144" s="483">
        <f t="shared" si="424"/>
        <v>0</v>
      </c>
      <c r="DS144" s="1"/>
      <c r="DT144" s="1"/>
      <c r="DU144" s="1"/>
      <c r="DV144" s="1" t="s">
        <v>632</v>
      </c>
      <c r="DW144" s="552"/>
      <c r="DX144" s="533"/>
      <c r="DY144" s="552"/>
      <c r="DZ144" s="1">
        <f>COUNT(DZ2:DZ82)</f>
        <v>39</v>
      </c>
      <c r="EA144" s="1">
        <f>COUNT(EA2:EA79)</f>
        <v>35</v>
      </c>
      <c r="EB144" s="1">
        <f>COUNT(EB2:EB97)</f>
        <v>57</v>
      </c>
      <c r="EC144" s="1">
        <f>COUNT(EC2:EC71)</f>
        <v>27</v>
      </c>
      <c r="ED144" s="552"/>
      <c r="EE144" s="1"/>
      <c r="EF144" s="1"/>
      <c r="EG144" s="1"/>
      <c r="EH144" s="1"/>
      <c r="EI144" s="552"/>
      <c r="EJ144" s="1"/>
      <c r="EK144" s="1"/>
      <c r="EL144" s="1"/>
      <c r="EM144" s="1"/>
      <c r="EN144" s="552"/>
      <c r="EO144" s="1"/>
      <c r="EP144" s="1"/>
      <c r="EQ144" s="1"/>
      <c r="ER144" s="1"/>
      <c r="ES144" s="552"/>
      <c r="ET144" s="1"/>
      <c r="EU144" s="1"/>
      <c r="EV144" s="1"/>
      <c r="EW144" s="1"/>
      <c r="EX144" s="552"/>
      <c r="EY144" s="533"/>
      <c r="EZ144" s="552"/>
      <c r="FA144" s="764"/>
      <c r="FB144" s="764"/>
      <c r="FC144" s="756">
        <f t="shared" si="370"/>
        <v>26.298159698042589</v>
      </c>
      <c r="FD144" s="756">
        <f t="shared" si="395"/>
        <v>-7.1840301957237784E-2</v>
      </c>
      <c r="FE144" s="761"/>
      <c r="FF144" s="783"/>
      <c r="FG144" s="761"/>
      <c r="FH144" s="768"/>
      <c r="FI144" s="768"/>
      <c r="FJ144" s="858">
        <f t="shared" si="425"/>
        <v>3013.3933528818989</v>
      </c>
      <c r="FK144" s="745">
        <f t="shared" si="427"/>
        <v>-0.14995037400716371</v>
      </c>
      <c r="FL144" s="761"/>
      <c r="FM144" s="764"/>
      <c r="FN144" s="764"/>
      <c r="FO144" s="859">
        <f t="shared" si="373"/>
        <v>3013.3933528818989</v>
      </c>
      <c r="FP144" s="859">
        <f t="shared" si="374"/>
        <v>-0.14995037400716371</v>
      </c>
      <c r="FQ144" s="761"/>
      <c r="FR144" s="764"/>
      <c r="FS144" s="764"/>
      <c r="FT144" s="756">
        <f t="shared" si="375"/>
        <v>3013.3933528818989</v>
      </c>
      <c r="FU144" s="756">
        <f t="shared" si="376"/>
        <v>-0.14995037400716371</v>
      </c>
      <c r="FV144" s="761"/>
      <c r="FW144" s="765"/>
      <c r="FX144" s="761"/>
      <c r="FY144" s="764"/>
      <c r="FZ144" s="764"/>
      <c r="GA144" s="756">
        <f t="shared" si="377"/>
        <v>366509.77256869193</v>
      </c>
      <c r="GB144" s="756">
        <f t="shared" si="378"/>
        <v>383075.96115678333</v>
      </c>
      <c r="GC144" s="761"/>
      <c r="GD144" s="764"/>
      <c r="GE144" s="764"/>
      <c r="GF144" s="756">
        <f t="shared" si="396"/>
        <v>0.98400888283794075</v>
      </c>
      <c r="GG144" s="756">
        <f t="shared" si="397"/>
        <v>0.99978786102952522</v>
      </c>
      <c r="GH144" s="552"/>
      <c r="GI144" s="764"/>
      <c r="GJ144" s="764"/>
      <c r="GK144" s="756">
        <f t="shared" si="398"/>
        <v>0.98400888283794075</v>
      </c>
      <c r="GL144" s="756">
        <f t="shared" si="399"/>
        <v>0.99978786102952522</v>
      </c>
      <c r="GM144" s="552"/>
    </row>
    <row r="145" spans="2:195">
      <c r="B145" s="134"/>
      <c r="C145" s="288"/>
      <c r="D145" s="134"/>
      <c r="E145" s="134"/>
      <c r="F145" s="134"/>
      <c r="G145" s="134"/>
      <c r="J145" s="134"/>
      <c r="K145" s="134"/>
      <c r="L145" s="134"/>
      <c r="M145" s="134"/>
      <c r="P145" s="134"/>
      <c r="Q145" s="134"/>
      <c r="R145" s="134"/>
      <c r="S145" s="134"/>
      <c r="U145" s="134"/>
      <c r="V145" s="134"/>
      <c r="W145" s="134"/>
      <c r="X145" s="134"/>
      <c r="AB145" s="288"/>
      <c r="AC145" s="267">
        <v>0</v>
      </c>
      <c r="AD145" s="134"/>
      <c r="AE145" s="134"/>
      <c r="AF145" s="267">
        <v>0.67330087166098074</v>
      </c>
      <c r="AG145" s="134"/>
      <c r="AH145" s="134"/>
      <c r="AI145" s="269">
        <v>0.62770087166098121</v>
      </c>
      <c r="AJ145" s="134"/>
      <c r="AK145" s="134"/>
      <c r="AL145" s="267">
        <v>0.39160087166097979</v>
      </c>
      <c r="AM145" s="134"/>
      <c r="AN145" s="134"/>
      <c r="AP145" s="463">
        <v>0</v>
      </c>
      <c r="AQ145" s="463">
        <v>0.4699861816249617</v>
      </c>
      <c r="AR145" s="463">
        <v>0.94888288577078272</v>
      </c>
      <c r="AS145" s="463">
        <v>2.0756486795393003E-2</v>
      </c>
      <c r="AT145" s="463">
        <f t="shared" si="410"/>
        <v>0</v>
      </c>
      <c r="AU145" s="530">
        <f t="shared" si="411"/>
        <v>7.9658674851688423E-3</v>
      </c>
      <c r="AV145" s="530">
        <f t="shared" si="412"/>
        <v>4.7444144288539138E-2</v>
      </c>
      <c r="AW145" s="530">
        <f t="shared" si="413"/>
        <v>1.092446673441737E-3</v>
      </c>
      <c r="AX145" s="134"/>
      <c r="AY145" s="267">
        <v>0</v>
      </c>
      <c r="AZ145" s="267"/>
      <c r="BA145" s="269">
        <v>0.62770087166098121</v>
      </c>
      <c r="BB145" s="267">
        <v>0.39160087166097979</v>
      </c>
      <c r="BO145"/>
      <c r="BP145" s="300"/>
      <c r="CG145"/>
      <c r="CO145" s="34"/>
      <c r="CS145"/>
      <c r="CT145" s="300"/>
      <c r="CY145" s="524"/>
      <c r="CZ145" s="524"/>
      <c r="DA145" s="524">
        <v>0.62670840669798999</v>
      </c>
      <c r="DB145" s="524">
        <v>0.6809468682364509</v>
      </c>
      <c r="DC145" s="463"/>
      <c r="DD145" s="463"/>
      <c r="DE145" s="463">
        <f t="shared" si="383"/>
        <v>-62.770087166098122</v>
      </c>
      <c r="DF145" s="463">
        <f t="shared" si="384"/>
        <v>-39.160087166097981</v>
      </c>
      <c r="DG145" s="483"/>
      <c r="DH145" s="483"/>
      <c r="DI145" s="483">
        <f t="shared" si="393"/>
        <v>62.770087166098122</v>
      </c>
      <c r="DJ145" s="483">
        <f t="shared" si="394"/>
        <v>39.160087166097981</v>
      </c>
      <c r="DK145" s="483"/>
      <c r="DL145" s="483"/>
      <c r="DM145" s="483">
        <f t="shared" si="429"/>
        <v>0.19697423407406722</v>
      </c>
      <c r="DN145" s="483"/>
      <c r="DO145" s="483"/>
      <c r="DP145" s="483">
        <f t="shared" si="422"/>
        <v>0</v>
      </c>
      <c r="DQ145" s="483" t="s">
        <v>106</v>
      </c>
      <c r="DR145" s="483">
        <f t="shared" si="424"/>
        <v>0</v>
      </c>
      <c r="DS145" s="1"/>
      <c r="DT145" s="1"/>
      <c r="DU145" s="1"/>
      <c r="DV145" s="1" t="s">
        <v>593</v>
      </c>
      <c r="DW145" s="552"/>
      <c r="DX145" s="533"/>
      <c r="DY145" s="552"/>
      <c r="DZ145" s="1">
        <f>DZ143/SQRT(DZ144)</f>
        <v>0.10134242167722458</v>
      </c>
      <c r="EA145" s="1">
        <f>EA143/SQRT(EA144)</f>
        <v>0.12730316036979306</v>
      </c>
      <c r="EB145" s="1">
        <f>EB143/SQRT(EB144)</f>
        <v>6.2741054733114893E-2</v>
      </c>
      <c r="EC145" s="1">
        <f>EC143/SQRT(EC144)</f>
        <v>9.6562107036298403E-2</v>
      </c>
      <c r="ED145" s="552"/>
      <c r="EE145" s="1"/>
      <c r="EF145" s="1"/>
      <c r="EG145" s="1"/>
      <c r="EH145" s="1"/>
      <c r="EI145" s="552"/>
      <c r="EJ145" s="1"/>
      <c r="EK145" s="1"/>
      <c r="EL145" s="1"/>
      <c r="EM145" s="1"/>
      <c r="EN145" s="552"/>
      <c r="EO145" s="1"/>
      <c r="EP145" s="1"/>
      <c r="EQ145" s="1"/>
      <c r="ER145" s="1"/>
      <c r="ES145" s="552"/>
      <c r="ET145" s="1"/>
      <c r="EU145" s="1"/>
      <c r="EV145" s="1"/>
      <c r="EW145" s="1"/>
      <c r="EX145" s="552"/>
      <c r="EY145" s="533"/>
      <c r="EZ145" s="552"/>
      <c r="FA145" s="764"/>
      <c r="FB145" s="764"/>
      <c r="FC145" s="756">
        <f t="shared" si="370"/>
        <v>62.770087166098122</v>
      </c>
      <c r="FD145" s="756">
        <f t="shared" si="395"/>
        <v>39.160087166097981</v>
      </c>
      <c r="FE145" s="761"/>
      <c r="FF145" s="783"/>
      <c r="FG145" s="761"/>
      <c r="FH145" s="768"/>
      <c r="FI145" s="768"/>
      <c r="FJ145" s="858">
        <f t="shared" si="425"/>
        <v>5956.1461450250763</v>
      </c>
      <c r="FK145" s="745">
        <f t="shared" si="427"/>
        <v>81.282583216955175</v>
      </c>
      <c r="FL145" s="761"/>
      <c r="FM145" s="764"/>
      <c r="FN145" s="764"/>
      <c r="FO145" s="859">
        <f t="shared" si="373"/>
        <v>5956.1461450250763</v>
      </c>
      <c r="FP145" s="859">
        <f t="shared" si="374"/>
        <v>81.282583216955175</v>
      </c>
      <c r="FQ145" s="761"/>
      <c r="FR145" s="764"/>
      <c r="FS145" s="764"/>
      <c r="FT145" s="756">
        <f t="shared" si="375"/>
        <v>5956.1461450250763</v>
      </c>
      <c r="FU145" s="756">
        <f t="shared" si="376"/>
        <v>81.282583216955175</v>
      </c>
      <c r="FV145" s="761"/>
      <c r="FW145" s="765"/>
      <c r="FX145" s="761"/>
      <c r="FY145" s="764"/>
      <c r="FZ145" s="764"/>
      <c r="GA145" s="756">
        <f t="shared" si="377"/>
        <v>372465.91871371702</v>
      </c>
      <c r="GB145" s="756">
        <f t="shared" si="378"/>
        <v>383157.2437400003</v>
      </c>
      <c r="GC145" s="761"/>
      <c r="GD145" s="764"/>
      <c r="GE145" s="764"/>
      <c r="GF145" s="756">
        <f t="shared" si="396"/>
        <v>1</v>
      </c>
      <c r="GG145" s="756">
        <f t="shared" si="397"/>
        <v>1</v>
      </c>
      <c r="GH145" s="552"/>
      <c r="GI145" s="764"/>
      <c r="GJ145" s="764"/>
      <c r="GK145" s="756">
        <f t="shared" si="398"/>
        <v>1</v>
      </c>
      <c r="GL145" s="756">
        <f t="shared" si="399"/>
        <v>1</v>
      </c>
      <c r="GM145" s="552"/>
    </row>
    <row r="146" spans="2:195">
      <c r="B146" s="134"/>
      <c r="C146" s="288"/>
      <c r="D146" s="134"/>
      <c r="E146" s="134"/>
      <c r="F146" s="134"/>
      <c r="G146" s="134"/>
      <c r="J146" s="134"/>
      <c r="K146" s="134"/>
      <c r="L146" s="134"/>
      <c r="M146" s="134"/>
      <c r="P146" s="134"/>
      <c r="Q146" s="134"/>
      <c r="R146" s="134"/>
      <c r="S146" s="134"/>
      <c r="U146" s="134"/>
      <c r="V146" s="134"/>
      <c r="W146" s="134"/>
      <c r="X146" s="134"/>
      <c r="AB146" s="288"/>
      <c r="AC146" s="134"/>
      <c r="AD146" s="134"/>
      <c r="AE146" s="134"/>
      <c r="AF146" s="134"/>
      <c r="AG146" s="134"/>
      <c r="AH146" s="134"/>
      <c r="AI146" s="134"/>
      <c r="AJ146" s="134"/>
      <c r="AK146" s="134"/>
      <c r="AL146" s="134"/>
      <c r="AM146" s="134"/>
      <c r="AN146" s="134"/>
      <c r="AP146" s="463">
        <v>0</v>
      </c>
      <c r="AQ146" s="463">
        <v>0.46901817858894473</v>
      </c>
      <c r="AR146" s="463">
        <v>0.50690626143133921</v>
      </c>
      <c r="AS146" s="463">
        <v>2.0879138215951207E-2</v>
      </c>
      <c r="AT146" s="463">
        <f t="shared" si="410"/>
        <v>0</v>
      </c>
      <c r="AU146" s="530">
        <f t="shared" si="411"/>
        <v>7.9494606540499099E-3</v>
      </c>
      <c r="AV146" s="530">
        <f t="shared" si="412"/>
        <v>2.5345313071566962E-2</v>
      </c>
      <c r="AW146" s="530">
        <f t="shared" si="413"/>
        <v>1.098902011365853E-3</v>
      </c>
      <c r="AX146" s="134"/>
      <c r="AY146" s="134"/>
      <c r="AZ146" s="134"/>
      <c r="BA146" s="134"/>
      <c r="BB146" s="134"/>
      <c r="BO146"/>
      <c r="BP146" s="300"/>
      <c r="CG146"/>
      <c r="CO146" s="34"/>
      <c r="CS146"/>
      <c r="CT146" s="300"/>
      <c r="CY146" s="516"/>
      <c r="CZ146" s="516"/>
      <c r="DA146" s="516">
        <v>0.62670840669798999</v>
      </c>
      <c r="DB146" s="516">
        <v>0.6809468682364509</v>
      </c>
      <c r="DC146" s="463"/>
      <c r="DD146" s="463"/>
      <c r="DE146" s="463">
        <f t="shared" si="383"/>
        <v>0</v>
      </c>
      <c r="DF146" s="463">
        <f t="shared" si="384"/>
        <v>0</v>
      </c>
      <c r="DG146" s="483"/>
      <c r="DH146" s="483"/>
      <c r="DI146" s="147"/>
      <c r="DJ146" s="147"/>
      <c r="DK146" s="147"/>
      <c r="DL146" s="147"/>
      <c r="DM146" s="147"/>
      <c r="DN146" s="147"/>
      <c r="DO146" s="856">
        <f>SUM(DO2:DO145)</f>
        <v>1397.4199058435318</v>
      </c>
      <c r="DP146" s="856">
        <f t="shared" ref="DP146:DR146" si="432">SUM(DP2:DP145)</f>
        <v>3649.8741446123986</v>
      </c>
      <c r="DQ146" s="856">
        <f t="shared" si="432"/>
        <v>1476.4783134217273</v>
      </c>
      <c r="DR146" s="856">
        <f t="shared" si="432"/>
        <v>2781.1987470932713</v>
      </c>
      <c r="DS146" s="1"/>
      <c r="DT146" s="1"/>
      <c r="DU146" s="1"/>
      <c r="DV146" s="1"/>
      <c r="DW146" s="552"/>
      <c r="DX146" s="533"/>
      <c r="DY146" s="552"/>
      <c r="DZ146" s="1"/>
      <c r="EA146" s="1"/>
      <c r="EB146" s="1"/>
      <c r="EC146" s="547"/>
      <c r="ED146" s="552"/>
      <c r="EE146" s="1"/>
      <c r="EF146" s="1"/>
      <c r="EG146" s="1"/>
      <c r="EH146" s="1"/>
      <c r="EI146" s="552"/>
      <c r="EJ146" s="1"/>
      <c r="EK146" s="1"/>
      <c r="EL146" s="1"/>
      <c r="EM146" s="1"/>
      <c r="EN146" s="552"/>
      <c r="EO146" s="1"/>
      <c r="EP146" s="1"/>
      <c r="EQ146" s="1"/>
      <c r="ER146" s="1"/>
      <c r="ES146" s="552"/>
      <c r="ET146" s="1"/>
      <c r="EU146" s="1"/>
      <c r="EV146" s="1"/>
      <c r="EW146" s="1"/>
      <c r="EX146" s="552"/>
      <c r="EY146" s="533"/>
      <c r="EZ146" s="552"/>
      <c r="FA146" s="764"/>
      <c r="FB146" s="764"/>
      <c r="FC146" s="756">
        <f t="shared" si="370"/>
        <v>0</v>
      </c>
      <c r="FD146" s="756">
        <f t="shared" si="395"/>
        <v>0</v>
      </c>
      <c r="FE146" s="761"/>
      <c r="FF146" s="783"/>
      <c r="FG146" s="761"/>
      <c r="FH146" s="768"/>
      <c r="FI146" s="768"/>
      <c r="FJ146" s="745">
        <f t="shared" si="425"/>
        <v>0</v>
      </c>
      <c r="FK146" s="745">
        <f t="shared" si="427"/>
        <v>0</v>
      </c>
      <c r="FL146" s="761"/>
      <c r="FM146" s="764"/>
      <c r="FN146" s="764"/>
      <c r="FO146" s="859">
        <f t="shared" si="373"/>
        <v>0</v>
      </c>
      <c r="FP146" s="859">
        <f t="shared" si="374"/>
        <v>0</v>
      </c>
      <c r="FQ146" s="761"/>
      <c r="FR146" s="764"/>
      <c r="FS146" s="764"/>
      <c r="FT146" s="756">
        <f>FJ146/100*AW146*10^4</f>
        <v>0</v>
      </c>
      <c r="FU146" s="756">
        <f>FK146/100*AX146*10^4</f>
        <v>0</v>
      </c>
      <c r="FV146" s="761"/>
      <c r="FW146" s="765"/>
      <c r="FX146" s="761"/>
      <c r="FY146" s="764"/>
      <c r="FZ146" s="764"/>
      <c r="GA146" s="756">
        <f t="shared" si="377"/>
        <v>372465.91871371702</v>
      </c>
      <c r="GB146" s="756">
        <f t="shared" si="378"/>
        <v>383157.2437400003</v>
      </c>
      <c r="GC146" s="761"/>
      <c r="GD146" s="764"/>
      <c r="GE146" s="764"/>
      <c r="GF146" s="756">
        <f t="shared" si="396"/>
        <v>1</v>
      </c>
      <c r="GG146" s="756">
        <f t="shared" si="397"/>
        <v>1</v>
      </c>
      <c r="GH146" s="552"/>
      <c r="GI146" s="764"/>
      <c r="GJ146" s="764"/>
      <c r="GK146" s="756">
        <f t="shared" si="398"/>
        <v>1</v>
      </c>
      <c r="GL146" s="756">
        <f t="shared" si="399"/>
        <v>1</v>
      </c>
      <c r="GM146" s="552"/>
    </row>
    <row r="147" spans="2:195">
      <c r="B147" s="134"/>
      <c r="C147" s="288"/>
      <c r="AB147" s="288"/>
      <c r="AP147" s="526"/>
      <c r="AQ147" s="526"/>
      <c r="AR147" s="526"/>
      <c r="AS147" s="526"/>
      <c r="AT147" s="526"/>
      <c r="AU147" s="526"/>
      <c r="AV147" s="526"/>
      <c r="AW147" s="526"/>
      <c r="DC147" s="526"/>
      <c r="DD147" s="526"/>
      <c r="DE147" s="526"/>
      <c r="DF147" s="526"/>
      <c r="DG147" s="147"/>
      <c r="DH147" s="147"/>
      <c r="DI147" s="147"/>
      <c r="DJ147" s="147"/>
      <c r="DK147" s="147"/>
      <c r="DL147" s="147"/>
      <c r="DM147" s="147"/>
      <c r="DN147" s="147"/>
      <c r="DO147" s="147"/>
      <c r="DP147" s="147"/>
      <c r="DQ147" s="147"/>
      <c r="DR147" s="147"/>
    </row>
    <row r="148" spans="2:195">
      <c r="C148" s="289"/>
      <c r="AB148" s="289"/>
      <c r="AP148" s="324"/>
      <c r="AQ148" s="324"/>
      <c r="AR148" s="324"/>
      <c r="AS148" s="324"/>
      <c r="AT148" s="324"/>
      <c r="AU148" s="324"/>
      <c r="AV148" s="324"/>
      <c r="AW148" s="324"/>
      <c r="DC148" s="324"/>
      <c r="DD148" s="324"/>
      <c r="DE148" s="324"/>
      <c r="DF148" s="324"/>
      <c r="DG148" s="147"/>
      <c r="DH148" s="147"/>
      <c r="DI148" s="147"/>
      <c r="DJ148" s="147"/>
      <c r="DK148" s="147"/>
      <c r="DL148" s="147"/>
      <c r="DM148" s="147"/>
      <c r="DN148" s="147"/>
      <c r="DO148" s="147">
        <v>1</v>
      </c>
      <c r="DP148" s="147"/>
      <c r="DQ148" s="147"/>
      <c r="DR148" s="147"/>
    </row>
    <row r="149" spans="2:195">
      <c r="C149" s="289"/>
      <c r="AB149" s="289"/>
      <c r="AP149" s="269">
        <f>MAX(AP2:AP146)</f>
        <v>15.34026766597859</v>
      </c>
      <c r="AQ149" s="269">
        <f t="shared" ref="AQ149:AS149" si="433">MAX(AQ2:AQ146)</f>
        <v>50.986600211189312</v>
      </c>
      <c r="AR149" s="269">
        <f t="shared" si="433"/>
        <v>14.441410030668528</v>
      </c>
      <c r="AS149" s="269">
        <f t="shared" si="433"/>
        <v>21.441558927759768</v>
      </c>
      <c r="AT149" s="324"/>
      <c r="AU149" s="324"/>
      <c r="AV149" s="324"/>
      <c r="AW149" s="324"/>
      <c r="DC149" s="324"/>
      <c r="DD149" s="324"/>
      <c r="DE149" s="324"/>
      <c r="DF149" s="324"/>
      <c r="DG149" s="147"/>
      <c r="DH149" s="147"/>
      <c r="DI149" s="147"/>
      <c r="DJ149" s="147"/>
      <c r="DK149" s="147"/>
      <c r="DL149" s="147"/>
      <c r="DM149" s="147"/>
      <c r="DN149" s="147"/>
      <c r="DO149" s="147" t="s">
        <v>106</v>
      </c>
      <c r="DP149" s="147"/>
      <c r="DQ149" s="147"/>
      <c r="DR149" s="147"/>
      <c r="EH149" s="1" t="s">
        <v>602</v>
      </c>
      <c r="EI149" s="552"/>
      <c r="EJ149" s="1">
        <f>SUM(EJ2:EJ91)</f>
        <v>48290.69150228404</v>
      </c>
      <c r="EK149" s="1">
        <f>SUM(EK2:EK91)</f>
        <v>164422.63933193235</v>
      </c>
      <c r="EL149" s="1">
        <f>SUM(EL2:EL91)</f>
        <v>78745.436776351853</v>
      </c>
      <c r="EM149" s="1">
        <f>SUM(EM2:EM91)</f>
        <v>64357.641320518407</v>
      </c>
      <c r="ER149" s="1" t="s">
        <v>602</v>
      </c>
      <c r="ES149" s="552"/>
      <c r="ET149" s="1">
        <f>SUM(ET2:ET91)</f>
        <v>153038.03418509677</v>
      </c>
      <c r="EU149" s="1">
        <f>SUM(EU2:EU91)</f>
        <v>146611.52161548327</v>
      </c>
      <c r="EV149" s="1">
        <f>SUM(EV2:EV91)</f>
        <v>72279.10833938382</v>
      </c>
      <c r="EW149" s="1">
        <f>SUM(EW2:EW91)</f>
        <v>207635.89557595408</v>
      </c>
      <c r="FD149" s="1" t="s">
        <v>602</v>
      </c>
      <c r="FE149" s="552"/>
      <c r="FH149" s="1">
        <f>SUM(FH2:FH91)</f>
        <v>98925.057157130432</v>
      </c>
      <c r="FI149" s="1">
        <f>SUM(FI2:FI91)</f>
        <v>196727.68206614451</v>
      </c>
      <c r="FJ149" s="1">
        <f>SUM(FJ2:FJ91)</f>
        <v>119151.64933883454</v>
      </c>
      <c r="FK149" s="1">
        <f>SUM(FK2:FK91)</f>
        <v>-16863.723634311198</v>
      </c>
      <c r="FM149" s="1">
        <f>SUM(FM2:FM91)</f>
        <v>173888.94915452047</v>
      </c>
      <c r="FN149" s="1">
        <f>SUM(FN2:FN91)</f>
        <v>382594.65512140864</v>
      </c>
      <c r="FO149" s="1">
        <f>SUM(FO2:FO91)</f>
        <v>160361.30630173552</v>
      </c>
      <c r="FP149" s="1">
        <f>SUM(FP2:FP91)</f>
        <v>-2157.513062984428</v>
      </c>
      <c r="FR149" s="1">
        <f>SUM(FR2:FR91)</f>
        <v>376055.42298891395</v>
      </c>
      <c r="FS149" s="1">
        <f>SUM(FS2:FS91)</f>
        <v>762482.26500558772</v>
      </c>
      <c r="FT149" s="1">
        <f>SUM(FT2:FT91)</f>
        <v>352642.90691476513</v>
      </c>
      <c r="FU149" s="1">
        <f>SUM(FU2:FU91)</f>
        <v>377117.17158353381</v>
      </c>
      <c r="FY149" s="1">
        <f>SUM(FY2:FY91)</f>
        <v>23963907.182276111</v>
      </c>
      <c r="FZ149" s="1">
        <f>SUM(FZ2:FZ91)</f>
        <v>41976134.672101654</v>
      </c>
      <c r="GA149" s="1">
        <f>SUM(GA2:GA91)</f>
        <v>20449725.766247559</v>
      </c>
      <c r="GB149" s="1">
        <f>SUM(GB2:GB91)</f>
        <v>23314462.664567992</v>
      </c>
      <c r="GD149" s="1">
        <f>SUM(GD2:GD91)</f>
        <v>63.37880745114493</v>
      </c>
      <c r="GE149" s="1">
        <f>SUM(GE2:GE91)</f>
        <v>55.030468008919478</v>
      </c>
      <c r="GF149" s="1">
        <f>SUM(GF2:GF91)</f>
        <v>54.903615978796481</v>
      </c>
      <c r="GG149" s="1">
        <f>SUM(GG2:GG91)</f>
        <v>60.848288908739882</v>
      </c>
      <c r="GI149" s="1">
        <f>SUM(GI2:GI91)</f>
        <v>402486.19360173942</v>
      </c>
      <c r="GJ149" s="1">
        <f>SUM(GJ2:GJ91)</f>
        <v>93693941.267788544</v>
      </c>
      <c r="GK149" s="1">
        <f>SUM(GK2:GK91)</f>
        <v>500612.09810779447</v>
      </c>
      <c r="GL149" s="1">
        <f>SUM(GL2:GL91)</f>
        <v>479709.80910437828</v>
      </c>
    </row>
    <row r="150" spans="2:195">
      <c r="C150" s="289"/>
      <c r="AB150" s="289"/>
      <c r="AP150" s="840">
        <f>AP149*0.25</f>
        <v>3.8350669164946476</v>
      </c>
      <c r="AQ150" s="840">
        <f>AQ149*0.25</f>
        <v>12.746650052797328</v>
      </c>
      <c r="AR150" s="840">
        <f>AR149*0.25</f>
        <v>3.6103525076671321</v>
      </c>
      <c r="AS150" s="840">
        <f>AS149*0.25</f>
        <v>5.3603897319399421</v>
      </c>
      <c r="AT150" s="324"/>
      <c r="AU150" s="324"/>
      <c r="AV150" s="324"/>
      <c r="AW150" s="324"/>
      <c r="DC150" s="324"/>
      <c r="DD150" s="324"/>
      <c r="DE150" s="324"/>
      <c r="DF150" s="324"/>
      <c r="DG150" s="147"/>
      <c r="DH150" s="147"/>
      <c r="DI150" s="147"/>
      <c r="DJ150" s="147"/>
      <c r="DK150" s="147"/>
      <c r="DL150" s="147"/>
      <c r="DM150" s="147"/>
      <c r="DN150" s="147"/>
      <c r="DO150" s="147"/>
      <c r="DP150" s="147"/>
      <c r="DQ150" s="147"/>
      <c r="DR150" s="147"/>
      <c r="FH150" s="548" t="s">
        <v>646</v>
      </c>
    </row>
    <row r="151" spans="2:195">
      <c r="C151" s="289"/>
      <c r="AB151" s="289"/>
      <c r="AP151" s="324"/>
      <c r="AQ151" s="324"/>
      <c r="AR151" s="324"/>
      <c r="AS151" s="324"/>
      <c r="AT151" s="324"/>
      <c r="AU151" s="324"/>
      <c r="AV151" s="324"/>
      <c r="AW151" s="324"/>
      <c r="DC151" s="324"/>
      <c r="DD151" s="324"/>
      <c r="DE151" s="324"/>
      <c r="DF151" s="324"/>
      <c r="DG151" s="147"/>
      <c r="DH151" s="147"/>
      <c r="DI151" s="147"/>
      <c r="DJ151" s="147"/>
      <c r="DK151" s="147"/>
      <c r="DL151" s="147"/>
      <c r="DM151" s="147"/>
      <c r="DN151" s="147"/>
      <c r="DO151" s="147"/>
      <c r="DP151" s="147"/>
      <c r="DQ151" s="147"/>
      <c r="DR151" s="147"/>
      <c r="FH151" s="857">
        <f>DO146</f>
        <v>1397.4199058435318</v>
      </c>
      <c r="FI151" s="857">
        <f t="shared" ref="FI151:FK151" si="434">DP146</f>
        <v>3649.8741446123986</v>
      </c>
      <c r="FJ151" s="857">
        <f t="shared" si="434"/>
        <v>1476.4783134217273</v>
      </c>
      <c r="FK151" s="857">
        <f t="shared" si="434"/>
        <v>2781.1987470932713</v>
      </c>
    </row>
    <row r="152" spans="2:195">
      <c r="C152" s="289"/>
      <c r="AB152" s="289"/>
      <c r="AP152" s="324"/>
      <c r="AQ152" s="324"/>
      <c r="AR152" s="324"/>
      <c r="AS152" s="324"/>
      <c r="AT152" s="324"/>
      <c r="AU152" s="324"/>
      <c r="AV152" s="324"/>
      <c r="AW152" s="324"/>
      <c r="DC152" s="324"/>
      <c r="DD152" s="324"/>
      <c r="DE152" s="324"/>
      <c r="DF152" s="324"/>
      <c r="DG152" s="147"/>
      <c r="DH152" s="147"/>
      <c r="DI152" s="147"/>
      <c r="DJ152" s="147"/>
      <c r="DK152" s="147"/>
      <c r="DL152" s="147"/>
      <c r="DM152" s="147"/>
      <c r="DN152" s="147"/>
      <c r="DO152" s="147"/>
      <c r="DP152" s="147"/>
      <c r="DQ152" s="147"/>
      <c r="DR152" s="147"/>
      <c r="FH152" s="548">
        <f>FH151/FH149</f>
        <v>1.4126045978663425E-2</v>
      </c>
      <c r="FI152" s="548">
        <f t="shared" ref="FI152:FK152" si="435">FI151/FI149</f>
        <v>1.8552926086859624E-2</v>
      </c>
      <c r="FJ152" s="548">
        <f t="shared" si="435"/>
        <v>1.2391589387260841E-2</v>
      </c>
      <c r="FK152" s="548">
        <f t="shared" si="435"/>
        <v>-0.16492198327032592</v>
      </c>
    </row>
    <row r="153" spans="2:195">
      <c r="C153" s="289"/>
      <c r="AB153" s="289"/>
      <c r="AP153" s="324"/>
      <c r="AQ153" s="324"/>
      <c r="AR153" s="324"/>
      <c r="AS153" s="324"/>
      <c r="AT153" s="324"/>
      <c r="AU153" s="324"/>
      <c r="AV153" s="324"/>
      <c r="AW153" s="324"/>
      <c r="DC153" s="324"/>
      <c r="DD153" s="324"/>
      <c r="DE153" s="324"/>
      <c r="DF153" s="324"/>
      <c r="DG153" s="147"/>
      <c r="DH153" s="147"/>
      <c r="DI153" s="147"/>
      <c r="DJ153" s="147"/>
      <c r="DK153" s="147"/>
      <c r="DL153" s="147"/>
      <c r="DM153" s="147"/>
      <c r="DN153" s="147"/>
      <c r="DO153" s="147"/>
      <c r="DP153" s="147"/>
      <c r="DQ153" s="147"/>
      <c r="DR153" s="147"/>
    </row>
    <row r="154" spans="2:195">
      <c r="C154" s="289"/>
      <c r="AB154" s="289"/>
      <c r="AP154" s="324"/>
      <c r="AQ154" s="324"/>
      <c r="AR154" s="324"/>
      <c r="AS154" s="324"/>
      <c r="AT154" s="324"/>
      <c r="AU154" s="324"/>
      <c r="AV154" s="324"/>
      <c r="AW154" s="324"/>
      <c r="DC154" s="324"/>
      <c r="DD154" s="324"/>
      <c r="DE154" s="324"/>
      <c r="DF154" s="324"/>
      <c r="DG154" s="147"/>
      <c r="DH154" s="147"/>
      <c r="DI154" s="147"/>
      <c r="DJ154" s="147"/>
      <c r="DK154" s="147"/>
      <c r="DL154" s="147"/>
      <c r="DM154" s="147"/>
      <c r="DN154" s="147"/>
      <c r="DO154" s="147"/>
      <c r="DP154" s="147"/>
      <c r="DQ154" s="147"/>
      <c r="DR154" s="147"/>
    </row>
    <row r="155" spans="2:195">
      <c r="C155" s="289"/>
      <c r="AB155" s="289"/>
      <c r="AP155" s="324"/>
      <c r="AQ155" s="324"/>
      <c r="AR155" s="324"/>
      <c r="AS155" s="324"/>
      <c r="AT155" s="324"/>
      <c r="AU155" s="324"/>
      <c r="AV155" s="324"/>
      <c r="AW155" s="324"/>
      <c r="DC155" s="324"/>
      <c r="DD155" s="324"/>
      <c r="DE155" s="324"/>
      <c r="DF155" s="324"/>
      <c r="DG155" s="147"/>
      <c r="DH155" s="147"/>
      <c r="DI155" s="147"/>
      <c r="DJ155" s="147"/>
      <c r="DK155" s="147"/>
      <c r="DL155" s="147"/>
      <c r="DM155" s="147"/>
      <c r="DN155" s="147"/>
      <c r="DO155" s="147"/>
      <c r="DP155" s="147"/>
      <c r="DQ155" s="147"/>
      <c r="DR155" s="147"/>
    </row>
    <row r="156" spans="2:195">
      <c r="C156" s="289"/>
      <c r="AB156" s="289"/>
      <c r="AP156" s="324"/>
      <c r="AQ156" s="324"/>
      <c r="AR156" s="324"/>
      <c r="AS156" s="324"/>
      <c r="AT156" s="324"/>
      <c r="AU156" s="324"/>
      <c r="AV156" s="324"/>
      <c r="AW156" s="324"/>
      <c r="DC156" s="324"/>
      <c r="DD156" s="324"/>
      <c r="DE156" s="324"/>
      <c r="DF156" s="324"/>
      <c r="DG156" s="147"/>
      <c r="DH156" s="147"/>
      <c r="DI156" s="147"/>
      <c r="DJ156" s="147"/>
      <c r="DK156" s="147"/>
      <c r="DL156" s="147"/>
      <c r="DM156" s="147"/>
      <c r="DN156" s="147"/>
      <c r="DO156" s="147"/>
      <c r="DP156" s="147"/>
      <c r="DQ156" s="147"/>
      <c r="DR156" s="147"/>
    </row>
    <row r="157" spans="2:195">
      <c r="C157" s="289"/>
      <c r="AB157" s="289"/>
      <c r="AP157" s="324"/>
      <c r="AQ157" s="324"/>
      <c r="AR157" s="324"/>
      <c r="AS157" s="324"/>
      <c r="AT157" s="324"/>
      <c r="AU157" s="324"/>
      <c r="AV157" s="324"/>
      <c r="AW157" s="324"/>
      <c r="DC157" s="324"/>
      <c r="DD157" s="324"/>
      <c r="DE157" s="324"/>
      <c r="DF157" s="324"/>
      <c r="DG157" s="147"/>
      <c r="DH157" s="147"/>
      <c r="DI157" s="147"/>
      <c r="DJ157" s="147"/>
      <c r="DK157" s="147"/>
      <c r="DL157" s="147"/>
      <c r="DM157" s="147"/>
      <c r="DN157" s="147"/>
      <c r="DO157" s="147"/>
      <c r="DP157" s="147"/>
      <c r="DQ157" s="147"/>
      <c r="DR157" s="147"/>
    </row>
    <row r="158" spans="2:195">
      <c r="C158" s="289"/>
      <c r="AB158" s="289"/>
      <c r="AP158" s="324"/>
      <c r="AQ158" s="324"/>
      <c r="AR158" s="324"/>
      <c r="AS158" s="324"/>
      <c r="AT158" s="324"/>
      <c r="AU158" s="324"/>
      <c r="AV158" s="324"/>
      <c r="AW158" s="324"/>
      <c r="DC158" s="324"/>
      <c r="DD158" s="324"/>
      <c r="DE158" s="324"/>
      <c r="DF158" s="324"/>
      <c r="DG158" s="147"/>
      <c r="DH158" s="147"/>
      <c r="DI158" s="147"/>
      <c r="DJ158" s="147"/>
      <c r="DK158" s="147"/>
      <c r="DL158" s="147"/>
      <c r="DM158" s="147"/>
      <c r="DN158" s="147"/>
      <c r="DO158" s="147"/>
      <c r="DP158" s="147"/>
      <c r="DQ158" s="147"/>
      <c r="DR158" s="147"/>
    </row>
    <row r="159" spans="2:195">
      <c r="C159" s="289"/>
      <c r="AB159" s="289"/>
      <c r="AP159" s="324"/>
      <c r="AQ159" s="324"/>
      <c r="AR159" s="324"/>
      <c r="AS159" s="324"/>
      <c r="AT159" s="324"/>
      <c r="AU159" s="324"/>
      <c r="AV159" s="324"/>
      <c r="AW159" s="324"/>
      <c r="DC159" s="324"/>
      <c r="DD159" s="324"/>
      <c r="DE159" s="324"/>
      <c r="DF159" s="324"/>
      <c r="DG159" s="147"/>
      <c r="DH159" s="147"/>
      <c r="DI159" s="147"/>
      <c r="DJ159" s="147"/>
      <c r="DK159" s="147"/>
      <c r="DL159" s="147"/>
      <c r="DM159" s="147"/>
      <c r="DN159" s="147"/>
      <c r="DO159" s="147"/>
      <c r="DP159" s="147"/>
      <c r="DQ159" s="147"/>
      <c r="DR159" s="147"/>
    </row>
    <row r="160" spans="2:195">
      <c r="C160" s="289"/>
      <c r="AB160" s="289"/>
      <c r="AP160" s="324"/>
      <c r="AQ160" s="324"/>
      <c r="AR160" s="324"/>
      <c r="AS160" s="324"/>
      <c r="AT160" s="324"/>
      <c r="AU160" s="324"/>
      <c r="AV160" s="324"/>
      <c r="AW160" s="324"/>
      <c r="DC160" s="324"/>
      <c r="DD160" s="324"/>
      <c r="DE160" s="324"/>
      <c r="DF160" s="324"/>
      <c r="DG160" s="147"/>
      <c r="DH160" s="147"/>
      <c r="DI160" s="147"/>
      <c r="DJ160" s="147"/>
      <c r="DK160" s="147"/>
      <c r="DL160" s="147"/>
      <c r="DM160" s="147"/>
      <c r="DN160" s="147"/>
      <c r="DO160" s="147"/>
      <c r="DP160" s="147"/>
      <c r="DQ160" s="147"/>
      <c r="DR160" s="147"/>
    </row>
    <row r="161" spans="3:122">
      <c r="C161" s="289"/>
      <c r="AB161" s="289"/>
      <c r="AP161" s="324"/>
      <c r="AQ161" s="324"/>
      <c r="AR161" s="324"/>
      <c r="AS161" s="324"/>
      <c r="AT161" s="324"/>
      <c r="AU161" s="324"/>
      <c r="AV161" s="324"/>
      <c r="AW161" s="324"/>
      <c r="DC161" s="324"/>
      <c r="DD161" s="324"/>
      <c r="DE161" s="324"/>
      <c r="DF161" s="324"/>
      <c r="DG161" s="147"/>
      <c r="DH161" s="147"/>
      <c r="DI161" s="147"/>
      <c r="DJ161" s="147"/>
      <c r="DK161" s="147"/>
      <c r="DL161" s="147"/>
      <c r="DM161" s="147"/>
      <c r="DN161" s="147"/>
      <c r="DO161" s="147"/>
      <c r="DP161" s="147"/>
      <c r="DQ161" s="147"/>
      <c r="DR161" s="147"/>
    </row>
    <row r="162" spans="3:122">
      <c r="C162" s="289"/>
      <c r="AB162" s="289"/>
      <c r="AP162" s="324"/>
      <c r="AQ162" s="324"/>
      <c r="AR162" s="324"/>
      <c r="AS162" s="324"/>
      <c r="AT162" s="324"/>
      <c r="AU162" s="324"/>
      <c r="AV162" s="324"/>
      <c r="AW162" s="324"/>
      <c r="DC162" s="324"/>
      <c r="DD162" s="324"/>
      <c r="DE162" s="324"/>
      <c r="DF162" s="324"/>
      <c r="DG162" s="147"/>
      <c r="DH162" s="147"/>
      <c r="DI162" s="147"/>
      <c r="DJ162" s="147"/>
      <c r="DK162" s="147"/>
      <c r="DL162" s="147"/>
      <c r="DM162" s="147"/>
      <c r="DN162" s="147"/>
      <c r="DO162" s="147"/>
      <c r="DP162" s="147"/>
      <c r="DQ162" s="147"/>
      <c r="DR162" s="147"/>
    </row>
    <row r="163" spans="3:122">
      <c r="C163" s="289"/>
      <c r="AB163" s="289"/>
      <c r="AP163" s="324"/>
      <c r="AQ163" s="324"/>
      <c r="AR163" s="324"/>
      <c r="AS163" s="324"/>
      <c r="AT163" s="324"/>
      <c r="AU163" s="324"/>
      <c r="AV163" s="324"/>
      <c r="AW163" s="324"/>
      <c r="DC163" s="324"/>
      <c r="DD163" s="324"/>
      <c r="DE163" s="324"/>
      <c r="DF163" s="324"/>
      <c r="DG163" s="147"/>
      <c r="DH163" s="147"/>
      <c r="DI163" s="147"/>
      <c r="DJ163" s="147"/>
      <c r="DK163" s="147"/>
      <c r="DL163" s="147"/>
      <c r="DM163" s="147"/>
      <c r="DN163" s="147"/>
      <c r="DO163" s="147"/>
      <c r="DP163" s="147"/>
      <c r="DQ163" s="147"/>
      <c r="DR163" s="147"/>
    </row>
    <row r="164" spans="3:122">
      <c r="C164" s="289"/>
      <c r="AB164" s="289"/>
      <c r="AP164" s="324"/>
      <c r="AQ164" s="324"/>
      <c r="AR164" s="324"/>
      <c r="AS164" s="324"/>
      <c r="AT164" s="324"/>
      <c r="AU164" s="324"/>
      <c r="AV164" s="324"/>
      <c r="AW164" s="324"/>
      <c r="DC164" s="324"/>
      <c r="DD164" s="324"/>
      <c r="DE164" s="324"/>
      <c r="DF164" s="324"/>
      <c r="DG164" s="147"/>
      <c r="DH164" s="147"/>
      <c r="DI164" s="147"/>
      <c r="DJ164" s="147"/>
      <c r="DK164" s="147"/>
      <c r="DL164" s="147"/>
      <c r="DM164" s="147"/>
      <c r="DN164" s="147"/>
      <c r="DO164" s="147"/>
      <c r="DP164" s="147"/>
      <c r="DQ164" s="147"/>
      <c r="DR164" s="147"/>
    </row>
    <row r="165" spans="3:122">
      <c r="C165" s="289"/>
      <c r="AB165" s="289"/>
      <c r="AP165" s="324"/>
      <c r="AQ165" s="324"/>
      <c r="AR165" s="324"/>
      <c r="AS165" s="324"/>
      <c r="AT165" s="324"/>
      <c r="AU165" s="324"/>
      <c r="AV165" s="324"/>
      <c r="AW165" s="324"/>
      <c r="DC165" s="324"/>
      <c r="DD165" s="324"/>
      <c r="DE165" s="324"/>
      <c r="DF165" s="324"/>
      <c r="DG165" s="147"/>
      <c r="DH165" s="147"/>
      <c r="DI165" s="147"/>
      <c r="DJ165" s="147"/>
      <c r="DK165" s="147"/>
      <c r="DL165" s="147"/>
      <c r="DM165" s="147"/>
      <c r="DN165" s="147"/>
      <c r="DO165" s="147"/>
      <c r="DP165" s="147"/>
      <c r="DQ165" s="147"/>
      <c r="DR165" s="147"/>
    </row>
    <row r="166" spans="3:122">
      <c r="C166" s="289"/>
      <c r="AB166" s="289"/>
      <c r="AP166" s="324"/>
      <c r="AQ166" s="324"/>
      <c r="AR166" s="324"/>
      <c r="AS166" s="324"/>
      <c r="AT166" s="324"/>
      <c r="AU166" s="324"/>
      <c r="AV166" s="324"/>
      <c r="AW166" s="324"/>
      <c r="DC166" s="324"/>
      <c r="DD166" s="324"/>
      <c r="DE166" s="324"/>
      <c r="DF166" s="324"/>
      <c r="DG166" s="147"/>
      <c r="DH166" s="147"/>
      <c r="DI166" s="147"/>
      <c r="DJ166" s="147"/>
      <c r="DK166" s="147"/>
      <c r="DL166" s="147"/>
      <c r="DM166" s="147"/>
      <c r="DN166" s="147"/>
      <c r="DO166" s="147"/>
      <c r="DP166" s="147"/>
      <c r="DQ166" s="147"/>
      <c r="DR166" s="147"/>
    </row>
    <row r="167" spans="3:122">
      <c r="C167" s="289"/>
      <c r="AB167" s="289"/>
      <c r="AP167" s="324"/>
      <c r="AQ167" s="324"/>
      <c r="AR167" s="324"/>
      <c r="AS167" s="324"/>
      <c r="AT167" s="324"/>
      <c r="AU167" s="324"/>
      <c r="AV167" s="324"/>
      <c r="AW167" s="324"/>
      <c r="DC167" s="324"/>
      <c r="DD167" s="324"/>
      <c r="DE167" s="324"/>
      <c r="DF167" s="324"/>
      <c r="DG167" s="147"/>
      <c r="DH167" s="147"/>
      <c r="DI167" s="147"/>
      <c r="DJ167" s="147"/>
      <c r="DK167" s="147"/>
      <c r="DL167" s="147"/>
      <c r="DM167" s="147"/>
      <c r="DN167" s="147"/>
      <c r="DO167" s="147"/>
      <c r="DP167" s="147"/>
      <c r="DQ167" s="147"/>
      <c r="DR167" s="147"/>
    </row>
    <row r="168" spans="3:122">
      <c r="C168" s="289"/>
      <c r="AB168" s="289"/>
      <c r="AP168" s="324"/>
      <c r="AQ168" s="324"/>
      <c r="AR168" s="324"/>
      <c r="AS168" s="324"/>
      <c r="AT168" s="324"/>
      <c r="AU168" s="324"/>
      <c r="AV168" s="324"/>
      <c r="AW168" s="324"/>
      <c r="DC168" s="324"/>
      <c r="DD168" s="324"/>
      <c r="DE168" s="324"/>
      <c r="DF168" s="324"/>
      <c r="DG168" s="147"/>
      <c r="DH168" s="147"/>
      <c r="DI168" s="147"/>
      <c r="DJ168" s="147"/>
      <c r="DK168" s="147"/>
      <c r="DL168" s="147"/>
      <c r="DM168" s="147"/>
      <c r="DN168" s="147"/>
      <c r="DO168" s="147"/>
      <c r="DP168" s="147"/>
      <c r="DQ168" s="147"/>
      <c r="DR168" s="147"/>
    </row>
    <row r="169" spans="3:122">
      <c r="C169" s="289"/>
      <c r="AB169" s="289"/>
      <c r="AP169" s="324"/>
      <c r="AQ169" s="324"/>
      <c r="AR169" s="324"/>
      <c r="AS169" s="324"/>
      <c r="AT169" s="324"/>
      <c r="AU169" s="324"/>
      <c r="AV169" s="324"/>
      <c r="AW169" s="324"/>
      <c r="DC169" s="324"/>
      <c r="DD169" s="324"/>
      <c r="DE169" s="324"/>
      <c r="DF169" s="324"/>
      <c r="DG169" s="147"/>
      <c r="DH169" s="147"/>
      <c r="DI169" s="147"/>
      <c r="DJ169" s="147"/>
      <c r="DK169" s="147"/>
      <c r="DL169" s="147"/>
      <c r="DM169" s="147"/>
      <c r="DN169" s="147"/>
      <c r="DO169" s="147"/>
      <c r="DP169" s="147"/>
      <c r="DQ169" s="147"/>
      <c r="DR169" s="147"/>
    </row>
    <row r="170" spans="3:122">
      <c r="C170" s="289"/>
      <c r="AB170" s="289"/>
      <c r="AP170" s="324"/>
      <c r="AQ170" s="324"/>
      <c r="AR170" s="324"/>
      <c r="AS170" s="324"/>
      <c r="AT170" s="324"/>
      <c r="AU170" s="324"/>
      <c r="AV170" s="324"/>
      <c r="AW170" s="324"/>
      <c r="DC170" s="324"/>
      <c r="DD170" s="324"/>
      <c r="DE170" s="324"/>
      <c r="DF170" s="324"/>
      <c r="DG170" s="147"/>
      <c r="DH170" s="147"/>
      <c r="DI170" s="147"/>
      <c r="DJ170" s="147"/>
      <c r="DK170" s="147"/>
      <c r="DL170" s="147"/>
      <c r="DM170" s="147"/>
      <c r="DN170" s="147"/>
      <c r="DO170" s="147"/>
      <c r="DP170" s="147"/>
      <c r="DQ170" s="147"/>
      <c r="DR170" s="147"/>
    </row>
    <row r="171" spans="3:122">
      <c r="C171" s="289"/>
      <c r="AB171" s="289"/>
      <c r="AP171" s="324"/>
      <c r="AQ171" s="324"/>
      <c r="AR171" s="324"/>
      <c r="AS171" s="324"/>
      <c r="AT171" s="324"/>
      <c r="AU171" s="324"/>
      <c r="AV171" s="324"/>
      <c r="AW171" s="324"/>
      <c r="DC171" s="324"/>
      <c r="DD171" s="324"/>
      <c r="DE171" s="324"/>
      <c r="DF171" s="324"/>
      <c r="DG171" s="147"/>
      <c r="DH171" s="147"/>
      <c r="DI171" s="147"/>
      <c r="DJ171" s="147"/>
      <c r="DK171" s="147"/>
      <c r="DL171" s="147"/>
      <c r="DM171" s="147"/>
      <c r="DN171" s="147"/>
      <c r="DO171" s="147"/>
      <c r="DP171" s="147"/>
      <c r="DQ171" s="147"/>
      <c r="DR171" s="147"/>
    </row>
    <row r="172" spans="3:122">
      <c r="C172" s="289"/>
      <c r="AB172" s="289"/>
      <c r="AP172" s="324"/>
      <c r="AQ172" s="324"/>
      <c r="AR172" s="324"/>
      <c r="AS172" s="324"/>
      <c r="AT172" s="324"/>
      <c r="AU172" s="324"/>
      <c r="AV172" s="324"/>
      <c r="AW172" s="324"/>
      <c r="DC172" s="324"/>
      <c r="DD172" s="324"/>
      <c r="DE172" s="324"/>
      <c r="DF172" s="324"/>
      <c r="DG172" s="147"/>
      <c r="DH172" s="147"/>
      <c r="DI172" s="147"/>
      <c r="DJ172" s="147"/>
      <c r="DK172" s="147"/>
      <c r="DL172" s="147"/>
      <c r="DM172" s="147"/>
      <c r="DN172" s="147"/>
      <c r="DO172" s="147"/>
      <c r="DP172" s="147"/>
      <c r="DQ172" s="147"/>
      <c r="DR172" s="147"/>
    </row>
    <row r="173" spans="3:122">
      <c r="C173" s="289"/>
      <c r="AB173" s="289"/>
      <c r="AP173" s="324"/>
      <c r="AQ173" s="324"/>
      <c r="AR173" s="324"/>
      <c r="AS173" s="324"/>
      <c r="AT173" s="324"/>
      <c r="AU173" s="324"/>
      <c r="AV173" s="324"/>
      <c r="AW173" s="324"/>
      <c r="DC173" s="324"/>
      <c r="DD173" s="324"/>
      <c r="DE173" s="324"/>
      <c r="DF173" s="324"/>
      <c r="DG173" s="147"/>
      <c r="DH173" s="147"/>
      <c r="DI173" s="147"/>
      <c r="DJ173" s="147"/>
      <c r="DK173" s="147"/>
      <c r="DL173" s="147"/>
      <c r="DM173" s="147"/>
      <c r="DN173" s="147"/>
      <c r="DO173" s="147"/>
      <c r="DP173" s="147"/>
      <c r="DQ173" s="147"/>
      <c r="DR173" s="147"/>
    </row>
    <row r="174" spans="3:122">
      <c r="C174" s="289"/>
      <c r="AB174" s="289"/>
      <c r="AP174" s="324"/>
      <c r="AQ174" s="324"/>
      <c r="AR174" s="324"/>
      <c r="AS174" s="324"/>
      <c r="AT174" s="324"/>
      <c r="AU174" s="324"/>
      <c r="AV174" s="324"/>
      <c r="AW174" s="324"/>
      <c r="DC174" s="324"/>
      <c r="DD174" s="324"/>
      <c r="DE174" s="324"/>
      <c r="DF174" s="324"/>
      <c r="DG174" s="147"/>
      <c r="DH174" s="147"/>
      <c r="DI174" s="147"/>
      <c r="DJ174" s="147"/>
      <c r="DK174" s="147"/>
      <c r="DL174" s="147"/>
      <c r="DM174" s="147"/>
      <c r="DN174" s="147"/>
      <c r="DO174" s="147"/>
      <c r="DP174" s="147"/>
      <c r="DQ174" s="147"/>
      <c r="DR174" s="147"/>
    </row>
    <row r="175" spans="3:122">
      <c r="C175" s="289"/>
      <c r="AB175" s="289"/>
      <c r="AP175" s="324"/>
      <c r="AQ175" s="324"/>
      <c r="AR175" s="324"/>
      <c r="AS175" s="324"/>
      <c r="AT175" s="324"/>
      <c r="AU175" s="324"/>
      <c r="AV175" s="324"/>
      <c r="AW175" s="324"/>
      <c r="DC175" s="324"/>
      <c r="DD175" s="324"/>
      <c r="DE175" s="324"/>
      <c r="DF175" s="324"/>
      <c r="DG175" s="147"/>
      <c r="DH175" s="147"/>
      <c r="DI175" s="147"/>
      <c r="DJ175" s="147"/>
      <c r="DK175" s="147"/>
      <c r="DL175" s="147"/>
      <c r="DM175" s="147"/>
      <c r="DN175" s="147"/>
      <c r="DO175" s="147"/>
      <c r="DP175" s="147"/>
      <c r="DQ175" s="147"/>
      <c r="DR175" s="147"/>
    </row>
    <row r="176" spans="3:122">
      <c r="C176" s="289"/>
      <c r="AB176" s="289"/>
      <c r="AP176" s="324"/>
      <c r="AQ176" s="324"/>
      <c r="AR176" s="324"/>
      <c r="AS176" s="324"/>
      <c r="AT176" s="324"/>
      <c r="AU176" s="324"/>
      <c r="AV176" s="324"/>
      <c r="AW176" s="324"/>
      <c r="DC176" s="324"/>
      <c r="DD176" s="324"/>
      <c r="DE176" s="324"/>
      <c r="DF176" s="324"/>
      <c r="DG176" s="147"/>
      <c r="DH176" s="147"/>
      <c r="DI176" s="147"/>
      <c r="DJ176" s="147"/>
      <c r="DK176" s="147"/>
      <c r="DL176" s="147"/>
      <c r="DM176" s="147"/>
      <c r="DN176" s="147"/>
      <c r="DO176" s="147"/>
      <c r="DP176" s="147"/>
      <c r="DQ176" s="147"/>
      <c r="DR176" s="147"/>
    </row>
    <row r="177" spans="3:112">
      <c r="C177" s="289"/>
      <c r="AB177" s="289"/>
      <c r="AP177" s="324"/>
      <c r="AQ177" s="324"/>
      <c r="AR177" s="324"/>
      <c r="AS177" s="324"/>
      <c r="AT177" s="324"/>
      <c r="AU177" s="324"/>
      <c r="AV177" s="324"/>
      <c r="AW177" s="324"/>
      <c r="DC177" s="324"/>
      <c r="DD177" s="324"/>
      <c r="DE177" s="324"/>
      <c r="DF177" s="324"/>
      <c r="DG177" s="147"/>
      <c r="DH177" s="147"/>
    </row>
    <row r="178" spans="3:112">
      <c r="C178" s="289"/>
      <c r="AB178" s="289"/>
    </row>
    <row r="179" spans="3:112">
      <c r="C179" s="289"/>
      <c r="AB179" s="289"/>
    </row>
    <row r="180" spans="3:112">
      <c r="C180" s="289"/>
      <c r="AB180" s="289"/>
    </row>
    <row r="181" spans="3:112">
      <c r="C181" s="289"/>
      <c r="AB181" s="289"/>
    </row>
    <row r="182" spans="3:112">
      <c r="C182" s="289"/>
      <c r="AB182" s="289"/>
    </row>
    <row r="183" spans="3:112">
      <c r="C183" s="289"/>
      <c r="AB183" s="289"/>
    </row>
    <row r="184" spans="3:112">
      <c r="C184" s="289"/>
      <c r="AB184" s="289"/>
    </row>
    <row r="185" spans="3:112">
      <c r="C185" s="289"/>
      <c r="AB185" s="289"/>
    </row>
    <row r="186" spans="3:112">
      <c r="C186" s="289"/>
      <c r="AB186" s="289"/>
    </row>
    <row r="187" spans="3:112">
      <c r="C187" s="289"/>
      <c r="AB187" s="289"/>
    </row>
    <row r="188" spans="3:112">
      <c r="C188" s="289"/>
      <c r="AB188" s="289"/>
    </row>
    <row r="189" spans="3:112">
      <c r="C189" s="289"/>
      <c r="AB189" s="289"/>
    </row>
    <row r="190" spans="3:112">
      <c r="C190" s="289"/>
      <c r="AB190" s="289"/>
    </row>
    <row r="191" spans="3:112">
      <c r="C191" s="289"/>
      <c r="AB191" s="289"/>
    </row>
    <row r="192" spans="3:112">
      <c r="C192" s="289"/>
      <c r="AB192" s="289"/>
    </row>
    <row r="193" spans="3:28">
      <c r="C193" s="289"/>
      <c r="AB193" s="289"/>
    </row>
    <row r="194" spans="3:28">
      <c r="C194" s="289"/>
      <c r="AB194" s="289"/>
    </row>
    <row r="195" spans="3:28">
      <c r="C195" s="289"/>
      <c r="AB195" s="289"/>
    </row>
    <row r="196" spans="3:28">
      <c r="C196" s="289"/>
      <c r="AB196" s="289"/>
    </row>
    <row r="197" spans="3:28">
      <c r="C197" s="289"/>
      <c r="AB197" s="289"/>
    </row>
    <row r="198" spans="3:28">
      <c r="C198" s="289"/>
      <c r="AB198" s="289"/>
    </row>
    <row r="199" spans="3:28">
      <c r="C199" s="289"/>
      <c r="AB199" s="289"/>
    </row>
    <row r="200" spans="3:28">
      <c r="C200" s="289"/>
      <c r="AB200" s="289"/>
    </row>
    <row r="201" spans="3:28">
      <c r="C201" s="289"/>
      <c r="AB201" s="289"/>
    </row>
    <row r="202" spans="3:28">
      <c r="C202" s="289"/>
      <c r="AB202" s="289"/>
    </row>
    <row r="203" spans="3:28">
      <c r="C203" s="289"/>
      <c r="AB203" s="289"/>
    </row>
    <row r="204" spans="3:28">
      <c r="C204" s="289"/>
      <c r="AB204" s="289"/>
    </row>
    <row r="205" spans="3:28">
      <c r="C205" s="289"/>
      <c r="AB205" s="289"/>
    </row>
    <row r="206" spans="3:28">
      <c r="C206" s="289"/>
      <c r="AB206" s="289"/>
    </row>
    <row r="207" spans="3:28">
      <c r="C207" s="289"/>
      <c r="AB207" s="289"/>
    </row>
    <row r="208" spans="3:28">
      <c r="C208" s="289"/>
      <c r="AB208" s="289"/>
    </row>
    <row r="209" spans="3:28">
      <c r="C209" s="289"/>
      <c r="AB209" s="289"/>
    </row>
    <row r="210" spans="3:28">
      <c r="C210" s="289"/>
      <c r="AB210" s="289"/>
    </row>
    <row r="211" spans="3:28">
      <c r="C211" s="289"/>
      <c r="AB211" s="289"/>
    </row>
    <row r="212" spans="3:28">
      <c r="C212" s="289"/>
      <c r="AB212" s="289"/>
    </row>
    <row r="213" spans="3:28">
      <c r="C213" s="289"/>
      <c r="AB213" s="289"/>
    </row>
    <row r="214" spans="3:28">
      <c r="C214" s="289"/>
      <c r="AB214" s="289"/>
    </row>
    <row r="215" spans="3:28">
      <c r="C215" s="289"/>
      <c r="AB215" s="289"/>
    </row>
    <row r="216" spans="3:28">
      <c r="C216" s="289"/>
      <c r="AB216" s="289"/>
    </row>
    <row r="217" spans="3:28">
      <c r="C217" s="289"/>
      <c r="AB217" s="289"/>
    </row>
    <row r="218" spans="3:28">
      <c r="C218" s="289"/>
      <c r="AB218" s="289"/>
    </row>
    <row r="219" spans="3:28">
      <c r="C219" s="289"/>
      <c r="AB219" s="289"/>
    </row>
    <row r="220" spans="3:28">
      <c r="C220" s="289"/>
      <c r="AB220" s="289"/>
    </row>
    <row r="221" spans="3:28">
      <c r="C221" s="289"/>
      <c r="AB221" s="289"/>
    </row>
    <row r="222" spans="3:28">
      <c r="C222" s="289"/>
      <c r="AB222" s="289"/>
    </row>
    <row r="223" spans="3:28">
      <c r="C223" s="289"/>
      <c r="AB223" s="289"/>
    </row>
    <row r="224" spans="3:28">
      <c r="C224" s="289"/>
      <c r="AB224" s="289"/>
    </row>
    <row r="225" spans="3:28">
      <c r="C225" s="289"/>
      <c r="AB225" s="289"/>
    </row>
    <row r="226" spans="3:28">
      <c r="C226" s="289"/>
      <c r="AB226" s="289"/>
    </row>
    <row r="227" spans="3:28">
      <c r="C227" s="289"/>
      <c r="AB227" s="289"/>
    </row>
    <row r="228" spans="3:28">
      <c r="C228" s="289"/>
      <c r="AB228" s="289"/>
    </row>
    <row r="229" spans="3:28">
      <c r="C229" s="289"/>
      <c r="AB229" s="289"/>
    </row>
    <row r="230" spans="3:28">
      <c r="C230" s="289"/>
      <c r="AB230" s="289"/>
    </row>
    <row r="231" spans="3:28">
      <c r="C231" s="289"/>
      <c r="AB231" s="289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145"/>
  <sheetViews>
    <sheetView workbookViewId="0">
      <selection activeCell="BK36" sqref="BK36"/>
    </sheetView>
  </sheetViews>
  <sheetFormatPr baseColWidth="10" defaultRowHeight="16"/>
  <sheetData>
    <row r="1" spans="1:69">
      <c r="B1" t="s">
        <v>123</v>
      </c>
      <c r="C1" t="s">
        <v>24</v>
      </c>
      <c r="D1" t="s">
        <v>605</v>
      </c>
      <c r="E1" t="s">
        <v>118</v>
      </c>
      <c r="G1" t="s">
        <v>119</v>
      </c>
      <c r="I1" t="s">
        <v>120</v>
      </c>
      <c r="K1" t="s">
        <v>121</v>
      </c>
      <c r="O1" t="s">
        <v>152</v>
      </c>
      <c r="P1" t="s">
        <v>153</v>
      </c>
      <c r="Q1" t="s">
        <v>154</v>
      </c>
      <c r="R1" t="s">
        <v>155</v>
      </c>
      <c r="T1" s="1" t="s">
        <v>118</v>
      </c>
      <c r="U1" s="147" t="s">
        <v>633</v>
      </c>
      <c r="V1" t="s">
        <v>189</v>
      </c>
      <c r="AE1" t="s">
        <v>119</v>
      </c>
      <c r="AF1" t="s">
        <v>108</v>
      </c>
      <c r="AG1" t="s">
        <v>189</v>
      </c>
      <c r="AQ1" t="s">
        <v>120</v>
      </c>
      <c r="AS1" t="s">
        <v>189</v>
      </c>
      <c r="AT1" t="s">
        <v>156</v>
      </c>
      <c r="BB1" t="s">
        <v>121</v>
      </c>
      <c r="BQ1" t="s">
        <v>24</v>
      </c>
    </row>
    <row r="2" spans="1:69">
      <c r="A2" s="2">
        <v>41562</v>
      </c>
      <c r="B2">
        <v>0</v>
      </c>
      <c r="C2" s="684">
        <v>127.8</v>
      </c>
      <c r="D2" s="689">
        <f>IF(C2&gt;=1,0,D1+1)</f>
        <v>0</v>
      </c>
      <c r="E2" s="482">
        <v>0</v>
      </c>
      <c r="F2" s="679">
        <v>0.9327580588815465</v>
      </c>
      <c r="G2" s="482">
        <v>0.61806955386698603</v>
      </c>
      <c r="H2" s="679">
        <v>-73.787645372154202</v>
      </c>
      <c r="I2" s="482">
        <v>0.16656955386698569</v>
      </c>
      <c r="J2" s="679">
        <v>-42.0833031544243</v>
      </c>
      <c r="K2" s="482">
        <v>0.25926955386698619</v>
      </c>
      <c r="L2">
        <v>-13.006208981747989</v>
      </c>
      <c r="O2" s="679">
        <v>0.9327580588815465</v>
      </c>
      <c r="P2" s="679">
        <v>-73.787645372154202</v>
      </c>
      <c r="Q2" s="679">
        <v>-42.0833031544243</v>
      </c>
      <c r="R2" s="679">
        <v>-13.006208981747989</v>
      </c>
      <c r="T2" s="684">
        <v>0</v>
      </c>
      <c r="U2" s="679">
        <v>0.9327580588815465</v>
      </c>
      <c r="V2" s="679">
        <f>U2*10</f>
        <v>9.327580588815465</v>
      </c>
      <c r="W2" s="679">
        <v>0.9327580588815465</v>
      </c>
      <c r="X2" t="s">
        <v>150</v>
      </c>
      <c r="AE2" s="689">
        <v>0</v>
      </c>
      <c r="AF2" s="679">
        <v>-73.787645372154202</v>
      </c>
      <c r="AG2" s="690">
        <f>AF2*10</f>
        <v>-737.87645372154202</v>
      </c>
      <c r="AQ2" s="684">
        <v>0</v>
      </c>
      <c r="AR2" s="679">
        <v>-42.0833031544243</v>
      </c>
      <c r="AS2" s="690">
        <f>AR2*10</f>
        <v>-420.833031544243</v>
      </c>
      <c r="BB2" s="684">
        <v>0</v>
      </c>
      <c r="BC2" s="679">
        <v>-13.006208981747989</v>
      </c>
      <c r="BD2" s="690">
        <f>BC2*10</f>
        <v>-130.06208981747989</v>
      </c>
      <c r="BQ2" s="684">
        <v>127.8</v>
      </c>
    </row>
    <row r="3" spans="1:69">
      <c r="A3" s="2">
        <v>41563</v>
      </c>
      <c r="B3">
        <v>0</v>
      </c>
      <c r="C3" s="685">
        <v>21.2</v>
      </c>
      <c r="D3" s="689">
        <f t="shared" ref="D3:D66" si="0">IF(C3&gt;=1,0,D2+1)</f>
        <v>0</v>
      </c>
      <c r="E3" s="505">
        <v>2.3425855213215674</v>
      </c>
      <c r="F3" s="679">
        <v>-63.075365648894994</v>
      </c>
      <c r="G3" s="471">
        <v>2.9642855213215693</v>
      </c>
      <c r="H3" s="679">
        <v>-18.051660468800463</v>
      </c>
      <c r="I3" s="471">
        <v>3.153485521321568</v>
      </c>
      <c r="J3" s="679">
        <v>-20.448259174585139</v>
      </c>
      <c r="K3" s="471">
        <v>2.8782855213215686</v>
      </c>
      <c r="L3">
        <v>-23.377798523233963</v>
      </c>
      <c r="O3" s="679">
        <v>-63.075365648894994</v>
      </c>
      <c r="P3" s="679">
        <v>-18.051660468800463</v>
      </c>
      <c r="Q3" s="679">
        <v>-20.448259174585139</v>
      </c>
      <c r="R3" s="679">
        <v>-23.377798523233963</v>
      </c>
      <c r="T3" s="684">
        <v>0</v>
      </c>
      <c r="U3" s="679"/>
      <c r="V3" s="679">
        <f>U3*10</f>
        <v>0</v>
      </c>
      <c r="W3" s="679">
        <v>-63.075365648894994</v>
      </c>
      <c r="AE3" s="689">
        <v>0</v>
      </c>
      <c r="AF3" s="679">
        <v>-18.051660468800463</v>
      </c>
      <c r="AG3" s="690">
        <f t="shared" ref="AG3:AG66" si="1">AF3*10</f>
        <v>-180.51660468800463</v>
      </c>
      <c r="AQ3" s="684">
        <v>0</v>
      </c>
      <c r="AR3" s="679">
        <v>-20.448259174585139</v>
      </c>
      <c r="AS3" s="690">
        <f t="shared" ref="AS3:AS66" si="2">AR3*10</f>
        <v>-204.48259174585138</v>
      </c>
      <c r="BB3" s="684">
        <v>0</v>
      </c>
      <c r="BC3" s="679">
        <v>-23.377798523233963</v>
      </c>
      <c r="BD3" s="690">
        <f t="shared" ref="BD3:BD66" si="3">BC3*10</f>
        <v>-233.77798523233963</v>
      </c>
      <c r="BF3" t="s">
        <v>157</v>
      </c>
      <c r="BQ3" s="686">
        <v>63.6</v>
      </c>
    </row>
    <row r="4" spans="1:69">
      <c r="A4" s="299">
        <v>41564</v>
      </c>
      <c r="B4" s="282">
        <v>0</v>
      </c>
      <c r="C4" s="685">
        <v>11.4</v>
      </c>
      <c r="D4" s="689">
        <f t="shared" si="0"/>
        <v>0</v>
      </c>
      <c r="E4" s="266">
        <v>3.001481022440164</v>
      </c>
      <c r="F4" s="679">
        <v>-3.0475094849384914</v>
      </c>
      <c r="G4" s="161">
        <v>3.1793810224401646</v>
      </c>
      <c r="H4" s="679">
        <v>-8.6892460034803474</v>
      </c>
      <c r="I4" s="161">
        <v>3.402581022440164</v>
      </c>
      <c r="J4" s="679">
        <v>-18.078425826521549</v>
      </c>
      <c r="K4" s="161">
        <v>3.1435810224401641</v>
      </c>
      <c r="L4" s="297">
        <v>-6.1038436513770584</v>
      </c>
      <c r="M4" s="297"/>
      <c r="N4" s="297"/>
      <c r="O4" s="679">
        <v>-3.0475094849384914</v>
      </c>
      <c r="P4" s="679">
        <v>-8.6892460034803474</v>
      </c>
      <c r="Q4" s="679">
        <v>-18.078425826521549</v>
      </c>
      <c r="R4" s="679">
        <v>-6.1038436513770584</v>
      </c>
      <c r="T4" s="684">
        <v>0</v>
      </c>
      <c r="U4" s="679">
        <v>-3.0475094849384914</v>
      </c>
      <c r="V4" s="679">
        <f t="shared" ref="V4:V67" si="4">U4*10</f>
        <v>-30.475094849384913</v>
      </c>
      <c r="W4" s="679">
        <v>-3.0475094849384914</v>
      </c>
      <c r="AE4" s="689">
        <v>0</v>
      </c>
      <c r="AF4" s="679">
        <v>-8.6892460034803474</v>
      </c>
      <c r="AG4" s="690">
        <f t="shared" si="1"/>
        <v>-86.892460034803477</v>
      </c>
      <c r="AQ4" s="684">
        <v>0</v>
      </c>
      <c r="AR4" s="679">
        <v>-18.078425826521549</v>
      </c>
      <c r="AS4" s="690">
        <f t="shared" si="2"/>
        <v>-180.7842582652155</v>
      </c>
      <c r="BB4" s="684">
        <v>0</v>
      </c>
      <c r="BC4" s="679">
        <v>-6.1038436513770584</v>
      </c>
      <c r="BD4" s="690">
        <f t="shared" si="3"/>
        <v>-61.038436513770584</v>
      </c>
      <c r="BQ4" s="686">
        <v>25.75</v>
      </c>
    </row>
    <row r="5" spans="1:69">
      <c r="A5" s="299">
        <v>41565</v>
      </c>
      <c r="B5" s="282">
        <v>0</v>
      </c>
      <c r="C5" s="686">
        <v>24.05</v>
      </c>
      <c r="D5" s="689">
        <f t="shared" si="0"/>
        <v>0</v>
      </c>
      <c r="E5" s="266">
        <v>3.0295143565567302</v>
      </c>
      <c r="F5" s="679">
        <v>0.91278088154707149</v>
      </c>
      <c r="G5" s="161">
        <v>3.2773143565567313</v>
      </c>
      <c r="H5" s="679">
        <v>6.7771202586053292</v>
      </c>
      <c r="I5" s="161">
        <v>3.5956143565567311</v>
      </c>
      <c r="J5" s="679">
        <v>7.1124501020068962</v>
      </c>
      <c r="K5" s="161">
        <v>3.2043143565567305</v>
      </c>
      <c r="L5" s="297">
        <v>10.475309824003876</v>
      </c>
      <c r="M5" s="297"/>
      <c r="N5" s="297"/>
      <c r="O5" s="679">
        <v>0.91278088154707149</v>
      </c>
      <c r="P5" s="679">
        <v>6.7771202586053292</v>
      </c>
      <c r="Q5" s="679">
        <v>7.1124501020068962</v>
      </c>
      <c r="R5" s="679">
        <v>10.475309824003876</v>
      </c>
      <c r="T5" s="684">
        <v>0</v>
      </c>
      <c r="U5" s="679">
        <v>0.91278088154707149</v>
      </c>
      <c r="V5" s="679">
        <f t="shared" si="4"/>
        <v>9.1278088154707149</v>
      </c>
      <c r="W5" s="679">
        <v>0.91278088154707149</v>
      </c>
      <c r="AE5" s="689">
        <v>0</v>
      </c>
      <c r="AF5" s="679">
        <v>6.7771202586053292</v>
      </c>
      <c r="AG5" s="690">
        <f t="shared" si="1"/>
        <v>67.771202586053292</v>
      </c>
      <c r="AQ5" s="684">
        <v>0</v>
      </c>
      <c r="AR5" s="679">
        <v>7.1124501020068962</v>
      </c>
      <c r="AS5" s="690">
        <f t="shared" si="2"/>
        <v>71.124501020068962</v>
      </c>
      <c r="BB5" s="684">
        <v>0</v>
      </c>
      <c r="BC5" s="679">
        <v>10.475309824003876</v>
      </c>
      <c r="BD5" s="690">
        <f t="shared" si="3"/>
        <v>104.75309824003875</v>
      </c>
      <c r="BQ5" s="686">
        <v>24.05</v>
      </c>
    </row>
    <row r="6" spans="1:69">
      <c r="A6" s="299">
        <v>41566</v>
      </c>
      <c r="B6" s="282">
        <v>0</v>
      </c>
      <c r="C6" s="686">
        <v>25.75</v>
      </c>
      <c r="D6" s="689">
        <f t="shared" si="0"/>
        <v>0</v>
      </c>
      <c r="E6" s="266">
        <v>3.1842159959313361</v>
      </c>
      <c r="F6" s="679">
        <v>20.900095740820934</v>
      </c>
      <c r="G6" s="161">
        <v>3.3345159959313371</v>
      </c>
      <c r="H6" s="679">
        <v>7.9784829979624554</v>
      </c>
      <c r="I6" s="161">
        <v>3.7167159959313372</v>
      </c>
      <c r="J6" s="679">
        <v>-2.7658853434370307</v>
      </c>
      <c r="K6" s="161">
        <v>3.2750159959313367</v>
      </c>
      <c r="L6" s="297">
        <v>8.7081514829446753</v>
      </c>
      <c r="M6" s="297"/>
      <c r="N6" s="297"/>
      <c r="O6" s="679">
        <v>20.900095740820934</v>
      </c>
      <c r="P6" s="679">
        <v>7.9784829979624554</v>
      </c>
      <c r="Q6" s="679">
        <v>-2.7658853434370307</v>
      </c>
      <c r="R6" s="679">
        <v>8.7081514829446753</v>
      </c>
      <c r="T6" s="684">
        <v>0</v>
      </c>
      <c r="U6" s="679">
        <v>20.900095740820934</v>
      </c>
      <c r="V6" s="679">
        <f t="shared" si="4"/>
        <v>209.00095740820933</v>
      </c>
      <c r="W6" s="679">
        <v>20.900095740820934</v>
      </c>
      <c r="AE6" s="689">
        <v>0</v>
      </c>
      <c r="AF6" s="679">
        <v>7.9784829979624554</v>
      </c>
      <c r="AG6" s="690">
        <f t="shared" si="1"/>
        <v>79.784829979624561</v>
      </c>
      <c r="AQ6" s="684">
        <v>0</v>
      </c>
      <c r="AR6" s="679">
        <v>-2.7658853434370307</v>
      </c>
      <c r="AS6" s="690">
        <f t="shared" si="2"/>
        <v>-27.658853434370307</v>
      </c>
      <c r="BB6" s="684">
        <v>0</v>
      </c>
      <c r="BC6" s="679">
        <v>8.7081514829446753</v>
      </c>
      <c r="BD6" s="690">
        <f t="shared" si="3"/>
        <v>87.081514829446746</v>
      </c>
      <c r="BQ6" s="686">
        <v>22.5</v>
      </c>
    </row>
    <row r="7" spans="1:69">
      <c r="A7" s="299">
        <v>41567</v>
      </c>
      <c r="B7" s="282">
        <v>0</v>
      </c>
      <c r="C7" s="686">
        <v>2</v>
      </c>
      <c r="D7" s="689">
        <f t="shared" si="0"/>
        <v>0</v>
      </c>
      <c r="E7" s="266">
        <v>3.1727063881024375</v>
      </c>
      <c r="F7" s="679">
        <v>1.5919393219069451</v>
      </c>
      <c r="G7" s="161">
        <v>3.4026063881024378</v>
      </c>
      <c r="H7" s="679">
        <v>-2.7738947480843201</v>
      </c>
      <c r="I7" s="161">
        <v>3.9735063881024368</v>
      </c>
      <c r="J7" s="679">
        <v>-10.797234859066986</v>
      </c>
      <c r="K7" s="161">
        <v>3.3996063881024372</v>
      </c>
      <c r="L7" s="297">
        <v>17.190206372420505</v>
      </c>
      <c r="M7" s="297"/>
      <c r="N7" s="297"/>
      <c r="O7" s="679">
        <v>1.5919393219069451</v>
      </c>
      <c r="P7" s="679">
        <v>-2.7738947480843201</v>
      </c>
      <c r="Q7" s="679">
        <v>-10.797234859066986</v>
      </c>
      <c r="R7" s="679">
        <v>17.190206372420505</v>
      </c>
      <c r="T7" s="684">
        <v>0</v>
      </c>
      <c r="U7" s="679">
        <v>1.5919393219069451</v>
      </c>
      <c r="V7" s="679">
        <f t="shared" si="4"/>
        <v>15.919393219069452</v>
      </c>
      <c r="W7" s="679">
        <v>1.5919393219069451</v>
      </c>
      <c r="AE7" s="689">
        <v>0</v>
      </c>
      <c r="AF7" s="679">
        <v>-2.7738947480843201</v>
      </c>
      <c r="AG7" s="690">
        <f t="shared" si="1"/>
        <v>-27.738947480843201</v>
      </c>
      <c r="AQ7" s="684">
        <v>0</v>
      </c>
      <c r="AR7" s="679">
        <v>-10.797234859066986</v>
      </c>
      <c r="AS7" s="690">
        <f t="shared" si="2"/>
        <v>-107.97234859066987</v>
      </c>
      <c r="BB7" s="684">
        <v>0</v>
      </c>
      <c r="BC7" s="679">
        <v>17.190206372420505</v>
      </c>
      <c r="BD7" s="690">
        <f t="shared" si="3"/>
        <v>171.90206372420505</v>
      </c>
      <c r="BQ7" s="685">
        <v>21.2</v>
      </c>
    </row>
    <row r="8" spans="1:69">
      <c r="A8" s="299">
        <v>41568</v>
      </c>
      <c r="B8" s="282">
        <v>0</v>
      </c>
      <c r="C8" s="686">
        <v>10.47</v>
      </c>
      <c r="D8" s="689">
        <f t="shared" si="0"/>
        <v>0</v>
      </c>
      <c r="E8" s="266">
        <v>3.1319503382091853</v>
      </c>
      <c r="F8" s="679">
        <v>7.0894300204181242</v>
      </c>
      <c r="G8" s="161">
        <v>3.4228503382091855</v>
      </c>
      <c r="H8" s="679">
        <v>4.2742530633112654</v>
      </c>
      <c r="I8" s="161">
        <v>4.0705503382091868</v>
      </c>
      <c r="J8" s="679">
        <v>7.6576000522258889</v>
      </c>
      <c r="K8" s="161">
        <v>3.2055503382091852</v>
      </c>
      <c r="L8" s="297">
        <v>2.0995878358815263</v>
      </c>
      <c r="M8" s="297"/>
      <c r="N8" s="297"/>
      <c r="O8" s="679">
        <v>7.0894300204181242</v>
      </c>
      <c r="P8" s="679">
        <v>4.2742530633112654</v>
      </c>
      <c r="Q8" s="679">
        <v>7.6576000522258889</v>
      </c>
      <c r="R8" s="679">
        <v>2.0995878358815263</v>
      </c>
      <c r="T8" s="684">
        <v>0</v>
      </c>
      <c r="U8" s="679">
        <v>7.0894300204181242</v>
      </c>
      <c r="V8" s="679">
        <f t="shared" si="4"/>
        <v>70.894300204181235</v>
      </c>
      <c r="W8" s="679">
        <v>7.0894300204181242</v>
      </c>
      <c r="AE8" s="689">
        <v>0</v>
      </c>
      <c r="AF8" s="679">
        <v>4.2742530633112654</v>
      </c>
      <c r="AG8" s="690">
        <f t="shared" si="1"/>
        <v>42.742530633112651</v>
      </c>
      <c r="AQ8" s="684">
        <v>0</v>
      </c>
      <c r="AR8" s="679">
        <v>7.6576000522258889</v>
      </c>
      <c r="AS8" s="690">
        <f t="shared" si="2"/>
        <v>76.576000522258894</v>
      </c>
      <c r="BB8" s="684">
        <v>0</v>
      </c>
      <c r="BC8" s="679">
        <v>2.0995878358815263</v>
      </c>
      <c r="BD8" s="690">
        <f t="shared" si="3"/>
        <v>20.995878358815261</v>
      </c>
      <c r="BQ8" s="686">
        <v>15.1</v>
      </c>
    </row>
    <row r="9" spans="1:69">
      <c r="A9" s="299">
        <v>41569</v>
      </c>
      <c r="B9" s="282">
        <v>1</v>
      </c>
      <c r="C9" s="687">
        <v>0</v>
      </c>
      <c r="D9" s="689">
        <f t="shared" si="0"/>
        <v>1</v>
      </c>
      <c r="E9" s="266">
        <v>3.0868947052086626</v>
      </c>
      <c r="F9" s="679">
        <v>1.4154516202041334</v>
      </c>
      <c r="G9" s="161">
        <v>3.4088947052086631</v>
      </c>
      <c r="H9" s="679">
        <v>0.50625285464152303</v>
      </c>
      <c r="I9" s="161">
        <v>4.0373947052086629</v>
      </c>
      <c r="J9" s="679">
        <v>3.2727602890206309</v>
      </c>
      <c r="K9" s="161">
        <v>3.2147947052086621</v>
      </c>
      <c r="L9" s="291">
        <v>0.54195406509585409</v>
      </c>
      <c r="M9" s="291"/>
      <c r="N9" s="291"/>
      <c r="O9" s="679">
        <v>1.4154516202041334</v>
      </c>
      <c r="P9" s="679">
        <v>0.50625285464152303</v>
      </c>
      <c r="Q9" s="679">
        <v>3.2727602890206309</v>
      </c>
      <c r="R9" s="679">
        <v>0.54195406509585409</v>
      </c>
      <c r="T9" s="684">
        <v>0</v>
      </c>
      <c r="U9" s="679">
        <v>4.0624184451614198E-2</v>
      </c>
      <c r="V9" s="679">
        <f t="shared" si="4"/>
        <v>0.40624184451614198</v>
      </c>
      <c r="W9" s="679">
        <v>1.4154516202041334</v>
      </c>
      <c r="AE9" s="689">
        <v>0</v>
      </c>
      <c r="AF9" s="679">
        <v>0.68358631585880625</v>
      </c>
      <c r="AG9" s="690">
        <f t="shared" si="1"/>
        <v>6.8358631585880625</v>
      </c>
      <c r="AQ9" s="684">
        <v>0</v>
      </c>
      <c r="AR9" s="679">
        <v>3.3351518713484039</v>
      </c>
      <c r="AS9" s="690">
        <f t="shared" si="2"/>
        <v>33.35151871348404</v>
      </c>
      <c r="BB9" s="684">
        <v>0</v>
      </c>
      <c r="BC9" s="679">
        <v>-1.2903566235950277</v>
      </c>
      <c r="BD9" s="690">
        <f t="shared" si="3"/>
        <v>-12.903566235950276</v>
      </c>
      <c r="BQ9" s="685">
        <v>11.4</v>
      </c>
    </row>
    <row r="10" spans="1:69">
      <c r="A10" s="299">
        <v>41570</v>
      </c>
      <c r="B10" s="282">
        <v>2</v>
      </c>
      <c r="C10" s="687">
        <v>0</v>
      </c>
      <c r="D10" s="689">
        <f t="shared" si="0"/>
        <v>2</v>
      </c>
      <c r="E10" s="266">
        <v>3.0421924557679625</v>
      </c>
      <c r="F10" s="679">
        <v>1.2480904203521725</v>
      </c>
      <c r="G10" s="161">
        <v>3.3914924557679615</v>
      </c>
      <c r="H10" s="679">
        <v>1.1592289323187195</v>
      </c>
      <c r="I10" s="161">
        <v>3.9870924557679617</v>
      </c>
      <c r="J10" s="679">
        <v>3.3176623044260181</v>
      </c>
      <c r="K10" s="161">
        <v>3.179992455767962</v>
      </c>
      <c r="L10" s="291">
        <v>-0.81316758730067118</v>
      </c>
      <c r="M10" s="291"/>
      <c r="N10" s="291"/>
      <c r="O10" s="679">
        <v>1.2480904203521725</v>
      </c>
      <c r="P10" s="679">
        <v>1.1592289323187195</v>
      </c>
      <c r="Q10" s="679">
        <v>3.3176623044260181</v>
      </c>
      <c r="R10" s="679">
        <v>-0.81316758730067118</v>
      </c>
      <c r="T10" s="684">
        <v>0</v>
      </c>
      <c r="U10" s="679">
        <v>0.82934655473984842</v>
      </c>
      <c r="V10" s="679">
        <f t="shared" si="4"/>
        <v>8.2934655473984833</v>
      </c>
      <c r="W10" s="679">
        <v>1.2480904203521725</v>
      </c>
      <c r="AE10" s="689">
        <v>0</v>
      </c>
      <c r="AF10" s="679">
        <v>1.399451157204457</v>
      </c>
      <c r="AG10" s="690">
        <f t="shared" si="1"/>
        <v>13.994511572044569</v>
      </c>
      <c r="AQ10" s="684">
        <v>0</v>
      </c>
      <c r="AR10" s="679">
        <v>1.6192045711613319</v>
      </c>
      <c r="AS10" s="690">
        <f t="shared" si="2"/>
        <v>16.192045711613318</v>
      </c>
      <c r="BB10" s="684">
        <v>0</v>
      </c>
      <c r="BC10" s="679">
        <v>-1.256909529426649</v>
      </c>
      <c r="BD10" s="690">
        <f t="shared" si="3"/>
        <v>-12.569095294266489</v>
      </c>
      <c r="BQ10" s="686">
        <v>10.47</v>
      </c>
    </row>
    <row r="11" spans="1:69">
      <c r="A11" s="299">
        <v>41571</v>
      </c>
      <c r="B11" s="282">
        <v>3</v>
      </c>
      <c r="C11" s="687">
        <v>0</v>
      </c>
      <c r="D11" s="689">
        <f t="shared" si="0"/>
        <v>3</v>
      </c>
      <c r="E11" s="266">
        <v>2.9996337677375871</v>
      </c>
      <c r="F11" s="679">
        <v>0.9101579654641454</v>
      </c>
      <c r="G11" s="161">
        <v>3.371833767737586</v>
      </c>
      <c r="H11" s="679">
        <v>1.0750730717676156</v>
      </c>
      <c r="I11" s="161">
        <v>3.9363337677375876</v>
      </c>
      <c r="J11" s="679">
        <v>3.5923110136285521</v>
      </c>
      <c r="K11" s="161">
        <v>3.1485337677375855</v>
      </c>
      <c r="L11" s="291">
        <v>-1.8394531847439834</v>
      </c>
      <c r="M11" s="291"/>
      <c r="N11" s="291"/>
      <c r="O11" s="679">
        <v>0.9101579654641454</v>
      </c>
      <c r="P11" s="679">
        <v>1.0750730717676156</v>
      </c>
      <c r="Q11" s="679">
        <v>3.5923110136285521</v>
      </c>
      <c r="R11" s="679">
        <v>-1.8394531847439834</v>
      </c>
      <c r="T11" s="684">
        <v>0</v>
      </c>
      <c r="U11" s="679">
        <v>-1.1655137588408215</v>
      </c>
      <c r="V11" s="679">
        <f t="shared" si="4"/>
        <v>-11.655137588408216</v>
      </c>
      <c r="W11" s="679">
        <v>0.9101579654641454</v>
      </c>
      <c r="AE11" s="689">
        <v>0</v>
      </c>
      <c r="AF11" s="679">
        <v>0.72519084492523489</v>
      </c>
      <c r="AG11" s="690">
        <f t="shared" si="1"/>
        <v>7.2519084492523493</v>
      </c>
      <c r="AQ11" s="684">
        <v>0</v>
      </c>
      <c r="AR11" s="679">
        <v>2.1681114336818643</v>
      </c>
      <c r="AS11" s="690">
        <f t="shared" si="2"/>
        <v>21.681114336818645</v>
      </c>
      <c r="BB11" s="684">
        <v>0</v>
      </c>
      <c r="BC11" s="679">
        <v>-0.88937211276340511</v>
      </c>
      <c r="BD11" s="690">
        <f t="shared" si="3"/>
        <v>-8.893721127634052</v>
      </c>
      <c r="BQ11" s="686">
        <v>4.75</v>
      </c>
    </row>
    <row r="12" spans="1:69">
      <c r="A12" s="299">
        <v>41572</v>
      </c>
      <c r="B12" s="282">
        <v>4</v>
      </c>
      <c r="C12" s="687">
        <v>0</v>
      </c>
      <c r="D12" s="689">
        <f t="shared" si="0"/>
        <v>4</v>
      </c>
      <c r="E12" s="266">
        <v>2.9609229280280371</v>
      </c>
      <c r="F12" s="679">
        <v>1.6341429045416045</v>
      </c>
      <c r="G12" s="161">
        <v>3.3511229280280386</v>
      </c>
      <c r="H12" s="679">
        <v>0.70414640446968635</v>
      </c>
      <c r="I12" s="161">
        <v>3.8828229280280384</v>
      </c>
      <c r="J12" s="679">
        <v>4.3428434144931023</v>
      </c>
      <c r="K12" s="161">
        <v>3.1297229280280372</v>
      </c>
      <c r="L12" s="291">
        <v>-2.4695976845197039</v>
      </c>
      <c r="M12" s="291"/>
      <c r="N12" s="291"/>
      <c r="O12" s="679">
        <v>1.6341429045416045</v>
      </c>
      <c r="P12" s="679">
        <v>0.70414640446968635</v>
      </c>
      <c r="Q12" s="679">
        <v>4.3428434144931023</v>
      </c>
      <c r="R12" s="679">
        <v>-2.4695976845197039</v>
      </c>
      <c r="T12" s="684">
        <v>0</v>
      </c>
      <c r="U12" s="679">
        <v>-7.3000441576529518E-2</v>
      </c>
      <c r="V12" s="679">
        <f t="shared" si="4"/>
        <v>-0.73000441576529518</v>
      </c>
      <c r="W12" s="679">
        <v>1.6341429045416045</v>
      </c>
      <c r="AE12" s="689">
        <v>0</v>
      </c>
      <c r="AF12" s="679">
        <v>1.4475908850453725</v>
      </c>
      <c r="AG12" s="690">
        <f t="shared" si="1"/>
        <v>14.475908850453724</v>
      </c>
      <c r="AQ12" s="684">
        <v>0</v>
      </c>
      <c r="AR12" s="679">
        <v>2.5114055757523621</v>
      </c>
      <c r="AS12" s="690">
        <f t="shared" si="2"/>
        <v>25.114055757523623</v>
      </c>
      <c r="BB12" s="684">
        <v>0</v>
      </c>
      <c r="BC12" s="679">
        <v>-0.53587281932828912</v>
      </c>
      <c r="BD12" s="690">
        <f t="shared" si="3"/>
        <v>-5.3587281932828912</v>
      </c>
      <c r="BQ12" s="686">
        <v>4</v>
      </c>
    </row>
    <row r="13" spans="1:69">
      <c r="A13" s="299">
        <v>41573</v>
      </c>
      <c r="B13" s="282">
        <v>5</v>
      </c>
      <c r="C13" s="687">
        <v>0</v>
      </c>
      <c r="D13" s="689">
        <f t="shared" si="0"/>
        <v>5</v>
      </c>
      <c r="E13" s="266">
        <v>2.9154341775812385</v>
      </c>
      <c r="F13" s="679">
        <v>0.913093895886675</v>
      </c>
      <c r="G13" s="161">
        <v>3.3322341775812401</v>
      </c>
      <c r="H13" s="679">
        <v>0.52567030106860368</v>
      </c>
      <c r="I13" s="161">
        <v>3.8284341775812392</v>
      </c>
      <c r="J13" s="679">
        <v>2.7474285785189858</v>
      </c>
      <c r="K13" s="161">
        <v>3.1196341775812395</v>
      </c>
      <c r="L13" s="291">
        <v>-1.0651381288299109</v>
      </c>
      <c r="M13" s="291"/>
      <c r="N13" s="291"/>
      <c r="O13" s="679">
        <v>0.913093895886675</v>
      </c>
      <c r="P13" s="679">
        <v>0.52567030106860368</v>
      </c>
      <c r="Q13" s="679">
        <v>2.7474285785189858</v>
      </c>
      <c r="R13" s="679">
        <v>-1.0651381288299109</v>
      </c>
      <c r="T13" s="684">
        <v>0</v>
      </c>
      <c r="U13" s="679">
        <v>0.7749831953527373</v>
      </c>
      <c r="V13" s="679">
        <f t="shared" si="4"/>
        <v>7.749831953527373</v>
      </c>
      <c r="W13" s="679">
        <v>0.913093895886675</v>
      </c>
      <c r="AE13" s="689">
        <v>0</v>
      </c>
      <c r="AF13" s="679">
        <v>1.7887421076838685</v>
      </c>
      <c r="AG13" s="690">
        <f t="shared" si="1"/>
        <v>17.887421076838685</v>
      </c>
      <c r="AQ13" s="684">
        <v>0</v>
      </c>
      <c r="AR13" s="679">
        <v>2.1670585310559929</v>
      </c>
      <c r="AS13" s="690">
        <f t="shared" si="2"/>
        <v>21.670585310559929</v>
      </c>
      <c r="BB13" s="684">
        <v>0</v>
      </c>
      <c r="BC13" s="679">
        <v>-1.0361936377015302</v>
      </c>
      <c r="BD13" s="690">
        <f t="shared" si="3"/>
        <v>-10.361936377015301</v>
      </c>
      <c r="BQ13" s="686">
        <v>2.4500000000000002</v>
      </c>
    </row>
    <row r="14" spans="1:69">
      <c r="A14" s="299">
        <v>41574</v>
      </c>
      <c r="B14" s="282">
        <v>6</v>
      </c>
      <c r="C14" s="687">
        <v>0</v>
      </c>
      <c r="D14" s="689">
        <f t="shared" si="0"/>
        <v>6</v>
      </c>
      <c r="E14" s="266">
        <v>2.8776409376518033</v>
      </c>
      <c r="F14" s="679">
        <v>0.93359198423635403</v>
      </c>
      <c r="G14" s="161">
        <v>3.3132409376518037</v>
      </c>
      <c r="H14" s="679">
        <v>0.54089600162749174</v>
      </c>
      <c r="I14" s="161">
        <v>3.7887409376518049</v>
      </c>
      <c r="J14" s="679">
        <v>3.9255544551259103</v>
      </c>
      <c r="K14" s="161">
        <v>3.0979409376518041</v>
      </c>
      <c r="L14" s="291">
        <v>-0.59892787746201748</v>
      </c>
      <c r="M14" s="291"/>
      <c r="N14" s="291"/>
      <c r="O14" s="679">
        <v>0.93359198423635403</v>
      </c>
      <c r="P14" s="679">
        <v>0.54089600162749174</v>
      </c>
      <c r="Q14" s="679">
        <v>3.9255544551259103</v>
      </c>
      <c r="R14" s="679">
        <v>-0.59892787746201748</v>
      </c>
      <c r="T14" s="684">
        <v>0</v>
      </c>
      <c r="U14" s="679">
        <v>25.047249483130777</v>
      </c>
      <c r="V14" s="679">
        <f t="shared" si="4"/>
        <v>250.47249483130776</v>
      </c>
      <c r="W14" s="679">
        <v>0.93359198423635403</v>
      </c>
      <c r="AE14" s="689">
        <v>0</v>
      </c>
      <c r="AF14" s="679">
        <v>0.91539453249542735</v>
      </c>
      <c r="AG14" s="690">
        <f t="shared" si="1"/>
        <v>9.1539453249542735</v>
      </c>
      <c r="AQ14" s="684">
        <v>0</v>
      </c>
      <c r="AR14" s="679">
        <v>-43.598756971811831</v>
      </c>
      <c r="AS14" s="690">
        <f t="shared" si="2"/>
        <v>-435.98756971811832</v>
      </c>
      <c r="BB14" s="684">
        <v>0</v>
      </c>
      <c r="BC14" s="679">
        <v>-18.884891822311864</v>
      </c>
      <c r="BD14" s="690">
        <f t="shared" si="3"/>
        <v>-188.84891822311863</v>
      </c>
      <c r="BQ14" s="686">
        <v>2.1</v>
      </c>
    </row>
    <row r="15" spans="1:69">
      <c r="A15" s="299">
        <v>41575</v>
      </c>
      <c r="B15" s="282">
        <v>7</v>
      </c>
      <c r="C15" s="687">
        <v>0</v>
      </c>
      <c r="D15" s="689">
        <f t="shared" si="0"/>
        <v>7</v>
      </c>
      <c r="E15" s="266">
        <v>2.8401098576753268</v>
      </c>
      <c r="F15" s="679">
        <v>1.2573000756535802</v>
      </c>
      <c r="G15" s="161">
        <v>3.292209857675326</v>
      </c>
      <c r="H15" s="679">
        <v>0.55405076621011196</v>
      </c>
      <c r="I15" s="161">
        <v>3.7360098576753265</v>
      </c>
      <c r="J15" s="679">
        <v>3.4074644537712255</v>
      </c>
      <c r="K15" s="161">
        <v>3.0740098576753261</v>
      </c>
      <c r="L15" s="291">
        <v>-0.18437699289918186</v>
      </c>
      <c r="M15" s="291"/>
      <c r="N15" s="291"/>
      <c r="O15" s="679">
        <v>1.2573000756535802</v>
      </c>
      <c r="P15" s="679">
        <v>0.55405076621011196</v>
      </c>
      <c r="Q15" s="679">
        <v>3.4074644537712255</v>
      </c>
      <c r="R15" s="679">
        <v>-0.18437699289918186</v>
      </c>
      <c r="T15" s="684">
        <v>0</v>
      </c>
      <c r="U15" s="679">
        <v>1.058943944663802</v>
      </c>
      <c r="V15" s="679">
        <f t="shared" si="4"/>
        <v>10.589439446638021</v>
      </c>
      <c r="W15" s="679">
        <v>1.2573000756535802</v>
      </c>
      <c r="AE15" s="689">
        <v>0</v>
      </c>
      <c r="AF15" s="679">
        <v>2.1866144412357187</v>
      </c>
      <c r="AG15" s="690">
        <f t="shared" si="1"/>
        <v>21.866144412357187</v>
      </c>
      <c r="AQ15" s="684">
        <v>0</v>
      </c>
      <c r="AR15" s="679">
        <v>1.9122669059671247</v>
      </c>
      <c r="AS15" s="690">
        <f t="shared" si="2"/>
        <v>19.122669059671246</v>
      </c>
      <c r="BB15" s="684">
        <v>0</v>
      </c>
      <c r="BC15" s="679">
        <v>0.18924768096589073</v>
      </c>
      <c r="BD15" s="690">
        <f t="shared" si="3"/>
        <v>1.8924768096589073</v>
      </c>
      <c r="BQ15" s="686">
        <v>2.0699999999999998</v>
      </c>
    </row>
    <row r="16" spans="1:69">
      <c r="A16" s="299">
        <v>41576</v>
      </c>
      <c r="B16" s="282">
        <v>8</v>
      </c>
      <c r="C16" s="687">
        <v>0</v>
      </c>
      <c r="D16" s="689">
        <f t="shared" si="0"/>
        <v>8</v>
      </c>
      <c r="E16" s="266">
        <v>2.7989624191981517</v>
      </c>
      <c r="F16" s="679">
        <v>0.92911168399625987</v>
      </c>
      <c r="G16" s="161">
        <v>3.2727624191981519</v>
      </c>
      <c r="H16" s="679">
        <v>0.88096372110154597</v>
      </c>
      <c r="I16" s="161">
        <v>3.6890624191981507</v>
      </c>
      <c r="J16" s="679">
        <v>1.0890368485660638</v>
      </c>
      <c r="K16" s="161">
        <v>3.0483624191981504</v>
      </c>
      <c r="L16" s="291">
        <v>-1.2005924491810163</v>
      </c>
      <c r="M16" s="291"/>
      <c r="N16" s="291"/>
      <c r="O16" s="679">
        <v>0.92911168399625987</v>
      </c>
      <c r="P16" s="679">
        <v>0.88096372110154597</v>
      </c>
      <c r="Q16" s="679">
        <v>1.0890368485660638</v>
      </c>
      <c r="R16" s="679">
        <v>-1.2005924491810163</v>
      </c>
      <c r="T16" s="684">
        <v>0</v>
      </c>
      <c r="U16" s="679">
        <v>1.1789106461244563</v>
      </c>
      <c r="V16" s="679">
        <f t="shared" si="4"/>
        <v>11.789106461244563</v>
      </c>
      <c r="W16" s="679">
        <v>0.92911168399625987</v>
      </c>
      <c r="AE16" s="689">
        <v>0</v>
      </c>
      <c r="AF16" s="679">
        <v>0.88096372110154597</v>
      </c>
      <c r="AG16" s="690">
        <f t="shared" si="1"/>
        <v>8.8096372110154597</v>
      </c>
      <c r="AQ16" s="684">
        <v>0</v>
      </c>
      <c r="AR16" s="679">
        <v>2.0103522813567229</v>
      </c>
      <c r="AS16" s="690">
        <f t="shared" si="2"/>
        <v>20.103522813567231</v>
      </c>
      <c r="BB16" s="684">
        <v>0</v>
      </c>
      <c r="BC16" s="679">
        <v>1.1754038743129986</v>
      </c>
      <c r="BD16" s="690">
        <f t="shared" si="3"/>
        <v>11.754038743129986</v>
      </c>
      <c r="BQ16" s="686">
        <v>2</v>
      </c>
    </row>
    <row r="17" spans="1:69">
      <c r="A17" s="299">
        <v>41577</v>
      </c>
      <c r="B17" s="282">
        <v>9</v>
      </c>
      <c r="C17" s="687">
        <v>0</v>
      </c>
      <c r="D17" s="689">
        <f t="shared" si="0"/>
        <v>9</v>
      </c>
      <c r="E17" s="266">
        <v>2.7607329762465871</v>
      </c>
      <c r="F17" s="679">
        <v>0.91881907975527088</v>
      </c>
      <c r="G17" s="161">
        <v>3.2534329762465877</v>
      </c>
      <c r="H17" s="679">
        <v>0.58902411285490697</v>
      </c>
      <c r="I17" s="161">
        <v>3.661432976246588</v>
      </c>
      <c r="J17" s="679">
        <v>2.4579943980309591</v>
      </c>
      <c r="K17" s="161">
        <v>3.0304329762465883</v>
      </c>
      <c r="L17" s="291">
        <v>-1.3680144254648865</v>
      </c>
      <c r="M17" s="291"/>
      <c r="N17" s="291"/>
      <c r="O17" s="679">
        <v>0.91881907975527088</v>
      </c>
      <c r="P17" s="679">
        <v>0.58902411285490697</v>
      </c>
      <c r="Q17" s="679">
        <v>2.4579943980309591</v>
      </c>
      <c r="R17" s="679">
        <v>-1.3680144254648865</v>
      </c>
      <c r="T17" s="684">
        <v>0</v>
      </c>
      <c r="U17" s="679">
        <v>1.6232786163299595</v>
      </c>
      <c r="V17" s="679">
        <f t="shared" si="4"/>
        <v>16.232786163299593</v>
      </c>
      <c r="W17" s="679">
        <v>0.91881907975527088</v>
      </c>
      <c r="AE17" s="689">
        <v>0</v>
      </c>
      <c r="AF17" s="679">
        <v>1.9693946521314181</v>
      </c>
      <c r="AG17" s="690">
        <f t="shared" si="1"/>
        <v>19.693946521314182</v>
      </c>
      <c r="AQ17" s="684">
        <v>0</v>
      </c>
      <c r="AR17" s="679">
        <v>1.1842903438868602</v>
      </c>
      <c r="AS17" s="690">
        <f t="shared" si="2"/>
        <v>11.842903438868602</v>
      </c>
      <c r="BB17" s="684">
        <v>0</v>
      </c>
      <c r="BC17" s="679">
        <v>0.37484086430000274</v>
      </c>
      <c r="BD17" s="690">
        <f t="shared" si="3"/>
        <v>3.7484086430000274</v>
      </c>
      <c r="BQ17" s="686">
        <v>1.95</v>
      </c>
    </row>
    <row r="18" spans="1:69">
      <c r="A18" s="299">
        <v>41578</v>
      </c>
      <c r="B18" s="282">
        <v>0</v>
      </c>
      <c r="C18" s="686">
        <v>2.0699999999999998</v>
      </c>
      <c r="D18" s="689">
        <f t="shared" si="0"/>
        <v>0</v>
      </c>
      <c r="E18" s="266">
        <v>2.7228466778126248</v>
      </c>
      <c r="F18" s="679">
        <v>4.0624184451614198E-2</v>
      </c>
      <c r="G18" s="161">
        <v>3.2334466778126245</v>
      </c>
      <c r="H18" s="679">
        <v>0.84885438943788749</v>
      </c>
      <c r="I18" s="161">
        <v>3.616246677812625</v>
      </c>
      <c r="J18" s="679">
        <v>3.3351518713484039</v>
      </c>
      <c r="K18" s="161">
        <v>3.0117466778126238</v>
      </c>
      <c r="L18" s="297">
        <v>-1.2903566235950277</v>
      </c>
      <c r="M18" s="297"/>
      <c r="N18" s="297"/>
      <c r="O18" s="679">
        <v>4.0624184451614198E-2</v>
      </c>
      <c r="P18" s="679">
        <v>0.84885438943788749</v>
      </c>
      <c r="Q18" s="679">
        <v>3.3351518713484039</v>
      </c>
      <c r="R18" s="679">
        <v>-1.2903566235950277</v>
      </c>
      <c r="T18" s="684">
        <v>0</v>
      </c>
      <c r="U18" s="679">
        <v>0.64233232725065381</v>
      </c>
      <c r="V18" s="679">
        <f t="shared" si="4"/>
        <v>6.4233232725065381</v>
      </c>
      <c r="W18" s="679">
        <v>4.0624184451614198E-2</v>
      </c>
      <c r="AE18" s="689">
        <v>0</v>
      </c>
      <c r="AF18" s="679">
        <v>2.2403702987116967</v>
      </c>
      <c r="AG18" s="690">
        <f t="shared" si="1"/>
        <v>22.403702987116965</v>
      </c>
      <c r="AQ18" s="684">
        <v>0</v>
      </c>
      <c r="AR18" s="679">
        <v>0.53204751586813881</v>
      </c>
      <c r="AS18" s="690">
        <f t="shared" si="2"/>
        <v>5.3204751586813881</v>
      </c>
      <c r="BB18" s="684">
        <v>0</v>
      </c>
      <c r="BC18" s="679">
        <v>1.1261992430409951</v>
      </c>
      <c r="BD18" s="690">
        <f t="shared" si="3"/>
        <v>11.261992430409951</v>
      </c>
      <c r="BQ18" s="686">
        <v>1.65</v>
      </c>
    </row>
    <row r="19" spans="1:69">
      <c r="A19" s="299">
        <v>41579</v>
      </c>
      <c r="B19" s="282">
        <v>0</v>
      </c>
      <c r="C19" s="686">
        <v>0.1</v>
      </c>
      <c r="D19" s="689">
        <f t="shared" si="0"/>
        <v>1</v>
      </c>
      <c r="E19" s="266">
        <v>2.6960524038752909</v>
      </c>
      <c r="F19" s="679">
        <v>0.90354307632750341</v>
      </c>
      <c r="G19" s="161">
        <v>3.2137524038752918</v>
      </c>
      <c r="H19" s="679">
        <v>0.68358631585880625</v>
      </c>
      <c r="I19" s="161">
        <v>3.5651524038752909</v>
      </c>
      <c r="J19" s="679">
        <v>3.1596886483942379</v>
      </c>
      <c r="K19" s="161">
        <v>2.9937524038752907</v>
      </c>
      <c r="L19" s="297">
        <v>-1.2104046493505392</v>
      </c>
      <c r="M19" s="297"/>
      <c r="N19" s="297"/>
      <c r="O19" s="679">
        <v>0.90354307632750341</v>
      </c>
      <c r="P19" s="679">
        <v>0.68358631585880625</v>
      </c>
      <c r="Q19" s="679">
        <v>3.1596886483942379</v>
      </c>
      <c r="R19" s="679">
        <v>-1.2104046493505392</v>
      </c>
      <c r="T19" s="684">
        <v>1</v>
      </c>
      <c r="U19" s="679">
        <v>1.4154516202041334</v>
      </c>
      <c r="V19" s="679">
        <f t="shared" si="4"/>
        <v>14.154516202041334</v>
      </c>
      <c r="W19" s="679">
        <v>0.90354307632750341</v>
      </c>
      <c r="AE19" s="689">
        <v>1</v>
      </c>
      <c r="AF19" s="679">
        <v>0.84885438943788749</v>
      </c>
      <c r="AG19" s="690">
        <f t="shared" si="1"/>
        <v>8.4885438943788749</v>
      </c>
      <c r="AQ19" s="684">
        <v>1</v>
      </c>
      <c r="AR19" s="679">
        <v>3.2727602890206309</v>
      </c>
      <c r="AS19" s="690">
        <f t="shared" si="2"/>
        <v>32.727602890206306</v>
      </c>
      <c r="BB19" s="684">
        <v>1</v>
      </c>
      <c r="BC19" s="679">
        <v>0.54195406509585409</v>
      </c>
      <c r="BD19" s="690">
        <f t="shared" si="3"/>
        <v>5.4195406509585409</v>
      </c>
      <c r="BQ19" s="686">
        <v>0.95</v>
      </c>
    </row>
    <row r="20" spans="1:69">
      <c r="A20" s="299">
        <v>41580</v>
      </c>
      <c r="B20" s="282">
        <v>0</v>
      </c>
      <c r="C20" s="686">
        <v>2.1</v>
      </c>
      <c r="D20" s="689">
        <f t="shared" si="0"/>
        <v>0</v>
      </c>
      <c r="E20" s="266">
        <v>2.6588710094669961</v>
      </c>
      <c r="F20" s="679">
        <v>0.82934655473984842</v>
      </c>
      <c r="G20" s="161">
        <v>3.1945710094669977</v>
      </c>
      <c r="H20" s="679">
        <v>0.73742747578617829</v>
      </c>
      <c r="I20" s="161">
        <v>3.5144710094669973</v>
      </c>
      <c r="J20" s="679">
        <v>1.6192045711613319</v>
      </c>
      <c r="K20" s="161">
        <v>2.9733710094669976</v>
      </c>
      <c r="L20" s="297">
        <v>-1.256909529426649</v>
      </c>
      <c r="M20" s="297"/>
      <c r="N20" s="297"/>
      <c r="O20" s="679">
        <v>0.82934655473984842</v>
      </c>
      <c r="P20" s="679">
        <v>0.73742747578617829</v>
      </c>
      <c r="Q20" s="679">
        <v>1.6192045711613319</v>
      </c>
      <c r="R20" s="679">
        <v>-1.256909529426649</v>
      </c>
      <c r="T20" s="684">
        <v>1</v>
      </c>
      <c r="U20" s="679">
        <v>0.90354307632750341</v>
      </c>
      <c r="V20" s="679">
        <f t="shared" si="4"/>
        <v>9.0354307632750341</v>
      </c>
      <c r="W20" s="679">
        <v>0.82934655473984842</v>
      </c>
      <c r="AE20" s="689">
        <v>1</v>
      </c>
      <c r="AF20" s="679">
        <v>0.76087563962627303</v>
      </c>
      <c r="AG20" s="690">
        <f t="shared" si="1"/>
        <v>7.6087563962627307</v>
      </c>
      <c r="AQ20" s="684">
        <v>1</v>
      </c>
      <c r="AR20" s="679">
        <v>3.1596886483942379</v>
      </c>
      <c r="AS20" s="690">
        <f t="shared" si="2"/>
        <v>31.596886483942377</v>
      </c>
      <c r="BB20" s="684">
        <v>1</v>
      </c>
      <c r="BC20" s="679">
        <v>-1.2104046493505392</v>
      </c>
      <c r="BD20" s="690">
        <f t="shared" si="3"/>
        <v>-12.104046493505392</v>
      </c>
      <c r="BQ20" s="686">
        <v>0.55000000000000004</v>
      </c>
    </row>
    <row r="21" spans="1:69">
      <c r="A21" s="299">
        <v>41581</v>
      </c>
      <c r="B21" s="282">
        <v>0</v>
      </c>
      <c r="C21" s="686">
        <v>0.4</v>
      </c>
      <c r="D21" s="689">
        <f t="shared" si="0"/>
        <v>1</v>
      </c>
      <c r="E21" s="266">
        <v>2.6246802121516297</v>
      </c>
      <c r="F21" s="679">
        <v>0.70477947891964465</v>
      </c>
      <c r="G21" s="161">
        <v>3.1776802121516301</v>
      </c>
      <c r="H21" s="679">
        <v>0.76087563962627303</v>
      </c>
      <c r="I21" s="161">
        <v>3.4816802121516313</v>
      </c>
      <c r="J21" s="679">
        <v>1.6156962261883479</v>
      </c>
      <c r="K21" s="161">
        <v>2.9555802121516304</v>
      </c>
      <c r="L21" s="297">
        <v>-1.3455086275803958</v>
      </c>
      <c r="M21" s="297"/>
      <c r="N21" s="297"/>
      <c r="O21" s="679">
        <v>0.70477947891964465</v>
      </c>
      <c r="P21" s="679">
        <v>0.76087563962627303</v>
      </c>
      <c r="Q21" s="679">
        <v>1.6156962261883479</v>
      </c>
      <c r="R21" s="679">
        <v>-1.3455086275803958</v>
      </c>
      <c r="T21" s="684">
        <v>1</v>
      </c>
      <c r="U21" s="679">
        <v>0.70477947891964465</v>
      </c>
      <c r="V21" s="679">
        <f t="shared" si="4"/>
        <v>7.0477947891964465</v>
      </c>
      <c r="W21" s="679">
        <v>0.70477947891964465</v>
      </c>
      <c r="AE21" s="689">
        <v>1</v>
      </c>
      <c r="AF21" s="679">
        <v>1.7336650977119472</v>
      </c>
      <c r="AG21" s="690">
        <f t="shared" si="1"/>
        <v>17.336650977119472</v>
      </c>
      <c r="AQ21" s="684">
        <v>1</v>
      </c>
      <c r="AR21" s="679">
        <v>1.6156962261883479</v>
      </c>
      <c r="AS21" s="690">
        <f t="shared" si="2"/>
        <v>16.156962261883479</v>
      </c>
      <c r="BB21" s="684">
        <v>1</v>
      </c>
      <c r="BC21" s="679">
        <v>-1.3455086275803958</v>
      </c>
      <c r="BD21" s="690">
        <f t="shared" si="3"/>
        <v>-13.455086275803957</v>
      </c>
      <c r="BQ21" s="686">
        <v>0.5</v>
      </c>
    </row>
    <row r="22" spans="1:69">
      <c r="A22" s="299">
        <v>41582</v>
      </c>
      <c r="B22" s="282">
        <v>0</v>
      </c>
      <c r="C22" s="686">
        <v>22.5</v>
      </c>
      <c r="D22" s="689">
        <f t="shared" si="0"/>
        <v>0</v>
      </c>
      <c r="E22" s="266">
        <v>2.5902771477230098</v>
      </c>
      <c r="F22" s="679">
        <v>-1.1655137588408215</v>
      </c>
      <c r="G22" s="161">
        <v>3.1596771477230092</v>
      </c>
      <c r="H22" s="679">
        <v>1.2992845975191649</v>
      </c>
      <c r="I22" s="161">
        <v>3.4474771477230091</v>
      </c>
      <c r="J22" s="679">
        <v>2.1681114336818643</v>
      </c>
      <c r="K22" s="161">
        <v>2.9368771477230093</v>
      </c>
      <c r="L22" s="297">
        <v>-0.88937211276340511</v>
      </c>
      <c r="M22" s="297"/>
      <c r="N22" s="297"/>
      <c r="O22" s="679">
        <v>-1.1655137588408215</v>
      </c>
      <c r="P22" s="679">
        <v>1.2992845975191649</v>
      </c>
      <c r="Q22" s="679">
        <v>2.1681114336818643</v>
      </c>
      <c r="R22" s="679">
        <v>-0.88937211276340511</v>
      </c>
      <c r="T22" s="684">
        <v>1</v>
      </c>
      <c r="U22" s="679">
        <v>0.92837845983527378</v>
      </c>
      <c r="V22" s="679">
        <f t="shared" si="4"/>
        <v>9.2837845983527387</v>
      </c>
      <c r="W22" s="679">
        <v>-1.1655137588408215</v>
      </c>
      <c r="AE22" s="689">
        <v>1</v>
      </c>
      <c r="AF22" s="679">
        <v>1.1592289323187195</v>
      </c>
      <c r="AG22" s="690">
        <f t="shared" si="1"/>
        <v>11.592289323187195</v>
      </c>
      <c r="AQ22" s="684">
        <v>1</v>
      </c>
      <c r="AR22" s="679">
        <v>1.79241308816195</v>
      </c>
      <c r="AS22" s="690">
        <f t="shared" si="2"/>
        <v>17.924130881619501</v>
      </c>
      <c r="BB22" s="684">
        <v>1</v>
      </c>
      <c r="BC22" s="679">
        <v>-1.0553182171193645</v>
      </c>
      <c r="BD22" s="690">
        <f t="shared" si="3"/>
        <v>-10.553182171193644</v>
      </c>
      <c r="BQ22" s="686">
        <v>0.4</v>
      </c>
    </row>
    <row r="23" spans="1:69">
      <c r="A23" s="299">
        <v>41583</v>
      </c>
      <c r="B23" s="282">
        <v>0</v>
      </c>
      <c r="C23" s="686">
        <v>4.75</v>
      </c>
      <c r="D23" s="689">
        <f t="shared" si="0"/>
        <v>0</v>
      </c>
      <c r="E23" s="266">
        <v>2.6102194843017643</v>
      </c>
      <c r="F23" s="679">
        <v>-7.3000441576529518E-2</v>
      </c>
      <c r="G23" s="161">
        <v>3.1680194843017642</v>
      </c>
      <c r="H23" s="679">
        <v>0.30439894731696748</v>
      </c>
      <c r="I23" s="161">
        <v>3.4445194843017637</v>
      </c>
      <c r="J23" s="679">
        <v>2.5114055757523621</v>
      </c>
      <c r="K23" s="161">
        <v>2.9495194843017631</v>
      </c>
      <c r="L23" s="297">
        <v>-0.53587281932828912</v>
      </c>
      <c r="M23" s="297"/>
      <c r="N23" s="297"/>
      <c r="O23" s="679">
        <v>-7.3000441576529518E-2</v>
      </c>
      <c r="P23" s="679">
        <v>0.30439894731696748</v>
      </c>
      <c r="Q23" s="679">
        <v>2.5114055757523621</v>
      </c>
      <c r="R23" s="679">
        <v>-0.53587281932828912</v>
      </c>
      <c r="T23" s="684">
        <v>1</v>
      </c>
      <c r="U23" s="679">
        <v>1.2969365667025636</v>
      </c>
      <c r="V23" s="679">
        <f t="shared" si="4"/>
        <v>12.969365667025636</v>
      </c>
      <c r="W23" s="679">
        <v>-7.3000441576529518E-2</v>
      </c>
      <c r="AE23" s="689">
        <v>1</v>
      </c>
      <c r="AF23" s="679">
        <v>1.1213600437946742</v>
      </c>
      <c r="AG23" s="690">
        <f t="shared" si="1"/>
        <v>11.213600437946742</v>
      </c>
      <c r="AQ23" s="684">
        <v>1</v>
      </c>
      <c r="AR23" s="679">
        <v>2.5352211692552666</v>
      </c>
      <c r="AS23" s="690">
        <f t="shared" si="2"/>
        <v>25.352211692552665</v>
      </c>
      <c r="BB23" s="684">
        <v>1</v>
      </c>
      <c r="BC23" s="679">
        <v>-0.83841064212432936</v>
      </c>
      <c r="BD23" s="690">
        <f t="shared" si="3"/>
        <v>-8.3841064212432936</v>
      </c>
      <c r="BQ23" s="686">
        <v>0.3</v>
      </c>
    </row>
    <row r="24" spans="1:69">
      <c r="A24" s="299">
        <v>41584</v>
      </c>
      <c r="B24" s="282">
        <v>0</v>
      </c>
      <c r="C24" s="686">
        <v>0.3</v>
      </c>
      <c r="D24" s="689">
        <f t="shared" si="0"/>
        <v>1</v>
      </c>
      <c r="E24" s="266">
        <v>2.6013288895585291</v>
      </c>
      <c r="F24" s="679">
        <v>0.92837845983527378</v>
      </c>
      <c r="G24" s="161">
        <v>3.1691288895585306</v>
      </c>
      <c r="H24" s="679">
        <v>1.399451157204457</v>
      </c>
      <c r="I24" s="161">
        <v>3.42052888955853</v>
      </c>
      <c r="J24" s="679">
        <v>1.79241308816195</v>
      </c>
      <c r="K24" s="161">
        <v>2.9404288895585302</v>
      </c>
      <c r="L24" s="297">
        <v>-1.0553182171193645</v>
      </c>
      <c r="M24" s="297"/>
      <c r="N24" s="297"/>
      <c r="O24" s="679">
        <v>0.92837845983527378</v>
      </c>
      <c r="P24" s="679">
        <v>1.399451157204457</v>
      </c>
      <c r="Q24" s="679">
        <v>1.79241308816195</v>
      </c>
      <c r="R24" s="679">
        <v>-1.0553182171193645</v>
      </c>
      <c r="T24" s="684">
        <v>1</v>
      </c>
      <c r="U24" s="679">
        <v>1.5723226922029543</v>
      </c>
      <c r="V24" s="679">
        <f t="shared" si="4"/>
        <v>15.723226922029543</v>
      </c>
      <c r="W24" s="679">
        <v>0.92837845983527378</v>
      </c>
      <c r="AE24" s="689">
        <v>1</v>
      </c>
      <c r="AF24" s="679">
        <v>1.3158187002211641</v>
      </c>
      <c r="AG24" s="690">
        <f t="shared" si="1"/>
        <v>13.158187002211641</v>
      </c>
      <c r="AQ24" s="684">
        <v>1</v>
      </c>
      <c r="AR24" s="679">
        <v>-1.2559589110109535</v>
      </c>
      <c r="AS24" s="690">
        <f t="shared" si="2"/>
        <v>-12.559589110109535</v>
      </c>
      <c r="BB24" s="684">
        <v>1</v>
      </c>
      <c r="BC24" s="679">
        <v>-1.3860916966695789</v>
      </c>
      <c r="BD24" s="690">
        <f t="shared" si="3"/>
        <v>-13.86091696669579</v>
      </c>
      <c r="BQ24" s="686">
        <v>0.3</v>
      </c>
    </row>
    <row r="25" spans="1:69">
      <c r="A25" s="299">
        <v>41585</v>
      </c>
      <c r="B25" s="282">
        <v>1</v>
      </c>
      <c r="C25" s="687">
        <v>0</v>
      </c>
      <c r="D25" s="689">
        <f t="shared" si="0"/>
        <v>2</v>
      </c>
      <c r="E25" s="266">
        <v>2.56585301864077</v>
      </c>
      <c r="F25" s="679">
        <v>0.6839133827870354</v>
      </c>
      <c r="G25" s="161">
        <v>3.1474530186407694</v>
      </c>
      <c r="H25" s="679">
        <v>0.91284390777321478</v>
      </c>
      <c r="I25" s="161">
        <v>3.3864530186407693</v>
      </c>
      <c r="J25" s="679">
        <v>2.4099202472238548</v>
      </c>
      <c r="K25" s="161">
        <v>2.9189530186407686</v>
      </c>
      <c r="L25" s="291">
        <v>-1.4934827979861893</v>
      </c>
      <c r="M25" s="291"/>
      <c r="N25" s="291"/>
      <c r="O25" s="679">
        <v>0.6839133827870354</v>
      </c>
      <c r="P25" s="679">
        <v>0.91284390777321478</v>
      </c>
      <c r="Q25" s="679">
        <v>2.4099202472238548</v>
      </c>
      <c r="R25" s="679">
        <v>-1.4934827979861893</v>
      </c>
      <c r="T25" s="684">
        <v>1</v>
      </c>
      <c r="U25" s="679">
        <v>0.8999968063649697</v>
      </c>
      <c r="V25" s="679">
        <f t="shared" si="4"/>
        <v>8.9999680636496961</v>
      </c>
      <c r="W25" s="679">
        <v>0.6839133827870354</v>
      </c>
      <c r="AE25" s="689">
        <v>1</v>
      </c>
      <c r="AF25" s="679">
        <v>2.5634788808385451</v>
      </c>
      <c r="AG25" s="690">
        <f t="shared" si="1"/>
        <v>25.634788808385451</v>
      </c>
      <c r="AQ25" s="684">
        <v>1</v>
      </c>
      <c r="AR25" s="679">
        <v>0.53413838918235657</v>
      </c>
      <c r="AS25" s="690">
        <f t="shared" si="2"/>
        <v>5.3413838918235657</v>
      </c>
      <c r="BB25" s="684">
        <v>1</v>
      </c>
      <c r="BC25" s="679">
        <v>4.3422390507913633E-2</v>
      </c>
      <c r="BD25" s="690">
        <f t="shared" si="3"/>
        <v>0.43422390507913633</v>
      </c>
      <c r="BQ25" s="686">
        <v>0.1</v>
      </c>
    </row>
    <row r="26" spans="1:69">
      <c r="A26" s="299">
        <v>41586</v>
      </c>
      <c r="B26" s="282">
        <v>2</v>
      </c>
      <c r="C26" s="687">
        <v>0</v>
      </c>
      <c r="D26" s="689">
        <f t="shared" si="0"/>
        <v>3</v>
      </c>
      <c r="E26" s="266">
        <v>2.531948719981806</v>
      </c>
      <c r="F26" s="679">
        <v>0.5740736246635314</v>
      </c>
      <c r="G26" s="161">
        <v>3.1306487199818065</v>
      </c>
      <c r="H26" s="679">
        <v>1.3068606978510799</v>
      </c>
      <c r="I26" s="161">
        <v>3.3481487199818067</v>
      </c>
      <c r="J26" s="679">
        <v>2.5849687140150812</v>
      </c>
      <c r="K26" s="161">
        <v>2.8968487199818074</v>
      </c>
      <c r="L26" s="291">
        <v>-0.54631381358665632</v>
      </c>
      <c r="M26" s="291"/>
      <c r="N26" s="291"/>
      <c r="O26" s="679">
        <v>0.5740736246635314</v>
      </c>
      <c r="P26" s="679">
        <v>1.3068606978510799</v>
      </c>
      <c r="Q26" s="679">
        <v>2.5849687140150812</v>
      </c>
      <c r="R26" s="679">
        <v>-0.54631381358665632</v>
      </c>
      <c r="T26" s="684">
        <v>1</v>
      </c>
      <c r="U26" s="679">
        <v>0.62344630833039139</v>
      </c>
      <c r="V26" s="679">
        <f t="shared" si="4"/>
        <v>6.2344630833039139</v>
      </c>
      <c r="W26" s="679">
        <v>0.5740736246635314</v>
      </c>
      <c r="AE26" s="689">
        <v>1</v>
      </c>
      <c r="AF26" s="679">
        <v>-0.98847688462440475</v>
      </c>
      <c r="AG26" s="690">
        <f t="shared" si="1"/>
        <v>-9.8847688462440466</v>
      </c>
      <c r="AQ26" s="684">
        <v>1</v>
      </c>
      <c r="AR26" s="679">
        <v>1.6332581756374496</v>
      </c>
      <c r="AS26" s="690">
        <f t="shared" si="2"/>
        <v>16.332581756374495</v>
      </c>
      <c r="BB26" s="684">
        <v>1</v>
      </c>
      <c r="BC26" s="679">
        <v>0.89764269989083001</v>
      </c>
      <c r="BD26" s="690">
        <f t="shared" si="3"/>
        <v>8.9764269989083001</v>
      </c>
      <c r="BQ26" s="686">
        <v>0.1</v>
      </c>
    </row>
    <row r="27" spans="1:69">
      <c r="A27" s="299">
        <v>41587</v>
      </c>
      <c r="B27" s="282">
        <v>3</v>
      </c>
      <c r="C27" s="687">
        <v>0</v>
      </c>
      <c r="D27" s="689">
        <f t="shared" si="0"/>
        <v>4</v>
      </c>
      <c r="E27" s="266">
        <v>2.4993953411213714</v>
      </c>
      <c r="F27" s="679">
        <v>0.9615609672864438</v>
      </c>
      <c r="G27" s="161">
        <v>3.1099953411213708</v>
      </c>
      <c r="H27" s="679">
        <v>0.91539453249542735</v>
      </c>
      <c r="I27" s="161">
        <v>3.3074953411213714</v>
      </c>
      <c r="J27" s="679">
        <v>2.357247889535663</v>
      </c>
      <c r="K27" s="161">
        <v>2.8724953411213714</v>
      </c>
      <c r="L27" s="291">
        <v>-0.80884284270011353</v>
      </c>
      <c r="M27" s="291"/>
      <c r="N27" s="291"/>
      <c r="O27" s="679">
        <v>0.9615609672864438</v>
      </c>
      <c r="P27" s="679">
        <v>0.91539453249542735</v>
      </c>
      <c r="Q27" s="679">
        <v>2.357247889535663</v>
      </c>
      <c r="R27" s="679">
        <v>-0.80884284270011353</v>
      </c>
      <c r="T27" s="684">
        <v>2</v>
      </c>
      <c r="U27" s="679">
        <v>1.2480904203521725</v>
      </c>
      <c r="V27" s="679">
        <f t="shared" si="4"/>
        <v>12.480904203521725</v>
      </c>
      <c r="W27" s="679">
        <v>0.9615609672864438</v>
      </c>
      <c r="AE27" s="689">
        <v>2</v>
      </c>
      <c r="AF27" s="679">
        <v>0.73742747578617829</v>
      </c>
      <c r="AG27" s="690">
        <f t="shared" si="1"/>
        <v>7.3742747578617829</v>
      </c>
      <c r="AQ27" s="684">
        <v>2</v>
      </c>
      <c r="AR27" s="679">
        <v>3.3176623044260181</v>
      </c>
      <c r="AS27" s="690">
        <f t="shared" si="2"/>
        <v>33.176623044260182</v>
      </c>
      <c r="BB27" s="684">
        <v>2</v>
      </c>
      <c r="BC27" s="679">
        <v>-0.81316758730067118</v>
      </c>
      <c r="BD27" s="690">
        <f t="shared" si="3"/>
        <v>-8.1316758730067118</v>
      </c>
      <c r="BQ27" s="686">
        <v>0.05</v>
      </c>
    </row>
    <row r="28" spans="1:69">
      <c r="A28" s="299">
        <v>41588</v>
      </c>
      <c r="B28" s="282">
        <v>4</v>
      </c>
      <c r="C28" s="687">
        <v>0</v>
      </c>
      <c r="D28" s="689">
        <f t="shared" si="0"/>
        <v>5</v>
      </c>
      <c r="E28" s="266">
        <v>2.4632184455944803</v>
      </c>
      <c r="F28" s="679">
        <v>1.2128302897433327</v>
      </c>
      <c r="G28" s="161">
        <v>3.0919184455944819</v>
      </c>
      <c r="H28" s="679">
        <v>1.415770734711995</v>
      </c>
      <c r="I28" s="161">
        <v>3.2686184455944813</v>
      </c>
      <c r="J28" s="679">
        <v>2.4177093906381546</v>
      </c>
      <c r="K28" s="161">
        <v>2.8491184455944807</v>
      </c>
      <c r="L28" s="291">
        <v>-0.56831329959123922</v>
      </c>
      <c r="M28" s="291"/>
      <c r="N28" s="291"/>
      <c r="O28" s="679">
        <v>1.2128302897433327</v>
      </c>
      <c r="P28" s="679">
        <v>1.415770734711995</v>
      </c>
      <c r="Q28" s="679">
        <v>2.4177093906381546</v>
      </c>
      <c r="R28" s="679">
        <v>-0.56831329959123922</v>
      </c>
      <c r="T28" s="684">
        <v>2</v>
      </c>
      <c r="U28" s="679">
        <v>0.6839133827870354</v>
      </c>
      <c r="V28" s="679">
        <f t="shared" si="4"/>
        <v>6.839133827870354</v>
      </c>
      <c r="W28" s="679">
        <v>1.2128302897433327</v>
      </c>
      <c r="AE28" s="689">
        <v>2</v>
      </c>
      <c r="AF28" s="679">
        <v>0.91284390777321478</v>
      </c>
      <c r="AG28" s="690">
        <f t="shared" si="1"/>
        <v>9.128439077732148</v>
      </c>
      <c r="AQ28" s="684">
        <v>2</v>
      </c>
      <c r="AR28" s="679">
        <v>2.4099202472238548</v>
      </c>
      <c r="AS28" s="690">
        <f t="shared" si="2"/>
        <v>24.099202472238549</v>
      </c>
      <c r="BB28" s="684">
        <v>2</v>
      </c>
      <c r="BC28" s="679">
        <v>-1.4934827979861893</v>
      </c>
      <c r="BD28" s="690">
        <f t="shared" si="3"/>
        <v>-14.934827979861893</v>
      </c>
      <c r="BQ28" s="687">
        <v>0</v>
      </c>
    </row>
    <row r="29" spans="1:69">
      <c r="A29" s="299">
        <v>41589</v>
      </c>
      <c r="B29" s="282">
        <v>5</v>
      </c>
      <c r="C29" s="687">
        <v>0</v>
      </c>
      <c r="D29" s="689">
        <f t="shared" si="0"/>
        <v>6</v>
      </c>
      <c r="E29" s="266">
        <v>2.4248004524185611</v>
      </c>
      <c r="F29" s="679">
        <v>1.0866267822689588</v>
      </c>
      <c r="G29" s="161">
        <v>3.0709004524185612</v>
      </c>
      <c r="H29" s="679">
        <v>1.0833188185458038</v>
      </c>
      <c r="I29" s="161">
        <v>3.2278004524185606</v>
      </c>
      <c r="J29" s="679">
        <v>2.4786486742017049</v>
      </c>
      <c r="K29" s="161">
        <v>2.8217004524185607</v>
      </c>
      <c r="L29" s="291">
        <v>0.41839054688435162</v>
      </c>
      <c r="M29" s="291"/>
      <c r="N29" s="291"/>
      <c r="O29" s="679">
        <v>1.0866267822689588</v>
      </c>
      <c r="P29" s="679">
        <v>1.0833188185458038</v>
      </c>
      <c r="Q29" s="679">
        <v>2.4786486742017049</v>
      </c>
      <c r="R29" s="679">
        <v>0.41839054688435162</v>
      </c>
      <c r="T29" s="684">
        <v>2</v>
      </c>
      <c r="U29" s="679">
        <v>1.6841106005933897</v>
      </c>
      <c r="V29" s="679">
        <f t="shared" si="4"/>
        <v>16.841106005933895</v>
      </c>
      <c r="W29" s="679">
        <v>1.0866267822689588</v>
      </c>
      <c r="AE29" s="689">
        <v>2</v>
      </c>
      <c r="AF29" s="679">
        <v>1.8910806892071095</v>
      </c>
      <c r="AG29" s="690">
        <f t="shared" si="1"/>
        <v>18.910806892071093</v>
      </c>
      <c r="AQ29" s="684">
        <v>2</v>
      </c>
      <c r="AR29" s="679">
        <v>2.820729426962544</v>
      </c>
      <c r="AS29" s="690">
        <f t="shared" si="2"/>
        <v>28.207294269625439</v>
      </c>
      <c r="BB29" s="684">
        <v>2</v>
      </c>
      <c r="BC29" s="679">
        <v>0.39819994192524177</v>
      </c>
      <c r="BD29" s="690">
        <f t="shared" si="3"/>
        <v>3.9819994192524177</v>
      </c>
      <c r="BQ29" s="687">
        <v>0</v>
      </c>
    </row>
    <row r="30" spans="1:69">
      <c r="A30" s="299">
        <v>41590</v>
      </c>
      <c r="B30" s="282">
        <v>6</v>
      </c>
      <c r="C30" s="688">
        <v>0</v>
      </c>
      <c r="D30" s="689">
        <f t="shared" si="0"/>
        <v>7</v>
      </c>
      <c r="E30" s="266">
        <v>2.3878161938040869</v>
      </c>
      <c r="F30" s="679">
        <v>1.1469914943837574</v>
      </c>
      <c r="G30" s="161">
        <v>3.0501161938040884</v>
      </c>
      <c r="H30" s="679">
        <v>1.5434019704100923</v>
      </c>
      <c r="I30" s="161">
        <v>3.1861161938040867</v>
      </c>
      <c r="J30" s="679">
        <v>1.9248509521759751</v>
      </c>
      <c r="K30" s="161">
        <v>2.7828161938040874</v>
      </c>
      <c r="L30" s="291">
        <v>-1.1686428406674434</v>
      </c>
      <c r="M30" s="291"/>
      <c r="N30" s="291"/>
      <c r="O30" s="679">
        <v>1.1469914943837574</v>
      </c>
      <c r="P30" s="679">
        <v>1.5434019704100923</v>
      </c>
      <c r="Q30" s="679">
        <v>1.9248509521759751</v>
      </c>
      <c r="R30" s="679">
        <v>-1.1686428406674434</v>
      </c>
      <c r="T30" s="684">
        <v>2</v>
      </c>
      <c r="U30" s="679">
        <v>1.7271546831429982</v>
      </c>
      <c r="V30" s="679">
        <f t="shared" si="4"/>
        <v>17.271546831429983</v>
      </c>
      <c r="W30" s="679">
        <v>1.1469914943837574</v>
      </c>
      <c r="AE30" s="689">
        <v>2</v>
      </c>
      <c r="AF30" s="679">
        <v>1.7955597399709995</v>
      </c>
      <c r="AG30" s="690">
        <f t="shared" si="1"/>
        <v>17.955597399709994</v>
      </c>
      <c r="AQ30" s="684">
        <v>2</v>
      </c>
      <c r="AR30" s="679">
        <v>1.6215926195515196</v>
      </c>
      <c r="AS30" s="690">
        <f t="shared" si="2"/>
        <v>16.215926195515195</v>
      </c>
      <c r="BB30" s="684">
        <v>2</v>
      </c>
      <c r="BC30" s="679">
        <v>-0.80755960410805105</v>
      </c>
      <c r="BD30" s="690">
        <f t="shared" si="3"/>
        <v>-8.0755960410805105</v>
      </c>
      <c r="BQ30" s="687">
        <v>0</v>
      </c>
    </row>
    <row r="31" spans="1:69">
      <c r="A31" s="299">
        <v>41591</v>
      </c>
      <c r="B31" s="282">
        <v>0</v>
      </c>
      <c r="C31" s="686">
        <v>4</v>
      </c>
      <c r="D31" s="689">
        <f t="shared" si="0"/>
        <v>0</v>
      </c>
      <c r="E31" s="266">
        <v>2.3528955413438131</v>
      </c>
      <c r="F31" s="679">
        <v>0.7749831953527373</v>
      </c>
      <c r="G31" s="161">
        <v>3.0268955413438121</v>
      </c>
      <c r="H31" s="679">
        <v>1.6261073777602995</v>
      </c>
      <c r="I31" s="161">
        <v>3.1516955413438135</v>
      </c>
      <c r="J31" s="679">
        <v>2.1670585310559929</v>
      </c>
      <c r="K31" s="161">
        <v>2.7604955413438126</v>
      </c>
      <c r="L31" s="297">
        <v>-1.0361936377015302</v>
      </c>
      <c r="M31" s="297"/>
      <c r="N31" s="297"/>
      <c r="O31" s="679">
        <v>0.7749831953527373</v>
      </c>
      <c r="P31" s="679">
        <v>1.6261073777602995</v>
      </c>
      <c r="Q31" s="679">
        <v>2.1670585310559929</v>
      </c>
      <c r="R31" s="679">
        <v>-1.0361936377015302</v>
      </c>
      <c r="T31" s="684">
        <v>2</v>
      </c>
      <c r="U31" s="679">
        <v>1.0554734185815757</v>
      </c>
      <c r="V31" s="679">
        <f t="shared" si="4"/>
        <v>10.554734185815757</v>
      </c>
      <c r="W31" s="679">
        <v>0.7749831953527373</v>
      </c>
      <c r="AE31" s="689">
        <v>2</v>
      </c>
      <c r="AF31" s="679">
        <v>0.58902411285490697</v>
      </c>
      <c r="AG31" s="690">
        <f t="shared" si="1"/>
        <v>5.8902411285490697</v>
      </c>
      <c r="AQ31" s="684">
        <v>2</v>
      </c>
      <c r="AR31" s="679">
        <v>1.1272754696107126</v>
      </c>
      <c r="AS31" s="690">
        <f t="shared" si="2"/>
        <v>11.272754696107125</v>
      </c>
      <c r="BB31" s="684">
        <v>2</v>
      </c>
      <c r="BC31" s="679">
        <v>-0.51649129679547023</v>
      </c>
      <c r="BD31" s="690">
        <f t="shared" si="3"/>
        <v>-5.1649129679547023</v>
      </c>
      <c r="BQ31" s="687">
        <v>0</v>
      </c>
    </row>
    <row r="32" spans="1:69">
      <c r="A32" s="299">
        <v>41592</v>
      </c>
      <c r="B32" s="282">
        <v>1</v>
      </c>
      <c r="C32" s="687">
        <v>0</v>
      </c>
      <c r="D32" s="689">
        <f t="shared" si="0"/>
        <v>1</v>
      </c>
      <c r="E32" s="266">
        <v>2.3232748912332295</v>
      </c>
      <c r="F32" s="679">
        <v>1.2969365667025636</v>
      </c>
      <c r="G32" s="161">
        <v>3.0064748912332302</v>
      </c>
      <c r="H32" s="679">
        <v>1.7336650977119472</v>
      </c>
      <c r="I32" s="161">
        <v>3.1205748912332298</v>
      </c>
      <c r="J32" s="679">
        <v>2.5352211692552666</v>
      </c>
      <c r="K32" s="161">
        <v>2.7414748912332292</v>
      </c>
      <c r="L32" s="291">
        <v>-0.83841064212432936</v>
      </c>
      <c r="M32" s="291"/>
      <c r="N32" s="291"/>
      <c r="O32" s="679">
        <v>1.2969365667025636</v>
      </c>
      <c r="P32" s="679">
        <v>1.7336650977119472</v>
      </c>
      <c r="Q32" s="679">
        <v>2.5352211692552666</v>
      </c>
      <c r="R32" s="679">
        <v>-0.83841064212432936</v>
      </c>
      <c r="T32" s="684">
        <v>2</v>
      </c>
      <c r="U32" s="679">
        <v>0.95809129748864352</v>
      </c>
      <c r="V32" s="679">
        <f t="shared" si="4"/>
        <v>9.5809129748864343</v>
      </c>
      <c r="W32" s="679">
        <v>1.2969365667025636</v>
      </c>
      <c r="AE32" s="689">
        <v>2</v>
      </c>
      <c r="AF32" s="679">
        <v>1.7403141789377914</v>
      </c>
      <c r="AG32" s="690">
        <f t="shared" si="1"/>
        <v>17.403141789377912</v>
      </c>
      <c r="AQ32" s="684">
        <v>2</v>
      </c>
      <c r="AR32" s="679">
        <v>1.4194379491099323</v>
      </c>
      <c r="AS32" s="690">
        <f t="shared" si="2"/>
        <v>14.194379491099323</v>
      </c>
      <c r="BB32" s="684">
        <v>2</v>
      </c>
      <c r="BC32" s="679">
        <v>1.1287018854340647</v>
      </c>
      <c r="BD32" s="690">
        <f t="shared" si="3"/>
        <v>11.287018854340648</v>
      </c>
      <c r="BQ32" s="687">
        <v>0</v>
      </c>
    </row>
    <row r="33" spans="1:69">
      <c r="A33" s="299">
        <v>41593</v>
      </c>
      <c r="B33" s="282">
        <v>0</v>
      </c>
      <c r="C33" s="686">
        <v>0</v>
      </c>
      <c r="D33" s="689">
        <f t="shared" si="0"/>
        <v>2</v>
      </c>
      <c r="E33" s="266">
        <v>2.2819939113679717</v>
      </c>
      <c r="F33" s="679">
        <v>1.6841106005933897</v>
      </c>
      <c r="G33" s="161">
        <v>2.9805939113679738</v>
      </c>
      <c r="H33" s="679">
        <v>1.5688933436242667</v>
      </c>
      <c r="I33" s="161">
        <v>3.0834939113679729</v>
      </c>
      <c r="J33" s="679">
        <v>2.820729426962544</v>
      </c>
      <c r="K33" s="161">
        <v>2.7170939113679728</v>
      </c>
      <c r="L33" s="297">
        <v>0.39819994192524177</v>
      </c>
      <c r="M33" s="297"/>
      <c r="N33" s="297"/>
      <c r="O33" s="679">
        <v>1.6841106005933897</v>
      </c>
      <c r="P33" s="679">
        <v>1.5688933436242667</v>
      </c>
      <c r="Q33" s="679">
        <v>2.820729426962544</v>
      </c>
      <c r="R33" s="679">
        <v>0.39819994192524177</v>
      </c>
      <c r="T33" s="684">
        <v>3</v>
      </c>
      <c r="U33" s="679">
        <v>0.9101579654641454</v>
      </c>
      <c r="V33" s="679">
        <f t="shared" si="4"/>
        <v>9.1015796546414549</v>
      </c>
      <c r="W33" s="679">
        <v>1.6841106005933897</v>
      </c>
      <c r="AE33" s="689">
        <v>3</v>
      </c>
      <c r="AF33" s="679">
        <v>1.2992845975191649</v>
      </c>
      <c r="AG33" s="690">
        <f t="shared" si="1"/>
        <v>12.992845975191649</v>
      </c>
      <c r="AQ33" s="684">
        <v>3</v>
      </c>
      <c r="AR33" s="679">
        <v>3.5923110136285521</v>
      </c>
      <c r="AS33" s="690">
        <f t="shared" si="2"/>
        <v>35.923110136285523</v>
      </c>
      <c r="BB33" s="684">
        <v>3</v>
      </c>
      <c r="BC33" s="679">
        <v>-1.8394531847439834</v>
      </c>
      <c r="BD33" s="690">
        <f t="shared" si="3"/>
        <v>-18.394531847439836</v>
      </c>
      <c r="BQ33" s="687">
        <v>0</v>
      </c>
    </row>
    <row r="34" spans="1:69">
      <c r="A34" s="299">
        <v>41594</v>
      </c>
      <c r="B34" s="282">
        <v>0</v>
      </c>
      <c r="C34" s="686">
        <v>0.05</v>
      </c>
      <c r="D34" s="689">
        <f t="shared" si="0"/>
        <v>3</v>
      </c>
      <c r="E34" s="266">
        <v>2.2373266236699831</v>
      </c>
      <c r="F34" s="679">
        <v>1.8385673577457906</v>
      </c>
      <c r="G34" s="161">
        <v>2.9560266236699828</v>
      </c>
      <c r="H34" s="679">
        <v>1.7887421076838685</v>
      </c>
      <c r="I34" s="161">
        <v>3.0417266236699829</v>
      </c>
      <c r="J34" s="679">
        <v>2.5517038625251489</v>
      </c>
      <c r="K34" s="161">
        <v>2.681026623669982</v>
      </c>
      <c r="L34" s="297">
        <v>0.70398147285115398</v>
      </c>
      <c r="M34" s="297"/>
      <c r="N34" s="297"/>
      <c r="O34" s="679">
        <v>1.8385673577457906</v>
      </c>
      <c r="P34" s="679">
        <v>1.7887421076838685</v>
      </c>
      <c r="Q34" s="679">
        <v>2.5517038625251489</v>
      </c>
      <c r="R34" s="679">
        <v>0.70398147285115398</v>
      </c>
      <c r="T34" s="684">
        <v>3</v>
      </c>
      <c r="U34" s="679">
        <v>0.5740736246635314</v>
      </c>
      <c r="V34" s="679">
        <f t="shared" si="4"/>
        <v>5.740736246635314</v>
      </c>
      <c r="W34" s="679">
        <v>1.8385673577457906</v>
      </c>
      <c r="AE34" s="689">
        <v>3</v>
      </c>
      <c r="AF34" s="679">
        <v>1.5688933436242667</v>
      </c>
      <c r="AG34" s="690">
        <f t="shared" si="1"/>
        <v>15.688933436242667</v>
      </c>
      <c r="AQ34" s="684">
        <v>3</v>
      </c>
      <c r="AR34" s="679">
        <v>2.5849687140150812</v>
      </c>
      <c r="AS34" s="690">
        <f t="shared" si="2"/>
        <v>25.849687140150813</v>
      </c>
      <c r="BB34" s="684">
        <v>3</v>
      </c>
      <c r="BC34" s="679">
        <v>-0.54631381358665632</v>
      </c>
      <c r="BD34" s="690">
        <f t="shared" si="3"/>
        <v>-5.4631381358665632</v>
      </c>
      <c r="BQ34" s="687">
        <v>0</v>
      </c>
    </row>
    <row r="35" spans="1:69">
      <c r="A35" s="299">
        <v>41595</v>
      </c>
      <c r="B35" s="282">
        <v>0</v>
      </c>
      <c r="C35" s="686">
        <v>63.6</v>
      </c>
      <c r="D35" s="689">
        <f t="shared" si="0"/>
        <v>0</v>
      </c>
      <c r="E35" s="266">
        <v>2.1916783584564272</v>
      </c>
      <c r="F35" s="679">
        <v>25.047249483130777</v>
      </c>
      <c r="G35" s="161">
        <v>2.928978358456428</v>
      </c>
      <c r="H35" s="679">
        <v>-6.3876311921194677</v>
      </c>
      <c r="I35" s="161">
        <v>3.0008783584564283</v>
      </c>
      <c r="J35" s="679">
        <v>-43.598756971811831</v>
      </c>
      <c r="K35" s="161">
        <v>2.6427783584564284</v>
      </c>
      <c r="L35" s="297">
        <v>-18.884891822311864</v>
      </c>
      <c r="M35" s="297"/>
      <c r="N35" s="297"/>
      <c r="O35" s="679">
        <v>25.047249483130777</v>
      </c>
      <c r="P35" s="679">
        <v>-6.3876311921194677</v>
      </c>
      <c r="Q35" s="679">
        <v>-43.598756971811831</v>
      </c>
      <c r="R35" s="679">
        <v>-18.884891822311864</v>
      </c>
      <c r="T35" s="684">
        <v>3</v>
      </c>
      <c r="U35" s="679">
        <v>1.8385673577457906</v>
      </c>
      <c r="V35" s="679">
        <f t="shared" si="4"/>
        <v>18.385673577457908</v>
      </c>
      <c r="W35" s="679">
        <v>25.047249483130777</v>
      </c>
      <c r="AE35" s="689">
        <v>3</v>
      </c>
      <c r="AF35" s="679">
        <v>0.70414640446968635</v>
      </c>
      <c r="AG35" s="690">
        <f t="shared" si="1"/>
        <v>7.0414640446968635</v>
      </c>
      <c r="AQ35" s="684">
        <v>3</v>
      </c>
      <c r="AR35" s="679">
        <v>2.5517038625251489</v>
      </c>
      <c r="AS35" s="690">
        <f t="shared" si="2"/>
        <v>25.517038625251487</v>
      </c>
      <c r="BB35" s="684">
        <v>3</v>
      </c>
      <c r="BC35" s="679">
        <v>0.70398147285115398</v>
      </c>
      <c r="BD35" s="690">
        <f t="shared" si="3"/>
        <v>7.0398147285115398</v>
      </c>
      <c r="BQ35" s="687">
        <v>0</v>
      </c>
    </row>
    <row r="36" spans="1:69">
      <c r="A36" s="299">
        <v>41596</v>
      </c>
      <c r="B36" s="282">
        <v>1</v>
      </c>
      <c r="C36" s="687">
        <v>0</v>
      </c>
      <c r="D36" s="689">
        <f t="shared" si="0"/>
        <v>1</v>
      </c>
      <c r="E36" s="266">
        <v>2.2556730516361818</v>
      </c>
      <c r="F36" s="679">
        <v>1.5723226922029543</v>
      </c>
      <c r="G36" s="161">
        <v>3.230673051636181</v>
      </c>
      <c r="H36" s="679">
        <v>0.72519084492523489</v>
      </c>
      <c r="I36" s="161">
        <v>3.7856730516361816</v>
      </c>
      <c r="J36" s="679">
        <v>-1.2559589110109535</v>
      </c>
      <c r="K36" s="161">
        <v>3.1592730516361818</v>
      </c>
      <c r="L36" s="291">
        <v>-1.3860916966695789</v>
      </c>
      <c r="M36" s="291"/>
      <c r="N36" s="291"/>
      <c r="O36" s="679">
        <v>1.5723226922029543</v>
      </c>
      <c r="P36" s="679">
        <v>0.72519084492523489</v>
      </c>
      <c r="Q36" s="679">
        <v>-1.2559589110109535</v>
      </c>
      <c r="R36" s="679">
        <v>-1.3860916966695789</v>
      </c>
      <c r="T36" s="684">
        <v>3</v>
      </c>
      <c r="U36" s="679">
        <v>1.9258001675288745</v>
      </c>
      <c r="V36" s="679">
        <f t="shared" si="4"/>
        <v>19.258001675288746</v>
      </c>
      <c r="W36" s="679">
        <v>1.5723226922029543</v>
      </c>
      <c r="AE36" s="689">
        <v>3</v>
      </c>
      <c r="AF36" s="679">
        <v>0.52567030106860368</v>
      </c>
      <c r="AG36" s="690">
        <f t="shared" si="1"/>
        <v>5.2567030106860368</v>
      </c>
      <c r="AQ36" s="684">
        <v>3</v>
      </c>
      <c r="AR36" s="679">
        <v>2.2671957312482216</v>
      </c>
      <c r="AS36" s="690">
        <f t="shared" si="2"/>
        <v>22.671957312482217</v>
      </c>
      <c r="BB36" s="684">
        <v>3</v>
      </c>
      <c r="BC36" s="679">
        <v>-0.3798904867642765</v>
      </c>
      <c r="BD36" s="690">
        <f t="shared" si="3"/>
        <v>-3.798904867642765</v>
      </c>
      <c r="BQ36" s="687">
        <v>0</v>
      </c>
    </row>
    <row r="37" spans="1:69">
      <c r="A37" s="299">
        <v>41597</v>
      </c>
      <c r="B37" s="282">
        <v>2</v>
      </c>
      <c r="C37" s="687">
        <v>0</v>
      </c>
      <c r="D37" s="689">
        <f t="shared" si="0"/>
        <v>2</v>
      </c>
      <c r="E37" s="266">
        <v>2.2130814440322788</v>
      </c>
      <c r="F37" s="679">
        <v>1.7271546831429982</v>
      </c>
      <c r="G37" s="161">
        <v>3.2119814440322791</v>
      </c>
      <c r="H37" s="679">
        <v>0.89616841754780729</v>
      </c>
      <c r="I37" s="161">
        <v>3.7786814440322791</v>
      </c>
      <c r="J37" s="679">
        <v>1.6215926195515196</v>
      </c>
      <c r="K37" s="161">
        <v>3.1414814440322778</v>
      </c>
      <c r="L37" s="291">
        <v>-0.80755960410805105</v>
      </c>
      <c r="M37" s="291"/>
      <c r="N37" s="291"/>
      <c r="O37" s="679">
        <v>1.7271546831429982</v>
      </c>
      <c r="P37" s="679">
        <v>0.89616841754780729</v>
      </c>
      <c r="Q37" s="679">
        <v>1.6215926195515196</v>
      </c>
      <c r="R37" s="679">
        <v>-0.80755960410805105</v>
      </c>
      <c r="T37" s="684">
        <v>3</v>
      </c>
      <c r="U37" s="679">
        <v>0.67966510994523821</v>
      </c>
      <c r="V37" s="679">
        <f t="shared" si="4"/>
        <v>6.7966510994523821</v>
      </c>
      <c r="W37" s="679">
        <v>1.7271546831429982</v>
      </c>
      <c r="AE37" s="689">
        <v>3</v>
      </c>
      <c r="AF37" s="679">
        <v>1.5696777496614087</v>
      </c>
      <c r="AG37" s="690">
        <f t="shared" si="1"/>
        <v>15.696777496614088</v>
      </c>
      <c r="AQ37" s="684">
        <v>3</v>
      </c>
      <c r="AR37" s="679">
        <v>1.5340212544321057</v>
      </c>
      <c r="AS37" s="690">
        <f t="shared" si="2"/>
        <v>15.340212544321057</v>
      </c>
      <c r="BB37" s="684">
        <v>3</v>
      </c>
      <c r="BC37" s="679">
        <v>0.63153638159846492</v>
      </c>
      <c r="BD37" s="690">
        <f t="shared" si="3"/>
        <v>6.3153638159846492</v>
      </c>
      <c r="BQ37" s="687">
        <v>0</v>
      </c>
    </row>
    <row r="38" spans="1:69">
      <c r="A38" s="299">
        <v>41598</v>
      </c>
      <c r="B38" s="282">
        <v>3</v>
      </c>
      <c r="C38" s="687">
        <v>0</v>
      </c>
      <c r="D38" s="689">
        <f t="shared" si="0"/>
        <v>3</v>
      </c>
      <c r="E38" s="266">
        <v>2.1686401297129607</v>
      </c>
      <c r="F38" s="679">
        <v>1.9258001675288745</v>
      </c>
      <c r="G38" s="161">
        <v>3.1923401297129619</v>
      </c>
      <c r="H38" s="679">
        <v>1.1213600437946742</v>
      </c>
      <c r="I38" s="161">
        <v>3.7410401297129612</v>
      </c>
      <c r="J38" s="679">
        <v>2.2671957312482216</v>
      </c>
      <c r="K38" s="161">
        <v>3.1183401297129616</v>
      </c>
      <c r="L38" s="291">
        <v>-0.3798904867642765</v>
      </c>
      <c r="M38" s="291"/>
      <c r="N38" s="291"/>
      <c r="O38" s="679">
        <v>1.9258001675288745</v>
      </c>
      <c r="P38" s="679">
        <v>1.1213600437946742</v>
      </c>
      <c r="Q38" s="679">
        <v>2.2671957312482216</v>
      </c>
      <c r="R38" s="679">
        <v>-0.3798904867642765</v>
      </c>
      <c r="T38" s="684">
        <v>3</v>
      </c>
      <c r="U38" s="679">
        <v>0.75904884507735049</v>
      </c>
      <c r="V38" s="679">
        <f t="shared" si="4"/>
        <v>7.5904884507735044</v>
      </c>
      <c r="W38" s="679">
        <v>1.9258001675288745</v>
      </c>
      <c r="AE38" s="689">
        <v>3</v>
      </c>
      <c r="AF38" s="679">
        <v>-4.597615342329811</v>
      </c>
      <c r="AG38" s="690">
        <f t="shared" si="1"/>
        <v>-45.976153423298108</v>
      </c>
      <c r="AQ38" s="684">
        <v>3</v>
      </c>
      <c r="AR38" s="679">
        <v>2.1596694523603741</v>
      </c>
      <c r="AS38" s="690">
        <f t="shared" si="2"/>
        <v>21.596694523603741</v>
      </c>
      <c r="BB38" s="684">
        <v>3</v>
      </c>
      <c r="BC38" s="679">
        <v>1.1547139143188097</v>
      </c>
      <c r="BD38" s="690">
        <f t="shared" si="3"/>
        <v>11.547139143188097</v>
      </c>
      <c r="BQ38" s="687">
        <v>0</v>
      </c>
    </row>
    <row r="39" spans="1:69">
      <c r="A39" s="299">
        <v>41599</v>
      </c>
      <c r="B39" s="282">
        <v>4</v>
      </c>
      <c r="C39" s="687">
        <v>0</v>
      </c>
      <c r="D39" s="689">
        <f t="shared" si="0"/>
        <v>4</v>
      </c>
      <c r="E39" s="266">
        <v>2.1246155743392241</v>
      </c>
      <c r="F39" s="679">
        <v>2.8313129909996566</v>
      </c>
      <c r="G39" s="161">
        <v>3.1712155743392252</v>
      </c>
      <c r="H39" s="679">
        <v>1.3158187002211641</v>
      </c>
      <c r="I39" s="161">
        <v>3.7009155743392244</v>
      </c>
      <c r="J39" s="679">
        <v>2.7310272233608659</v>
      </c>
      <c r="K39" s="161">
        <v>3.0934155743392249</v>
      </c>
      <c r="L39" s="291">
        <v>-9.5686504933702565E-2</v>
      </c>
      <c r="M39" s="291"/>
      <c r="N39" s="291"/>
      <c r="O39" s="679">
        <v>2.8313129909996566</v>
      </c>
      <c r="P39" s="679">
        <v>1.3158187002211641</v>
      </c>
      <c r="Q39" s="679">
        <v>2.7310272233608659</v>
      </c>
      <c r="R39" s="679">
        <v>-9.5686504933702565E-2</v>
      </c>
      <c r="T39" s="684">
        <v>4</v>
      </c>
      <c r="U39" s="679">
        <v>1.6341429045416045</v>
      </c>
      <c r="V39" s="679">
        <f t="shared" si="4"/>
        <v>16.341429045416046</v>
      </c>
      <c r="W39" s="679">
        <v>2.8313129909996566</v>
      </c>
      <c r="AE39" s="689">
        <v>4</v>
      </c>
      <c r="AF39" s="679">
        <v>0.30439894731696748</v>
      </c>
      <c r="AG39" s="690">
        <f t="shared" si="1"/>
        <v>3.0439894731696748</v>
      </c>
      <c r="AQ39" s="684">
        <v>4</v>
      </c>
      <c r="AR39" s="679">
        <v>4.3428434144931023</v>
      </c>
      <c r="AS39" s="690">
        <f t="shared" si="2"/>
        <v>43.428434144931025</v>
      </c>
      <c r="BB39" s="684">
        <v>4</v>
      </c>
      <c r="BC39" s="679">
        <v>-2.4695976845197039</v>
      </c>
      <c r="BD39" s="690">
        <f t="shared" si="3"/>
        <v>-24.695976845197038</v>
      </c>
      <c r="BQ39" s="687">
        <v>0</v>
      </c>
    </row>
    <row r="40" spans="1:69">
      <c r="A40" s="299">
        <v>41600</v>
      </c>
      <c r="B40" s="282">
        <v>5</v>
      </c>
      <c r="C40" s="687">
        <v>0</v>
      </c>
      <c r="D40" s="689">
        <f t="shared" si="0"/>
        <v>5</v>
      </c>
      <c r="E40" s="266">
        <v>2.0702272337360754</v>
      </c>
      <c r="F40" s="679">
        <v>2.7853442590257771</v>
      </c>
      <c r="G40" s="161">
        <v>3.1489272337360763</v>
      </c>
      <c r="H40" s="679">
        <v>1.5417711041648789</v>
      </c>
      <c r="I40" s="161">
        <v>3.660127233736076</v>
      </c>
      <c r="J40" s="679">
        <v>2.4868161403737918</v>
      </c>
      <c r="K40" s="161">
        <v>3.0679272337360763</v>
      </c>
      <c r="L40" s="291">
        <v>-0.31456925909300182</v>
      </c>
      <c r="M40" s="291"/>
      <c r="N40" s="291"/>
      <c r="O40" s="679">
        <v>2.7853442590257771</v>
      </c>
      <c r="P40" s="679">
        <v>1.5417711041648789</v>
      </c>
      <c r="Q40" s="679">
        <v>2.4868161403737918</v>
      </c>
      <c r="R40" s="679">
        <v>-0.31456925909300182</v>
      </c>
      <c r="T40" s="684">
        <v>4</v>
      </c>
      <c r="U40" s="679">
        <v>0.9615609672864438</v>
      </c>
      <c r="V40" s="679">
        <f t="shared" si="4"/>
        <v>9.6156096728644371</v>
      </c>
      <c r="W40" s="679">
        <v>2.7853442590257771</v>
      </c>
      <c r="AE40" s="689">
        <v>4</v>
      </c>
      <c r="AF40" s="679">
        <v>0.89616841754780729</v>
      </c>
      <c r="AG40" s="690">
        <f t="shared" si="1"/>
        <v>8.9616841754780729</v>
      </c>
      <c r="AQ40" s="684">
        <v>4</v>
      </c>
      <c r="AR40" s="679">
        <v>2.357247889535663</v>
      </c>
      <c r="AS40" s="690">
        <f t="shared" si="2"/>
        <v>23.572478895356632</v>
      </c>
      <c r="BB40" s="684">
        <v>4</v>
      </c>
      <c r="BC40" s="679">
        <v>-0.80884284270011353</v>
      </c>
      <c r="BD40" s="690">
        <f t="shared" si="3"/>
        <v>-8.0884284270011353</v>
      </c>
      <c r="BQ40" s="687">
        <v>0</v>
      </c>
    </row>
    <row r="41" spans="1:69">
      <c r="A41" s="299">
        <v>41601</v>
      </c>
      <c r="B41" s="282">
        <v>6</v>
      </c>
      <c r="C41" s="687">
        <v>0</v>
      </c>
      <c r="D41" s="689">
        <f t="shared" si="0"/>
        <v>6</v>
      </c>
      <c r="E41" s="266">
        <v>2.0150720246773575</v>
      </c>
      <c r="F41" s="679">
        <v>1.9248494432963237</v>
      </c>
      <c r="G41" s="161">
        <v>3.125172024677358</v>
      </c>
      <c r="H41" s="679">
        <v>1.2240004916699454</v>
      </c>
      <c r="I41" s="161">
        <v>3.6221720246773588</v>
      </c>
      <c r="J41" s="679">
        <v>2.5163349535879447</v>
      </c>
      <c r="K41" s="161">
        <v>3.0416720246773585</v>
      </c>
      <c r="L41" s="291">
        <v>-0.3020030762041106</v>
      </c>
      <c r="M41" s="291"/>
      <c r="N41" s="291"/>
      <c r="O41" s="679">
        <v>1.9248494432963237</v>
      </c>
      <c r="P41" s="679">
        <v>1.2240004916699454</v>
      </c>
      <c r="Q41" s="679">
        <v>2.5163349535879447</v>
      </c>
      <c r="R41" s="679">
        <v>-0.3020030762041106</v>
      </c>
      <c r="T41" s="684">
        <v>4</v>
      </c>
      <c r="U41" s="679">
        <v>2.8313129909996566</v>
      </c>
      <c r="V41" s="679">
        <f t="shared" si="4"/>
        <v>28.313129909996565</v>
      </c>
      <c r="W41" s="679">
        <v>1.9248494432963237</v>
      </c>
      <c r="AE41" s="689">
        <v>4</v>
      </c>
      <c r="AF41" s="679">
        <v>1.415770734711995</v>
      </c>
      <c r="AG41" s="690">
        <f t="shared" si="1"/>
        <v>14.157707347119949</v>
      </c>
      <c r="AQ41" s="684">
        <v>4</v>
      </c>
      <c r="AR41" s="679">
        <v>2.7310272233608659</v>
      </c>
      <c r="AS41" s="690">
        <f t="shared" si="2"/>
        <v>27.310272233608657</v>
      </c>
      <c r="BB41" s="684">
        <v>4</v>
      </c>
      <c r="BC41" s="679">
        <v>-9.5686504933702565E-2</v>
      </c>
      <c r="BD41" s="690">
        <f t="shared" si="3"/>
        <v>-0.95686504933702565</v>
      </c>
      <c r="BQ41" s="687">
        <v>0</v>
      </c>
    </row>
    <row r="42" spans="1:69">
      <c r="A42" s="299">
        <v>41602</v>
      </c>
      <c r="B42" s="282">
        <v>7</v>
      </c>
      <c r="C42" s="687">
        <v>0</v>
      </c>
      <c r="D42" s="689">
        <f t="shared" si="0"/>
        <v>7</v>
      </c>
      <c r="E42" s="266">
        <v>1.9673231540970932</v>
      </c>
      <c r="F42" s="679">
        <v>2.0564767384894242</v>
      </c>
      <c r="G42" s="161">
        <v>3.1047231540970941</v>
      </c>
      <c r="H42" s="679">
        <v>1.5118078168765059</v>
      </c>
      <c r="I42" s="161">
        <v>3.5806231540970943</v>
      </c>
      <c r="J42" s="679">
        <v>2.8757220906537446</v>
      </c>
      <c r="K42" s="161">
        <v>3.0159231540970928</v>
      </c>
      <c r="L42" s="291">
        <v>-0.55699775531487106</v>
      </c>
      <c r="M42" s="291"/>
      <c r="N42" s="291"/>
      <c r="O42" s="679">
        <v>2.0564767384894242</v>
      </c>
      <c r="P42" s="679">
        <v>1.5118078168765059</v>
      </c>
      <c r="Q42" s="679">
        <v>2.8757220906537446</v>
      </c>
      <c r="R42" s="679">
        <v>-0.55699775531487106</v>
      </c>
      <c r="T42" s="684">
        <v>4</v>
      </c>
      <c r="U42" s="679">
        <v>0.23280580405790197</v>
      </c>
      <c r="V42" s="679">
        <f t="shared" si="4"/>
        <v>2.3280580405790197</v>
      </c>
      <c r="W42" s="679">
        <v>2.0564767384894242</v>
      </c>
      <c r="AE42" s="689">
        <v>4</v>
      </c>
      <c r="AF42" s="679">
        <v>2.8650014306715588</v>
      </c>
      <c r="AG42" s="690">
        <f t="shared" si="1"/>
        <v>28.650014306715587</v>
      </c>
      <c r="AQ42" s="684">
        <v>4</v>
      </c>
      <c r="AR42" s="679">
        <v>0.580328799386439</v>
      </c>
      <c r="AS42" s="690">
        <f t="shared" si="2"/>
        <v>5.80328799386439</v>
      </c>
      <c r="BB42" s="684">
        <v>4</v>
      </c>
      <c r="BC42" s="679">
        <v>0.94155290821139204</v>
      </c>
      <c r="BD42" s="690">
        <f t="shared" si="3"/>
        <v>9.4155290821139204</v>
      </c>
      <c r="BQ42" s="688">
        <v>0</v>
      </c>
    </row>
    <row r="43" spans="1:69">
      <c r="A43" s="299">
        <v>41603</v>
      </c>
      <c r="B43" s="282">
        <v>8</v>
      </c>
      <c r="C43" s="687">
        <v>0</v>
      </c>
      <c r="D43" s="689">
        <f t="shared" si="0"/>
        <v>8</v>
      </c>
      <c r="E43" s="266">
        <v>1.919013953762152</v>
      </c>
      <c r="F43" s="679">
        <v>2.4721938495631433</v>
      </c>
      <c r="G43" s="161">
        <v>3.081513953762153</v>
      </c>
      <c r="H43" s="679">
        <v>1.9693946521314181</v>
      </c>
      <c r="I43" s="161">
        <v>3.5398139537621534</v>
      </c>
      <c r="J43" s="679">
        <v>2.4897078554911189</v>
      </c>
      <c r="K43" s="161">
        <v>2.9912139537621534</v>
      </c>
      <c r="L43" s="291">
        <v>-0.58996450647456555</v>
      </c>
      <c r="M43" s="291"/>
      <c r="N43" s="291"/>
      <c r="O43" s="679">
        <v>2.4721938495631433</v>
      </c>
      <c r="P43" s="679">
        <v>1.9693946521314181</v>
      </c>
      <c r="Q43" s="679">
        <v>2.4897078554911189</v>
      </c>
      <c r="R43" s="679">
        <v>-0.58996450647456555</v>
      </c>
      <c r="T43" s="684">
        <v>4</v>
      </c>
      <c r="U43" s="679">
        <v>-1.3251543685711176</v>
      </c>
      <c r="V43" s="679">
        <f t="shared" si="4"/>
        <v>-13.251543685711177</v>
      </c>
      <c r="W43" s="679">
        <v>2.4721938495631433</v>
      </c>
      <c r="AE43" s="689">
        <v>4</v>
      </c>
      <c r="AF43" s="679">
        <v>1.3784950405007756</v>
      </c>
      <c r="AG43" s="690">
        <f t="shared" si="1"/>
        <v>13.784950405007756</v>
      </c>
      <c r="AQ43" s="684">
        <v>4</v>
      </c>
      <c r="AR43" s="679">
        <v>-1.3943928251726381</v>
      </c>
      <c r="AS43" s="690">
        <f t="shared" si="2"/>
        <v>-13.94392825172638</v>
      </c>
      <c r="BB43" s="684">
        <v>4</v>
      </c>
      <c r="BC43" s="679">
        <v>-2.2781676565297966</v>
      </c>
      <c r="BD43" s="690">
        <f t="shared" si="3"/>
        <v>-22.781676565297964</v>
      </c>
      <c r="BQ43" s="687">
        <v>0</v>
      </c>
    </row>
    <row r="44" spans="1:69">
      <c r="A44" s="299">
        <v>41604</v>
      </c>
      <c r="B44" s="282">
        <v>9</v>
      </c>
      <c r="C44" s="687">
        <v>0</v>
      </c>
      <c r="D44" s="689">
        <f t="shared" si="0"/>
        <v>9</v>
      </c>
      <c r="E44" s="266">
        <v>1.8739722295991847</v>
      </c>
      <c r="F44" s="679">
        <v>1.1410251786160979</v>
      </c>
      <c r="G44" s="161">
        <v>3.0538722295991843</v>
      </c>
      <c r="H44" s="679">
        <v>1.5696777496614087</v>
      </c>
      <c r="I44" s="161">
        <v>3.5004722295991852</v>
      </c>
      <c r="J44" s="679">
        <v>1.7566663861910565</v>
      </c>
      <c r="K44" s="161">
        <v>2.9665722295991848</v>
      </c>
      <c r="L44" s="291">
        <v>-0.35767398137029938</v>
      </c>
      <c r="M44" s="291"/>
      <c r="N44" s="291"/>
      <c r="O44" s="679">
        <v>1.1410251786160979</v>
      </c>
      <c r="P44" s="679">
        <v>1.5696777496614087</v>
      </c>
      <c r="Q44" s="679">
        <v>1.7566663861910565</v>
      </c>
      <c r="R44" s="679">
        <v>-0.35767398137029938</v>
      </c>
      <c r="T44" s="684">
        <v>5</v>
      </c>
      <c r="U44" s="679">
        <v>0.913093895886675</v>
      </c>
      <c r="V44" s="679">
        <f t="shared" si="4"/>
        <v>9.13093895886675</v>
      </c>
      <c r="W44" s="679">
        <v>1.1410251786160979</v>
      </c>
      <c r="AE44" s="689">
        <v>5</v>
      </c>
      <c r="AF44" s="679">
        <v>1.6261073777602995</v>
      </c>
      <c r="AG44" s="690">
        <f t="shared" si="1"/>
        <v>16.261073777602995</v>
      </c>
      <c r="AQ44" s="684">
        <v>5</v>
      </c>
      <c r="AR44" s="679">
        <v>2.7474285785189858</v>
      </c>
      <c r="AS44" s="690">
        <f t="shared" si="2"/>
        <v>27.474285785189856</v>
      </c>
      <c r="BB44" s="684">
        <v>5</v>
      </c>
      <c r="BC44" s="679">
        <v>-1.0651381288299109</v>
      </c>
      <c r="BD44" s="690">
        <f t="shared" si="3"/>
        <v>-10.65138128829911</v>
      </c>
      <c r="BQ44" s="686">
        <v>0</v>
      </c>
    </row>
    <row r="45" spans="1:69">
      <c r="A45" s="299">
        <v>41605</v>
      </c>
      <c r="B45" s="282">
        <v>10</v>
      </c>
      <c r="C45" s="687">
        <v>0</v>
      </c>
      <c r="D45" s="689">
        <f t="shared" si="0"/>
        <v>10</v>
      </c>
      <c r="E45" s="266">
        <v>1.8367587306052831</v>
      </c>
      <c r="F45" s="679">
        <v>1.4178522630184323</v>
      </c>
      <c r="G45" s="161">
        <v>3.0250587306052825</v>
      </c>
      <c r="H45" s="679">
        <v>2.2403702987116967</v>
      </c>
      <c r="I45" s="161">
        <v>3.4643587306052828</v>
      </c>
      <c r="J45" s="679">
        <v>2.319710623450967</v>
      </c>
      <c r="K45" s="161">
        <v>2.9412587306052838</v>
      </c>
      <c r="L45" s="291">
        <v>-0.45512925890862688</v>
      </c>
      <c r="M45" s="291"/>
      <c r="N45" s="291"/>
      <c r="O45" s="679">
        <v>1.4178522630184323</v>
      </c>
      <c r="P45" s="679">
        <v>2.2403702987116967</v>
      </c>
      <c r="Q45" s="679">
        <v>2.319710623450967</v>
      </c>
      <c r="R45" s="679">
        <v>-0.45512925890862688</v>
      </c>
      <c r="T45" s="684">
        <v>5</v>
      </c>
      <c r="U45" s="679">
        <v>1.2128302897433327</v>
      </c>
      <c r="V45" s="679">
        <f t="shared" si="4"/>
        <v>12.128302897433327</v>
      </c>
      <c r="W45" s="679">
        <v>1.4178522630184323</v>
      </c>
      <c r="AE45" s="689">
        <v>5</v>
      </c>
      <c r="AF45" s="679">
        <v>1.3393556730952001</v>
      </c>
      <c r="AG45" s="690">
        <f t="shared" si="1"/>
        <v>13.393556730952001</v>
      </c>
      <c r="AQ45" s="684">
        <v>5</v>
      </c>
      <c r="AR45" s="679">
        <v>2.4177093906381546</v>
      </c>
      <c r="AS45" s="690">
        <f t="shared" si="2"/>
        <v>24.177093906381547</v>
      </c>
      <c r="BB45" s="684">
        <v>5</v>
      </c>
      <c r="BC45" s="679">
        <v>-0.56831329959123922</v>
      </c>
      <c r="BD45" s="690">
        <f t="shared" si="3"/>
        <v>-5.6831329959123922</v>
      </c>
      <c r="BQ45" s="687">
        <v>0</v>
      </c>
    </row>
    <row r="46" spans="1:69">
      <c r="A46" s="299">
        <v>41606</v>
      </c>
      <c r="B46" s="282">
        <v>11</v>
      </c>
      <c r="C46" s="687">
        <v>0</v>
      </c>
      <c r="D46" s="689">
        <f t="shared" si="0"/>
        <v>11</v>
      </c>
      <c r="E46" s="266">
        <v>1.7994634391078965</v>
      </c>
      <c r="F46" s="679">
        <v>0.80350280149195719</v>
      </c>
      <c r="G46" s="161">
        <v>2.9966634391078966</v>
      </c>
      <c r="H46" s="679">
        <v>1.7403141789377914</v>
      </c>
      <c r="I46" s="161">
        <v>3.4180634391078977</v>
      </c>
      <c r="J46" s="679">
        <v>2.3794553762568071</v>
      </c>
      <c r="K46" s="161">
        <v>2.9136634391078959</v>
      </c>
      <c r="L46" s="291">
        <v>-0.37774367011921406</v>
      </c>
      <c r="M46" s="291"/>
      <c r="N46" s="291"/>
      <c r="O46" s="679">
        <v>0.80350280149195719</v>
      </c>
      <c r="P46" s="679">
        <v>1.7403141789377914</v>
      </c>
      <c r="Q46" s="679">
        <v>2.3794553762568071</v>
      </c>
      <c r="R46" s="679">
        <v>-0.37774367011921406</v>
      </c>
      <c r="T46" s="684">
        <v>5</v>
      </c>
      <c r="U46" s="679">
        <v>2.7853442590257771</v>
      </c>
      <c r="V46" s="679">
        <f t="shared" si="4"/>
        <v>27.853442590257771</v>
      </c>
      <c r="W46" s="679">
        <v>0.80350280149195719</v>
      </c>
      <c r="AE46" s="689">
        <v>5</v>
      </c>
      <c r="AF46" s="679">
        <v>1.5417711041648789</v>
      </c>
      <c r="AG46" s="690">
        <f t="shared" si="1"/>
        <v>15.41771104164879</v>
      </c>
      <c r="AQ46" s="684">
        <v>5</v>
      </c>
      <c r="AR46" s="679">
        <v>2.4868161403737918</v>
      </c>
      <c r="AS46" s="690">
        <f t="shared" si="2"/>
        <v>24.868161403737918</v>
      </c>
      <c r="BB46" s="684">
        <v>5</v>
      </c>
      <c r="BC46" s="679">
        <v>-0.31456925909300182</v>
      </c>
      <c r="BD46" s="690">
        <f t="shared" si="3"/>
        <v>-3.1456925909300182</v>
      </c>
      <c r="BQ46" s="687">
        <v>0</v>
      </c>
    </row>
    <row r="47" spans="1:69">
      <c r="A47" s="299">
        <v>41607</v>
      </c>
      <c r="B47" s="282">
        <v>12</v>
      </c>
      <c r="C47" s="687">
        <v>0</v>
      </c>
      <c r="D47" s="689">
        <f t="shared" si="0"/>
        <v>12</v>
      </c>
      <c r="E47" s="266">
        <v>1.7632726488416055</v>
      </c>
      <c r="F47" s="679">
        <v>1.0393431137677616</v>
      </c>
      <c r="G47" s="161">
        <v>2.9721726488416049</v>
      </c>
      <c r="H47" s="679">
        <v>1.3784950405007756</v>
      </c>
      <c r="I47" s="161">
        <v>3.3739726488416055</v>
      </c>
      <c r="J47" s="679">
        <v>1.7914244224558209</v>
      </c>
      <c r="K47" s="161">
        <v>2.8870726488416056</v>
      </c>
      <c r="L47" s="291">
        <v>-0.1115077677420091</v>
      </c>
      <c r="M47" s="291"/>
      <c r="N47" s="291"/>
      <c r="O47" s="679">
        <v>1.0393431137677616</v>
      </c>
      <c r="P47" s="679">
        <v>1.3784950405007756</v>
      </c>
      <c r="Q47" s="679">
        <v>1.7914244224558209</v>
      </c>
      <c r="R47" s="679">
        <v>-0.1115077677420091</v>
      </c>
      <c r="T47" s="684">
        <v>5</v>
      </c>
      <c r="U47" s="679">
        <v>-2.5770297340586223</v>
      </c>
      <c r="V47" s="679">
        <f t="shared" si="4"/>
        <v>-25.770297340586225</v>
      </c>
      <c r="W47" s="679">
        <v>1.0393431137677616</v>
      </c>
      <c r="AE47" s="689">
        <v>5</v>
      </c>
      <c r="AF47" s="679">
        <v>1.1461027322692969</v>
      </c>
      <c r="AG47" s="690">
        <f t="shared" si="1"/>
        <v>11.461027322692969</v>
      </c>
      <c r="AQ47" s="684">
        <v>5</v>
      </c>
      <c r="AR47" s="679">
        <v>-3.5079443078957273</v>
      </c>
      <c r="AS47" s="690">
        <f t="shared" si="2"/>
        <v>-35.079443078957276</v>
      </c>
      <c r="BB47" s="684">
        <v>5</v>
      </c>
      <c r="BC47" s="679">
        <v>-5.0349999742444318</v>
      </c>
      <c r="BD47" s="690">
        <f t="shared" si="3"/>
        <v>-50.349999742444318</v>
      </c>
      <c r="BQ47" s="687">
        <v>0</v>
      </c>
    </row>
    <row r="48" spans="1:69">
      <c r="A48" s="299">
        <v>41608</v>
      </c>
      <c r="B48" s="282">
        <v>0</v>
      </c>
      <c r="C48" s="686">
        <v>0.55000000000000004</v>
      </c>
      <c r="D48" s="689">
        <f t="shared" si="0"/>
        <v>13</v>
      </c>
      <c r="E48" s="266">
        <v>1.7149452480592271</v>
      </c>
      <c r="F48" s="679">
        <v>1.7035418375885922</v>
      </c>
      <c r="G48" s="161">
        <v>2.9501452480592274</v>
      </c>
      <c r="H48" s="679">
        <v>1.7640568089139417</v>
      </c>
      <c r="I48" s="161">
        <v>3.339745248059228</v>
      </c>
      <c r="J48" s="679">
        <v>0.98402266473139122</v>
      </c>
      <c r="K48" s="161">
        <v>2.8603452480592284</v>
      </c>
      <c r="L48" s="297">
        <v>-8.9943979492929316E-2</v>
      </c>
      <c r="M48" s="297"/>
      <c r="N48" s="297"/>
      <c r="O48" s="679">
        <v>1.7035418375885922</v>
      </c>
      <c r="P48" s="679">
        <v>1.7640568089139417</v>
      </c>
      <c r="Q48" s="679">
        <v>0.98402266473139122</v>
      </c>
      <c r="R48" s="679">
        <v>-8.9943979492929316E-2</v>
      </c>
      <c r="T48" s="684">
        <v>6</v>
      </c>
      <c r="U48" s="679">
        <v>0.93359198423635403</v>
      </c>
      <c r="V48" s="679">
        <f t="shared" si="4"/>
        <v>9.3359198423635412</v>
      </c>
      <c r="W48" s="679">
        <v>1.7035418375885922</v>
      </c>
      <c r="AE48" s="689">
        <v>6</v>
      </c>
      <c r="AF48" s="679">
        <v>-6.3876311921194677</v>
      </c>
      <c r="AG48" s="690">
        <f t="shared" si="1"/>
        <v>-63.876311921194677</v>
      </c>
      <c r="AQ48" s="684">
        <v>6</v>
      </c>
      <c r="AR48" s="679">
        <v>3.9255544551259103</v>
      </c>
      <c r="AS48" s="690">
        <f t="shared" si="2"/>
        <v>39.255544551259106</v>
      </c>
      <c r="BB48" s="684">
        <v>6</v>
      </c>
      <c r="BC48" s="679">
        <v>-0.59892787746201748</v>
      </c>
      <c r="BD48" s="690">
        <f t="shared" si="3"/>
        <v>-5.9892787746201748</v>
      </c>
      <c r="BQ48" s="687">
        <v>0</v>
      </c>
    </row>
    <row r="49" spans="1:69">
      <c r="A49" s="299">
        <v>41609</v>
      </c>
      <c r="B49" s="282">
        <v>0</v>
      </c>
      <c r="C49" s="686">
        <v>2.4500000000000002</v>
      </c>
      <c r="D49" s="689">
        <f t="shared" si="0"/>
        <v>0</v>
      </c>
      <c r="E49" s="266">
        <v>1.6719742858665225</v>
      </c>
      <c r="F49" s="679">
        <v>1.058943944663802</v>
      </c>
      <c r="G49" s="161">
        <v>2.9242742858665238</v>
      </c>
      <c r="H49" s="679">
        <v>1.4801596817324467</v>
      </c>
      <c r="I49" s="161">
        <v>3.3122742858665228</v>
      </c>
      <c r="J49" s="679">
        <v>1.9122669059671247</v>
      </c>
      <c r="K49" s="161">
        <v>2.8344742858665231</v>
      </c>
      <c r="L49" s="297">
        <v>0.18924768096589073</v>
      </c>
      <c r="M49" s="297"/>
      <c r="N49" s="297"/>
      <c r="O49" s="679">
        <v>1.058943944663802</v>
      </c>
      <c r="P49" s="679">
        <v>1.4801596817324467</v>
      </c>
      <c r="Q49" s="679">
        <v>1.9122669059671247</v>
      </c>
      <c r="R49" s="679">
        <v>0.18924768096589073</v>
      </c>
      <c r="T49" s="684">
        <v>6</v>
      </c>
      <c r="U49" s="679">
        <v>1.0866267822689588</v>
      </c>
      <c r="V49" s="679">
        <f t="shared" si="4"/>
        <v>10.866267822689588</v>
      </c>
      <c r="W49" s="679">
        <v>1.058943944663802</v>
      </c>
      <c r="AE49" s="689">
        <v>6</v>
      </c>
      <c r="AF49" s="679">
        <v>1.0750730717676156</v>
      </c>
      <c r="AG49" s="690">
        <f t="shared" si="1"/>
        <v>10.750730717676156</v>
      </c>
      <c r="AQ49" s="684">
        <v>6</v>
      </c>
      <c r="AR49" s="679">
        <v>2.4786486742017049</v>
      </c>
      <c r="AS49" s="690">
        <f t="shared" si="2"/>
        <v>24.786486742017047</v>
      </c>
      <c r="BB49" s="684">
        <v>6</v>
      </c>
      <c r="BC49" s="679">
        <v>0.41839054688435162</v>
      </c>
      <c r="BD49" s="690">
        <f t="shared" si="3"/>
        <v>4.1839054688435162</v>
      </c>
      <c r="BQ49" s="687">
        <v>0</v>
      </c>
    </row>
    <row r="50" spans="1:69">
      <c r="A50" s="299">
        <v>41610</v>
      </c>
      <c r="B50" s="282">
        <v>0</v>
      </c>
      <c r="C50" s="686">
        <v>15.1</v>
      </c>
      <c r="D50" s="689">
        <f t="shared" si="0"/>
        <v>0</v>
      </c>
      <c r="E50" s="266">
        <v>1.638650769200066</v>
      </c>
      <c r="F50" s="679">
        <v>1.1789106461244563</v>
      </c>
      <c r="G50" s="161">
        <v>2.9012507692000664</v>
      </c>
      <c r="H50" s="679">
        <v>1.6569906762648505</v>
      </c>
      <c r="I50" s="161">
        <v>3.2755507692000672</v>
      </c>
      <c r="J50" s="679">
        <v>2.0103522813567229</v>
      </c>
      <c r="K50" s="161">
        <v>2.808250769200066</v>
      </c>
      <c r="L50" s="297">
        <v>1.1754038743129986</v>
      </c>
      <c r="M50" s="297"/>
      <c r="N50" s="297"/>
      <c r="O50" s="679">
        <v>1.1789106461244563</v>
      </c>
      <c r="P50" s="679">
        <v>1.6569906762648505</v>
      </c>
      <c r="Q50" s="679">
        <v>2.0103522813567229</v>
      </c>
      <c r="R50" s="679">
        <v>1.1754038743129986</v>
      </c>
      <c r="T50" s="684">
        <v>6</v>
      </c>
      <c r="U50" s="679">
        <v>1.9248494432963237</v>
      </c>
      <c r="V50" s="679">
        <f t="shared" si="4"/>
        <v>19.248494432963238</v>
      </c>
      <c r="W50" s="679">
        <v>1.1789106461244563</v>
      </c>
      <c r="AE50" s="689">
        <v>6</v>
      </c>
      <c r="AF50" s="679">
        <v>2.1155167385857636</v>
      </c>
      <c r="AG50" s="690">
        <f t="shared" si="1"/>
        <v>21.155167385857638</v>
      </c>
      <c r="AQ50" s="684">
        <v>6</v>
      </c>
      <c r="AR50" s="679">
        <v>2.5163349535879447</v>
      </c>
      <c r="AS50" s="690">
        <f t="shared" si="2"/>
        <v>25.163349535879448</v>
      </c>
      <c r="BB50" s="684">
        <v>6</v>
      </c>
      <c r="BC50" s="679">
        <v>-0.3020030762041106</v>
      </c>
      <c r="BD50" s="690">
        <f t="shared" si="3"/>
        <v>-3.020030762041106</v>
      </c>
      <c r="BQ50" s="687">
        <v>0</v>
      </c>
    </row>
    <row r="51" spans="1:69">
      <c r="A51" s="299">
        <v>41611</v>
      </c>
      <c r="B51" s="282">
        <v>0</v>
      </c>
      <c r="C51" s="686">
        <v>1.95</v>
      </c>
      <c r="D51" s="689">
        <f t="shared" si="0"/>
        <v>0</v>
      </c>
      <c r="E51" s="266">
        <v>1.6298924910133441</v>
      </c>
      <c r="F51" s="679">
        <v>1.6232786163299595</v>
      </c>
      <c r="G51" s="161">
        <v>2.8964924910133441</v>
      </c>
      <c r="H51" s="679">
        <v>1.4475908850453725</v>
      </c>
      <c r="I51" s="161">
        <v>3.2615924910133449</v>
      </c>
      <c r="J51" s="679">
        <v>1.1842903438868602</v>
      </c>
      <c r="K51" s="161">
        <v>2.797992491013344</v>
      </c>
      <c r="L51" s="297">
        <v>0.37484086430000274</v>
      </c>
      <c r="M51" s="297"/>
      <c r="N51" s="297"/>
      <c r="O51" s="679">
        <v>1.6232786163299595</v>
      </c>
      <c r="P51" s="679">
        <v>1.4475908850453725</v>
      </c>
      <c r="Q51" s="679">
        <v>1.1842903438868602</v>
      </c>
      <c r="R51" s="679">
        <v>0.37484086430000274</v>
      </c>
      <c r="T51" s="684">
        <v>6</v>
      </c>
      <c r="U51" s="679">
        <v>0.92055386043178222</v>
      </c>
      <c r="V51" s="679">
        <f t="shared" si="4"/>
        <v>9.2055386043178231</v>
      </c>
      <c r="W51" s="679">
        <v>1.6232786163299595</v>
      </c>
      <c r="AE51" s="689">
        <v>6</v>
      </c>
      <c r="AF51" s="679">
        <v>1.7640568089139417</v>
      </c>
      <c r="AG51" s="690">
        <f t="shared" si="1"/>
        <v>17.640568089139418</v>
      </c>
      <c r="AQ51" s="684">
        <v>6</v>
      </c>
      <c r="AR51" s="679">
        <v>-0.35594380909003265</v>
      </c>
      <c r="AS51" s="690">
        <f t="shared" si="2"/>
        <v>-3.5594380909003265</v>
      </c>
      <c r="BB51" s="684">
        <v>6</v>
      </c>
      <c r="BC51" s="679">
        <v>-0.49042285873313674</v>
      </c>
      <c r="BD51" s="690">
        <f t="shared" si="3"/>
        <v>-4.9042285873313674</v>
      </c>
      <c r="BQ51" s="687">
        <v>0</v>
      </c>
    </row>
    <row r="52" spans="1:69">
      <c r="A52" s="299">
        <v>41612</v>
      </c>
      <c r="B52" s="282">
        <v>1</v>
      </c>
      <c r="C52" s="687">
        <v>0</v>
      </c>
      <c r="D52" s="689">
        <f t="shared" si="0"/>
        <v>1</v>
      </c>
      <c r="E52" s="266">
        <v>1.5979663033140761</v>
      </c>
      <c r="F52" s="679">
        <v>0.8999968063649697</v>
      </c>
      <c r="G52" s="161">
        <v>2.8756663033140768</v>
      </c>
      <c r="H52" s="679">
        <v>1.3393556730952001</v>
      </c>
      <c r="I52" s="161">
        <v>3.2337663033140762</v>
      </c>
      <c r="J52" s="679">
        <v>0.53413838918235657</v>
      </c>
      <c r="K52" s="161">
        <v>2.7761663033140755</v>
      </c>
      <c r="L52" s="291">
        <v>4.3422390507913633E-2</v>
      </c>
      <c r="M52" s="291"/>
      <c r="N52" s="291"/>
      <c r="O52" s="679">
        <v>0.8999968063649697</v>
      </c>
      <c r="P52" s="679">
        <v>1.3393556730952001</v>
      </c>
      <c r="Q52" s="679">
        <v>0.53413838918235657</v>
      </c>
      <c r="R52" s="679">
        <v>4.3422390507913633E-2</v>
      </c>
      <c r="T52" s="684">
        <v>7</v>
      </c>
      <c r="U52" s="679">
        <v>1.2573000756535802</v>
      </c>
      <c r="V52" s="679">
        <f t="shared" si="4"/>
        <v>12.573000756535802</v>
      </c>
      <c r="W52" s="679">
        <v>0.8999968063649697</v>
      </c>
      <c r="AE52" s="689">
        <v>7</v>
      </c>
      <c r="AF52" s="679">
        <v>1.4801596817324467</v>
      </c>
      <c r="AG52" s="690">
        <f t="shared" si="1"/>
        <v>14.801596817324468</v>
      </c>
      <c r="AQ52" s="684">
        <v>7</v>
      </c>
      <c r="AR52" s="679">
        <v>3.4074644537712255</v>
      </c>
      <c r="AS52" s="690">
        <f t="shared" si="2"/>
        <v>34.074644537712253</v>
      </c>
      <c r="BB52" s="684">
        <v>7</v>
      </c>
      <c r="BC52" s="679">
        <v>-0.18437699289918186</v>
      </c>
      <c r="BD52" s="690">
        <f t="shared" si="3"/>
        <v>-1.8437699289918186</v>
      </c>
      <c r="BQ52" s="687">
        <v>0</v>
      </c>
    </row>
    <row r="53" spans="1:69">
      <c r="A53" s="299">
        <v>41613</v>
      </c>
      <c r="B53" s="282">
        <v>2</v>
      </c>
      <c r="C53" s="687">
        <v>0</v>
      </c>
      <c r="D53" s="689">
        <f t="shared" si="0"/>
        <v>2</v>
      </c>
      <c r="E53" s="266">
        <v>1.567169367742697</v>
      </c>
      <c r="F53" s="679">
        <v>1.0554734185815757</v>
      </c>
      <c r="G53" s="161">
        <v>2.8481693677426971</v>
      </c>
      <c r="H53" s="679">
        <v>1.8910806892071095</v>
      </c>
      <c r="I53" s="161">
        <v>3.2027693677426976</v>
      </c>
      <c r="J53" s="679">
        <v>1.1272754696107126</v>
      </c>
      <c r="K53" s="161">
        <v>2.7505693677426968</v>
      </c>
      <c r="L53" s="291">
        <v>-0.51649129679547023</v>
      </c>
      <c r="M53" s="291"/>
      <c r="N53" s="291"/>
      <c r="O53" s="679">
        <v>1.0554734185815757</v>
      </c>
      <c r="P53" s="679">
        <v>1.8910806892071095</v>
      </c>
      <c r="Q53" s="679">
        <v>1.1272754696107126</v>
      </c>
      <c r="R53" s="679">
        <v>-0.51649129679547023</v>
      </c>
      <c r="T53" s="684">
        <v>7</v>
      </c>
      <c r="U53" s="679">
        <v>1.1469914943837574</v>
      </c>
      <c r="V53" s="679">
        <f t="shared" si="4"/>
        <v>11.469914943837573</v>
      </c>
      <c r="W53" s="679">
        <v>1.0554734185815757</v>
      </c>
      <c r="AE53" s="689">
        <v>7</v>
      </c>
      <c r="AF53" s="679">
        <v>1.3068606978510799</v>
      </c>
      <c r="AG53" s="690">
        <f t="shared" si="1"/>
        <v>13.0686069785108</v>
      </c>
      <c r="AQ53" s="684">
        <v>7</v>
      </c>
      <c r="AR53" s="679">
        <v>1.9248509521759751</v>
      </c>
      <c r="AS53" s="690">
        <f t="shared" si="2"/>
        <v>19.24850952175975</v>
      </c>
      <c r="BB53" s="684">
        <v>7</v>
      </c>
      <c r="BC53" s="679">
        <v>-1.1686428406674434</v>
      </c>
      <c r="BD53" s="690">
        <f t="shared" si="3"/>
        <v>-11.686428406674434</v>
      </c>
      <c r="BQ53" s="687">
        <v>0</v>
      </c>
    </row>
    <row r="54" spans="1:69">
      <c r="A54" s="299">
        <v>41614</v>
      </c>
      <c r="B54" s="282">
        <v>3</v>
      </c>
      <c r="C54" s="687">
        <v>0</v>
      </c>
      <c r="D54" s="689">
        <f t="shared" si="0"/>
        <v>3</v>
      </c>
      <c r="E54" s="266">
        <v>1.5350550443621054</v>
      </c>
      <c r="F54" s="679">
        <v>0.67966510994523821</v>
      </c>
      <c r="G54" s="161">
        <v>2.8178550443621067</v>
      </c>
      <c r="H54" s="679">
        <v>1.7955597399709995</v>
      </c>
      <c r="I54" s="161">
        <v>3.1658550443621065</v>
      </c>
      <c r="J54" s="679">
        <v>1.5340212544321057</v>
      </c>
      <c r="K54" s="161">
        <v>2.7202550443621063</v>
      </c>
      <c r="L54" s="291">
        <v>0.63153638159846492</v>
      </c>
      <c r="M54" s="291"/>
      <c r="N54" s="291"/>
      <c r="O54" s="679">
        <v>0.67966510994523821</v>
      </c>
      <c r="P54" s="679">
        <v>1.7955597399709995</v>
      </c>
      <c r="Q54" s="679">
        <v>1.5340212544321057</v>
      </c>
      <c r="R54" s="679">
        <v>0.63153638159846492</v>
      </c>
      <c r="T54" s="684">
        <v>7</v>
      </c>
      <c r="U54" s="679">
        <v>2.0564767384894242</v>
      </c>
      <c r="V54" s="679">
        <f t="shared" si="4"/>
        <v>20.564767384894242</v>
      </c>
      <c r="W54" s="679">
        <v>0.67966510994523821</v>
      </c>
      <c r="AE54" s="689">
        <v>7</v>
      </c>
      <c r="AF54" s="679">
        <v>0.54089600162749174</v>
      </c>
      <c r="AG54" s="690">
        <f t="shared" si="1"/>
        <v>5.4089600162749178</v>
      </c>
      <c r="AQ54" s="684">
        <v>7</v>
      </c>
      <c r="AR54" s="679">
        <v>2.8757220906537446</v>
      </c>
      <c r="AS54" s="690">
        <f t="shared" si="2"/>
        <v>28.757220906537448</v>
      </c>
      <c r="BB54" s="684">
        <v>7</v>
      </c>
      <c r="BC54" s="679">
        <v>-0.55699775531487106</v>
      </c>
      <c r="BD54" s="690">
        <f t="shared" si="3"/>
        <v>-5.5699775531487106</v>
      </c>
      <c r="BQ54" s="687">
        <v>0</v>
      </c>
    </row>
    <row r="55" spans="1:69">
      <c r="A55" s="299">
        <v>41615</v>
      </c>
      <c r="B55" s="282">
        <v>4</v>
      </c>
      <c r="C55" s="687">
        <v>0</v>
      </c>
      <c r="D55" s="689">
        <f t="shared" si="0"/>
        <v>4</v>
      </c>
      <c r="E55" s="266">
        <v>1.5037257992832953</v>
      </c>
      <c r="F55" s="679">
        <v>0.23280580405790197</v>
      </c>
      <c r="G55" s="161">
        <v>2.7797257992832947</v>
      </c>
      <c r="H55" s="679">
        <v>2.1155167385857636</v>
      </c>
      <c r="I55" s="161">
        <v>3.1260257992832949</v>
      </c>
      <c r="J55" s="679">
        <v>0.580328799386439</v>
      </c>
      <c r="K55" s="161">
        <v>2.6826257992832949</v>
      </c>
      <c r="L55" s="291">
        <v>0.94155290821139204</v>
      </c>
      <c r="M55" s="291"/>
      <c r="N55" s="291"/>
      <c r="O55" s="679">
        <v>0.23280580405790197</v>
      </c>
      <c r="P55" s="679">
        <v>2.1155167385857636</v>
      </c>
      <c r="Q55" s="679">
        <v>0.580328799386439</v>
      </c>
      <c r="R55" s="679">
        <v>0.94155290821139204</v>
      </c>
      <c r="T55" s="684">
        <v>7</v>
      </c>
      <c r="U55" s="679">
        <v>0.87132815394478991</v>
      </c>
      <c r="V55" s="679">
        <f t="shared" si="4"/>
        <v>8.7132815394478982</v>
      </c>
      <c r="W55" s="679">
        <v>0.23280580405790197</v>
      </c>
      <c r="AE55" s="689">
        <v>7</v>
      </c>
      <c r="AF55" s="679">
        <v>1.3107660964389327</v>
      </c>
      <c r="AG55" s="690">
        <f t="shared" si="1"/>
        <v>13.107660964389327</v>
      </c>
      <c r="AQ55" s="684">
        <v>7</v>
      </c>
      <c r="AR55" s="679">
        <v>0.77159145993558065</v>
      </c>
      <c r="AS55" s="690">
        <f t="shared" si="2"/>
        <v>7.7159145993558065</v>
      </c>
      <c r="BB55" s="684">
        <v>7</v>
      </c>
      <c r="BC55" s="679">
        <v>-0.26824852694965351</v>
      </c>
      <c r="BD55" s="690">
        <f t="shared" si="3"/>
        <v>-2.6824852694965351</v>
      </c>
      <c r="BQ55" s="687">
        <v>0</v>
      </c>
    </row>
    <row r="56" spans="1:69">
      <c r="A56" s="299">
        <v>41616</v>
      </c>
      <c r="B56" s="282">
        <v>0</v>
      </c>
      <c r="C56" s="686">
        <v>1.65</v>
      </c>
      <c r="D56" s="689">
        <f t="shared" si="0"/>
        <v>0</v>
      </c>
      <c r="E56" s="266">
        <v>1.4761350043176198</v>
      </c>
      <c r="F56" s="679">
        <v>0.64233232725065381</v>
      </c>
      <c r="G56" s="161">
        <v>2.7452350043176192</v>
      </c>
      <c r="H56" s="679">
        <v>2.2294272675066482</v>
      </c>
      <c r="I56" s="161">
        <v>3.0964350043176188</v>
      </c>
      <c r="J56" s="679">
        <v>0.53204751586813881</v>
      </c>
      <c r="K56" s="161">
        <v>2.6472350043176198</v>
      </c>
      <c r="L56" s="297">
        <v>1.1261992430409951</v>
      </c>
      <c r="M56" s="297"/>
      <c r="N56" s="297"/>
      <c r="O56" s="679">
        <v>0.64233232725065381</v>
      </c>
      <c r="P56" s="679">
        <v>2.2294272675066482</v>
      </c>
      <c r="Q56" s="679">
        <v>0.53204751586813881</v>
      </c>
      <c r="R56" s="679">
        <v>1.1261992430409951</v>
      </c>
      <c r="T56" s="684">
        <v>8</v>
      </c>
      <c r="U56" s="679">
        <v>0.92911168399625987</v>
      </c>
      <c r="V56" s="679">
        <f t="shared" si="4"/>
        <v>9.2911168399625979</v>
      </c>
      <c r="W56" s="679">
        <v>0.64233232725065381</v>
      </c>
      <c r="AE56" s="689">
        <v>8</v>
      </c>
      <c r="AF56" s="679">
        <v>1.6569906762648505</v>
      </c>
      <c r="AG56" s="690">
        <f t="shared" si="1"/>
        <v>16.569906762648504</v>
      </c>
      <c r="AQ56" s="684">
        <v>8</v>
      </c>
      <c r="AR56" s="679">
        <v>1.0890368485660638</v>
      </c>
      <c r="AS56" s="690">
        <f t="shared" si="2"/>
        <v>10.890368485660638</v>
      </c>
      <c r="BB56" s="684">
        <v>8</v>
      </c>
      <c r="BC56" s="679">
        <v>-1.2005924491810163</v>
      </c>
      <c r="BD56" s="690">
        <f t="shared" si="3"/>
        <v>-12.005924491810163</v>
      </c>
      <c r="BQ56" s="687">
        <v>0</v>
      </c>
    </row>
    <row r="57" spans="1:69">
      <c r="A57" s="299">
        <v>41617</v>
      </c>
      <c r="B57" s="290">
        <v>0</v>
      </c>
      <c r="C57" s="686">
        <v>0.1</v>
      </c>
      <c r="D57" s="689">
        <f t="shared" si="0"/>
        <v>1</v>
      </c>
      <c r="E57" s="266">
        <v>1.4483703853027508</v>
      </c>
      <c r="F57" s="679">
        <v>0.62344630833039139</v>
      </c>
      <c r="G57" s="161">
        <v>2.7107703853027498</v>
      </c>
      <c r="H57" s="679">
        <v>2.1866144412357187</v>
      </c>
      <c r="I57" s="161">
        <v>3.0696703853027509</v>
      </c>
      <c r="J57" s="679">
        <v>1.6332581756374496</v>
      </c>
      <c r="K57" s="161">
        <v>2.6114703853027499</v>
      </c>
      <c r="L57" s="297">
        <v>0.89764269989083001</v>
      </c>
      <c r="M57" s="297"/>
      <c r="N57" s="297"/>
      <c r="O57" s="679">
        <v>0.62344630833039139</v>
      </c>
      <c r="P57" s="679">
        <v>2.1866144412357187</v>
      </c>
      <c r="Q57" s="679">
        <v>1.6332581756374496</v>
      </c>
      <c r="R57" s="679">
        <v>0.89764269989083001</v>
      </c>
      <c r="T57" s="684">
        <v>8</v>
      </c>
      <c r="U57" s="679">
        <v>2.4721938495631433</v>
      </c>
      <c r="V57" s="679">
        <f t="shared" si="4"/>
        <v>24.721938495631434</v>
      </c>
      <c r="W57" s="679">
        <v>0.62344630833039139</v>
      </c>
      <c r="AE57" s="689">
        <v>8</v>
      </c>
      <c r="AF57" s="679">
        <v>1.0833188185458038</v>
      </c>
      <c r="AG57" s="690">
        <f t="shared" si="1"/>
        <v>10.833188185458038</v>
      </c>
      <c r="AQ57" s="684">
        <v>8</v>
      </c>
      <c r="AR57" s="679">
        <v>2.4897078554911189</v>
      </c>
      <c r="AS57" s="690">
        <f t="shared" si="2"/>
        <v>24.897078554911189</v>
      </c>
      <c r="BB57" s="684">
        <v>8</v>
      </c>
      <c r="BC57" s="679">
        <v>-0.58996450647456555</v>
      </c>
      <c r="BD57" s="690">
        <f t="shared" si="3"/>
        <v>-5.8996450647456555</v>
      </c>
      <c r="BQ57" s="687">
        <v>0</v>
      </c>
    </row>
    <row r="58" spans="1:69">
      <c r="A58" s="299">
        <v>41618</v>
      </c>
      <c r="B58" s="282">
        <v>0</v>
      </c>
      <c r="C58" s="686">
        <v>0.95</v>
      </c>
      <c r="D58" s="689">
        <f t="shared" si="0"/>
        <v>2</v>
      </c>
      <c r="E58" s="266">
        <v>1.4215358193055381</v>
      </c>
      <c r="F58" s="679">
        <v>0.95809129748864352</v>
      </c>
      <c r="G58" s="161">
        <v>2.6747358193055391</v>
      </c>
      <c r="H58" s="679">
        <v>2.5634788808385451</v>
      </c>
      <c r="I58" s="161">
        <v>3.0310358193055391</v>
      </c>
      <c r="J58" s="679">
        <v>1.4194379491099323</v>
      </c>
      <c r="K58" s="161">
        <v>2.5763358193055388</v>
      </c>
      <c r="L58" s="297">
        <v>1.1287018854340647</v>
      </c>
      <c r="M58" s="297"/>
      <c r="N58" s="297"/>
      <c r="O58" s="679">
        <v>0.95809129748864352</v>
      </c>
      <c r="P58" s="679">
        <v>2.5634788808385451</v>
      </c>
      <c r="Q58" s="679">
        <v>1.4194379491099323</v>
      </c>
      <c r="R58" s="679">
        <v>1.1287018854340647</v>
      </c>
      <c r="T58" s="684">
        <v>8</v>
      </c>
      <c r="U58" s="679">
        <v>0.89640674203299264</v>
      </c>
      <c r="V58" s="679">
        <f t="shared" si="4"/>
        <v>8.9640674203299255</v>
      </c>
      <c r="W58" s="679">
        <v>0.95809129748864352</v>
      </c>
      <c r="AE58" s="689">
        <v>8</v>
      </c>
      <c r="AF58" s="679">
        <v>0.93071386435971459</v>
      </c>
      <c r="AG58" s="690">
        <f t="shared" si="1"/>
        <v>9.3071386435971455</v>
      </c>
      <c r="AQ58" s="684">
        <v>8</v>
      </c>
      <c r="AR58" s="679">
        <v>1.5112910128221571</v>
      </c>
      <c r="AS58" s="690">
        <f t="shared" si="2"/>
        <v>15.112910128221571</v>
      </c>
      <c r="BB58" s="684">
        <v>8</v>
      </c>
      <c r="BC58" s="679">
        <v>0.2357336890413686</v>
      </c>
      <c r="BD58" s="690">
        <f t="shared" si="3"/>
        <v>2.357336890413686</v>
      </c>
      <c r="BQ58" s="687">
        <v>0</v>
      </c>
    </row>
    <row r="59" spans="1:69">
      <c r="A59" s="299">
        <v>41619</v>
      </c>
      <c r="B59" s="290">
        <v>1</v>
      </c>
      <c r="C59" s="687">
        <v>0</v>
      </c>
      <c r="D59" s="689">
        <f t="shared" si="0"/>
        <v>3</v>
      </c>
      <c r="E59" s="266">
        <v>1.394499628031872</v>
      </c>
      <c r="F59" s="679">
        <v>0.75904884507735049</v>
      </c>
      <c r="G59" s="161">
        <v>2.6353996280318732</v>
      </c>
      <c r="H59" s="679">
        <v>2.8650014306715588</v>
      </c>
      <c r="I59" s="161">
        <v>2.9960996280318719</v>
      </c>
      <c r="J59" s="679">
        <v>2.1596694523603741</v>
      </c>
      <c r="K59" s="161">
        <v>2.539699628031872</v>
      </c>
      <c r="L59" s="291">
        <v>1.1547139143188097</v>
      </c>
      <c r="M59" s="291"/>
      <c r="N59" s="291"/>
      <c r="O59" s="679">
        <v>0.75904884507735049</v>
      </c>
      <c r="P59" s="679">
        <v>2.8650014306715588</v>
      </c>
      <c r="Q59" s="679">
        <v>2.1596694523603741</v>
      </c>
      <c r="R59" s="679">
        <v>1.1547139143188097</v>
      </c>
      <c r="T59" s="684">
        <v>9</v>
      </c>
      <c r="U59" s="679">
        <v>0.91881907975527088</v>
      </c>
      <c r="V59" s="679">
        <f t="shared" si="4"/>
        <v>9.1881907975527088</v>
      </c>
      <c r="W59" s="679">
        <v>0.75904884507735049</v>
      </c>
      <c r="AE59" s="689">
        <v>9</v>
      </c>
      <c r="AF59" s="679">
        <v>0.50625285464152303</v>
      </c>
      <c r="AG59" s="690">
        <f t="shared" si="1"/>
        <v>5.0625285464152299</v>
      </c>
      <c r="AQ59" s="684">
        <v>9</v>
      </c>
      <c r="AR59" s="679">
        <v>2.4579943980309591</v>
      </c>
      <c r="AS59" s="690">
        <f t="shared" si="2"/>
        <v>24.57994398030959</v>
      </c>
      <c r="BB59" s="684">
        <v>9</v>
      </c>
      <c r="BC59" s="679">
        <v>-1.3680144254648865</v>
      </c>
      <c r="BD59" s="690">
        <f t="shared" si="3"/>
        <v>-13.680144254648866</v>
      </c>
      <c r="BQ59" s="687">
        <v>0</v>
      </c>
    </row>
    <row r="60" spans="1:69">
      <c r="A60" s="299">
        <v>41620</v>
      </c>
      <c r="B60" s="290">
        <v>2</v>
      </c>
      <c r="C60" s="687">
        <v>0</v>
      </c>
      <c r="D60" s="689">
        <f t="shared" si="0"/>
        <v>4</v>
      </c>
      <c r="E60" s="266">
        <v>1.3708202734430697</v>
      </c>
      <c r="F60" s="679">
        <v>-1.3251543685711176</v>
      </c>
      <c r="G60" s="161">
        <v>2.5918202734430693</v>
      </c>
      <c r="H60" s="679">
        <v>-0.98847688462440475</v>
      </c>
      <c r="I60" s="161">
        <v>2.9535202734430692</v>
      </c>
      <c r="J60" s="679">
        <v>-1.3943928251726381</v>
      </c>
      <c r="K60" s="161">
        <v>2.5019202734430688</v>
      </c>
      <c r="L60" s="291">
        <v>-2.2781676565297966</v>
      </c>
      <c r="M60" s="291"/>
      <c r="N60" s="291"/>
      <c r="O60" s="679">
        <v>-1.3251543685711176</v>
      </c>
      <c r="P60" s="679">
        <v>-0.98847688462440475</v>
      </c>
      <c r="Q60" s="679">
        <v>-1.3943928251726381</v>
      </c>
      <c r="R60" s="679">
        <v>-2.2781676565297966</v>
      </c>
      <c r="T60" s="684">
        <v>9</v>
      </c>
      <c r="U60" s="679">
        <v>1.1410251786160979</v>
      </c>
      <c r="V60" s="679">
        <f t="shared" si="4"/>
        <v>11.410251786160979</v>
      </c>
      <c r="W60" s="679">
        <v>-1.3251543685711176</v>
      </c>
      <c r="AE60" s="689">
        <v>9</v>
      </c>
      <c r="AF60" s="679">
        <v>1.2240004916699454</v>
      </c>
      <c r="AG60" s="690">
        <f t="shared" si="1"/>
        <v>12.240004916699455</v>
      </c>
      <c r="AQ60" s="684">
        <v>9</v>
      </c>
      <c r="AR60" s="679">
        <v>1.7566663861910565</v>
      </c>
      <c r="AS60" s="690">
        <f t="shared" si="2"/>
        <v>17.566663861910566</v>
      </c>
      <c r="BB60" s="684">
        <v>9</v>
      </c>
      <c r="BC60" s="679">
        <v>-0.35767398137029938</v>
      </c>
      <c r="BD60" s="690">
        <f t="shared" si="3"/>
        <v>-3.5767398137029938</v>
      </c>
      <c r="BQ60" s="687">
        <v>0</v>
      </c>
    </row>
    <row r="61" spans="1:69">
      <c r="A61" s="299">
        <v>41621</v>
      </c>
      <c r="B61" s="290">
        <v>3</v>
      </c>
      <c r="C61" s="686">
        <v>0</v>
      </c>
      <c r="D61" s="689">
        <f t="shared" si="0"/>
        <v>5</v>
      </c>
      <c r="E61" s="266">
        <v>1.3670572820543492</v>
      </c>
      <c r="F61" s="679">
        <v>-2.5770297340586223</v>
      </c>
      <c r="G61" s="161">
        <v>2.588757282054349</v>
      </c>
      <c r="H61" s="679">
        <v>-4.597615342329811</v>
      </c>
      <c r="I61" s="161">
        <v>2.9459572820543505</v>
      </c>
      <c r="J61" s="679">
        <v>-3.5079443078957273</v>
      </c>
      <c r="K61" s="161">
        <v>2.4986572820543489</v>
      </c>
      <c r="L61" s="291">
        <v>-5.0349999742444318</v>
      </c>
      <c r="M61" s="291"/>
      <c r="N61" s="291"/>
      <c r="O61" s="679">
        <v>-2.5770297340586223</v>
      </c>
      <c r="P61" s="679">
        <v>-4.597615342329811</v>
      </c>
      <c r="Q61" s="679">
        <v>-3.5079443078957273</v>
      </c>
      <c r="R61" s="679">
        <v>-5.0349999742444318</v>
      </c>
      <c r="T61" s="684">
        <v>9</v>
      </c>
      <c r="U61" s="679">
        <v>0.70789213415719754</v>
      </c>
      <c r="V61" s="679">
        <f t="shared" si="4"/>
        <v>7.0789213415719754</v>
      </c>
      <c r="W61" s="679">
        <v>-2.5770297340586223</v>
      </c>
      <c r="AE61" s="689">
        <v>9</v>
      </c>
      <c r="AF61" s="679">
        <v>1.2231741351618475</v>
      </c>
      <c r="AG61" s="690">
        <f t="shared" si="1"/>
        <v>12.231741351618474</v>
      </c>
      <c r="AQ61" s="684">
        <v>9</v>
      </c>
      <c r="AR61" s="679">
        <v>1.5739227997893952</v>
      </c>
      <c r="AS61" s="690">
        <f t="shared" si="2"/>
        <v>15.739227997893952</v>
      </c>
      <c r="BB61" s="684">
        <v>9</v>
      </c>
      <c r="BC61" s="679">
        <v>9.6746017342390633E-2</v>
      </c>
      <c r="BD61" s="690">
        <f t="shared" si="3"/>
        <v>0.96746017342390633</v>
      </c>
      <c r="BQ61" s="687">
        <v>0</v>
      </c>
    </row>
    <row r="62" spans="1:69">
      <c r="A62" s="299">
        <v>41622</v>
      </c>
      <c r="B62" s="282">
        <v>0</v>
      </c>
      <c r="C62" s="686">
        <v>0.5</v>
      </c>
      <c r="D62" s="689">
        <f t="shared" si="0"/>
        <v>6</v>
      </c>
      <c r="E62" s="266">
        <v>1.3745521919043875</v>
      </c>
      <c r="F62" s="679">
        <v>0.92055386043178222</v>
      </c>
      <c r="G62" s="161">
        <v>2.6219521919043878</v>
      </c>
      <c r="H62" s="679">
        <v>1.1461027322692969</v>
      </c>
      <c r="I62" s="161">
        <v>2.9589521919043884</v>
      </c>
      <c r="J62" s="679">
        <v>-0.35594380909003265</v>
      </c>
      <c r="K62" s="161">
        <v>2.5224521919043883</v>
      </c>
      <c r="L62" s="297">
        <v>-0.49042285873313674</v>
      </c>
      <c r="M62" s="297"/>
      <c r="N62" s="297"/>
      <c r="O62" s="679">
        <v>0.92055386043178222</v>
      </c>
      <c r="P62" s="679">
        <v>1.1461027322692969</v>
      </c>
      <c r="Q62" s="679">
        <v>-0.35594380909003265</v>
      </c>
      <c r="R62" s="679">
        <v>-0.49042285873313674</v>
      </c>
      <c r="T62" s="684">
        <v>10</v>
      </c>
      <c r="U62" s="679">
        <v>1.4178522630184323</v>
      </c>
      <c r="V62" s="679">
        <f t="shared" si="4"/>
        <v>14.178522630184322</v>
      </c>
      <c r="W62" s="679">
        <v>0.92055386043178222</v>
      </c>
      <c r="AE62" s="689">
        <v>10</v>
      </c>
      <c r="AF62" s="679">
        <v>2.2294272675066482</v>
      </c>
      <c r="AG62" s="690">
        <f t="shared" si="1"/>
        <v>22.29427267506648</v>
      </c>
      <c r="AQ62" s="684">
        <v>10</v>
      </c>
      <c r="AR62" s="679">
        <v>2.319710623450967</v>
      </c>
      <c r="AS62" s="690">
        <f t="shared" si="2"/>
        <v>23.197106234509668</v>
      </c>
      <c r="BB62" s="684">
        <v>10</v>
      </c>
      <c r="BC62" s="679">
        <v>-0.45512925890862688</v>
      </c>
      <c r="BD62" s="690">
        <f t="shared" si="3"/>
        <v>-4.5512925890862688</v>
      </c>
      <c r="BQ62" s="687">
        <v>0</v>
      </c>
    </row>
    <row r="63" spans="1:69">
      <c r="A63" s="299">
        <v>41623</v>
      </c>
      <c r="B63" s="282">
        <v>1</v>
      </c>
      <c r="C63" s="687">
        <v>0</v>
      </c>
      <c r="D63" s="689">
        <f t="shared" si="0"/>
        <v>7</v>
      </c>
      <c r="E63" s="266">
        <v>1.3461162032028562</v>
      </c>
      <c r="F63" s="679">
        <v>0.87132815394478991</v>
      </c>
      <c r="G63" s="161">
        <v>2.5973162032028565</v>
      </c>
      <c r="H63" s="679">
        <v>1.3107660964389327</v>
      </c>
      <c r="I63" s="161">
        <v>2.9403162032028556</v>
      </c>
      <c r="J63" s="679">
        <v>0.77159145993558065</v>
      </c>
      <c r="K63" s="161">
        <v>2.500216203202855</v>
      </c>
      <c r="L63" s="291">
        <v>-0.26824852694965351</v>
      </c>
      <c r="M63" s="291"/>
      <c r="N63" s="291"/>
      <c r="O63" s="679">
        <v>0.87132815394478991</v>
      </c>
      <c r="P63" s="679">
        <v>1.3107660964389327</v>
      </c>
      <c r="Q63" s="679">
        <v>0.77159145993558065</v>
      </c>
      <c r="R63" s="679">
        <v>-0.26824852694965351</v>
      </c>
      <c r="T63" s="684">
        <v>10</v>
      </c>
      <c r="U63" s="679">
        <v>0.83642274920172532</v>
      </c>
      <c r="V63" s="679">
        <f t="shared" si="4"/>
        <v>8.3642274920172532</v>
      </c>
      <c r="W63" s="679">
        <v>0.87132815394478991</v>
      </c>
      <c r="AE63" s="689">
        <v>10</v>
      </c>
      <c r="AF63" s="679">
        <v>1.6957201727489404</v>
      </c>
      <c r="AG63" s="690">
        <f t="shared" si="1"/>
        <v>16.957201727489405</v>
      </c>
      <c r="AQ63" s="684">
        <v>10</v>
      </c>
      <c r="AR63" s="679">
        <v>1.6099028971229741</v>
      </c>
      <c r="AS63" s="690">
        <f t="shared" si="2"/>
        <v>16.099028971229743</v>
      </c>
      <c r="BB63" s="684">
        <v>10</v>
      </c>
      <c r="BC63" s="679">
        <v>1.1696818889693983</v>
      </c>
      <c r="BD63" s="690">
        <f t="shared" si="3"/>
        <v>11.696818889693983</v>
      </c>
      <c r="BQ63" s="686">
        <v>0</v>
      </c>
    </row>
    <row r="64" spans="1:69">
      <c r="A64" s="299">
        <v>41624</v>
      </c>
      <c r="B64" s="282">
        <v>2</v>
      </c>
      <c r="C64" s="687">
        <v>0</v>
      </c>
      <c r="D64" s="689">
        <f t="shared" si="0"/>
        <v>8</v>
      </c>
      <c r="E64" s="266">
        <v>1.3168452457095339</v>
      </c>
      <c r="F64" s="679">
        <v>0.89640674203299264</v>
      </c>
      <c r="G64" s="161">
        <v>2.5751452457095354</v>
      </c>
      <c r="H64" s="679">
        <v>0.93071386435971459</v>
      </c>
      <c r="I64" s="161">
        <v>2.9093452457095355</v>
      </c>
      <c r="J64" s="679">
        <v>1.5112910128221571</v>
      </c>
      <c r="K64" s="161">
        <v>2.4751452457095353</v>
      </c>
      <c r="L64" s="291">
        <v>0.2357336890413686</v>
      </c>
      <c r="M64" s="291"/>
      <c r="N64" s="291"/>
      <c r="O64" s="679">
        <v>0.89640674203299264</v>
      </c>
      <c r="P64" s="679">
        <v>0.93071386435971459</v>
      </c>
      <c r="Q64" s="679">
        <v>1.5112910128221571</v>
      </c>
      <c r="R64" s="679">
        <v>0.2357336890413686</v>
      </c>
      <c r="T64" s="684">
        <v>11</v>
      </c>
      <c r="U64" s="679">
        <v>0.80350280149195719</v>
      </c>
      <c r="V64" s="679">
        <f t="shared" si="4"/>
        <v>8.0350280149195719</v>
      </c>
      <c r="W64" s="679">
        <v>0.89640674203299264</v>
      </c>
      <c r="AE64" s="689">
        <v>11</v>
      </c>
      <c r="AF64" s="679">
        <v>0.55405076621011196</v>
      </c>
      <c r="AG64" s="690">
        <f t="shared" si="1"/>
        <v>5.5405076621011196</v>
      </c>
      <c r="AQ64" s="684">
        <v>11</v>
      </c>
      <c r="AR64" s="679">
        <v>2.3794553762568071</v>
      </c>
      <c r="AS64" s="690">
        <f t="shared" si="2"/>
        <v>23.794553762568071</v>
      </c>
      <c r="BB64" s="684">
        <v>11</v>
      </c>
      <c r="BC64" s="679">
        <v>-0.37774367011921406</v>
      </c>
      <c r="BD64" s="690">
        <f t="shared" si="3"/>
        <v>-3.7774367011921406</v>
      </c>
      <c r="BQ64" s="687">
        <v>0</v>
      </c>
    </row>
    <row r="65" spans="1:69">
      <c r="A65" s="299">
        <v>41625</v>
      </c>
      <c r="B65" s="282">
        <v>3</v>
      </c>
      <c r="C65" s="687">
        <v>0</v>
      </c>
      <c r="D65" s="689">
        <f t="shared" si="0"/>
        <v>9</v>
      </c>
      <c r="E65" s="266">
        <v>1.2877566978348676</v>
      </c>
      <c r="F65" s="679">
        <v>0.70789213415719754</v>
      </c>
      <c r="G65" s="161">
        <v>2.5535566978348676</v>
      </c>
      <c r="H65" s="679">
        <v>1.2231741351618475</v>
      </c>
      <c r="I65" s="161">
        <v>2.8816566978348677</v>
      </c>
      <c r="J65" s="679">
        <v>1.5739227997893952</v>
      </c>
      <c r="K65" s="161">
        <v>2.4447566978348667</v>
      </c>
      <c r="L65" s="291">
        <v>9.6746017342390633E-2</v>
      </c>
      <c r="M65" s="291"/>
      <c r="N65" s="291"/>
      <c r="O65" s="679">
        <v>0.70789213415719754</v>
      </c>
      <c r="P65" s="679">
        <v>1.2231741351618475</v>
      </c>
      <c r="Q65" s="679">
        <v>1.5739227997893952</v>
      </c>
      <c r="R65" s="679">
        <v>9.6746017342390633E-2</v>
      </c>
      <c r="T65" s="684">
        <v>11</v>
      </c>
      <c r="U65" s="679">
        <v>0.5959488818825418</v>
      </c>
      <c r="V65" s="679">
        <f t="shared" si="4"/>
        <v>5.9594888188254185</v>
      </c>
      <c r="W65" s="679">
        <v>0.70789213415719754</v>
      </c>
      <c r="AE65" s="689">
        <v>11</v>
      </c>
      <c r="AF65" s="679">
        <v>2.529940140609062</v>
      </c>
      <c r="AG65" s="690">
        <f t="shared" si="1"/>
        <v>25.29940140609062</v>
      </c>
      <c r="AQ65" s="684">
        <v>11</v>
      </c>
      <c r="AR65" s="679">
        <v>1.7906845772023496</v>
      </c>
      <c r="AS65" s="690">
        <f t="shared" si="2"/>
        <v>17.906845772023495</v>
      </c>
      <c r="BB65" s="684">
        <v>11</v>
      </c>
      <c r="BC65" s="679">
        <v>1.5622743532361145</v>
      </c>
      <c r="BD65" s="690">
        <f t="shared" si="3"/>
        <v>15.622743532361145</v>
      </c>
      <c r="BQ65" s="687">
        <v>0</v>
      </c>
    </row>
    <row r="66" spans="1:69">
      <c r="A66" s="299">
        <v>41626</v>
      </c>
      <c r="B66" s="282">
        <v>4</v>
      </c>
      <c r="C66" s="687">
        <v>0</v>
      </c>
      <c r="D66" s="689">
        <f t="shared" si="0"/>
        <v>10</v>
      </c>
      <c r="E66" s="266">
        <v>1.2599575104730953</v>
      </c>
      <c r="F66" s="679">
        <v>0.83642274920172532</v>
      </c>
      <c r="G66" s="161">
        <v>2.5267575104730966</v>
      </c>
      <c r="H66" s="679">
        <v>1.6957201727489404</v>
      </c>
      <c r="I66" s="161">
        <v>2.8446575104730956</v>
      </c>
      <c r="J66" s="679">
        <v>1.6099028971229741</v>
      </c>
      <c r="K66" s="161">
        <v>2.4068575104730967</v>
      </c>
      <c r="L66" s="291">
        <v>1.1696818889693983</v>
      </c>
      <c r="M66" s="291"/>
      <c r="N66" s="291"/>
      <c r="O66" s="679">
        <v>0.83642274920172532</v>
      </c>
      <c r="P66" s="679">
        <v>1.6957201727489404</v>
      </c>
      <c r="Q66" s="679">
        <v>1.6099028971229741</v>
      </c>
      <c r="R66" s="679">
        <v>1.1696818889693983</v>
      </c>
      <c r="T66" s="684">
        <v>12</v>
      </c>
      <c r="U66" s="679">
        <v>1.0393431137677616</v>
      </c>
      <c r="V66" s="679">
        <f t="shared" si="4"/>
        <v>10.393431137677617</v>
      </c>
      <c r="W66" s="679">
        <v>0.83642274920172532</v>
      </c>
      <c r="AE66" s="689">
        <v>12</v>
      </c>
      <c r="AF66" s="679">
        <v>1.5434019704100923</v>
      </c>
      <c r="AG66" s="690">
        <f t="shared" si="1"/>
        <v>15.434019704100923</v>
      </c>
      <c r="AQ66" s="684">
        <v>12</v>
      </c>
      <c r="AR66" s="679">
        <v>1.7914244224558209</v>
      </c>
      <c r="AS66" s="690">
        <f t="shared" si="2"/>
        <v>17.91424422455821</v>
      </c>
      <c r="BB66" s="684">
        <v>12</v>
      </c>
      <c r="BC66" s="679">
        <v>-0.1115077677420091</v>
      </c>
      <c r="BD66" s="690">
        <f t="shared" si="3"/>
        <v>-1.115077677420091</v>
      </c>
      <c r="BQ66" s="687">
        <v>0</v>
      </c>
    </row>
    <row r="67" spans="1:69">
      <c r="A67" s="299">
        <v>41627</v>
      </c>
      <c r="B67" s="282">
        <v>5</v>
      </c>
      <c r="C67" s="687">
        <v>0</v>
      </c>
      <c r="D67" s="689">
        <f t="shared" ref="D67:D92" si="5">IF(C67&gt;=1,0,D66+1)</f>
        <v>11</v>
      </c>
      <c r="E67" s="266">
        <v>1.2310082253497936</v>
      </c>
      <c r="F67" s="679">
        <v>0.5959488818825418</v>
      </c>
      <c r="G67" s="161">
        <v>2.4946082253497934</v>
      </c>
      <c r="H67" s="679">
        <v>2.529940140609062</v>
      </c>
      <c r="I67" s="161">
        <v>2.8065082253497939</v>
      </c>
      <c r="J67" s="679">
        <v>1.7906845772023496</v>
      </c>
      <c r="K67" s="161">
        <v>2.3701082253497936</v>
      </c>
      <c r="L67" s="291">
        <v>1.5622743532361145</v>
      </c>
      <c r="M67" s="291"/>
      <c r="N67" s="291"/>
      <c r="O67" s="679">
        <v>0.5959488818825418</v>
      </c>
      <c r="P67" s="679">
        <v>2.529940140609062</v>
      </c>
      <c r="Q67" s="679">
        <v>1.7906845772023496</v>
      </c>
      <c r="R67" s="679">
        <v>1.5622743532361145</v>
      </c>
      <c r="T67" s="684">
        <v>12</v>
      </c>
      <c r="U67" s="679">
        <v>0.56622401522079313</v>
      </c>
      <c r="V67" s="679">
        <f t="shared" si="4"/>
        <v>5.6622401522079313</v>
      </c>
      <c r="W67" s="679">
        <v>0.5959488818825418</v>
      </c>
      <c r="AE67" s="689">
        <v>12</v>
      </c>
      <c r="AF67" s="679">
        <v>2.071014398483086</v>
      </c>
      <c r="AG67" s="690">
        <f t="shared" ref="AG67:AG95" si="6">AF67*10</f>
        <v>20.710143984830861</v>
      </c>
      <c r="AQ67" s="684">
        <v>12</v>
      </c>
      <c r="AR67" s="679">
        <v>2.0015187029673589</v>
      </c>
      <c r="AS67" s="690">
        <f t="shared" ref="AS67:AS130" si="7">AR67*10</f>
        <v>20.015187029673591</v>
      </c>
      <c r="BB67" s="684">
        <v>12</v>
      </c>
      <c r="BC67" s="679">
        <v>5.262614024707073</v>
      </c>
      <c r="BD67" s="690">
        <f t="shared" ref="BD67:BD129" si="8">BC67*10</f>
        <v>52.62614024707073</v>
      </c>
      <c r="BQ67" s="687">
        <v>0</v>
      </c>
    </row>
    <row r="68" spans="1:69">
      <c r="A68" s="299">
        <v>41628</v>
      </c>
      <c r="B68" s="282">
        <v>6</v>
      </c>
      <c r="C68" s="687">
        <v>0</v>
      </c>
      <c r="D68" s="689">
        <f t="shared" si="5"/>
        <v>12</v>
      </c>
      <c r="E68" s="266">
        <v>1.2057875728895202</v>
      </c>
      <c r="F68" s="679">
        <v>0.56622401522079313</v>
      </c>
      <c r="G68" s="161">
        <v>2.456787572889521</v>
      </c>
      <c r="H68" s="679">
        <v>2.071014398483086</v>
      </c>
      <c r="I68" s="161">
        <v>2.7656875728895214</v>
      </c>
      <c r="J68" s="679">
        <v>2.0015187029673589</v>
      </c>
      <c r="K68" s="161">
        <v>2.3149875728895206</v>
      </c>
      <c r="L68" s="291">
        <v>5.262614024707073</v>
      </c>
      <c r="M68" s="291"/>
      <c r="N68" s="291"/>
      <c r="O68" s="679">
        <v>0.56622401522079313</v>
      </c>
      <c r="P68" s="679">
        <v>2.071014398483086</v>
      </c>
      <c r="Q68" s="679">
        <v>2.0015187029673589</v>
      </c>
      <c r="R68" s="679">
        <v>5.262614024707073</v>
      </c>
      <c r="T68" s="684">
        <v>13</v>
      </c>
      <c r="U68" s="679">
        <v>1.7035418375885922</v>
      </c>
      <c r="V68" s="679">
        <f t="shared" ref="V68:V91" si="9">U68*10</f>
        <v>17.035418375885921</v>
      </c>
      <c r="W68" s="679">
        <v>0.56622401522079313</v>
      </c>
      <c r="AE68" s="689">
        <v>13</v>
      </c>
      <c r="AF68" s="679">
        <v>1.5118078168765059</v>
      </c>
      <c r="AG68" s="690">
        <f t="shared" si="6"/>
        <v>15.118078168765059</v>
      </c>
      <c r="AQ68" s="684">
        <v>13</v>
      </c>
      <c r="AR68" s="679">
        <v>0.98402266473139122</v>
      </c>
      <c r="AS68" s="690">
        <f t="shared" si="7"/>
        <v>9.8402266473139122</v>
      </c>
      <c r="BB68" s="684">
        <v>13</v>
      </c>
      <c r="BC68" s="679">
        <v>-8.9943979492929316E-2</v>
      </c>
      <c r="BD68" s="690">
        <f t="shared" si="8"/>
        <v>-0.89943979492929316</v>
      </c>
      <c r="BQ68" s="687">
        <v>0</v>
      </c>
    </row>
    <row r="69" spans="1:69">
      <c r="A69" s="299">
        <v>41629</v>
      </c>
      <c r="B69" s="282">
        <v>7</v>
      </c>
      <c r="C69" s="687">
        <v>0</v>
      </c>
      <c r="D69" s="689">
        <f t="shared" si="5"/>
        <v>13</v>
      </c>
      <c r="E69" s="266">
        <v>1.1813288895585292</v>
      </c>
      <c r="F69" s="679">
        <v>0.60938117859142316</v>
      </c>
      <c r="G69" s="161">
        <v>2.42622888955853</v>
      </c>
      <c r="H69" s="679">
        <v>2.3595608248919047</v>
      </c>
      <c r="I69" s="161">
        <v>2.7222288895585303</v>
      </c>
      <c r="J69" s="679">
        <v>2.9193934360205995</v>
      </c>
      <c r="K69" s="161">
        <v>2.2296288895585294</v>
      </c>
      <c r="L69" s="291">
        <v>6.0837632906680676</v>
      </c>
      <c r="M69" s="291"/>
      <c r="N69" s="291"/>
      <c r="O69" s="679">
        <v>0.60938117859142316</v>
      </c>
      <c r="P69" s="679">
        <v>2.3595608248919047</v>
      </c>
      <c r="Q69" s="679">
        <v>2.9193934360205995</v>
      </c>
      <c r="R69" s="679">
        <v>6.0837632906680676</v>
      </c>
      <c r="T69" s="684">
        <v>13</v>
      </c>
      <c r="U69" s="679">
        <v>0.60938117859142316</v>
      </c>
      <c r="V69" s="679">
        <f t="shared" si="9"/>
        <v>6.093811785914232</v>
      </c>
      <c r="W69" s="679">
        <v>0.60938117859142316</v>
      </c>
      <c r="AE69" s="689">
        <v>13</v>
      </c>
      <c r="AF69" s="679">
        <v>2.3595608248919047</v>
      </c>
      <c r="AG69" s="690">
        <f t="shared" si="6"/>
        <v>23.595608248919046</v>
      </c>
      <c r="AQ69" s="684">
        <v>13</v>
      </c>
      <c r="AR69" s="679">
        <v>2.9193934360205995</v>
      </c>
      <c r="AS69" s="690">
        <f t="shared" si="7"/>
        <v>29.193934360205994</v>
      </c>
      <c r="BB69" s="684">
        <v>13</v>
      </c>
      <c r="BC69" s="679">
        <v>6.0837632906680676</v>
      </c>
      <c r="BD69" s="690">
        <f t="shared" si="8"/>
        <v>60.837632906680675</v>
      </c>
      <c r="BQ69" s="687">
        <v>0</v>
      </c>
    </row>
    <row r="70" spans="1:69">
      <c r="A70" s="299">
        <v>41630</v>
      </c>
      <c r="B70" s="282">
        <v>8</v>
      </c>
      <c r="C70" s="687">
        <v>0</v>
      </c>
      <c r="D70" s="689">
        <f t="shared" si="5"/>
        <v>14</v>
      </c>
      <c r="E70" s="266">
        <v>1.1558933107006486</v>
      </c>
      <c r="F70" s="679">
        <v>1.1015175688425534</v>
      </c>
      <c r="G70" s="161">
        <v>2.3935933107006484</v>
      </c>
      <c r="H70" s="679">
        <v>3.2293127129462342</v>
      </c>
      <c r="I70" s="161">
        <v>2.677693310700648</v>
      </c>
      <c r="J70" s="679">
        <v>1.5777037055302723</v>
      </c>
      <c r="K70" s="161">
        <v>2.1447933107006487</v>
      </c>
      <c r="L70" s="291">
        <v>5.4372652006950917</v>
      </c>
      <c r="M70" s="291"/>
      <c r="N70" s="291"/>
      <c r="O70" s="679">
        <v>1.1015175688425534</v>
      </c>
      <c r="P70" s="679">
        <v>3.2293127129462342</v>
      </c>
      <c r="Q70" s="679">
        <v>1.5777037055302723</v>
      </c>
      <c r="R70" s="679">
        <v>5.4372652006950917</v>
      </c>
      <c r="T70" s="684">
        <v>14</v>
      </c>
      <c r="U70" s="679">
        <v>1.1015175688425534</v>
      </c>
      <c r="V70" s="679">
        <f t="shared" si="9"/>
        <v>11.015175688425533</v>
      </c>
      <c r="W70" s="679">
        <v>1.1015175688425534</v>
      </c>
      <c r="AE70" s="282">
        <v>13</v>
      </c>
      <c r="AF70" s="270"/>
      <c r="AG70" s="690"/>
      <c r="AQ70" s="684">
        <v>14</v>
      </c>
      <c r="AR70" s="679">
        <v>1.5777037055302723</v>
      </c>
      <c r="AS70" s="690">
        <f t="shared" si="7"/>
        <v>15.777037055302722</v>
      </c>
      <c r="BB70" s="684">
        <v>14</v>
      </c>
      <c r="BC70" s="679">
        <v>5.4372652006950917</v>
      </c>
      <c r="BD70" s="690">
        <f t="shared" si="8"/>
        <v>54.372652006950915</v>
      </c>
      <c r="BQ70" s="687">
        <v>0</v>
      </c>
    </row>
    <row r="71" spans="1:69">
      <c r="A71" s="299">
        <v>41631</v>
      </c>
      <c r="B71" s="282">
        <v>9</v>
      </c>
      <c r="C71" s="687">
        <v>0</v>
      </c>
      <c r="D71" s="689">
        <f t="shared" si="5"/>
        <v>15</v>
      </c>
      <c r="E71" s="266">
        <v>1.1294738854216377</v>
      </c>
      <c r="F71" s="679">
        <v>0.56947444958647386</v>
      </c>
      <c r="G71" s="161">
        <v>2.3505738854216389</v>
      </c>
      <c r="H71" s="679">
        <v>2.6349965501658623</v>
      </c>
      <c r="I71" s="161">
        <v>2.6445738854216385</v>
      </c>
      <c r="J71" s="679">
        <v>1.4864436727347068</v>
      </c>
      <c r="K71" s="161">
        <v>2.076373885421638</v>
      </c>
      <c r="L71" s="291">
        <v>4.9679999999999991</v>
      </c>
      <c r="M71" s="291"/>
      <c r="N71" s="291"/>
      <c r="O71" s="679">
        <v>0.56947444958647386</v>
      </c>
      <c r="P71" s="679">
        <v>2.6349965501658623</v>
      </c>
      <c r="Q71" s="679">
        <v>1.4864436727347068</v>
      </c>
      <c r="R71" s="679">
        <v>4.9679999999999991</v>
      </c>
      <c r="T71" s="684">
        <v>15</v>
      </c>
      <c r="U71" s="679">
        <v>0.56947444958647386</v>
      </c>
      <c r="V71" s="679">
        <f t="shared" si="9"/>
        <v>5.6947444958647386</v>
      </c>
      <c r="W71" s="679">
        <v>0.56947444958647386</v>
      </c>
      <c r="AE71" s="689">
        <v>14</v>
      </c>
      <c r="AF71" s="679">
        <v>3.2293127129462342</v>
      </c>
      <c r="AG71" s="690">
        <f t="shared" si="6"/>
        <v>32.293127129462341</v>
      </c>
      <c r="AQ71" s="684">
        <v>15</v>
      </c>
      <c r="AR71" s="679">
        <v>1.4864436727347068</v>
      </c>
      <c r="AS71" s="690">
        <f t="shared" si="7"/>
        <v>14.864436727347067</v>
      </c>
      <c r="BB71" s="684">
        <v>15</v>
      </c>
      <c r="BC71" s="679">
        <v>4.9679999999999991</v>
      </c>
      <c r="BD71" s="690">
        <f t="shared" si="8"/>
        <v>49.679999999999993</v>
      </c>
      <c r="BQ71" s="687">
        <v>0</v>
      </c>
    </row>
    <row r="72" spans="1:69">
      <c r="A72" s="299">
        <v>41632</v>
      </c>
      <c r="B72" s="282">
        <v>10</v>
      </c>
      <c r="C72" s="687">
        <v>0</v>
      </c>
      <c r="D72" s="689">
        <f t="shared" si="5"/>
        <v>16</v>
      </c>
      <c r="E72" s="266">
        <v>1.1028156048852229</v>
      </c>
      <c r="F72" s="679">
        <v>0.39303599212226015</v>
      </c>
      <c r="G72" s="161">
        <v>2.3118156048852239</v>
      </c>
      <c r="H72" s="679">
        <v>2.0602434062651653</v>
      </c>
      <c r="I72" s="161">
        <v>2.6126156048852236</v>
      </c>
      <c r="J72" s="679">
        <v>1.4098371767342979</v>
      </c>
      <c r="K72" s="161">
        <v>2.0227156048852222</v>
      </c>
      <c r="L72" s="291">
        <v>3.5424000000000002</v>
      </c>
      <c r="M72" s="291"/>
      <c r="N72" s="291"/>
      <c r="O72" s="679">
        <v>0.39303599212226015</v>
      </c>
      <c r="P72" s="679">
        <v>2.0602434062651653</v>
      </c>
      <c r="Q72" s="679">
        <v>1.4098371767342979</v>
      </c>
      <c r="R72" s="679">
        <v>3.5424000000000002</v>
      </c>
      <c r="T72" s="684">
        <v>16</v>
      </c>
      <c r="U72" s="679">
        <v>0.39303599212226015</v>
      </c>
      <c r="V72" s="679">
        <f t="shared" si="9"/>
        <v>3.9303599212226015</v>
      </c>
      <c r="W72" s="679">
        <v>0.39303599212226015</v>
      </c>
      <c r="AE72" s="282">
        <v>14</v>
      </c>
      <c r="AF72" s="270"/>
      <c r="AG72" s="690"/>
      <c r="AQ72" s="684">
        <v>16</v>
      </c>
      <c r="AR72" s="679">
        <v>1.4098371767342979</v>
      </c>
      <c r="AS72" s="690">
        <f t="shared" si="7"/>
        <v>14.098371767342979</v>
      </c>
      <c r="BB72" s="684">
        <v>16</v>
      </c>
      <c r="BC72" s="679">
        <v>3.5424000000000002</v>
      </c>
      <c r="BD72" s="690">
        <f t="shared" si="8"/>
        <v>35.423999999999999</v>
      </c>
      <c r="BQ72" s="687">
        <v>0</v>
      </c>
    </row>
    <row r="73" spans="1:69">
      <c r="A73" s="299">
        <v>41633</v>
      </c>
      <c r="B73" s="282">
        <v>11</v>
      </c>
      <c r="C73" s="687">
        <v>0</v>
      </c>
      <c r="D73" s="689">
        <f t="shared" si="5"/>
        <v>17</v>
      </c>
      <c r="E73" s="266">
        <v>1.0784434202106383</v>
      </c>
      <c r="F73" s="679">
        <v>0.5057443635654395</v>
      </c>
      <c r="G73" s="161">
        <v>2.2767434202106376</v>
      </c>
      <c r="H73" s="679">
        <v>2.8535780423817458</v>
      </c>
      <c r="I73" s="161">
        <v>2.5780434202106379</v>
      </c>
      <c r="J73" s="679">
        <v>1.4931207691465183</v>
      </c>
      <c r="K73" s="161">
        <v>1.9766434202106367</v>
      </c>
      <c r="L73" s="291">
        <v>2.3939984227144446</v>
      </c>
      <c r="M73" s="291"/>
      <c r="N73" s="291"/>
      <c r="O73" s="679">
        <v>0.5057443635654395</v>
      </c>
      <c r="P73" s="679">
        <v>2.8535780423817458</v>
      </c>
      <c r="Q73" s="679">
        <v>1.4931207691465183</v>
      </c>
      <c r="R73" s="679">
        <v>2.3939984227144446</v>
      </c>
      <c r="T73" s="684">
        <v>17</v>
      </c>
      <c r="U73" s="679">
        <v>0.5057443635654395</v>
      </c>
      <c r="V73" s="679">
        <f t="shared" si="9"/>
        <v>5.057443635654395</v>
      </c>
      <c r="W73" s="679">
        <v>0.5057443635654395</v>
      </c>
      <c r="AE73" s="689">
        <v>15</v>
      </c>
      <c r="AF73" s="679">
        <v>2.6349965501658623</v>
      </c>
      <c r="AG73" s="690">
        <f t="shared" si="6"/>
        <v>26.349965501658623</v>
      </c>
      <c r="AQ73" s="684">
        <v>17</v>
      </c>
      <c r="AR73" s="679">
        <v>1.4931207691465183</v>
      </c>
      <c r="AS73" s="690">
        <f t="shared" si="7"/>
        <v>14.931207691465183</v>
      </c>
      <c r="BB73" s="684">
        <v>17</v>
      </c>
      <c r="BC73" s="679">
        <v>2.3939984227144446</v>
      </c>
      <c r="BD73" s="690">
        <f t="shared" si="8"/>
        <v>23.939984227144446</v>
      </c>
      <c r="BQ73" s="687">
        <v>0</v>
      </c>
    </row>
    <row r="74" spans="1:69">
      <c r="A74" s="299">
        <v>41634</v>
      </c>
      <c r="B74" s="282">
        <v>12</v>
      </c>
      <c r="C74" s="687">
        <v>0</v>
      </c>
      <c r="D74" s="689">
        <f t="shared" si="5"/>
        <v>18</v>
      </c>
      <c r="E74" s="266">
        <v>1.0514010906809603</v>
      </c>
      <c r="F74" s="679">
        <v>1.6355713718672651</v>
      </c>
      <c r="G74" s="161">
        <v>2.2421010906809613</v>
      </c>
      <c r="H74" s="679">
        <v>2.2215100794748581</v>
      </c>
      <c r="I74" s="161">
        <v>2.5453010906809608</v>
      </c>
      <c r="J74" s="679">
        <v>1.1733069915397629</v>
      </c>
      <c r="K74" s="161">
        <v>1.9459010906809602</v>
      </c>
      <c r="L74" s="291">
        <v>1.6847999999999999</v>
      </c>
      <c r="M74" s="291"/>
      <c r="N74" s="291"/>
      <c r="O74" s="679">
        <v>1.6355713718672651</v>
      </c>
      <c r="P74" s="679">
        <v>2.2215100794748581</v>
      </c>
      <c r="Q74" s="679">
        <v>1.1733069915397629</v>
      </c>
      <c r="R74" s="679">
        <v>1.6847999999999999</v>
      </c>
      <c r="T74" s="684">
        <v>18</v>
      </c>
      <c r="U74" s="679">
        <v>1.6355713718672651</v>
      </c>
      <c r="V74" s="679">
        <f t="shared" si="9"/>
        <v>16.35571371867265</v>
      </c>
      <c r="W74" s="679">
        <v>1.6355713718672651</v>
      </c>
      <c r="AE74" s="282">
        <v>15</v>
      </c>
      <c r="AF74" s="270"/>
      <c r="AG74" s="690"/>
      <c r="AQ74" s="684">
        <v>18</v>
      </c>
      <c r="AR74" s="679">
        <v>1.1733069915397629</v>
      </c>
      <c r="AS74" s="690">
        <f t="shared" si="7"/>
        <v>11.733069915397628</v>
      </c>
      <c r="BB74" s="684">
        <v>18</v>
      </c>
      <c r="BC74" s="679">
        <v>1.6847999999999999</v>
      </c>
      <c r="BD74" s="690">
        <f t="shared" si="8"/>
        <v>16.847999999999999</v>
      </c>
      <c r="BQ74" s="687">
        <v>0</v>
      </c>
    </row>
    <row r="75" spans="1:69">
      <c r="A75" s="299">
        <v>41635</v>
      </c>
      <c r="B75" s="282">
        <v>13</v>
      </c>
      <c r="C75" s="687">
        <v>0</v>
      </c>
      <c r="D75" s="689">
        <f t="shared" si="5"/>
        <v>19</v>
      </c>
      <c r="E75" s="266">
        <v>1.0209965847504816</v>
      </c>
      <c r="F75" s="679">
        <v>0.87777292866804757</v>
      </c>
      <c r="G75" s="161">
        <v>2.2058965847504819</v>
      </c>
      <c r="H75" s="679">
        <v>1.8489628663529076</v>
      </c>
      <c r="I75" s="161">
        <v>2.5081965847504817</v>
      </c>
      <c r="J75" s="679">
        <v>1.3886855674006373</v>
      </c>
      <c r="K75" s="161">
        <v>1.9260965847504816</v>
      </c>
      <c r="L75" s="291">
        <v>0.91871999999999998</v>
      </c>
      <c r="M75" s="291"/>
      <c r="N75" s="291"/>
      <c r="O75" s="679">
        <v>0.87777292866804757</v>
      </c>
      <c r="P75" s="679">
        <v>1.8489628663529076</v>
      </c>
      <c r="Q75" s="679">
        <v>1.3886855674006373</v>
      </c>
      <c r="R75" s="679">
        <v>0.91871999999999998</v>
      </c>
      <c r="T75" s="684">
        <v>19</v>
      </c>
      <c r="U75" s="679">
        <v>0.87777292866804757</v>
      </c>
      <c r="V75" s="679">
        <f t="shared" si="9"/>
        <v>8.7777292866804757</v>
      </c>
      <c r="W75" s="679">
        <v>0.87777292866804757</v>
      </c>
      <c r="AE75" s="689">
        <v>16</v>
      </c>
      <c r="AF75" s="679">
        <v>2.0602434062651653</v>
      </c>
      <c r="AG75" s="690">
        <f t="shared" si="6"/>
        <v>20.602434062651653</v>
      </c>
      <c r="AQ75" s="684">
        <v>19</v>
      </c>
      <c r="AR75" s="679">
        <v>1.3886855674006373</v>
      </c>
      <c r="AS75" s="690">
        <f t="shared" si="7"/>
        <v>13.886855674006373</v>
      </c>
      <c r="BB75" s="684">
        <v>19</v>
      </c>
      <c r="BC75" s="679">
        <v>0.91871999999999998</v>
      </c>
      <c r="BD75" s="690">
        <f t="shared" si="8"/>
        <v>9.1872000000000007</v>
      </c>
      <c r="BQ75" s="687">
        <v>0</v>
      </c>
    </row>
    <row r="76" spans="1:69">
      <c r="A76" s="299">
        <v>41636</v>
      </c>
      <c r="B76" s="282">
        <v>14</v>
      </c>
      <c r="C76" s="687">
        <v>0</v>
      </c>
      <c r="D76" s="689">
        <f t="shared" si="5"/>
        <v>20</v>
      </c>
      <c r="E76" s="266">
        <v>0.99228676730036958</v>
      </c>
      <c r="F76" s="679">
        <v>0.76843228316337764</v>
      </c>
      <c r="G76" s="161">
        <v>2.1696867673003695</v>
      </c>
      <c r="H76" s="679">
        <v>1.6639015834679181</v>
      </c>
      <c r="I76" s="161">
        <v>2.4690867673003689</v>
      </c>
      <c r="J76" s="679">
        <v>2.0090834447837604</v>
      </c>
      <c r="K76" s="161">
        <v>1.9073867673003693</v>
      </c>
      <c r="L76" s="291">
        <v>0.97055999999999998</v>
      </c>
      <c r="M76" s="291"/>
      <c r="N76" s="291"/>
      <c r="O76" s="679">
        <v>0.76843228316337764</v>
      </c>
      <c r="P76" s="679">
        <v>1.6639015834679181</v>
      </c>
      <c r="Q76" s="679">
        <v>2.0090834447837604</v>
      </c>
      <c r="R76" s="679">
        <v>0.97055999999999998</v>
      </c>
      <c r="T76" s="684">
        <v>20</v>
      </c>
      <c r="U76" s="679">
        <v>0.76843228316337764</v>
      </c>
      <c r="V76" s="679">
        <f t="shared" si="9"/>
        <v>7.6843228316337768</v>
      </c>
      <c r="W76" s="679">
        <v>0.76843228316337764</v>
      </c>
      <c r="AE76" s="689">
        <v>17</v>
      </c>
      <c r="AF76" s="679">
        <v>2.8535780423817458</v>
      </c>
      <c r="AG76" s="690">
        <f t="shared" si="6"/>
        <v>28.535780423817457</v>
      </c>
      <c r="AQ76" s="684">
        <v>20</v>
      </c>
      <c r="AR76" s="679">
        <v>2.0090834447837604</v>
      </c>
      <c r="AS76" s="690">
        <f t="shared" si="7"/>
        <v>20.090834447837604</v>
      </c>
      <c r="BB76" s="684">
        <v>20</v>
      </c>
      <c r="BC76" s="679">
        <v>0.97055999999999998</v>
      </c>
      <c r="BD76" s="690">
        <f t="shared" si="8"/>
        <v>9.7056000000000004</v>
      </c>
      <c r="BQ76" s="687">
        <v>0</v>
      </c>
    </row>
    <row r="77" spans="1:69">
      <c r="A77" s="299">
        <v>41637</v>
      </c>
      <c r="B77" s="282">
        <v>15</v>
      </c>
      <c r="C77" s="687">
        <v>0</v>
      </c>
      <c r="D77" s="689">
        <f t="shared" si="5"/>
        <v>21</v>
      </c>
      <c r="E77" s="266">
        <v>0.96585404559959065</v>
      </c>
      <c r="F77" s="679">
        <v>0.16242659840085238</v>
      </c>
      <c r="G77" s="161">
        <v>2.1281540455995902</v>
      </c>
      <c r="H77" s="679">
        <v>3.4811482193524226</v>
      </c>
      <c r="I77" s="161">
        <v>2.4298540455995914</v>
      </c>
      <c r="J77" s="679">
        <v>0.97471852729933239</v>
      </c>
      <c r="K77" s="161">
        <v>1.8889540455995912</v>
      </c>
      <c r="L77" s="291">
        <v>0.9979199999999997</v>
      </c>
      <c r="M77" s="291"/>
      <c r="N77" s="291"/>
      <c r="O77" s="679">
        <v>0.16242659840085238</v>
      </c>
      <c r="P77" s="679">
        <v>3.4811482193524226</v>
      </c>
      <c r="Q77" s="679">
        <v>0.97471852729933239</v>
      </c>
      <c r="R77" s="679">
        <v>0.9979199999999997</v>
      </c>
      <c r="T77" s="684">
        <v>21</v>
      </c>
      <c r="U77" s="679">
        <v>0.16242659840085238</v>
      </c>
      <c r="V77" s="679">
        <f t="shared" si="9"/>
        <v>1.6242659840085238</v>
      </c>
      <c r="W77" s="679">
        <v>0.16242659840085238</v>
      </c>
      <c r="AE77" s="689">
        <v>18</v>
      </c>
      <c r="AF77" s="679">
        <v>2.2215100794748581</v>
      </c>
      <c r="AG77" s="690">
        <f t="shared" si="6"/>
        <v>22.215100794748579</v>
      </c>
      <c r="AQ77" s="684">
        <v>21</v>
      </c>
      <c r="AR77" s="679">
        <v>0.97471852729933239</v>
      </c>
      <c r="AS77" s="690">
        <f t="shared" si="7"/>
        <v>9.7471852729933239</v>
      </c>
      <c r="BB77" s="684">
        <v>21</v>
      </c>
      <c r="BC77" s="679">
        <v>0.9979199999999997</v>
      </c>
      <c r="BD77" s="690">
        <f t="shared" si="8"/>
        <v>9.979199999999997</v>
      </c>
      <c r="BQ77" s="687">
        <v>0</v>
      </c>
    </row>
    <row r="78" spans="1:69">
      <c r="A78" s="299">
        <v>41638</v>
      </c>
      <c r="B78" s="282">
        <v>16</v>
      </c>
      <c r="C78" s="687">
        <v>0</v>
      </c>
      <c r="D78" s="689">
        <f t="shared" si="5"/>
        <v>22</v>
      </c>
      <c r="E78" s="266">
        <v>0.94686099884352315</v>
      </c>
      <c r="F78" s="679">
        <v>0.27139643798940738</v>
      </c>
      <c r="G78" s="161">
        <v>2.0889609988435236</v>
      </c>
      <c r="H78" s="679">
        <v>0.90378747644363466</v>
      </c>
      <c r="I78" s="161">
        <v>2.3931609988435225</v>
      </c>
      <c r="J78" s="679">
        <v>2.0572191929802992</v>
      </c>
      <c r="K78" s="161">
        <v>1.8552609988435225</v>
      </c>
      <c r="L78" s="291">
        <v>3.528</v>
      </c>
      <c r="M78" s="291"/>
      <c r="N78" s="291"/>
      <c r="O78" s="679">
        <v>0.27139643798940738</v>
      </c>
      <c r="P78" s="679">
        <v>0.90378747644363466</v>
      </c>
      <c r="Q78" s="679">
        <v>2.0572191929802992</v>
      </c>
      <c r="R78" s="679">
        <v>3.528</v>
      </c>
      <c r="T78" s="684">
        <v>22</v>
      </c>
      <c r="U78" s="679">
        <v>0.27139643798940738</v>
      </c>
      <c r="V78" s="679">
        <f t="shared" si="9"/>
        <v>2.7139643798940738</v>
      </c>
      <c r="W78" s="679">
        <v>0.27139643798940738</v>
      </c>
      <c r="AE78" s="689">
        <v>19</v>
      </c>
      <c r="AF78" s="679">
        <v>1.8489628663529076</v>
      </c>
      <c r="AG78" s="690">
        <f t="shared" si="6"/>
        <v>18.489628663529075</v>
      </c>
      <c r="AQ78" s="684">
        <v>22</v>
      </c>
      <c r="AR78" s="679">
        <v>2.0572191929802992</v>
      </c>
      <c r="AS78" s="690">
        <f t="shared" si="7"/>
        <v>20.57219192980299</v>
      </c>
      <c r="BB78" s="684">
        <v>22</v>
      </c>
      <c r="BC78" s="679">
        <v>3.528</v>
      </c>
      <c r="BD78" s="690">
        <f t="shared" si="8"/>
        <v>35.28</v>
      </c>
      <c r="BQ78" s="687">
        <v>0</v>
      </c>
    </row>
    <row r="79" spans="1:69">
      <c r="A79" s="299">
        <v>41639</v>
      </c>
      <c r="B79" s="282">
        <v>17</v>
      </c>
      <c r="C79" s="687">
        <v>0</v>
      </c>
      <c r="D79" s="689">
        <f t="shared" si="5"/>
        <v>23</v>
      </c>
      <c r="E79" s="266">
        <v>0.92725057132731747</v>
      </c>
      <c r="F79" s="679">
        <v>-0.2883326986762702</v>
      </c>
      <c r="G79" s="161">
        <v>2.0485505713273184</v>
      </c>
      <c r="H79" s="679">
        <v>1.5727804140015467</v>
      </c>
      <c r="I79" s="161">
        <v>2.3502505713273179</v>
      </c>
      <c r="J79" s="679">
        <v>2.294508238372603</v>
      </c>
      <c r="K79" s="161">
        <v>1.8162505713273176</v>
      </c>
      <c r="L79" s="291">
        <v>2.8512</v>
      </c>
      <c r="M79" s="291"/>
      <c r="N79" s="291"/>
      <c r="O79" s="679">
        <v>-0.2883326986762702</v>
      </c>
      <c r="P79" s="679">
        <v>1.5727804140015467</v>
      </c>
      <c r="Q79" s="679">
        <v>2.294508238372603</v>
      </c>
      <c r="R79" s="679">
        <v>2.8512</v>
      </c>
      <c r="T79" s="684">
        <v>23</v>
      </c>
      <c r="U79" s="679">
        <v>-0.2883326986762702</v>
      </c>
      <c r="V79" s="679">
        <f t="shared" si="9"/>
        <v>-2.883326986762702</v>
      </c>
      <c r="W79" s="679">
        <v>-0.2883326986762702</v>
      </c>
      <c r="AE79" s="689">
        <v>20</v>
      </c>
      <c r="AF79" s="679">
        <v>1.6639015834679181</v>
      </c>
      <c r="AG79" s="690">
        <f t="shared" si="6"/>
        <v>16.639015834679181</v>
      </c>
      <c r="AQ79" s="684">
        <v>23</v>
      </c>
      <c r="AR79" s="679">
        <v>2.294508238372603</v>
      </c>
      <c r="AS79" s="690">
        <f t="shared" si="7"/>
        <v>22.945082383726032</v>
      </c>
      <c r="BB79" s="684">
        <v>23</v>
      </c>
      <c r="BC79" s="679">
        <v>2.8512</v>
      </c>
      <c r="BD79" s="690">
        <f t="shared" si="8"/>
        <v>28.512</v>
      </c>
      <c r="BQ79" s="687">
        <v>0</v>
      </c>
    </row>
    <row r="80" spans="1:69">
      <c r="A80" s="299">
        <v>41640</v>
      </c>
      <c r="B80" s="282">
        <v>0</v>
      </c>
      <c r="C80" s="686">
        <v>0.3</v>
      </c>
      <c r="D80" s="689">
        <f t="shared" si="5"/>
        <v>24</v>
      </c>
      <c r="E80" s="266">
        <v>0.90683318586779882</v>
      </c>
      <c r="F80" s="679">
        <v>-0.78232290841960905</v>
      </c>
      <c r="G80" s="161">
        <v>2.0045331858677997</v>
      </c>
      <c r="H80" s="679">
        <v>0.32688450912724321</v>
      </c>
      <c r="I80" s="161">
        <v>2.3023331858677993</v>
      </c>
      <c r="J80" s="679">
        <v>0.97535549717860937</v>
      </c>
      <c r="K80" s="161">
        <v>1.7785331858677984</v>
      </c>
      <c r="L80" s="297">
        <v>2.4471695916804177</v>
      </c>
      <c r="M80" s="297"/>
      <c r="N80" s="297"/>
      <c r="O80" s="679">
        <v>-0.78232290841960905</v>
      </c>
      <c r="P80" s="679">
        <v>0.32688450912724321</v>
      </c>
      <c r="Q80" s="679">
        <v>0.97535549717860937</v>
      </c>
      <c r="R80" s="679">
        <v>2.4471695916804177</v>
      </c>
      <c r="T80" s="684">
        <v>24</v>
      </c>
      <c r="U80" s="679">
        <v>-0.78232290841960905</v>
      </c>
      <c r="V80" s="679">
        <f t="shared" si="9"/>
        <v>-7.8232290841960905</v>
      </c>
      <c r="W80" s="679">
        <v>-0.78232290841960905</v>
      </c>
      <c r="AE80" s="689">
        <v>21</v>
      </c>
      <c r="AF80" s="679">
        <v>3.4811482193524226</v>
      </c>
      <c r="AG80" s="690">
        <f t="shared" si="6"/>
        <v>34.811482193524228</v>
      </c>
      <c r="AQ80" s="684">
        <v>24</v>
      </c>
      <c r="AR80" s="679">
        <v>0.97535549717860937</v>
      </c>
      <c r="AS80" s="690">
        <f t="shared" si="7"/>
        <v>9.7535549717860945</v>
      </c>
      <c r="BB80" s="684">
        <v>24</v>
      </c>
      <c r="BC80" s="679">
        <v>2.4471695916804177</v>
      </c>
      <c r="BD80" s="690">
        <f t="shared" si="8"/>
        <v>24.471695916804176</v>
      </c>
      <c r="BQ80" s="687">
        <v>0</v>
      </c>
    </row>
    <row r="81" spans="1:69">
      <c r="A81" s="299">
        <v>41641</v>
      </c>
      <c r="B81" s="282">
        <v>1</v>
      </c>
      <c r="C81" s="687">
        <v>0</v>
      </c>
      <c r="D81" s="689">
        <f t="shared" si="5"/>
        <v>25</v>
      </c>
      <c r="E81" s="266">
        <v>0.88597981170674578</v>
      </c>
      <c r="F81" s="679">
        <v>-0.48853298888598173</v>
      </c>
      <c r="G81" s="161">
        <v>1.9808798117067459</v>
      </c>
      <c r="H81" s="679">
        <v>0.99278997740990227</v>
      </c>
      <c r="I81" s="161">
        <v>2.2695798117067456</v>
      </c>
      <c r="J81" s="679">
        <v>0.8130560206943076</v>
      </c>
      <c r="K81" s="161">
        <v>1.744879811706745</v>
      </c>
      <c r="L81" s="291">
        <v>1.7568000000000001</v>
      </c>
      <c r="M81" s="291"/>
      <c r="N81" s="291"/>
      <c r="O81" s="679">
        <v>-0.48853298888598173</v>
      </c>
      <c r="P81" s="679">
        <v>0.99278997740990227</v>
      </c>
      <c r="Q81" s="679">
        <v>0.8130560206943076</v>
      </c>
      <c r="R81" s="679">
        <v>1.7568000000000001</v>
      </c>
      <c r="T81" s="684">
        <v>25</v>
      </c>
      <c r="U81" s="679">
        <v>-0.48853298888598173</v>
      </c>
      <c r="V81" s="679">
        <f t="shared" si="9"/>
        <v>-4.8853298888598173</v>
      </c>
      <c r="W81" s="679">
        <v>-0.48853298888598173</v>
      </c>
      <c r="AE81" s="689">
        <v>22</v>
      </c>
      <c r="AF81" s="679">
        <v>0.90378747644363466</v>
      </c>
      <c r="AG81" s="690">
        <f t="shared" si="6"/>
        <v>9.0378747644363457</v>
      </c>
      <c r="AQ81" s="684">
        <v>25</v>
      </c>
      <c r="AR81" s="679">
        <v>0.8130560206943076</v>
      </c>
      <c r="AS81" s="690">
        <f t="shared" si="7"/>
        <v>8.1305602069430769</v>
      </c>
      <c r="BB81" s="684">
        <v>25</v>
      </c>
      <c r="BC81" s="679">
        <v>1.7568000000000001</v>
      </c>
      <c r="BD81" s="690">
        <f t="shared" si="8"/>
        <v>17.568000000000001</v>
      </c>
      <c r="BQ81" s="687">
        <v>0</v>
      </c>
    </row>
    <row r="82" spans="1:69">
      <c r="A82" s="299">
        <v>41642</v>
      </c>
      <c r="B82" s="282">
        <v>2</v>
      </c>
      <c r="C82" s="687">
        <v>0</v>
      </c>
      <c r="D82" s="689">
        <f t="shared" si="5"/>
        <v>26</v>
      </c>
      <c r="E82" s="266">
        <v>0.85625384067776678</v>
      </c>
      <c r="F82" s="679">
        <v>-6.2650090333922215E-3</v>
      </c>
      <c r="G82" s="161">
        <v>1.9578538406777672</v>
      </c>
      <c r="H82" s="679">
        <v>0.50041994278655544</v>
      </c>
      <c r="I82" s="161">
        <v>2.2397538406777668</v>
      </c>
      <c r="J82" s="679">
        <v>0.86026939967923921</v>
      </c>
      <c r="K82" s="161">
        <v>1.7175538406777657</v>
      </c>
      <c r="L82" s="291">
        <v>1.8863999999999999</v>
      </c>
      <c r="M82" s="291"/>
      <c r="N82" s="291"/>
      <c r="O82" s="679">
        <v>-6.2650090333922215E-3</v>
      </c>
      <c r="P82" s="679">
        <v>0.50041994278655544</v>
      </c>
      <c r="Q82" s="679">
        <v>0.86026939967923921</v>
      </c>
      <c r="R82" s="679">
        <v>1.8863999999999999</v>
      </c>
      <c r="T82" s="684">
        <v>26</v>
      </c>
      <c r="U82" s="679">
        <v>-6.2650090333922215E-3</v>
      </c>
      <c r="V82" s="679">
        <f t="shared" si="9"/>
        <v>-6.2650090333922215E-2</v>
      </c>
      <c r="W82" s="679">
        <v>-6.2650090333922215E-3</v>
      </c>
      <c r="AE82" s="689">
        <v>23</v>
      </c>
      <c r="AF82" s="679">
        <v>1.5727804140015467</v>
      </c>
      <c r="AG82" s="690">
        <f t="shared" si="6"/>
        <v>15.727804140015467</v>
      </c>
      <c r="AQ82" s="684">
        <v>26</v>
      </c>
      <c r="AR82" s="679">
        <v>0.86026939967923921</v>
      </c>
      <c r="AS82" s="690">
        <f t="shared" si="7"/>
        <v>8.602693996792393</v>
      </c>
      <c r="BB82" s="684">
        <v>26</v>
      </c>
      <c r="BC82" s="679">
        <v>1.8863999999999999</v>
      </c>
      <c r="BD82" s="690">
        <f t="shared" si="8"/>
        <v>18.863999999999997</v>
      </c>
      <c r="BQ82" s="687">
        <v>0</v>
      </c>
    </row>
    <row r="83" spans="1:69">
      <c r="A83" s="299">
        <v>41643</v>
      </c>
      <c r="B83" s="282">
        <v>3</v>
      </c>
      <c r="C83" s="687">
        <v>0</v>
      </c>
      <c r="D83" s="689">
        <f t="shared" si="5"/>
        <v>27</v>
      </c>
      <c r="E83" s="266">
        <v>0.82819800980449421</v>
      </c>
      <c r="F83" s="679">
        <v>0.25864402271873166</v>
      </c>
      <c r="G83" s="161">
        <v>1.9360980098044942</v>
      </c>
      <c r="H83" s="679">
        <v>0.95706882410562466</v>
      </c>
      <c r="I83" s="161">
        <v>2.2115980098044945</v>
      </c>
      <c r="J83" s="679">
        <v>1.0946237297955292</v>
      </c>
      <c r="K83" s="161">
        <v>1.6927980098044944</v>
      </c>
      <c r="L83" s="291">
        <v>1.4327999999999999</v>
      </c>
      <c r="M83" s="291"/>
      <c r="N83" s="291"/>
      <c r="O83" s="679">
        <v>0.25864402271873166</v>
      </c>
      <c r="P83" s="679">
        <v>0.95706882410562466</v>
      </c>
      <c r="Q83" s="679">
        <v>1.0946237297955292</v>
      </c>
      <c r="R83" s="679">
        <v>1.4327999999999999</v>
      </c>
      <c r="T83" s="684">
        <v>27</v>
      </c>
      <c r="U83" s="679">
        <v>0.25864402271873166</v>
      </c>
      <c r="V83" s="679">
        <f t="shared" si="9"/>
        <v>2.5864402271873166</v>
      </c>
      <c r="W83" s="679">
        <v>0.25864402271873166</v>
      </c>
      <c r="AE83" s="689">
        <v>24</v>
      </c>
      <c r="AF83" s="679">
        <v>0.32688450912724321</v>
      </c>
      <c r="AG83" s="690">
        <f t="shared" si="6"/>
        <v>3.2688450912724321</v>
      </c>
      <c r="AQ83" s="684">
        <v>27</v>
      </c>
      <c r="AR83" s="679">
        <v>1.0946237297955292</v>
      </c>
      <c r="AS83" s="690">
        <f t="shared" si="7"/>
        <v>10.946237297955292</v>
      </c>
      <c r="BB83" s="684">
        <v>27</v>
      </c>
      <c r="BC83" s="679">
        <v>1.4327999999999999</v>
      </c>
      <c r="BD83" s="690">
        <f t="shared" si="8"/>
        <v>14.327999999999999</v>
      </c>
      <c r="BQ83" s="687">
        <v>0</v>
      </c>
    </row>
    <row r="84" spans="1:69">
      <c r="A84" s="299">
        <v>41644</v>
      </c>
      <c r="B84" s="282">
        <v>4</v>
      </c>
      <c r="C84" s="687">
        <v>0</v>
      </c>
      <c r="D84" s="689">
        <f t="shared" si="5"/>
        <v>28</v>
      </c>
      <c r="E84" s="266">
        <v>0.79448532579851039</v>
      </c>
      <c r="F84" s="679">
        <v>0.79932721657620842</v>
      </c>
      <c r="G84" s="161">
        <v>1.9113853257985107</v>
      </c>
      <c r="H84" s="679">
        <v>1.0083357123997592</v>
      </c>
      <c r="I84" s="161">
        <v>2.1831853257985108</v>
      </c>
      <c r="J84" s="679">
        <v>1.3589583779788437</v>
      </c>
      <c r="K84" s="161">
        <v>1.6738853257985116</v>
      </c>
      <c r="L84" s="291">
        <v>1.2312000000000001</v>
      </c>
      <c r="M84" s="291"/>
      <c r="N84" s="291"/>
      <c r="O84" s="679">
        <v>0.79932721657620842</v>
      </c>
      <c r="P84" s="679">
        <v>1.0083357123997592</v>
      </c>
      <c r="Q84" s="679">
        <v>1.3589583779788437</v>
      </c>
      <c r="R84" s="679">
        <v>1.2312000000000001</v>
      </c>
      <c r="T84" s="684">
        <v>28</v>
      </c>
      <c r="U84" s="679">
        <v>0.79932721657620842</v>
      </c>
      <c r="V84" s="679">
        <f t="shared" si="9"/>
        <v>7.9932721657620842</v>
      </c>
      <c r="W84" s="679">
        <v>0.79932721657620842</v>
      </c>
      <c r="AE84" s="689">
        <v>25</v>
      </c>
      <c r="AF84" s="679">
        <v>0.99278997740990227</v>
      </c>
      <c r="AG84" s="690">
        <f t="shared" si="6"/>
        <v>9.9278997740990231</v>
      </c>
      <c r="AQ84" s="684">
        <v>28</v>
      </c>
      <c r="AR84" s="679">
        <v>1.3589583779788437</v>
      </c>
      <c r="AS84" s="690">
        <f t="shared" si="7"/>
        <v>13.589583779788438</v>
      </c>
      <c r="BB84" s="684">
        <v>28</v>
      </c>
      <c r="BC84" s="679">
        <v>1.2312000000000001</v>
      </c>
      <c r="BD84" s="690">
        <f t="shared" si="8"/>
        <v>12.312000000000001</v>
      </c>
      <c r="BQ84" s="687">
        <v>0</v>
      </c>
    </row>
    <row r="85" spans="1:69">
      <c r="A85" s="299">
        <v>41645</v>
      </c>
      <c r="B85" s="282">
        <v>5</v>
      </c>
      <c r="C85" s="687">
        <v>0</v>
      </c>
      <c r="D85" s="689">
        <f t="shared" si="5"/>
        <v>29</v>
      </c>
      <c r="E85" s="266">
        <v>0.76523991774205824</v>
      </c>
      <c r="F85" s="679">
        <v>1.33632</v>
      </c>
      <c r="G85" s="161">
        <v>1.887739917742058</v>
      </c>
      <c r="H85" s="679">
        <v>0.49559293197706089</v>
      </c>
      <c r="I85" s="161">
        <v>2.1525399177420583</v>
      </c>
      <c r="J85" s="679">
        <v>1.2228366820038494</v>
      </c>
      <c r="K85" s="161">
        <v>1.6540399177420588</v>
      </c>
      <c r="L85" s="291">
        <v>0.7545599999999999</v>
      </c>
      <c r="M85" s="291"/>
      <c r="N85" s="291"/>
      <c r="O85" s="679">
        <v>1.33632</v>
      </c>
      <c r="P85" s="679">
        <v>0.49559293197706089</v>
      </c>
      <c r="Q85" s="679">
        <v>1.2228366820038494</v>
      </c>
      <c r="R85" s="679">
        <v>0.7545599999999999</v>
      </c>
      <c r="T85" s="684">
        <v>29</v>
      </c>
      <c r="U85" s="679">
        <v>1.33632</v>
      </c>
      <c r="V85" s="679">
        <f t="shared" si="9"/>
        <v>13.363199999999999</v>
      </c>
      <c r="W85" s="679">
        <v>1.33632</v>
      </c>
      <c r="AE85" s="689">
        <v>26</v>
      </c>
      <c r="AF85" s="679">
        <v>0.50041994278655544</v>
      </c>
      <c r="AG85" s="690">
        <f t="shared" si="6"/>
        <v>5.0041994278655544</v>
      </c>
      <c r="AQ85" s="684">
        <v>29</v>
      </c>
      <c r="AR85" s="679">
        <v>1.2228366820038494</v>
      </c>
      <c r="AS85" s="690">
        <f t="shared" si="7"/>
        <v>12.228366820038495</v>
      </c>
      <c r="BB85" s="684">
        <v>29</v>
      </c>
      <c r="BC85" s="679">
        <v>0.7545599999999999</v>
      </c>
      <c r="BD85" s="690">
        <f t="shared" si="8"/>
        <v>7.5455999999999985</v>
      </c>
      <c r="BQ85" s="687">
        <v>0</v>
      </c>
    </row>
    <row r="86" spans="1:69">
      <c r="A86" s="299">
        <v>41646</v>
      </c>
      <c r="B86" s="282">
        <v>6</v>
      </c>
      <c r="C86" s="686">
        <v>0</v>
      </c>
      <c r="D86" s="689">
        <f t="shared" si="5"/>
        <v>30</v>
      </c>
      <c r="E86" s="266">
        <v>0.74332233440979012</v>
      </c>
      <c r="F86" s="679">
        <v>0.99173523473489589</v>
      </c>
      <c r="G86" s="161">
        <v>1.8694223344097904</v>
      </c>
      <c r="H86" s="679">
        <v>20.710782849403934</v>
      </c>
      <c r="I86" s="161">
        <v>2.1216223344097918</v>
      </c>
      <c r="J86" s="679">
        <v>0.72839827802081403</v>
      </c>
      <c r="K86" s="161">
        <v>1.6342223344097913</v>
      </c>
      <c r="L86" s="291">
        <v>0.81496190140176283</v>
      </c>
      <c r="M86" s="291"/>
      <c r="N86" s="291"/>
      <c r="O86" s="679">
        <v>0.99173523473489589</v>
      </c>
      <c r="P86" s="679">
        <v>20.710782849403934</v>
      </c>
      <c r="Q86" s="679">
        <v>0.72839827802081403</v>
      </c>
      <c r="R86" s="679">
        <v>0.81496190140176283</v>
      </c>
      <c r="T86" s="684">
        <v>30</v>
      </c>
      <c r="U86" s="679">
        <v>0.99173523473489589</v>
      </c>
      <c r="V86" s="679">
        <f t="shared" si="9"/>
        <v>9.9173523473489595</v>
      </c>
      <c r="W86" s="679">
        <v>0.99173523473489589</v>
      </c>
      <c r="AE86" s="689">
        <v>27</v>
      </c>
      <c r="AF86" s="679">
        <v>0.95706882410562466</v>
      </c>
      <c r="AG86" s="690">
        <f t="shared" si="6"/>
        <v>9.5706882410562457</v>
      </c>
      <c r="AQ86" s="684">
        <v>30</v>
      </c>
      <c r="AR86" s="679">
        <v>0.72839827802081403</v>
      </c>
      <c r="AS86" s="690">
        <f t="shared" si="7"/>
        <v>7.2839827802081398</v>
      </c>
      <c r="BB86" s="684">
        <v>30</v>
      </c>
      <c r="BC86" s="679">
        <v>0.81496190140176283</v>
      </c>
      <c r="BD86" s="690">
        <f t="shared" si="8"/>
        <v>8.1496190140176274</v>
      </c>
      <c r="BQ86" s="686">
        <v>0</v>
      </c>
    </row>
    <row r="87" spans="1:69">
      <c r="A87" s="299">
        <v>41647</v>
      </c>
      <c r="B87" s="282">
        <v>7</v>
      </c>
      <c r="C87" s="686">
        <v>0</v>
      </c>
      <c r="D87" s="689">
        <f t="shared" si="5"/>
        <v>31</v>
      </c>
      <c r="E87" s="266">
        <v>0.72644667781262529</v>
      </c>
      <c r="F87" s="679">
        <v>-4.8186006758389244E-2</v>
      </c>
      <c r="G87" s="161">
        <v>1.6491466778126254</v>
      </c>
      <c r="H87" s="679">
        <v>-17.097612268616246</v>
      </c>
      <c r="I87" s="161">
        <v>2.0977466778126255</v>
      </c>
      <c r="J87" s="679">
        <v>5.0879672029718437E-2</v>
      </c>
      <c r="K87" s="161">
        <v>1.6170466778126253</v>
      </c>
      <c r="L87" s="291">
        <v>-0.50834847130751692</v>
      </c>
      <c r="M87" s="291"/>
      <c r="N87" s="291"/>
      <c r="O87" s="679">
        <v>-4.8186006758389244E-2</v>
      </c>
      <c r="P87" s="679">
        <v>-17.097612268616246</v>
      </c>
      <c r="Q87" s="679">
        <v>5.0879672029718437E-2</v>
      </c>
      <c r="R87" s="679">
        <v>-0.50834847130751692</v>
      </c>
      <c r="T87" s="684">
        <v>31</v>
      </c>
      <c r="U87" s="679">
        <v>-4.8186006758389244E-2</v>
      </c>
      <c r="V87" s="679">
        <f t="shared" si="9"/>
        <v>-0.48186006758389244</v>
      </c>
      <c r="W87" s="679">
        <v>-4.8186006758389244E-2</v>
      </c>
      <c r="AE87" s="689">
        <v>28</v>
      </c>
      <c r="AF87" s="679">
        <v>1.0083357123997592</v>
      </c>
      <c r="AG87" s="690">
        <f t="shared" si="6"/>
        <v>10.083357123997592</v>
      </c>
      <c r="AQ87" s="684">
        <v>31</v>
      </c>
      <c r="AR87" s="679">
        <v>5.0879672029718437E-2</v>
      </c>
      <c r="AS87" s="690">
        <f t="shared" si="7"/>
        <v>0.50879672029718437</v>
      </c>
      <c r="BB87" s="684">
        <v>31</v>
      </c>
      <c r="BC87" s="679">
        <v>-0.50834847130751692</v>
      </c>
      <c r="BD87" s="690">
        <f t="shared" si="8"/>
        <v>-5.083484713075169</v>
      </c>
      <c r="BQ87" s="686">
        <v>0</v>
      </c>
    </row>
    <row r="88" spans="1:69">
      <c r="A88" s="299">
        <v>41648</v>
      </c>
      <c r="B88" s="282">
        <v>8</v>
      </c>
      <c r="C88" s="687">
        <v>0</v>
      </c>
      <c r="D88" s="689">
        <f t="shared" si="5"/>
        <v>32</v>
      </c>
      <c r="E88" s="266">
        <v>0.72156631271284555</v>
      </c>
      <c r="F88" s="679">
        <v>1.3449600000000002</v>
      </c>
      <c r="G88" s="161">
        <v>1.8071663127128443</v>
      </c>
      <c r="H88" s="679">
        <v>-0.60032232136566965</v>
      </c>
      <c r="I88" s="161">
        <v>2.0814663127128457</v>
      </c>
      <c r="J88" s="679">
        <v>1.337378577976011</v>
      </c>
      <c r="K88" s="161">
        <v>1.6136663127128439</v>
      </c>
      <c r="L88" s="291">
        <v>1.3881599999999998</v>
      </c>
      <c r="M88" s="291"/>
      <c r="N88" s="291"/>
      <c r="O88" s="679">
        <v>1.3449600000000002</v>
      </c>
      <c r="P88" s="679">
        <v>-0.60032232136566965</v>
      </c>
      <c r="Q88" s="679">
        <v>1.337378577976011</v>
      </c>
      <c r="R88" s="679">
        <v>1.3881599999999998</v>
      </c>
      <c r="T88" s="684">
        <v>32</v>
      </c>
      <c r="U88" s="679">
        <v>1.3449600000000002</v>
      </c>
      <c r="V88" s="679">
        <f t="shared" si="9"/>
        <v>13.449600000000002</v>
      </c>
      <c r="W88" s="679">
        <v>1.3449600000000002</v>
      </c>
      <c r="AE88" s="689">
        <v>29</v>
      </c>
      <c r="AF88" s="679">
        <v>0.49559293197706089</v>
      </c>
      <c r="AG88" s="690">
        <f t="shared" si="6"/>
        <v>4.9559293197706094</v>
      </c>
      <c r="AQ88" s="684">
        <v>32</v>
      </c>
      <c r="AR88" s="679">
        <v>1.337378577976011</v>
      </c>
      <c r="AS88" s="690">
        <f t="shared" si="7"/>
        <v>13.373785779760111</v>
      </c>
      <c r="BB88" s="684">
        <v>32</v>
      </c>
      <c r="BC88" s="679">
        <v>1.3881599999999998</v>
      </c>
      <c r="BD88" s="690">
        <f t="shared" si="8"/>
        <v>13.881599999999999</v>
      </c>
      <c r="BQ88" s="687">
        <v>0</v>
      </c>
    </row>
    <row r="89" spans="1:69">
      <c r="A89" s="299">
        <v>41649</v>
      </c>
      <c r="B89" s="282">
        <v>9</v>
      </c>
      <c r="C89" s="687">
        <v>0</v>
      </c>
      <c r="D89" s="689">
        <f t="shared" si="5"/>
        <v>33</v>
      </c>
      <c r="E89" s="266">
        <v>0.70435056662793416</v>
      </c>
      <c r="F89" s="679">
        <v>1.3204800000000001</v>
      </c>
      <c r="G89" s="161">
        <v>1.8004505666279333</v>
      </c>
      <c r="H89" s="679">
        <v>1.4961209645573195</v>
      </c>
      <c r="I89" s="161">
        <v>2.055550566627935</v>
      </c>
      <c r="J89" s="679">
        <v>1.2449419530532713</v>
      </c>
      <c r="K89" s="161">
        <v>1.5972505666279342</v>
      </c>
      <c r="L89" s="291">
        <v>0.98639999999999994</v>
      </c>
      <c r="M89" s="291"/>
      <c r="N89" s="291"/>
      <c r="O89" s="679">
        <v>1.3204800000000001</v>
      </c>
      <c r="P89" s="679">
        <v>1.4961209645573195</v>
      </c>
      <c r="Q89" s="679">
        <v>1.2449419530532713</v>
      </c>
      <c r="R89" s="679">
        <v>0.98639999999999994</v>
      </c>
      <c r="T89" s="684">
        <v>33</v>
      </c>
      <c r="U89" s="679">
        <v>1.3204800000000001</v>
      </c>
      <c r="V89" s="679">
        <f t="shared" si="9"/>
        <v>13.204800000000001</v>
      </c>
      <c r="W89" s="679">
        <v>1.3204800000000001</v>
      </c>
      <c r="AE89" s="689">
        <v>30</v>
      </c>
      <c r="AF89" s="679"/>
      <c r="AG89" s="690"/>
      <c r="AQ89" s="684">
        <v>33</v>
      </c>
      <c r="AR89" s="679">
        <v>1.2449419530532713</v>
      </c>
      <c r="AS89" s="690">
        <f t="shared" si="7"/>
        <v>12.449419530532712</v>
      </c>
      <c r="BB89" s="684">
        <v>33</v>
      </c>
      <c r="BC89" s="679">
        <v>0.98639999999999994</v>
      </c>
      <c r="BD89" s="690">
        <f t="shared" si="8"/>
        <v>9.863999999999999</v>
      </c>
      <c r="BQ89" s="687">
        <v>0</v>
      </c>
    </row>
    <row r="90" spans="1:69">
      <c r="A90" s="299">
        <v>41650</v>
      </c>
      <c r="B90" s="282">
        <v>10</v>
      </c>
      <c r="C90" s="687">
        <v>0</v>
      </c>
      <c r="D90" s="689">
        <f t="shared" si="5"/>
        <v>34</v>
      </c>
      <c r="E90" s="266">
        <v>0.681747092355661</v>
      </c>
      <c r="F90" s="679">
        <v>0.51407999999999987</v>
      </c>
      <c r="G90" s="161">
        <v>1.7729470923556627</v>
      </c>
      <c r="H90" s="679">
        <v>-0.52110750501723047</v>
      </c>
      <c r="I90" s="161">
        <v>2.0289470923556623</v>
      </c>
      <c r="J90" s="679">
        <v>1.0391201934159273</v>
      </c>
      <c r="K90" s="161">
        <v>1.5800470923556609</v>
      </c>
      <c r="L90" s="291">
        <v>0.63648000000000005</v>
      </c>
      <c r="M90" s="291"/>
      <c r="N90" s="291"/>
      <c r="O90" s="679">
        <v>0.51407999999999987</v>
      </c>
      <c r="P90" s="679">
        <v>-0.52110750501723047</v>
      </c>
      <c r="Q90" s="679">
        <v>1.0391201934159273</v>
      </c>
      <c r="R90" s="679">
        <v>0.63648000000000005</v>
      </c>
      <c r="T90" s="684">
        <v>34</v>
      </c>
      <c r="U90" s="679">
        <v>0.51407999999999987</v>
      </c>
      <c r="V90" s="679">
        <f t="shared" si="9"/>
        <v>5.1407999999999987</v>
      </c>
      <c r="W90" s="679">
        <v>0.51407999999999987</v>
      </c>
      <c r="AE90" s="689">
        <v>31</v>
      </c>
      <c r="AF90" s="679"/>
      <c r="AG90" s="690"/>
      <c r="AQ90" s="684">
        <v>34</v>
      </c>
      <c r="AR90" s="679">
        <v>1.0391201934159273</v>
      </c>
      <c r="AS90" s="690">
        <f t="shared" si="7"/>
        <v>10.391201934159273</v>
      </c>
      <c r="BB90" s="684">
        <v>34</v>
      </c>
      <c r="BC90" s="679">
        <v>0.63648000000000005</v>
      </c>
      <c r="BD90" s="690">
        <f t="shared" si="8"/>
        <v>6.3648000000000007</v>
      </c>
      <c r="BQ90" s="687">
        <v>0</v>
      </c>
    </row>
    <row r="91" spans="1:69">
      <c r="A91" s="299">
        <v>41651</v>
      </c>
      <c r="B91" s="282">
        <v>11</v>
      </c>
      <c r="C91" s="687">
        <v>0</v>
      </c>
      <c r="D91" s="689">
        <f t="shared" si="5"/>
        <v>35</v>
      </c>
      <c r="E91" s="266">
        <v>0.65773114369861618</v>
      </c>
      <c r="F91" s="679">
        <v>0.30240000000000045</v>
      </c>
      <c r="G91" s="161">
        <v>1.1646311436986172</v>
      </c>
      <c r="H91" s="679">
        <v>-0.60700000000001042</v>
      </c>
      <c r="I91" s="161">
        <v>2.0001311436986162</v>
      </c>
      <c r="J91" s="679">
        <v>1.0384080211698601</v>
      </c>
      <c r="K91" s="161">
        <v>1.5642311436986165</v>
      </c>
      <c r="L91" s="291">
        <v>0.58607999999999993</v>
      </c>
      <c r="M91" s="291"/>
      <c r="N91" s="291"/>
      <c r="O91" s="679">
        <v>0.30240000000000045</v>
      </c>
      <c r="P91" s="679">
        <v>-0.60700000000001042</v>
      </c>
      <c r="Q91" s="679">
        <v>1.0384080211698601</v>
      </c>
      <c r="R91" s="679">
        <v>0.58607999999999993</v>
      </c>
      <c r="T91" s="684">
        <v>35</v>
      </c>
      <c r="U91" s="679">
        <v>0.30240000000000045</v>
      </c>
      <c r="V91" s="679">
        <f t="shared" si="9"/>
        <v>3.0240000000000045</v>
      </c>
      <c r="W91" s="679">
        <v>0.30240000000000045</v>
      </c>
      <c r="AE91" s="689">
        <v>32</v>
      </c>
      <c r="AF91" s="679">
        <v>-0.60032232136566965</v>
      </c>
      <c r="AG91" s="690">
        <f t="shared" si="6"/>
        <v>-6.0032232136566961</v>
      </c>
      <c r="AQ91" s="684">
        <v>35</v>
      </c>
      <c r="AR91" s="679">
        <v>1.0384080211698601</v>
      </c>
      <c r="AS91" s="690">
        <f t="shared" si="7"/>
        <v>10.384080211698601</v>
      </c>
      <c r="BB91" s="684">
        <v>35</v>
      </c>
      <c r="BC91" s="679">
        <v>0.58607999999999993</v>
      </c>
      <c r="BD91" s="690">
        <f t="shared" si="8"/>
        <v>5.8607999999999993</v>
      </c>
      <c r="BQ91" s="687">
        <v>0</v>
      </c>
    </row>
    <row r="92" spans="1:69">
      <c r="A92" s="299">
        <v>41652</v>
      </c>
      <c r="B92" s="282">
        <v>12</v>
      </c>
      <c r="C92" s="687">
        <v>0</v>
      </c>
      <c r="D92" s="689">
        <f t="shared" si="5"/>
        <v>36</v>
      </c>
      <c r="E92" s="266">
        <v>0.61232889425791415</v>
      </c>
      <c r="F92" s="679">
        <v>3.8736000000000002</v>
      </c>
      <c r="G92" s="161">
        <v>1.1184288942579135</v>
      </c>
      <c r="H92" s="679">
        <v>-0.50699999999999923</v>
      </c>
      <c r="I92" s="161">
        <v>1.9718288942579132</v>
      </c>
      <c r="J92" s="679">
        <v>0.72196983464759823</v>
      </c>
      <c r="K92" s="161">
        <v>1.5474288942579135</v>
      </c>
      <c r="L92" s="291">
        <v>0.78336000000000006</v>
      </c>
      <c r="M92" s="291"/>
      <c r="N92" s="291"/>
      <c r="O92" s="679">
        <v>3.8736000000000002</v>
      </c>
      <c r="P92" s="679">
        <v>-0.50699999999999923</v>
      </c>
      <c r="Q92" s="679">
        <v>0.72196983464759823</v>
      </c>
      <c r="R92" s="679">
        <v>0.78336000000000006</v>
      </c>
      <c r="T92" s="684">
        <v>36</v>
      </c>
      <c r="U92" s="679"/>
      <c r="V92" s="679"/>
      <c r="W92" s="679"/>
      <c r="AE92" s="689">
        <v>33</v>
      </c>
      <c r="AF92" s="679">
        <v>1.4961209645573195</v>
      </c>
      <c r="AG92" s="690">
        <f t="shared" si="6"/>
        <v>14.961209645573195</v>
      </c>
      <c r="AQ92" s="684">
        <v>36</v>
      </c>
      <c r="AR92" s="679">
        <v>0.72196983464759823</v>
      </c>
      <c r="AS92" s="690">
        <f t="shared" si="7"/>
        <v>7.2196983464759823</v>
      </c>
      <c r="BB92" s="684">
        <v>36</v>
      </c>
      <c r="BC92" s="679">
        <v>0.78336000000000006</v>
      </c>
      <c r="BD92" s="690">
        <f t="shared" si="8"/>
        <v>7.8336000000000006</v>
      </c>
      <c r="BQ92" s="687">
        <v>0</v>
      </c>
    </row>
    <row r="93" spans="1:69">
      <c r="A93" s="299">
        <v>41653</v>
      </c>
      <c r="B93" s="282">
        <v>13</v>
      </c>
      <c r="C93" s="282"/>
      <c r="D93" s="282"/>
      <c r="E93" s="266">
        <v>0.53664341316156028</v>
      </c>
      <c r="F93" s="291"/>
      <c r="G93" s="267"/>
      <c r="H93" s="291"/>
      <c r="I93" s="161">
        <v>1.94464341316156</v>
      </c>
      <c r="J93" s="679">
        <v>1.3419423188444295</v>
      </c>
      <c r="K93" s="161">
        <v>1.5286434131615603</v>
      </c>
      <c r="L93" s="291">
        <v>0.62783999999999995</v>
      </c>
      <c r="M93" s="291"/>
      <c r="N93" s="291"/>
      <c r="O93" s="680"/>
      <c r="P93" s="680"/>
      <c r="Q93" s="679">
        <v>1.3419423188444295</v>
      </c>
      <c r="R93" s="679">
        <v>0.62783999999999995</v>
      </c>
      <c r="T93" s="286"/>
      <c r="AE93" s="689">
        <v>34</v>
      </c>
      <c r="AF93" s="690">
        <v>-0.52110750501723047</v>
      </c>
      <c r="AG93" s="690">
        <f t="shared" si="6"/>
        <v>-5.2110750501723047</v>
      </c>
      <c r="AQ93" s="307">
        <v>37</v>
      </c>
      <c r="AR93" s="679">
        <v>1.3419423188444295</v>
      </c>
      <c r="AS93" s="690">
        <f t="shared" si="7"/>
        <v>13.419423188444295</v>
      </c>
      <c r="BB93" s="307">
        <v>37</v>
      </c>
      <c r="BC93" s="679">
        <v>0.62783999999999995</v>
      </c>
      <c r="BD93" s="690">
        <f t="shared" si="8"/>
        <v>6.2783999999999995</v>
      </c>
    </row>
    <row r="94" spans="1:69">
      <c r="A94" s="299">
        <v>41654</v>
      </c>
      <c r="B94" s="282">
        <v>14</v>
      </c>
      <c r="C94" s="282"/>
      <c r="D94" s="282"/>
      <c r="E94" s="266">
        <v>0.45490926170738405</v>
      </c>
      <c r="F94" s="291">
        <v>-0.68332176</v>
      </c>
      <c r="G94" s="267"/>
      <c r="H94" s="291"/>
      <c r="I94" s="161">
        <v>1.9197092617073845</v>
      </c>
      <c r="J94" s="679">
        <v>1.3272920470254472</v>
      </c>
      <c r="K94" s="161">
        <v>1.5106092617073847</v>
      </c>
      <c r="L94" s="291">
        <v>0.54143999999999992</v>
      </c>
      <c r="M94" s="291"/>
      <c r="N94" s="291"/>
      <c r="O94" s="680"/>
      <c r="P94" s="680"/>
      <c r="Q94" s="679">
        <v>1.3272920470254472</v>
      </c>
      <c r="R94" s="679">
        <v>0.54143999999999992</v>
      </c>
      <c r="T94" s="286"/>
      <c r="AE94" s="689">
        <v>35</v>
      </c>
      <c r="AF94" s="690">
        <v>-0.60700000000001042</v>
      </c>
      <c r="AG94" s="690">
        <f t="shared" si="6"/>
        <v>-6.0700000000001042</v>
      </c>
      <c r="AQ94" s="307">
        <v>38</v>
      </c>
      <c r="AR94" s="679">
        <v>1.3272920470254472</v>
      </c>
      <c r="AS94" s="690">
        <f t="shared" si="7"/>
        <v>13.272920470254473</v>
      </c>
      <c r="BB94" s="307">
        <v>38</v>
      </c>
      <c r="BC94" s="679">
        <v>0.54143999999999992</v>
      </c>
      <c r="BD94" s="690">
        <f t="shared" si="8"/>
        <v>5.4143999999999988</v>
      </c>
    </row>
    <row r="95" spans="1:69">
      <c r="A95" s="299">
        <v>41655</v>
      </c>
      <c r="B95" s="282">
        <v>15</v>
      </c>
      <c r="C95" s="282"/>
      <c r="D95" s="282"/>
      <c r="E95" s="268">
        <v>0.40644607479560563</v>
      </c>
      <c r="F95" s="291"/>
      <c r="G95" s="267"/>
      <c r="H95" s="291"/>
      <c r="I95" s="161">
        <v>1.8912460747956057</v>
      </c>
      <c r="J95" s="679">
        <v>1.0102926714582252</v>
      </c>
      <c r="K95" s="161">
        <v>1.4923460747956052</v>
      </c>
      <c r="L95" s="291">
        <v>0.64511999999999992</v>
      </c>
      <c r="M95" s="291"/>
      <c r="N95" s="291"/>
      <c r="O95" s="680"/>
      <c r="P95" s="680"/>
      <c r="Q95" s="679">
        <v>1.0102926714582252</v>
      </c>
      <c r="R95" s="679">
        <v>0.64511999999999992</v>
      </c>
      <c r="T95" s="286"/>
      <c r="AE95" s="689">
        <v>36</v>
      </c>
      <c r="AF95" s="690">
        <v>-0.50699999999999923</v>
      </c>
      <c r="AG95" s="690">
        <f t="shared" si="6"/>
        <v>-5.0699999999999923</v>
      </c>
      <c r="AQ95" s="307">
        <v>39</v>
      </c>
      <c r="AR95" s="679">
        <v>1.0102926714582252</v>
      </c>
      <c r="AS95" s="690">
        <f t="shared" si="7"/>
        <v>10.102926714582253</v>
      </c>
      <c r="BB95" s="307">
        <v>39</v>
      </c>
      <c r="BC95" s="679">
        <v>0.64511999999999992</v>
      </c>
      <c r="BD95" s="690">
        <f t="shared" si="8"/>
        <v>6.4511999999999992</v>
      </c>
    </row>
    <row r="96" spans="1:69">
      <c r="A96" s="299">
        <v>41656</v>
      </c>
      <c r="B96" s="307" t="s">
        <v>139</v>
      </c>
      <c r="C96" s="307"/>
      <c r="D96" s="307"/>
      <c r="E96" s="268"/>
      <c r="F96" s="291">
        <f>AVERAGE(F4:F95)</f>
        <v>1.4003015695622436</v>
      </c>
      <c r="G96" s="267"/>
      <c r="H96" s="291"/>
      <c r="I96" s="161">
        <v>1.8654438253549059</v>
      </c>
      <c r="J96" s="679">
        <v>1.0201309896267592</v>
      </c>
      <c r="K96" s="161">
        <v>1.4737438253549064</v>
      </c>
      <c r="L96" s="291">
        <v>1.1059199999999998</v>
      </c>
      <c r="M96" s="291"/>
      <c r="N96" s="291"/>
      <c r="O96" s="680"/>
      <c r="P96" s="680"/>
      <c r="Q96" s="679">
        <v>1.0201309896267592</v>
      </c>
      <c r="R96" s="679">
        <v>1.1059199999999998</v>
      </c>
      <c r="T96" s="286"/>
      <c r="AE96" s="308"/>
      <c r="AF96" s="291"/>
      <c r="AG96" s="291"/>
      <c r="AQ96" s="307">
        <v>40</v>
      </c>
      <c r="AR96" s="679">
        <v>1.0201309896267592</v>
      </c>
      <c r="AS96" s="690">
        <f t="shared" si="7"/>
        <v>10.201309896267592</v>
      </c>
      <c r="BB96" s="307">
        <v>40</v>
      </c>
      <c r="BC96" s="679">
        <v>1.1059199999999998</v>
      </c>
      <c r="BD96" s="690">
        <f t="shared" si="8"/>
        <v>11.059199999999997</v>
      </c>
    </row>
    <row r="97" spans="1:56">
      <c r="A97" s="299">
        <v>41657</v>
      </c>
      <c r="B97" s="307" t="s">
        <v>149</v>
      </c>
      <c r="C97" s="307"/>
      <c r="D97" s="307"/>
      <c r="E97" s="268"/>
      <c r="F97" s="291">
        <f>STDEV(F4:F95)</f>
        <v>3.4848378145428249</v>
      </c>
      <c r="G97" s="267"/>
      <c r="H97" s="291"/>
      <c r="I97" s="161">
        <v>1.8430272572329993</v>
      </c>
      <c r="J97" s="679">
        <v>0.74483004024267152</v>
      </c>
      <c r="K97" s="161">
        <v>1.4548272572329988</v>
      </c>
      <c r="L97" s="291">
        <v>0.93023999999999996</v>
      </c>
      <c r="M97" s="291"/>
      <c r="N97" s="291"/>
      <c r="O97" s="680"/>
      <c r="P97" s="680"/>
      <c r="Q97" s="679">
        <v>0.74483004024267152</v>
      </c>
      <c r="R97" s="679">
        <v>0.93023999999999996</v>
      </c>
      <c r="T97" s="286"/>
      <c r="AE97" s="308"/>
      <c r="AF97" s="291"/>
      <c r="AG97" s="291"/>
      <c r="AQ97" s="307">
        <v>41</v>
      </c>
      <c r="AR97" s="679">
        <v>0.74483004024267152</v>
      </c>
      <c r="AS97" s="690">
        <f t="shared" si="7"/>
        <v>7.4483004024267156</v>
      </c>
      <c r="BB97" s="307">
        <v>41</v>
      </c>
      <c r="BC97" s="679">
        <v>0.93023999999999996</v>
      </c>
      <c r="BD97" s="690">
        <f t="shared" si="8"/>
        <v>9.3023999999999987</v>
      </c>
    </row>
    <row r="98" spans="1:56">
      <c r="A98" s="299">
        <v>41658</v>
      </c>
      <c r="B98" s="308" t="s">
        <v>104</v>
      </c>
      <c r="C98" s="308"/>
      <c r="D98" s="308"/>
      <c r="E98" s="268"/>
      <c r="F98" s="291">
        <f>F96+2*F97</f>
        <v>8.3699771986478932</v>
      </c>
      <c r="G98" s="267"/>
      <c r="H98" s="291"/>
      <c r="I98" s="161">
        <v>1.8197387187570999</v>
      </c>
      <c r="J98" s="679">
        <v>0.56576661193491162</v>
      </c>
      <c r="K98" s="161">
        <v>1.434738718757099</v>
      </c>
      <c r="L98" s="291">
        <v>0.70991999999999988</v>
      </c>
      <c r="M98" s="291"/>
      <c r="N98" s="291"/>
      <c r="O98" s="680"/>
      <c r="P98" s="680"/>
      <c r="Q98" s="679">
        <v>0.56576661193491162</v>
      </c>
      <c r="R98" s="679">
        <v>0.70991999999999988</v>
      </c>
      <c r="T98" s="286"/>
      <c r="AE98" s="286"/>
      <c r="AF98" s="291"/>
      <c r="AG98" s="291"/>
      <c r="AQ98" s="307">
        <v>42</v>
      </c>
      <c r="AR98" s="679">
        <v>0.56576661193491162</v>
      </c>
      <c r="AS98" s="690">
        <f t="shared" si="7"/>
        <v>5.6576661193491162</v>
      </c>
      <c r="BB98" s="307">
        <v>42</v>
      </c>
      <c r="BC98" s="679">
        <v>0.70991999999999988</v>
      </c>
      <c r="BD98" s="690">
        <f t="shared" si="8"/>
        <v>7.0991999999999988</v>
      </c>
    </row>
    <row r="99" spans="1:56">
      <c r="A99" s="299">
        <v>41659</v>
      </c>
      <c r="B99" s="308" t="s">
        <v>105</v>
      </c>
      <c r="C99" s="308"/>
      <c r="D99" s="308"/>
      <c r="E99" s="268"/>
      <c r="F99" s="291">
        <f>F96-2*F97</f>
        <v>-5.5693740595234065</v>
      </c>
      <c r="G99" s="267"/>
      <c r="H99" s="291"/>
      <c r="I99" s="161">
        <v>1.7965307456034256</v>
      </c>
      <c r="J99" s="679">
        <v>0.56816344768324645</v>
      </c>
      <c r="K99" s="161">
        <v>1.4139307456034245</v>
      </c>
      <c r="L99" s="291">
        <v>0.60624000000000011</v>
      </c>
      <c r="M99" s="291"/>
      <c r="N99" s="291"/>
      <c r="O99" s="681"/>
      <c r="P99" s="681"/>
      <c r="Q99" s="679">
        <v>0.56816344768324645</v>
      </c>
      <c r="R99" s="679">
        <v>0.60624000000000011</v>
      </c>
      <c r="T99" s="286"/>
      <c r="AE99" s="286"/>
      <c r="AF99" s="291"/>
      <c r="AG99" s="291"/>
      <c r="AQ99" s="307">
        <v>43</v>
      </c>
      <c r="AR99" s="679">
        <v>0.56816344768324645</v>
      </c>
      <c r="AS99" s="690">
        <f t="shared" si="7"/>
        <v>5.681634476832464</v>
      </c>
      <c r="BB99" s="307">
        <v>43</v>
      </c>
      <c r="BC99" s="679">
        <v>0.60624000000000011</v>
      </c>
      <c r="BD99" s="690">
        <f t="shared" si="8"/>
        <v>6.0624000000000011</v>
      </c>
    </row>
    <row r="100" spans="1:56">
      <c r="A100" s="299">
        <v>41660</v>
      </c>
      <c r="B100" s="286"/>
      <c r="C100" s="286"/>
      <c r="D100" s="286"/>
      <c r="E100" s="268"/>
      <c r="F100" s="291"/>
      <c r="G100" s="267"/>
      <c r="H100" s="291"/>
      <c r="I100" s="161">
        <v>1.7742712355360541</v>
      </c>
      <c r="J100" s="679">
        <v>0.59808424612383937</v>
      </c>
      <c r="K100" s="161">
        <v>1.3935712355360539</v>
      </c>
      <c r="L100" s="291">
        <v>0.48527999999999993</v>
      </c>
      <c r="M100" s="291"/>
      <c r="N100" s="291"/>
      <c r="O100" s="681"/>
      <c r="P100" s="681"/>
      <c r="Q100" s="679">
        <v>0.59808424612383937</v>
      </c>
      <c r="R100" s="679">
        <v>0.48527999999999993</v>
      </c>
      <c r="T100" s="286"/>
      <c r="AE100" s="286"/>
      <c r="AF100" s="291"/>
      <c r="AG100" s="291"/>
      <c r="AQ100" s="307">
        <v>44</v>
      </c>
      <c r="AR100" s="679">
        <v>0.59808424612383937</v>
      </c>
      <c r="AS100" s="690">
        <f t="shared" si="7"/>
        <v>5.9808424612383941</v>
      </c>
      <c r="BB100" s="307">
        <v>44</v>
      </c>
      <c r="BC100" s="679">
        <v>0.48527999999999993</v>
      </c>
      <c r="BD100" s="690">
        <f t="shared" si="8"/>
        <v>4.8527999999999993</v>
      </c>
    </row>
    <row r="101" spans="1:56">
      <c r="A101" s="299">
        <v>41661</v>
      </c>
      <c r="B101" s="286"/>
      <c r="C101" s="286"/>
      <c r="D101" s="286"/>
      <c r="E101" s="268"/>
      <c r="F101" s="291"/>
      <c r="G101" s="267"/>
      <c r="H101" s="291"/>
      <c r="I101" s="161">
        <v>1.7503448476143439</v>
      </c>
      <c r="J101" s="679">
        <v>0.52868427880805724</v>
      </c>
      <c r="K101" s="161">
        <v>1.3718448476143439</v>
      </c>
      <c r="L101" s="291">
        <v>0.36143999999999998</v>
      </c>
      <c r="M101" s="291"/>
      <c r="N101" s="291"/>
      <c r="O101" s="681"/>
      <c r="P101" s="681"/>
      <c r="Q101" s="679">
        <v>0.52868427880805724</v>
      </c>
      <c r="R101" s="679">
        <v>0.36143999999999998</v>
      </c>
      <c r="T101" s="286"/>
      <c r="AE101" s="286"/>
      <c r="AF101" s="291"/>
      <c r="AG101" s="291"/>
      <c r="AQ101" s="307">
        <v>45</v>
      </c>
      <c r="AR101" s="679">
        <v>0.52868427880805724</v>
      </c>
      <c r="AS101" s="690">
        <f t="shared" si="7"/>
        <v>5.2868427880805724</v>
      </c>
      <c r="BB101" s="307">
        <v>45</v>
      </c>
      <c r="BC101" s="679">
        <v>0.36143999999999998</v>
      </c>
      <c r="BD101" s="690">
        <f t="shared" si="8"/>
        <v>3.6143999999999998</v>
      </c>
    </row>
    <row r="102" spans="1:56">
      <c r="A102" s="299">
        <v>41662</v>
      </c>
      <c r="B102" s="286"/>
      <c r="C102" s="286"/>
      <c r="D102" s="286"/>
      <c r="E102" s="268"/>
      <c r="F102" s="291"/>
      <c r="G102" s="267"/>
      <c r="H102" s="291"/>
      <c r="I102" s="161">
        <v>1.7278583466082462</v>
      </c>
      <c r="J102" s="679">
        <v>0.34658347167495518</v>
      </c>
      <c r="K102" s="161">
        <v>1.3499583466082465</v>
      </c>
      <c r="L102" s="291">
        <v>0.42255134218871415</v>
      </c>
      <c r="M102" s="291"/>
      <c r="N102" s="291"/>
      <c r="O102" s="681"/>
      <c r="P102" s="681"/>
      <c r="Q102" s="679">
        <v>0.34658347167495518</v>
      </c>
      <c r="R102" s="679">
        <v>0.42255134218871415</v>
      </c>
      <c r="T102" s="286"/>
      <c r="AE102" s="286"/>
      <c r="AF102" s="291"/>
      <c r="AG102" s="291"/>
      <c r="AQ102" s="307">
        <v>46</v>
      </c>
      <c r="AR102" s="679">
        <v>0.34658347167495518</v>
      </c>
      <c r="AS102" s="690">
        <f t="shared" si="7"/>
        <v>3.4658347167495518</v>
      </c>
      <c r="BB102" s="307">
        <v>46</v>
      </c>
      <c r="BC102" s="679">
        <v>0.42255134218871415</v>
      </c>
      <c r="BD102" s="690">
        <f t="shared" si="8"/>
        <v>4.2255134218871415</v>
      </c>
    </row>
    <row r="103" spans="1:56">
      <c r="A103" s="299">
        <v>41663</v>
      </c>
      <c r="B103" s="286"/>
      <c r="C103" s="286"/>
      <c r="D103" s="286"/>
      <c r="E103" s="268"/>
      <c r="F103" s="291"/>
      <c r="G103" s="267"/>
      <c r="H103" s="291"/>
      <c r="I103" s="161">
        <v>1.7063139702099981</v>
      </c>
      <c r="J103" s="679">
        <v>0.34718426852914019</v>
      </c>
      <c r="K103" s="161">
        <v>1.3276139702099985</v>
      </c>
      <c r="L103" s="291">
        <v>0.42623999999999995</v>
      </c>
      <c r="M103" s="291"/>
      <c r="N103" s="291"/>
      <c r="O103" s="681"/>
      <c r="P103" s="681"/>
      <c r="Q103" s="679">
        <v>0.34718426852914019</v>
      </c>
      <c r="R103" s="679">
        <v>0.42623999999999995</v>
      </c>
      <c r="T103" s="286"/>
      <c r="AE103" s="286"/>
      <c r="AF103" s="291"/>
      <c r="AG103" s="291"/>
      <c r="AQ103" s="307">
        <v>47</v>
      </c>
      <c r="AR103" s="679">
        <v>0.34718426852914019</v>
      </c>
      <c r="AS103" s="690">
        <f t="shared" si="7"/>
        <v>3.4718426852914019</v>
      </c>
      <c r="BB103" s="307">
        <v>47</v>
      </c>
      <c r="BC103" s="679">
        <v>0.42623999999999995</v>
      </c>
      <c r="BD103" s="690">
        <f t="shared" si="8"/>
        <v>4.2623999999999995</v>
      </c>
    </row>
    <row r="104" spans="1:56">
      <c r="A104" s="299">
        <v>41664</v>
      </c>
      <c r="B104" s="286"/>
      <c r="C104" s="286"/>
      <c r="D104" s="286"/>
      <c r="E104" s="268"/>
      <c r="F104" s="291"/>
      <c r="G104" s="267"/>
      <c r="H104" s="291"/>
      <c r="I104" s="161">
        <v>1.6838859452633741</v>
      </c>
      <c r="J104" s="679">
        <v>-0.47807999999999984</v>
      </c>
      <c r="K104" s="161">
        <v>1.305385945263374</v>
      </c>
      <c r="L104" s="291">
        <v>1.0396800000000002</v>
      </c>
      <c r="M104" s="291"/>
      <c r="N104" s="291"/>
      <c r="O104" s="681"/>
      <c r="P104" s="681"/>
      <c r="Q104" s="679">
        <v>-0.47807999999999984</v>
      </c>
      <c r="R104" s="679">
        <v>1.0396800000000002</v>
      </c>
      <c r="T104" s="286"/>
      <c r="AE104" s="286"/>
      <c r="AF104" s="291"/>
      <c r="AG104" s="291"/>
      <c r="AQ104" s="307">
        <v>48</v>
      </c>
      <c r="AR104" s="679">
        <v>-0.47807999999999984</v>
      </c>
      <c r="AS104" s="690">
        <f t="shared" si="7"/>
        <v>-4.7807999999999984</v>
      </c>
      <c r="BB104" s="307">
        <v>48</v>
      </c>
      <c r="BC104" s="679">
        <v>1.0396800000000002</v>
      </c>
      <c r="BD104" s="690">
        <f t="shared" si="8"/>
        <v>10.396800000000002</v>
      </c>
    </row>
    <row r="105" spans="1:56">
      <c r="A105" s="299">
        <v>41665</v>
      </c>
      <c r="B105" s="286"/>
      <c r="C105" s="286"/>
      <c r="D105" s="286"/>
      <c r="E105" s="268"/>
      <c r="F105" s="291"/>
      <c r="G105" s="267"/>
      <c r="H105" s="291"/>
      <c r="I105" s="161">
        <v>1.6634575198718646</v>
      </c>
      <c r="J105" s="679">
        <v>-0.15983999999999998</v>
      </c>
      <c r="K105" s="161">
        <v>1.2829575198718639</v>
      </c>
      <c r="L105" s="291">
        <v>-2.6784000000000141E-2</v>
      </c>
      <c r="M105" s="291"/>
      <c r="N105" s="291"/>
      <c r="O105" s="681"/>
      <c r="P105" s="681"/>
      <c r="Q105" s="679">
        <v>-0.15983999999999998</v>
      </c>
      <c r="R105" s="679">
        <v>-2.6784000000000141E-2</v>
      </c>
      <c r="T105" s="286"/>
      <c r="AE105" s="286"/>
      <c r="AF105" s="291"/>
      <c r="AG105" s="291"/>
      <c r="AQ105" s="307">
        <v>49</v>
      </c>
      <c r="AR105" s="679">
        <v>-0.15983999999999998</v>
      </c>
      <c r="AS105" s="690">
        <f t="shared" si="7"/>
        <v>-1.5983999999999998</v>
      </c>
      <c r="BB105" s="307">
        <v>49</v>
      </c>
      <c r="BC105" s="679">
        <v>-2.6784000000000141E-2</v>
      </c>
      <c r="BD105" s="690">
        <f t="shared" si="8"/>
        <v>-0.26784000000000141</v>
      </c>
    </row>
    <row r="106" spans="1:56">
      <c r="A106" s="299">
        <v>41666</v>
      </c>
      <c r="B106" s="286"/>
      <c r="C106" s="286"/>
      <c r="D106" s="286"/>
      <c r="E106" s="268"/>
      <c r="F106" s="291"/>
      <c r="G106" s="267"/>
      <c r="H106" s="291"/>
      <c r="I106" s="161">
        <v>1.6420783796036555</v>
      </c>
      <c r="J106" s="679">
        <v>-0.4104000000000001</v>
      </c>
      <c r="K106" s="161">
        <v>1.2593783796036564</v>
      </c>
      <c r="L106" s="291">
        <v>-1.2830399999999909E-2</v>
      </c>
      <c r="M106" s="291"/>
      <c r="N106" s="291"/>
      <c r="O106" s="681"/>
      <c r="P106" s="681"/>
      <c r="Q106" s="679">
        <v>-0.4104000000000001</v>
      </c>
      <c r="R106" s="679">
        <v>-1.2830399999999909E-2</v>
      </c>
      <c r="AE106" s="286"/>
      <c r="AF106" s="291"/>
      <c r="AG106" s="291"/>
      <c r="AQ106" s="307">
        <v>50</v>
      </c>
      <c r="AR106" s="679">
        <v>-0.4104000000000001</v>
      </c>
      <c r="AS106" s="690">
        <f t="shared" si="7"/>
        <v>-4.104000000000001</v>
      </c>
      <c r="BB106" s="307">
        <v>50</v>
      </c>
      <c r="BC106" s="679">
        <v>-1.2830399999999909E-2</v>
      </c>
      <c r="BD106" s="690">
        <f t="shared" si="8"/>
        <v>-0.12830399999999909</v>
      </c>
    </row>
    <row r="107" spans="1:56">
      <c r="A107" s="299">
        <v>41667</v>
      </c>
      <c r="B107" s="286"/>
      <c r="C107" s="286"/>
      <c r="D107" s="286"/>
      <c r="E107" s="268"/>
      <c r="F107" s="291"/>
      <c r="G107" s="267"/>
      <c r="H107" s="291"/>
      <c r="I107" s="161">
        <v>1.6201814463819708</v>
      </c>
      <c r="J107" s="679">
        <v>-0.24191999999999991</v>
      </c>
      <c r="K107" s="161">
        <v>1.2354814463819692</v>
      </c>
      <c r="L107" s="291">
        <v>9.6191999999999833E-2</v>
      </c>
      <c r="M107" s="291"/>
      <c r="N107" s="291"/>
      <c r="O107" s="681"/>
      <c r="P107" s="681"/>
      <c r="Q107" s="679">
        <v>-0.24191999999999991</v>
      </c>
      <c r="R107" s="679">
        <v>9.6191999999999833E-2</v>
      </c>
      <c r="AE107" s="286"/>
      <c r="AF107" s="291"/>
      <c r="AG107" s="291"/>
      <c r="AQ107" s="307">
        <v>51</v>
      </c>
      <c r="AR107" s="679">
        <v>-0.24191999999999991</v>
      </c>
      <c r="AS107" s="690">
        <f t="shared" si="7"/>
        <v>-2.4191999999999991</v>
      </c>
      <c r="BB107" s="307">
        <v>51</v>
      </c>
      <c r="BC107" s="679">
        <v>9.6191999999999833E-2</v>
      </c>
      <c r="BD107" s="690">
        <f t="shared" si="8"/>
        <v>0.96191999999999833</v>
      </c>
    </row>
    <row r="108" spans="1:56">
      <c r="A108" s="299">
        <v>41668</v>
      </c>
      <c r="B108" s="286"/>
      <c r="C108" s="286"/>
      <c r="D108" s="286"/>
      <c r="E108" s="268"/>
      <c r="F108" s="291"/>
      <c r="G108" s="267"/>
      <c r="H108" s="291"/>
      <c r="I108" s="161">
        <v>1.5991260277020405</v>
      </c>
      <c r="J108" s="679">
        <v>-0.23328000000000015</v>
      </c>
      <c r="K108" s="161">
        <v>1.2124260277020418</v>
      </c>
      <c r="L108" s="291">
        <v>0.18432000000000004</v>
      </c>
      <c r="M108" s="291"/>
      <c r="N108" s="291"/>
      <c r="O108" s="681"/>
      <c r="P108" s="681"/>
      <c r="Q108" s="679">
        <v>-0.23328000000000015</v>
      </c>
      <c r="R108" s="679">
        <v>0.18432000000000004</v>
      </c>
      <c r="AE108" s="286"/>
      <c r="AF108" s="291"/>
      <c r="AG108" s="291"/>
      <c r="AQ108" s="307">
        <v>52</v>
      </c>
      <c r="AR108" s="679">
        <v>-0.23328000000000015</v>
      </c>
      <c r="AS108" s="690">
        <f t="shared" si="7"/>
        <v>-2.3328000000000015</v>
      </c>
      <c r="BB108" s="307">
        <v>52</v>
      </c>
      <c r="BC108" s="679">
        <v>0.18432000000000004</v>
      </c>
      <c r="BD108" s="690">
        <f t="shared" si="8"/>
        <v>1.8432000000000004</v>
      </c>
    </row>
    <row r="109" spans="1:56">
      <c r="A109" s="299">
        <v>41669</v>
      </c>
      <c r="B109" s="286"/>
      <c r="C109" s="286"/>
      <c r="D109" s="286"/>
      <c r="E109" s="268"/>
      <c r="F109" s="291"/>
      <c r="G109" s="267"/>
      <c r="H109" s="291"/>
      <c r="I109" s="161">
        <v>1.5776430056676023</v>
      </c>
      <c r="J109" s="679">
        <v>-7.185599999999992E-2</v>
      </c>
      <c r="K109" s="161">
        <v>1.1877430056676022</v>
      </c>
      <c r="L109" s="291">
        <v>-3.8736000000000104E-2</v>
      </c>
      <c r="M109" s="291"/>
      <c r="N109" s="291"/>
      <c r="O109" s="681"/>
      <c r="P109" s="681"/>
      <c r="Q109" s="679">
        <v>-7.185599999999992E-2</v>
      </c>
      <c r="R109" s="679">
        <v>-3.8736000000000104E-2</v>
      </c>
      <c r="AE109" s="286"/>
      <c r="AF109" s="291"/>
      <c r="AG109" s="291"/>
      <c r="AQ109" s="307">
        <v>53</v>
      </c>
      <c r="AR109" s="679">
        <v>-7.185599999999992E-2</v>
      </c>
      <c r="AS109" s="690">
        <f t="shared" si="7"/>
        <v>-0.7185599999999992</v>
      </c>
      <c r="BB109" s="307">
        <v>53</v>
      </c>
      <c r="BC109" s="679">
        <v>-3.8736000000000104E-2</v>
      </c>
      <c r="BD109" s="690">
        <f t="shared" si="8"/>
        <v>-0.38736000000000104</v>
      </c>
    </row>
    <row r="110" spans="1:56">
      <c r="A110" s="299">
        <v>41670</v>
      </c>
      <c r="B110" s="286"/>
      <c r="C110" s="286"/>
      <c r="D110" s="286"/>
      <c r="E110" s="268"/>
      <c r="F110" s="291"/>
      <c r="G110" s="267"/>
      <c r="H110" s="291"/>
      <c r="I110" s="161">
        <v>1.5563562973899845</v>
      </c>
      <c r="J110" s="679">
        <v>-0.14371199999999984</v>
      </c>
      <c r="K110" s="161">
        <v>1.1624562973899848</v>
      </c>
      <c r="L110" s="291">
        <v>0.11231999999999998</v>
      </c>
      <c r="M110" s="291"/>
      <c r="N110" s="291"/>
      <c r="O110" s="681"/>
      <c r="P110" s="681"/>
      <c r="Q110" s="679">
        <v>-0.14371199999999984</v>
      </c>
      <c r="R110" s="679">
        <v>0.11231999999999998</v>
      </c>
      <c r="AE110" s="286"/>
      <c r="AF110" s="291"/>
      <c r="AG110" s="291"/>
      <c r="AQ110" s="307">
        <v>54</v>
      </c>
      <c r="AR110" s="679">
        <v>-0.14371199999999984</v>
      </c>
      <c r="AS110" s="690">
        <f t="shared" si="7"/>
        <v>-1.4371199999999984</v>
      </c>
      <c r="BB110" s="307">
        <v>54</v>
      </c>
      <c r="BC110" s="679">
        <v>0.11231999999999998</v>
      </c>
      <c r="BD110" s="690">
        <f t="shared" si="8"/>
        <v>1.1231999999999998</v>
      </c>
    </row>
    <row r="111" spans="1:56">
      <c r="A111" s="299">
        <v>41671</v>
      </c>
      <c r="B111" s="286"/>
      <c r="C111" s="286"/>
      <c r="D111" s="286"/>
      <c r="E111" s="268"/>
      <c r="F111" s="291"/>
      <c r="G111" s="267"/>
      <c r="H111" s="291"/>
      <c r="I111" s="161">
        <v>1.5351661054413257</v>
      </c>
      <c r="J111" s="679">
        <v>-6.3072000000000017E-2</v>
      </c>
      <c r="K111" s="161">
        <v>1.1376661054413257</v>
      </c>
      <c r="L111" s="291">
        <v>0.30527999999999977</v>
      </c>
      <c r="M111" s="291"/>
      <c r="N111" s="291"/>
      <c r="O111" s="681"/>
      <c r="P111" s="681"/>
      <c r="Q111" s="679">
        <v>-6.3072000000000017E-2</v>
      </c>
      <c r="R111" s="679">
        <v>0.30527999999999977</v>
      </c>
      <c r="AE111" s="286"/>
      <c r="AF111" s="291"/>
      <c r="AG111" s="291"/>
      <c r="AQ111" s="307">
        <v>55</v>
      </c>
      <c r="AR111" s="679">
        <v>-6.3072000000000017E-2</v>
      </c>
      <c r="AS111" s="690">
        <f t="shared" si="7"/>
        <v>-0.63072000000000017</v>
      </c>
      <c r="BB111" s="307">
        <v>55</v>
      </c>
      <c r="BC111" s="679">
        <v>0.30527999999999977</v>
      </c>
      <c r="BD111" s="690">
        <f t="shared" si="8"/>
        <v>3.0527999999999977</v>
      </c>
    </row>
    <row r="112" spans="1:56">
      <c r="A112" s="299">
        <v>41672</v>
      </c>
      <c r="B112" s="286"/>
      <c r="C112" s="286"/>
      <c r="D112" s="286"/>
      <c r="E112" s="268"/>
      <c r="F112" s="291"/>
      <c r="G112" s="267"/>
      <c r="H112" s="291"/>
      <c r="I112" s="161">
        <v>1.5152657026467513</v>
      </c>
      <c r="J112" s="679">
        <v>5.731200000000003E-2</v>
      </c>
      <c r="K112" s="161">
        <v>1.112165702646752</v>
      </c>
      <c r="L112" s="291">
        <v>-0.17711999999999994</v>
      </c>
      <c r="M112" s="291"/>
      <c r="N112" s="291"/>
      <c r="O112" s="681"/>
      <c r="P112" s="681"/>
      <c r="Q112" s="679">
        <v>5.731200000000003E-2</v>
      </c>
      <c r="R112" s="679">
        <v>-0.17711999999999994</v>
      </c>
      <c r="AE112" s="286"/>
      <c r="AF112" s="291"/>
      <c r="AG112" s="291"/>
      <c r="AQ112" s="307">
        <v>56</v>
      </c>
      <c r="AR112" s="679">
        <v>5.731200000000003E-2</v>
      </c>
      <c r="AS112" s="690">
        <f t="shared" si="7"/>
        <v>0.5731200000000003</v>
      </c>
      <c r="BB112" s="307">
        <v>56</v>
      </c>
      <c r="BC112" s="679">
        <v>-0.17711999999999994</v>
      </c>
      <c r="BD112" s="690">
        <f t="shared" si="8"/>
        <v>-1.7711999999999994</v>
      </c>
    </row>
    <row r="113" spans="1:56">
      <c r="A113" s="299">
        <v>41673</v>
      </c>
      <c r="B113" s="286"/>
      <c r="C113" s="286"/>
      <c r="D113" s="286"/>
      <c r="E113" s="268"/>
      <c r="F113" s="291"/>
      <c r="G113" s="267"/>
      <c r="H113" s="291"/>
      <c r="I113" s="161">
        <v>1.4951765329575299</v>
      </c>
      <c r="J113" s="679">
        <v>0.11203200000000013</v>
      </c>
      <c r="K113" s="161">
        <v>1.08927653295753</v>
      </c>
      <c r="L113" s="291">
        <v>-4.8528000000000127E-2</v>
      </c>
      <c r="M113" s="291"/>
      <c r="N113" s="291"/>
      <c r="O113" s="681"/>
      <c r="P113" s="681"/>
      <c r="Q113" s="679">
        <v>0.11203200000000013</v>
      </c>
      <c r="R113" s="679">
        <v>-4.8528000000000127E-2</v>
      </c>
      <c r="AE113" s="286"/>
      <c r="AF113" s="291"/>
      <c r="AG113" s="291"/>
      <c r="AQ113" s="307">
        <v>57</v>
      </c>
      <c r="AR113" s="679">
        <v>0.11203200000000013</v>
      </c>
      <c r="AS113" s="690">
        <f t="shared" si="7"/>
        <v>1.1203200000000013</v>
      </c>
      <c r="BB113" s="307">
        <v>57</v>
      </c>
      <c r="BC113" s="679">
        <v>-4.8528000000000127E-2</v>
      </c>
      <c r="BD113" s="690">
        <f t="shared" si="8"/>
        <v>-0.48528000000000127</v>
      </c>
    </row>
    <row r="114" spans="1:56">
      <c r="A114" s="299">
        <v>41674</v>
      </c>
      <c r="B114" s="286"/>
      <c r="C114" s="286"/>
      <c r="D114" s="286"/>
      <c r="E114" s="268"/>
      <c r="F114" s="291"/>
      <c r="G114" s="267"/>
      <c r="H114" s="291"/>
      <c r="I114" s="161">
        <v>1.4721573055512711</v>
      </c>
      <c r="J114" s="679">
        <v>-0.7128000000000001</v>
      </c>
      <c r="K114" s="161">
        <v>1.0646573055512696</v>
      </c>
      <c r="L114" s="291">
        <v>0.12844800000000012</v>
      </c>
      <c r="M114" s="291"/>
      <c r="N114" s="291"/>
      <c r="O114" s="681"/>
      <c r="P114" s="681"/>
      <c r="Q114" s="679">
        <v>-0.7128000000000001</v>
      </c>
      <c r="R114" s="679">
        <v>0.12844800000000012</v>
      </c>
      <c r="AE114" s="286"/>
      <c r="AF114" s="291"/>
      <c r="AG114" s="291"/>
      <c r="AQ114" s="307">
        <v>58</v>
      </c>
      <c r="AR114" s="679">
        <v>-0.7128000000000001</v>
      </c>
      <c r="AS114" s="690">
        <f t="shared" si="7"/>
        <v>-7.128000000000001</v>
      </c>
      <c r="BB114" s="307">
        <v>58</v>
      </c>
      <c r="BC114" s="679">
        <v>0.12844800000000012</v>
      </c>
      <c r="BD114" s="690">
        <f t="shared" si="8"/>
        <v>1.2844800000000012</v>
      </c>
    </row>
    <row r="115" spans="1:56">
      <c r="A115" s="299">
        <v>41675</v>
      </c>
      <c r="B115" s="286"/>
      <c r="C115" s="286"/>
      <c r="D115" s="286"/>
      <c r="E115" s="268"/>
      <c r="F115" s="291"/>
      <c r="G115" s="267"/>
      <c r="H115" s="291"/>
      <c r="I115" s="161">
        <v>1.4525552539833169</v>
      </c>
      <c r="J115" s="679">
        <v>-0.66528000000000009</v>
      </c>
      <c r="K115" s="161">
        <v>1.0399552539833183</v>
      </c>
      <c r="L115" s="291">
        <v>-0.22319999999999984</v>
      </c>
      <c r="M115" s="291"/>
      <c r="N115" s="291"/>
      <c r="O115" s="681"/>
      <c r="P115" s="681"/>
      <c r="Q115" s="679">
        <v>-0.66528000000000009</v>
      </c>
      <c r="R115" s="679">
        <v>-0.22319999999999984</v>
      </c>
      <c r="AE115" s="286"/>
      <c r="AF115" s="291"/>
      <c r="AG115" s="291"/>
      <c r="AQ115" s="307">
        <v>59</v>
      </c>
      <c r="AR115" s="679">
        <v>-0.66528000000000009</v>
      </c>
      <c r="AS115" s="690">
        <f t="shared" si="7"/>
        <v>-6.6528000000000009</v>
      </c>
      <c r="BB115" s="307">
        <v>59</v>
      </c>
      <c r="BC115" s="679">
        <v>-0.22319999999999984</v>
      </c>
      <c r="BD115" s="690">
        <f t="shared" si="8"/>
        <v>-2.2319999999999984</v>
      </c>
    </row>
    <row r="116" spans="1:56">
      <c r="A116" s="299">
        <v>41676</v>
      </c>
      <c r="B116" s="286"/>
      <c r="C116" s="286"/>
      <c r="D116" s="286"/>
      <c r="E116" s="268"/>
      <c r="F116" s="291"/>
      <c r="G116" s="267"/>
      <c r="H116" s="291"/>
      <c r="I116" s="161">
        <v>1.4321198800472623</v>
      </c>
      <c r="J116" s="679">
        <v>-1.2369599999999998</v>
      </c>
      <c r="K116" s="161">
        <v>1.0165198800472619</v>
      </c>
      <c r="L116" s="291">
        <v>-0.97775999999999996</v>
      </c>
      <c r="M116" s="291"/>
      <c r="N116" s="291"/>
      <c r="O116" s="681"/>
      <c r="P116" s="681"/>
      <c r="Q116" s="679">
        <v>-1.2369599999999998</v>
      </c>
      <c r="R116" s="679">
        <v>-0.97775999999999996</v>
      </c>
      <c r="AE116" s="286"/>
      <c r="AF116" s="291"/>
      <c r="AG116" s="291"/>
      <c r="AQ116" s="307">
        <v>60</v>
      </c>
      <c r="AR116" s="679">
        <v>-1.2369599999999998</v>
      </c>
      <c r="AS116" s="690">
        <f t="shared" si="7"/>
        <v>-12.369599999999998</v>
      </c>
      <c r="BB116" s="307">
        <v>60</v>
      </c>
      <c r="BC116" s="679">
        <v>-0.97775999999999996</v>
      </c>
      <c r="BD116" s="690">
        <f t="shared" si="8"/>
        <v>-9.7775999999999996</v>
      </c>
    </row>
    <row r="117" spans="1:56">
      <c r="A117" s="299">
        <v>41677</v>
      </c>
      <c r="B117" s="286"/>
      <c r="C117" s="286"/>
      <c r="D117" s="286"/>
      <c r="E117" s="268"/>
      <c r="F117" s="291"/>
      <c r="G117" s="267"/>
      <c r="H117" s="291"/>
      <c r="I117" s="161">
        <v>1.4101740691962346</v>
      </c>
      <c r="J117" s="679">
        <v>-1.0411200000000003</v>
      </c>
      <c r="K117" s="161">
        <v>0.99477406919623368</v>
      </c>
      <c r="L117" s="291">
        <v>-0.54576000000000002</v>
      </c>
      <c r="M117" s="291"/>
      <c r="N117" s="291"/>
      <c r="O117" s="681"/>
      <c r="P117" s="681"/>
      <c r="Q117" s="679">
        <v>-1.0411200000000003</v>
      </c>
      <c r="R117" s="679">
        <v>-0.54576000000000002</v>
      </c>
      <c r="AE117" s="286"/>
      <c r="AF117" s="291"/>
      <c r="AG117" s="291"/>
      <c r="AQ117" s="307">
        <v>61</v>
      </c>
      <c r="AR117" s="679">
        <v>-1.0411200000000003</v>
      </c>
      <c r="AS117" s="690">
        <f t="shared" si="7"/>
        <v>-10.411200000000003</v>
      </c>
      <c r="BB117" s="307">
        <v>61</v>
      </c>
      <c r="BC117" s="679">
        <v>-0.54576000000000002</v>
      </c>
      <c r="BD117" s="690">
        <f t="shared" si="8"/>
        <v>-5.4576000000000002</v>
      </c>
    </row>
    <row r="118" spans="1:56">
      <c r="A118" s="299">
        <v>41678</v>
      </c>
      <c r="B118" s="286"/>
      <c r="C118" s="286"/>
      <c r="D118" s="286"/>
      <c r="E118" s="268"/>
      <c r="F118" s="291"/>
      <c r="G118" s="267"/>
      <c r="H118" s="291"/>
      <c r="I118" s="161">
        <v>1.3890292876537189</v>
      </c>
      <c r="J118" s="679">
        <v>-0.87695999999999996</v>
      </c>
      <c r="K118" s="161">
        <v>0.97102928765371876</v>
      </c>
      <c r="L118" s="291">
        <v>-0.30527999999999977</v>
      </c>
      <c r="M118" s="291"/>
      <c r="N118" s="291"/>
      <c r="O118" s="681"/>
      <c r="P118" s="681"/>
      <c r="Q118" s="679">
        <v>-0.87695999999999996</v>
      </c>
      <c r="R118" s="679">
        <v>-0.30527999999999977</v>
      </c>
      <c r="AE118" s="286"/>
      <c r="AF118" s="291"/>
      <c r="AG118" s="291"/>
      <c r="AQ118" s="307">
        <v>62</v>
      </c>
      <c r="AR118" s="679">
        <v>-0.87695999999999996</v>
      </c>
      <c r="AS118" s="690">
        <f t="shared" si="7"/>
        <v>-8.7696000000000005</v>
      </c>
      <c r="BB118" s="307">
        <v>62</v>
      </c>
      <c r="BC118" s="679">
        <v>-0.30527999999999977</v>
      </c>
      <c r="BD118" s="690">
        <f t="shared" si="8"/>
        <v>-3.0527999999999977</v>
      </c>
    </row>
    <row r="119" spans="1:56">
      <c r="A119" s="299">
        <v>41679</v>
      </c>
      <c r="B119" s="286"/>
      <c r="C119" s="286"/>
      <c r="D119" s="286"/>
      <c r="E119" s="268"/>
      <c r="F119" s="291"/>
      <c r="G119" s="267"/>
      <c r="H119" s="291"/>
      <c r="I119" s="161">
        <v>1.3675225346322315</v>
      </c>
      <c r="J119" s="679">
        <v>-0.98351999999999995</v>
      </c>
      <c r="K119" s="161">
        <v>0.94512253463223272</v>
      </c>
      <c r="L119" s="291">
        <v>-0.45359999999999978</v>
      </c>
      <c r="M119" s="291"/>
      <c r="N119" s="291"/>
      <c r="O119" s="681"/>
      <c r="P119" s="681"/>
      <c r="Q119" s="679">
        <v>-0.98351999999999995</v>
      </c>
      <c r="R119" s="679">
        <v>-0.45359999999999978</v>
      </c>
      <c r="AE119" s="286"/>
      <c r="AF119" s="291"/>
      <c r="AG119" s="291"/>
      <c r="AQ119" s="307">
        <v>63</v>
      </c>
      <c r="AR119" s="679">
        <v>-0.98351999999999995</v>
      </c>
      <c r="AS119" s="690">
        <f t="shared" si="7"/>
        <v>-9.8352000000000004</v>
      </c>
      <c r="BB119" s="307">
        <v>63</v>
      </c>
      <c r="BC119" s="679">
        <v>-0.45359999999999978</v>
      </c>
      <c r="BD119" s="690">
        <f t="shared" si="8"/>
        <v>-4.5359999999999978</v>
      </c>
    </row>
    <row r="120" spans="1:56">
      <c r="A120" s="299">
        <v>41680</v>
      </c>
      <c r="B120" s="286"/>
      <c r="C120" s="286"/>
      <c r="D120" s="286"/>
      <c r="E120" s="268"/>
      <c r="F120" s="291"/>
      <c r="G120" s="267"/>
      <c r="H120" s="291"/>
      <c r="I120" s="161">
        <v>1.3459656861989058</v>
      </c>
      <c r="J120" s="679">
        <v>-1.0526400000000002</v>
      </c>
      <c r="K120" s="161">
        <v>0.92076568619890642</v>
      </c>
      <c r="L120" s="291">
        <v>-0.6120000000000001</v>
      </c>
      <c r="M120" s="291"/>
      <c r="N120" s="291"/>
      <c r="O120" s="681"/>
      <c r="P120" s="681"/>
      <c r="Q120" s="679">
        <v>-1.0526400000000002</v>
      </c>
      <c r="R120" s="679">
        <v>-0.6120000000000001</v>
      </c>
      <c r="AE120" s="286"/>
      <c r="AF120" s="291"/>
      <c r="AG120" s="291"/>
      <c r="AQ120" s="307">
        <v>64</v>
      </c>
      <c r="AR120" s="679">
        <v>-1.0526400000000002</v>
      </c>
      <c r="AS120" s="690">
        <f t="shared" si="7"/>
        <v>-10.526400000000002</v>
      </c>
      <c r="BB120" s="307">
        <v>64</v>
      </c>
      <c r="BC120" s="679">
        <v>-0.6120000000000001</v>
      </c>
      <c r="BD120" s="690">
        <f t="shared" si="8"/>
        <v>-6.120000000000001</v>
      </c>
    </row>
    <row r="121" spans="1:56">
      <c r="A121" s="299">
        <v>41681</v>
      </c>
      <c r="B121" s="286"/>
      <c r="C121" s="286"/>
      <c r="D121" s="286"/>
      <c r="E121" s="268"/>
      <c r="F121" s="291"/>
      <c r="G121" s="267"/>
      <c r="H121" s="291"/>
      <c r="I121" s="161">
        <v>1.3257501426861293</v>
      </c>
      <c r="J121" s="679">
        <v>-0.98064000000000018</v>
      </c>
      <c r="K121" s="161">
        <v>0.89365014268613008</v>
      </c>
      <c r="L121" s="291">
        <v>-0.93455999999999984</v>
      </c>
      <c r="M121" s="291"/>
      <c r="N121" s="291"/>
      <c r="O121" s="681"/>
      <c r="P121" s="681"/>
      <c r="Q121" s="679">
        <v>-0.98064000000000018</v>
      </c>
      <c r="R121" s="679">
        <v>-0.93455999999999984</v>
      </c>
      <c r="AE121" s="286"/>
      <c r="AF121" s="291"/>
      <c r="AG121" s="291"/>
      <c r="AQ121" s="307">
        <v>65</v>
      </c>
      <c r="AR121" s="679">
        <v>-0.98064000000000018</v>
      </c>
      <c r="AS121" s="690">
        <f t="shared" si="7"/>
        <v>-9.8064000000000018</v>
      </c>
      <c r="BB121" s="307">
        <v>65</v>
      </c>
      <c r="BC121" s="679">
        <v>-0.93455999999999984</v>
      </c>
      <c r="BD121" s="690">
        <f t="shared" si="8"/>
        <v>-9.3455999999999975</v>
      </c>
    </row>
    <row r="122" spans="1:56">
      <c r="A122" s="299">
        <v>41682</v>
      </c>
      <c r="B122" s="286"/>
      <c r="C122" s="286"/>
      <c r="D122" s="286"/>
      <c r="E122" s="268"/>
      <c r="F122" s="291"/>
      <c r="G122" s="267"/>
      <c r="H122" s="291"/>
      <c r="I122" s="161">
        <v>1.3051910354133338</v>
      </c>
      <c r="J122" s="679">
        <v>-8.524799999999999E-2</v>
      </c>
      <c r="K122" s="161">
        <v>0.86809103541333377</v>
      </c>
      <c r="L122" s="291">
        <v>-0.12124800000000002</v>
      </c>
      <c r="M122" s="291"/>
      <c r="N122" s="291"/>
      <c r="O122" s="681"/>
      <c r="P122" s="681"/>
      <c r="Q122" s="679">
        <v>-8.524799999999999E-2</v>
      </c>
      <c r="R122" s="679">
        <v>-0.12124800000000002</v>
      </c>
      <c r="AE122" s="286"/>
      <c r="AF122" s="291"/>
      <c r="AG122" s="291"/>
      <c r="AQ122" s="307">
        <v>66</v>
      </c>
      <c r="AR122" s="679">
        <v>-8.524799999999999E-2</v>
      </c>
      <c r="AS122" s="690">
        <f t="shared" si="7"/>
        <v>-0.8524799999999999</v>
      </c>
      <c r="BB122" s="307">
        <v>66</v>
      </c>
      <c r="BC122" s="679">
        <v>-0.12124800000000002</v>
      </c>
      <c r="BD122" s="690">
        <f t="shared" si="8"/>
        <v>-1.2124800000000002</v>
      </c>
    </row>
    <row r="123" spans="1:56">
      <c r="A123" s="299">
        <v>41683</v>
      </c>
      <c r="B123" s="286"/>
      <c r="C123" s="286"/>
      <c r="D123" s="286"/>
      <c r="E123" s="268"/>
      <c r="F123" s="291"/>
      <c r="G123" s="267"/>
      <c r="H123" s="291"/>
      <c r="I123" s="161">
        <v>1.2847067908970122</v>
      </c>
      <c r="J123" s="679">
        <v>0.12196799999999985</v>
      </c>
      <c r="K123" s="161">
        <v>0.84340679089701309</v>
      </c>
      <c r="L123" s="291">
        <v>0.30384000000000011</v>
      </c>
      <c r="M123" s="291"/>
      <c r="N123" s="291"/>
      <c r="O123" s="681"/>
      <c r="P123" s="681"/>
      <c r="Q123" s="679">
        <v>0.12196799999999985</v>
      </c>
      <c r="R123" s="679">
        <v>0.30384000000000011</v>
      </c>
      <c r="AE123" s="286"/>
      <c r="AF123" s="291"/>
      <c r="AG123" s="291"/>
      <c r="AQ123" s="307">
        <v>67</v>
      </c>
      <c r="AR123" s="679">
        <v>0.12196799999999985</v>
      </c>
      <c r="AS123" s="690">
        <f t="shared" si="7"/>
        <v>1.2196799999999985</v>
      </c>
      <c r="BB123" s="307">
        <v>67</v>
      </c>
      <c r="BC123" s="679">
        <v>0.30384000000000011</v>
      </c>
      <c r="BD123" s="690">
        <f t="shared" si="8"/>
        <v>3.0384000000000011</v>
      </c>
    </row>
    <row r="124" spans="1:56">
      <c r="A124" s="299">
        <v>41684</v>
      </c>
      <c r="B124" s="286"/>
      <c r="C124" s="286"/>
      <c r="D124" s="286"/>
      <c r="E124" s="268"/>
      <c r="F124" s="291"/>
      <c r="G124" s="267"/>
      <c r="H124" s="291"/>
      <c r="I124" s="161">
        <v>1.2617270452620954</v>
      </c>
      <c r="J124" s="679">
        <v>0.74015999999999993</v>
      </c>
      <c r="K124" s="161">
        <v>0.81532704526209576</v>
      </c>
      <c r="L124" s="291">
        <v>1.6992</v>
      </c>
      <c r="M124" s="291"/>
      <c r="N124" s="291"/>
      <c r="O124" s="681"/>
      <c r="P124" s="681"/>
      <c r="Q124" s="679">
        <v>0.74015999999999993</v>
      </c>
      <c r="R124" s="679">
        <v>1.6992</v>
      </c>
      <c r="AE124" s="286"/>
      <c r="AF124" s="291"/>
      <c r="AG124" s="291"/>
      <c r="AQ124" s="307">
        <v>68</v>
      </c>
      <c r="AR124" s="679">
        <v>0.74015999999999993</v>
      </c>
      <c r="AS124" s="690">
        <f t="shared" si="7"/>
        <v>7.4015999999999993</v>
      </c>
      <c r="BB124" s="307">
        <v>68</v>
      </c>
      <c r="BC124" s="679">
        <v>1.6992</v>
      </c>
      <c r="BD124" s="690">
        <f t="shared" si="8"/>
        <v>16.992000000000001</v>
      </c>
    </row>
    <row r="125" spans="1:56">
      <c r="A125" s="299">
        <v>41685</v>
      </c>
      <c r="B125" s="286"/>
      <c r="C125" s="286"/>
      <c r="D125" s="286"/>
      <c r="E125" s="268"/>
      <c r="F125" s="291"/>
      <c r="G125" s="267"/>
      <c r="H125" s="291"/>
      <c r="I125" s="161">
        <v>1.2418932989521871</v>
      </c>
      <c r="J125" s="679">
        <v>0.22320000000000007</v>
      </c>
      <c r="K125" s="161">
        <v>0.78949329895218723</v>
      </c>
      <c r="L125" s="291">
        <v>-0.3024</v>
      </c>
      <c r="M125" s="291"/>
      <c r="N125" s="291"/>
      <c r="O125" s="681"/>
      <c r="P125" s="681"/>
      <c r="Q125" s="679">
        <v>0.22320000000000007</v>
      </c>
      <c r="R125" s="679">
        <v>-0.3024</v>
      </c>
      <c r="AE125" s="286"/>
      <c r="AF125" s="291"/>
      <c r="AG125" s="291"/>
      <c r="AQ125" s="307">
        <v>69</v>
      </c>
      <c r="AR125" s="679">
        <v>0.22320000000000007</v>
      </c>
      <c r="AS125" s="690">
        <f t="shared" si="7"/>
        <v>2.2320000000000007</v>
      </c>
      <c r="BB125" s="307">
        <v>69</v>
      </c>
      <c r="BC125" s="679">
        <v>-0.3024</v>
      </c>
      <c r="BD125" s="690">
        <f t="shared" si="8"/>
        <v>-3.024</v>
      </c>
    </row>
    <row r="126" spans="1:56">
      <c r="A126" s="299">
        <v>41686</v>
      </c>
      <c r="B126" s="286"/>
      <c r="C126" s="286"/>
      <c r="D126" s="286"/>
      <c r="E126" s="268"/>
      <c r="F126" s="291"/>
      <c r="G126" s="267"/>
      <c r="H126" s="291"/>
      <c r="I126" s="161">
        <v>1.2223783631558125</v>
      </c>
      <c r="J126" s="679">
        <v>0.19584000000000001</v>
      </c>
      <c r="K126" s="161">
        <v>0.76517836315581134</v>
      </c>
      <c r="L126" s="291">
        <v>-0.26495999999999986</v>
      </c>
      <c r="M126" s="291"/>
      <c r="N126" s="291"/>
      <c r="O126" s="681"/>
      <c r="P126" s="681"/>
      <c r="Q126" s="679">
        <v>0.19584000000000001</v>
      </c>
      <c r="R126" s="679">
        <v>-0.26495999999999986</v>
      </c>
      <c r="AE126" s="286"/>
      <c r="AF126" s="291"/>
      <c r="AG126" s="291"/>
      <c r="AQ126" s="307">
        <v>70</v>
      </c>
      <c r="AR126" s="679">
        <v>0.19584000000000001</v>
      </c>
      <c r="AS126" s="690">
        <f t="shared" si="7"/>
        <v>1.9584000000000001</v>
      </c>
      <c r="BB126" s="307">
        <v>70</v>
      </c>
      <c r="BC126" s="679">
        <v>-0.26495999999999986</v>
      </c>
      <c r="BD126" s="690">
        <f t="shared" si="8"/>
        <v>-2.6495999999999986</v>
      </c>
    </row>
    <row r="127" spans="1:56">
      <c r="A127" s="299">
        <v>41687</v>
      </c>
      <c r="B127" s="286"/>
      <c r="C127" s="286"/>
      <c r="D127" s="286"/>
      <c r="E127" s="268"/>
      <c r="F127" s="291"/>
      <c r="G127" s="267"/>
      <c r="H127" s="291"/>
      <c r="I127" s="161">
        <v>1.2017894124865713</v>
      </c>
      <c r="J127" s="679">
        <v>0.52127999999999997</v>
      </c>
      <c r="K127" s="161">
        <v>0.74098941248656969</v>
      </c>
      <c r="L127" s="291">
        <v>0.71711999999999998</v>
      </c>
      <c r="M127" s="291"/>
      <c r="N127" s="291"/>
      <c r="O127" s="681"/>
      <c r="P127" s="681"/>
      <c r="Q127" s="679">
        <v>0.52127999999999997</v>
      </c>
      <c r="R127" s="679">
        <v>0.71711999999999998</v>
      </c>
      <c r="AE127" s="286"/>
      <c r="AF127" s="291"/>
      <c r="AG127" s="291"/>
      <c r="AQ127" s="307">
        <v>71</v>
      </c>
      <c r="AR127" s="679">
        <v>0.52127999999999997</v>
      </c>
      <c r="AS127" s="690">
        <f t="shared" si="7"/>
        <v>5.2127999999999997</v>
      </c>
      <c r="BB127" s="307">
        <v>71</v>
      </c>
      <c r="BC127" s="679">
        <v>0.71711999999999998</v>
      </c>
      <c r="BD127" s="690">
        <f t="shared" si="8"/>
        <v>7.1711999999999998</v>
      </c>
    </row>
    <row r="128" spans="1:56">
      <c r="A128" s="299">
        <v>41688</v>
      </c>
      <c r="B128" s="286"/>
      <c r="C128" s="286"/>
      <c r="D128" s="286"/>
      <c r="E128" s="268"/>
      <c r="F128" s="291"/>
      <c r="G128" s="267"/>
      <c r="H128" s="291"/>
      <c r="I128" s="161">
        <v>1.1800295043240081</v>
      </c>
      <c r="J128" s="679">
        <v>7.6608000000000231E-3</v>
      </c>
      <c r="K128" s="161">
        <v>0.71552950432400797</v>
      </c>
      <c r="L128" s="291">
        <v>0.28224000000000005</v>
      </c>
      <c r="M128" s="291"/>
      <c r="N128" s="291"/>
      <c r="O128" s="681"/>
      <c r="P128" s="681"/>
      <c r="Q128" s="679">
        <v>7.6608000000000231E-3</v>
      </c>
      <c r="R128" s="679">
        <v>0.28224000000000005</v>
      </c>
      <c r="AE128" s="286"/>
      <c r="AF128" s="291"/>
      <c r="AG128" s="291"/>
      <c r="AQ128" s="307">
        <v>72</v>
      </c>
      <c r="AR128" s="679">
        <v>7.6608000000000231E-3</v>
      </c>
      <c r="AS128" s="690">
        <f t="shared" si="7"/>
        <v>7.6608000000000231E-2</v>
      </c>
      <c r="BB128" s="307">
        <v>72</v>
      </c>
      <c r="BC128" s="679">
        <v>0.28224000000000005</v>
      </c>
      <c r="BD128" s="690">
        <f t="shared" si="8"/>
        <v>2.8224000000000005</v>
      </c>
    </row>
    <row r="129" spans="1:56">
      <c r="A129" s="299">
        <v>41689</v>
      </c>
      <c r="B129" s="286"/>
      <c r="C129" s="286"/>
      <c r="D129" s="286"/>
      <c r="E129" s="268"/>
      <c r="F129" s="291"/>
      <c r="G129" s="267"/>
      <c r="H129" s="291"/>
      <c r="I129" s="161">
        <v>1.1658444354209991</v>
      </c>
      <c r="J129" s="679">
        <v>-0.13852799999999998</v>
      </c>
      <c r="K129" s="161">
        <v>0.69674443542099906</v>
      </c>
      <c r="L129" s="291">
        <v>-1.1664000000000003</v>
      </c>
      <c r="M129" s="291"/>
      <c r="N129" s="291"/>
      <c r="O129" s="681"/>
      <c r="P129" s="681"/>
      <c r="Q129" s="679">
        <v>-0.13852799999999998</v>
      </c>
      <c r="R129" s="679">
        <v>-1.1664000000000003</v>
      </c>
      <c r="AE129" s="286"/>
      <c r="AF129" s="291"/>
      <c r="AG129" s="291"/>
      <c r="AQ129" s="307">
        <v>73</v>
      </c>
      <c r="AR129" s="679">
        <v>-0.13852799999999998</v>
      </c>
      <c r="AS129" s="690">
        <f t="shared" si="7"/>
        <v>-1.3852799999999998</v>
      </c>
      <c r="BB129" s="307">
        <v>73</v>
      </c>
      <c r="BC129" s="679">
        <v>-1.1664000000000003</v>
      </c>
      <c r="BD129" s="690">
        <f t="shared" si="8"/>
        <v>-11.664000000000003</v>
      </c>
    </row>
    <row r="130" spans="1:56">
      <c r="A130" s="299">
        <v>41690</v>
      </c>
      <c r="B130" s="286"/>
      <c r="C130" s="286"/>
      <c r="D130" s="286"/>
      <c r="E130" s="268"/>
      <c r="F130" s="291"/>
      <c r="G130" s="267"/>
      <c r="H130" s="291"/>
      <c r="I130" s="161">
        <v>1.1438027112580298</v>
      </c>
      <c r="J130" s="679">
        <v>3.0095999999999901E-2</v>
      </c>
      <c r="K130" s="161">
        <v>0.67210271125803045</v>
      </c>
      <c r="L130" s="291">
        <v>14.347606644081701</v>
      </c>
      <c r="M130" s="291"/>
      <c r="N130" s="291"/>
      <c r="O130" s="681"/>
      <c r="P130" s="681"/>
      <c r="Q130" s="679">
        <v>3.0095999999999901E-2</v>
      </c>
      <c r="R130" s="679">
        <v>14.347606644081701</v>
      </c>
      <c r="AF130" s="309">
        <f>AVERAGE(AF2:AF90)</f>
        <v>0.12863544585115078</v>
      </c>
      <c r="AG130" s="309"/>
      <c r="AQ130" s="307">
        <v>74</v>
      </c>
      <c r="AR130" s="679">
        <v>3.0095999999999901E-2</v>
      </c>
      <c r="AS130" s="690">
        <f t="shared" si="7"/>
        <v>0.30095999999999901</v>
      </c>
      <c r="BB130" s="307">
        <v>74</v>
      </c>
      <c r="BC130" s="679"/>
      <c r="BD130" s="690"/>
    </row>
    <row r="131" spans="1:56">
      <c r="A131" s="299">
        <v>41691</v>
      </c>
      <c r="B131" s="286"/>
      <c r="C131" s="286"/>
      <c r="D131" s="286"/>
      <c r="E131" s="268"/>
      <c r="F131" s="291"/>
      <c r="G131" s="267"/>
      <c r="H131" s="291"/>
      <c r="I131" s="161">
        <v>1.1231266448172126</v>
      </c>
      <c r="J131" s="679">
        <v>0.16847999999999996</v>
      </c>
      <c r="K131" s="161">
        <v>0.52862664481721344</v>
      </c>
      <c r="L131" s="291">
        <v>6.7684048993264412</v>
      </c>
      <c r="M131" s="291"/>
      <c r="N131" s="291"/>
      <c r="O131" s="681"/>
      <c r="P131" s="681"/>
      <c r="Q131" s="679">
        <v>0.16847999999999996</v>
      </c>
      <c r="R131" s="679">
        <v>6.7684048993264412</v>
      </c>
      <c r="AF131">
        <f>STDEV(AF2:AF129)</f>
        <v>8.4188697978946259</v>
      </c>
      <c r="AQ131" s="307">
        <v>75</v>
      </c>
      <c r="AR131" s="679">
        <v>0.16847999999999996</v>
      </c>
      <c r="AS131" s="690">
        <f t="shared" ref="AS131:AS145" si="10">AR131*10</f>
        <v>1.6847999999999996</v>
      </c>
      <c r="BB131" s="307">
        <v>75</v>
      </c>
      <c r="BC131" s="679">
        <v>6.7684048993264412</v>
      </c>
      <c r="BD131" s="690"/>
    </row>
    <row r="132" spans="1:56">
      <c r="G132" t="s">
        <v>139</v>
      </c>
      <c r="H132" s="309">
        <f>AVERAGE(H4:H92)</f>
        <v>1.1856016293417229</v>
      </c>
      <c r="J132" s="679"/>
      <c r="O132" s="680"/>
      <c r="P132" s="680"/>
      <c r="Q132" s="679">
        <v>2.0292026846323807</v>
      </c>
      <c r="R132" s="679">
        <v>7.3092026846323321</v>
      </c>
      <c r="AF132">
        <f>AF130+2*AF131</f>
        <v>16.966375041640404</v>
      </c>
      <c r="AQ132" s="307">
        <v>76</v>
      </c>
      <c r="AR132" s="679">
        <v>2.0292026846323807</v>
      </c>
      <c r="AS132" s="690">
        <f t="shared" si="10"/>
        <v>20.292026846323807</v>
      </c>
      <c r="BB132" s="307">
        <v>76</v>
      </c>
      <c r="BC132" s="679">
        <v>7.3092026846323321</v>
      </c>
      <c r="BD132" s="690"/>
    </row>
    <row r="133" spans="1:56">
      <c r="G133" t="s">
        <v>151</v>
      </c>
      <c r="H133">
        <f>STDEV(H4:H131)</f>
        <v>3.4772471349684415</v>
      </c>
      <c r="J133" s="679"/>
      <c r="O133" s="680"/>
      <c r="P133" s="680"/>
      <c r="Q133" s="679">
        <v>0.98580265541425049</v>
      </c>
      <c r="R133" s="679">
        <v>-0.81523926848087025</v>
      </c>
      <c r="AF133">
        <f>AF130-2*AF131</f>
        <v>-16.709104149938099</v>
      </c>
      <c r="AQ133" s="307">
        <v>77</v>
      </c>
      <c r="AR133" s="679">
        <v>0.98580265541425049</v>
      </c>
      <c r="AS133" s="690">
        <f t="shared" si="10"/>
        <v>9.8580265541425049</v>
      </c>
      <c r="BB133" s="307">
        <v>77</v>
      </c>
      <c r="BC133" s="679">
        <v>-0.81523926848087025</v>
      </c>
      <c r="BD133" s="690"/>
    </row>
    <row r="134" spans="1:56">
      <c r="G134" t="s">
        <v>104</v>
      </c>
      <c r="H134">
        <f>H132+2*H133</f>
        <v>8.1400958992786059</v>
      </c>
      <c r="J134" s="679"/>
      <c r="O134" s="680"/>
      <c r="P134" s="680"/>
      <c r="Q134" s="679">
        <v>0.76508881643504389</v>
      </c>
      <c r="R134" s="679">
        <v>-1.1284992313921514</v>
      </c>
      <c r="AQ134" s="307">
        <v>78</v>
      </c>
      <c r="AR134" s="679">
        <v>0.76508881643504389</v>
      </c>
      <c r="AS134" s="690">
        <f t="shared" si="10"/>
        <v>7.6508881643504392</v>
      </c>
      <c r="BB134" s="307">
        <v>78</v>
      </c>
      <c r="BC134" s="679">
        <v>-1.1284992313921514</v>
      </c>
      <c r="BD134" s="690"/>
    </row>
    <row r="135" spans="1:56">
      <c r="G135" t="s">
        <v>105</v>
      </c>
      <c r="H135">
        <f>H132-2*H133</f>
        <v>-5.7688926405951602</v>
      </c>
      <c r="J135" s="679"/>
      <c r="O135" s="680"/>
      <c r="P135" s="680"/>
      <c r="Q135" s="679">
        <v>0.61346515411690095</v>
      </c>
      <c r="R135" s="679">
        <v>-0.57475286543238457</v>
      </c>
      <c r="AQ135" s="307">
        <v>79</v>
      </c>
      <c r="AR135" s="679">
        <v>0.61346515411690095</v>
      </c>
      <c r="AS135" s="690">
        <f t="shared" si="10"/>
        <v>6.1346515411690099</v>
      </c>
      <c r="BB135" s="307">
        <v>79</v>
      </c>
      <c r="BC135" s="679">
        <v>-0.57475286543238457</v>
      </c>
      <c r="BD135" s="690"/>
    </row>
    <row r="136" spans="1:56">
      <c r="J136" s="679"/>
      <c r="O136" s="680"/>
      <c r="P136" s="680"/>
      <c r="Q136" s="679">
        <v>2.2676485683238212</v>
      </c>
      <c r="R136" s="679">
        <v>7.7648568323773759E-2</v>
      </c>
      <c r="AQ136" s="307">
        <v>80</v>
      </c>
      <c r="AR136" s="679">
        <v>2.2676485683238212</v>
      </c>
      <c r="AS136" s="690">
        <f t="shared" si="10"/>
        <v>22.676485683238212</v>
      </c>
      <c r="BB136" s="307">
        <v>80</v>
      </c>
      <c r="BC136" s="679">
        <v>7.7648568323773759E-2</v>
      </c>
      <c r="BD136" s="690"/>
    </row>
    <row r="137" spans="1:56">
      <c r="J137" s="679"/>
      <c r="O137" s="680"/>
      <c r="P137" s="680"/>
      <c r="Q137" s="679">
        <v>2.1160124832849792</v>
      </c>
      <c r="R137" s="679" t="e">
        <v>#VALUE!</v>
      </c>
      <c r="AQ137" s="307">
        <v>81</v>
      </c>
      <c r="AR137" s="679">
        <v>2.1160124832849792</v>
      </c>
      <c r="AS137" s="690">
        <f t="shared" si="10"/>
        <v>21.160124832849792</v>
      </c>
      <c r="BB137" s="307">
        <v>81</v>
      </c>
      <c r="BC137" s="679" t="e">
        <v>#VALUE!</v>
      </c>
      <c r="BD137" s="690"/>
    </row>
    <row r="138" spans="1:56">
      <c r="J138" s="679"/>
      <c r="O138" s="680"/>
      <c r="P138" s="680"/>
      <c r="Q138" s="679">
        <v>2.262393120948758</v>
      </c>
      <c r="R138" s="679">
        <v>1.2393120948850367E-2</v>
      </c>
      <c r="AQ138" s="307">
        <v>82</v>
      </c>
      <c r="AR138" s="679">
        <v>2.262393120948758</v>
      </c>
      <c r="AS138" s="690">
        <f t="shared" si="10"/>
        <v>22.62393120948758</v>
      </c>
      <c r="BB138" s="307">
        <v>82</v>
      </c>
      <c r="BC138" s="679">
        <v>1.2393120948850367E-2</v>
      </c>
      <c r="BD138" s="690"/>
    </row>
    <row r="139" spans="1:56">
      <c r="J139" s="679"/>
      <c r="O139" s="680"/>
      <c r="P139" s="680"/>
      <c r="Q139" s="679">
        <v>-4.2951127070041899</v>
      </c>
      <c r="R139" s="679">
        <v>-7.3751127070043054</v>
      </c>
      <c r="AQ139" s="307">
        <v>83</v>
      </c>
      <c r="AR139" s="679">
        <v>-4.2951127070041899</v>
      </c>
      <c r="AS139" s="690">
        <f t="shared" si="10"/>
        <v>-42.951127070041899</v>
      </c>
      <c r="BB139" s="307">
        <v>83</v>
      </c>
      <c r="BC139" s="679">
        <v>-7.3751127070043054</v>
      </c>
      <c r="BD139" s="690"/>
    </row>
    <row r="140" spans="1:56">
      <c r="J140" s="679"/>
      <c r="O140" s="680"/>
      <c r="P140" s="680"/>
      <c r="Q140" s="679">
        <v>1.499632315559285</v>
      </c>
      <c r="R140" s="679">
        <v>-3.6003676844405419</v>
      </c>
      <c r="AQ140" s="307">
        <v>84</v>
      </c>
      <c r="AR140" s="679">
        <v>1.499632315559285</v>
      </c>
      <c r="AS140" s="690">
        <f t="shared" si="10"/>
        <v>14.996323155592851</v>
      </c>
      <c r="BB140" s="307">
        <v>84</v>
      </c>
      <c r="BC140" s="679">
        <v>-3.6003676844405419</v>
      </c>
      <c r="BD140" s="690"/>
    </row>
    <row r="141" spans="1:56">
      <c r="J141" s="679"/>
      <c r="O141" s="680"/>
      <c r="P141" s="680"/>
      <c r="Q141" s="679">
        <v>1.9398975390870987</v>
      </c>
      <c r="R141" s="679">
        <v>9.8998975390870214</v>
      </c>
      <c r="AQ141" s="307">
        <v>85</v>
      </c>
      <c r="AR141" s="679">
        <v>1.9398975390870987</v>
      </c>
      <c r="AS141" s="690">
        <f t="shared" si="10"/>
        <v>19.398975390870987</v>
      </c>
      <c r="BB141" s="307">
        <v>85</v>
      </c>
      <c r="BC141" s="679">
        <v>9.8998975390870214</v>
      </c>
      <c r="BD141" s="690"/>
    </row>
    <row r="142" spans="1:56">
      <c r="J142" s="679"/>
      <c r="O142" s="680"/>
      <c r="P142" s="680"/>
      <c r="Q142" s="679">
        <v>-2.1405525840226147</v>
      </c>
      <c r="R142" s="679">
        <v>0.2494474159773219</v>
      </c>
      <c r="AQ142" s="307">
        <v>86</v>
      </c>
      <c r="AR142" s="679">
        <v>-2.1405525840226147</v>
      </c>
      <c r="AS142" s="690">
        <f t="shared" si="10"/>
        <v>-21.405525840226147</v>
      </c>
      <c r="BB142" s="307">
        <v>86</v>
      </c>
      <c r="BC142" s="679">
        <v>0.2494474159773219</v>
      </c>
      <c r="BD142" s="690"/>
    </row>
    <row r="143" spans="1:56">
      <c r="J143" s="679"/>
      <c r="O143" s="680"/>
      <c r="P143" s="680"/>
      <c r="Q143" s="679">
        <v>9.8880982214950564</v>
      </c>
      <c r="R143" s="679">
        <v>6.8098221495027644E-2</v>
      </c>
      <c r="AQ143" s="307">
        <v>87</v>
      </c>
      <c r="AR143" s="679">
        <v>9.8880982214950564</v>
      </c>
      <c r="AS143" s="690">
        <f t="shared" si="10"/>
        <v>98.880982214950564</v>
      </c>
      <c r="BB143" s="307">
        <v>87</v>
      </c>
      <c r="BC143" s="679">
        <v>6.8098221495027644E-2</v>
      </c>
      <c r="BD143" s="690"/>
    </row>
    <row r="144" spans="1:56">
      <c r="J144" s="679"/>
      <c r="O144" s="680"/>
      <c r="P144" s="680"/>
      <c r="Q144" s="679">
        <v>26.298159698042589</v>
      </c>
      <c r="R144" s="679">
        <v>-7.1840301957237784E-2</v>
      </c>
      <c r="AQ144" s="307">
        <v>88</v>
      </c>
      <c r="AR144" s="679">
        <v>26.298159698042589</v>
      </c>
      <c r="AS144" s="690">
        <f t="shared" si="10"/>
        <v>262.98159698042588</v>
      </c>
      <c r="BB144" s="307">
        <v>88</v>
      </c>
      <c r="BC144" s="679">
        <v>-7.1840301957237784E-2</v>
      </c>
      <c r="BD144" s="690"/>
    </row>
    <row r="145" spans="10:56">
      <c r="J145" s="679"/>
      <c r="O145" s="680"/>
      <c r="P145" s="680"/>
      <c r="Q145" s="679">
        <v>62.770087166098122</v>
      </c>
      <c r="R145" s="679">
        <v>39.160087166097981</v>
      </c>
      <c r="AQ145" s="307">
        <v>89</v>
      </c>
      <c r="AR145" s="679">
        <v>62.770087166098122</v>
      </c>
      <c r="AS145" s="690">
        <f t="shared" si="10"/>
        <v>627.70087166098119</v>
      </c>
      <c r="BB145" s="307">
        <v>89</v>
      </c>
      <c r="BC145" s="679">
        <v>39.160087166097981</v>
      </c>
      <c r="BD145" s="690"/>
    </row>
  </sheetData>
  <sortState ref="AE2:AF145">
    <sortCondition ref="AE2:AE145"/>
  </sortState>
  <pageMargins left="0.75" right="0.75" top="1" bottom="1" header="0.5" footer="0.5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T441"/>
  <sheetViews>
    <sheetView topLeftCell="AE45" workbookViewId="0">
      <selection activeCell="AJ446" sqref="AJ446"/>
    </sheetView>
  </sheetViews>
  <sheetFormatPr baseColWidth="10" defaultRowHeight="16"/>
  <cols>
    <col min="12" max="12" width="10.7109375" style="306"/>
    <col min="16" max="16" width="10.7109375" style="306"/>
    <col min="20" max="20" width="10.7109375" style="306"/>
  </cols>
  <sheetData>
    <row r="1" spans="1:46">
      <c r="B1" t="s">
        <v>605</v>
      </c>
      <c r="C1" t="s">
        <v>145</v>
      </c>
      <c r="D1" t="s">
        <v>152</v>
      </c>
      <c r="E1" t="s">
        <v>146</v>
      </c>
      <c r="F1" t="s">
        <v>153</v>
      </c>
      <c r="G1" t="s">
        <v>147</v>
      </c>
      <c r="H1" t="s">
        <v>154</v>
      </c>
      <c r="I1" t="s">
        <v>148</v>
      </c>
      <c r="J1" t="s">
        <v>155</v>
      </c>
      <c r="Q1" s="9" t="s">
        <v>146</v>
      </c>
      <c r="R1" t="s">
        <v>153</v>
      </c>
      <c r="U1" t="s">
        <v>147</v>
      </c>
      <c r="V1" t="s">
        <v>154</v>
      </c>
      <c r="Y1" t="s">
        <v>148</v>
      </c>
      <c r="Z1" t="s">
        <v>155</v>
      </c>
      <c r="AG1" s="310" t="s">
        <v>118</v>
      </c>
      <c r="AH1" s="310" t="s">
        <v>115</v>
      </c>
      <c r="AI1" s="310" t="s">
        <v>108</v>
      </c>
      <c r="AJ1" s="310"/>
      <c r="AK1" s="310"/>
      <c r="AL1" s="315" t="s">
        <v>119</v>
      </c>
      <c r="AM1" s="315" t="s">
        <v>115</v>
      </c>
      <c r="AN1" s="315" t="s">
        <v>108</v>
      </c>
      <c r="AO1" s="204" t="s">
        <v>120</v>
      </c>
      <c r="AP1" s="204" t="s">
        <v>115</v>
      </c>
      <c r="AQ1" s="204" t="s">
        <v>108</v>
      </c>
      <c r="AR1" s="319" t="s">
        <v>120</v>
      </c>
      <c r="AS1" s="319" t="s">
        <v>115</v>
      </c>
      <c r="AT1" s="319" t="s">
        <v>108</v>
      </c>
    </row>
    <row r="2" spans="1:46">
      <c r="B2">
        <v>0</v>
      </c>
      <c r="C2">
        <v>0</v>
      </c>
      <c r="D2">
        <v>0.9327580588815465</v>
      </c>
      <c r="E2">
        <v>0.61806955386698603</v>
      </c>
      <c r="F2">
        <v>-73.787645372154202</v>
      </c>
      <c r="G2" s="482">
        <v>0.16656955386698569</v>
      </c>
      <c r="H2" s="679">
        <v>-42.0833031544243</v>
      </c>
      <c r="I2" s="482">
        <v>0.25926955386698619</v>
      </c>
      <c r="J2">
        <v>-13.006208981747989</v>
      </c>
      <c r="Q2" s="9"/>
      <c r="AG2" s="310"/>
      <c r="AH2" s="310"/>
      <c r="AI2" s="310"/>
      <c r="AJ2" s="310"/>
      <c r="AK2" s="310"/>
      <c r="AL2" s="315"/>
      <c r="AM2" s="315"/>
      <c r="AN2" s="315"/>
      <c r="AO2" s="204"/>
      <c r="AP2" s="204"/>
      <c r="AQ2" s="204"/>
      <c r="AR2" s="319"/>
      <c r="AS2" s="319"/>
      <c r="AT2" s="319"/>
    </row>
    <row r="3" spans="1:46">
      <c r="B3">
        <v>0</v>
      </c>
      <c r="C3">
        <v>2.3425855213215674</v>
      </c>
      <c r="D3">
        <v>-63.075365648894994</v>
      </c>
      <c r="E3">
        <v>2.9642855213215693</v>
      </c>
      <c r="F3">
        <v>-18.051660468800463</v>
      </c>
      <c r="G3" s="471">
        <v>3.153485521321568</v>
      </c>
      <c r="H3" s="679">
        <v>-20.448259174585139</v>
      </c>
      <c r="I3" s="471">
        <v>2.8782855213215686</v>
      </c>
      <c r="J3">
        <v>-23.377798523233963</v>
      </c>
      <c r="Q3" s="9"/>
      <c r="AG3" s="310"/>
      <c r="AH3" s="310"/>
      <c r="AI3" s="310"/>
      <c r="AJ3" s="310"/>
      <c r="AK3" s="310"/>
      <c r="AL3" s="315"/>
      <c r="AM3" s="315"/>
      <c r="AN3" s="315"/>
      <c r="AO3" s="204"/>
      <c r="AP3" s="204"/>
      <c r="AQ3" s="204"/>
      <c r="AR3" s="319"/>
      <c r="AS3" s="319"/>
      <c r="AT3" s="319"/>
    </row>
    <row r="4" spans="1:46">
      <c r="A4" s="299">
        <v>41564</v>
      </c>
      <c r="B4" s="282">
        <v>0</v>
      </c>
      <c r="C4" s="266">
        <v>3.001481022440164</v>
      </c>
      <c r="D4" s="297">
        <v>-3.0475094849384914</v>
      </c>
      <c r="E4" s="161">
        <v>3.1793810224401646</v>
      </c>
      <c r="F4" s="297">
        <v>-8.6892460034803474</v>
      </c>
      <c r="G4" s="161">
        <v>3.402581022440164</v>
      </c>
      <c r="H4" s="679">
        <v>-18.078425826521549</v>
      </c>
      <c r="I4" s="161">
        <v>3.1435810224401641</v>
      </c>
      <c r="J4" s="297">
        <v>-6.1038436513770584</v>
      </c>
      <c r="L4">
        <v>0</v>
      </c>
      <c r="M4">
        <v>0</v>
      </c>
      <c r="N4">
        <v>0.9327580588815465</v>
      </c>
      <c r="P4">
        <v>0</v>
      </c>
      <c r="Q4">
        <v>0.61806955386698603</v>
      </c>
      <c r="R4">
        <v>-73.787645372154202</v>
      </c>
      <c r="T4">
        <v>0</v>
      </c>
      <c r="U4" s="482">
        <v>0.16656955386698569</v>
      </c>
      <c r="V4" s="679">
        <v>-42.0833031544243</v>
      </c>
      <c r="X4">
        <v>0</v>
      </c>
      <c r="Y4" s="482">
        <v>0.25926955386698619</v>
      </c>
      <c r="Z4">
        <v>-13.006208981747989</v>
      </c>
      <c r="AG4" s="310">
        <v>0</v>
      </c>
      <c r="AH4" s="310">
        <v>0</v>
      </c>
      <c r="AI4" s="310">
        <v>0.9327580588815465</v>
      </c>
      <c r="AJ4" s="310"/>
      <c r="AK4" s="310"/>
    </row>
    <row r="5" spans="1:46">
      <c r="A5" s="299">
        <v>41565</v>
      </c>
      <c r="B5" s="282">
        <v>0</v>
      </c>
      <c r="C5" s="266">
        <v>3.0295143565567302</v>
      </c>
      <c r="D5" s="297">
        <v>0.91278088154707149</v>
      </c>
      <c r="E5" s="161">
        <v>3.2773143565567313</v>
      </c>
      <c r="F5" s="297">
        <v>6.7771202586053292</v>
      </c>
      <c r="G5" s="161">
        <v>3.5956143565567311</v>
      </c>
      <c r="H5" s="679">
        <v>7.1124501020068962</v>
      </c>
      <c r="I5" s="161">
        <v>3.2043143565567305</v>
      </c>
      <c r="J5" s="297">
        <v>10.475309824003876</v>
      </c>
      <c r="L5">
        <v>0</v>
      </c>
      <c r="M5">
        <v>2.3425855213215674</v>
      </c>
      <c r="N5">
        <v>-63.075365648894994</v>
      </c>
      <c r="P5">
        <v>0</v>
      </c>
      <c r="Q5">
        <v>2.9642855213215693</v>
      </c>
      <c r="R5">
        <v>-18.051660468800463</v>
      </c>
      <c r="T5">
        <v>0</v>
      </c>
      <c r="U5" s="471">
        <v>3.153485521321568</v>
      </c>
      <c r="V5" s="679">
        <v>-20.448259174585139</v>
      </c>
      <c r="X5">
        <v>0</v>
      </c>
      <c r="Y5" s="471">
        <v>2.8782855213215686</v>
      </c>
      <c r="Z5">
        <v>-23.377798523233963</v>
      </c>
      <c r="AG5" s="310">
        <v>0</v>
      </c>
      <c r="AH5" s="310">
        <v>2.3425855213215674</v>
      </c>
      <c r="AI5" s="310"/>
      <c r="AJ5" s="310"/>
      <c r="AK5" s="310"/>
    </row>
    <row r="6" spans="1:46">
      <c r="A6" s="299">
        <v>41566</v>
      </c>
      <c r="B6" s="282">
        <v>0</v>
      </c>
      <c r="C6" s="266">
        <v>3.1842159959313361</v>
      </c>
      <c r="D6" s="297">
        <v>20.900095740820934</v>
      </c>
      <c r="E6" s="161">
        <v>3.3345159959313371</v>
      </c>
      <c r="F6" s="297">
        <v>7.9784829979624554</v>
      </c>
      <c r="G6" s="161">
        <v>3.7167159959313372</v>
      </c>
      <c r="H6" s="679">
        <v>-2.7658853434370307</v>
      </c>
      <c r="I6" s="161">
        <v>3.2750159959313367</v>
      </c>
      <c r="J6" s="297">
        <v>8.7081514829446753</v>
      </c>
      <c r="L6" s="282">
        <v>0</v>
      </c>
      <c r="M6" s="266">
        <v>3.001481022440164</v>
      </c>
      <c r="N6" s="297">
        <v>-3.0475094849384914</v>
      </c>
      <c r="P6" s="282">
        <v>0</v>
      </c>
      <c r="Q6" s="161">
        <v>3.1793810224401646</v>
      </c>
      <c r="R6" s="297">
        <v>-8.6892460034803474</v>
      </c>
      <c r="T6" s="282">
        <v>0</v>
      </c>
      <c r="U6" s="161">
        <v>3.402581022440164</v>
      </c>
      <c r="V6" s="679">
        <v>-18.078425826521549</v>
      </c>
      <c r="X6" s="282">
        <v>0</v>
      </c>
      <c r="Y6" s="161">
        <v>3.1435810224401641</v>
      </c>
      <c r="Z6" s="297">
        <v>-6.1038436513770584</v>
      </c>
      <c r="AG6" s="311">
        <v>0</v>
      </c>
      <c r="AH6" s="312">
        <v>3.001481022440164</v>
      </c>
      <c r="AI6" s="313">
        <v>-3.0475094849384914</v>
      </c>
      <c r="AJ6" s="313">
        <f>AI6*10</f>
        <v>-30.475094849384913</v>
      </c>
      <c r="AK6" s="313">
        <f>IF(AI6&lt;0.94,AI6,0)</f>
        <v>-3.0475094849384914</v>
      </c>
    </row>
    <row r="7" spans="1:46">
      <c r="A7" s="299">
        <v>41567</v>
      </c>
      <c r="B7" s="282">
        <v>0</v>
      </c>
      <c r="C7" s="266">
        <v>3.1727063881024375</v>
      </c>
      <c r="D7" s="297">
        <v>1.5919393219069451</v>
      </c>
      <c r="E7" s="161">
        <v>3.4026063881024378</v>
      </c>
      <c r="F7" s="297">
        <v>-2.7738947480843201</v>
      </c>
      <c r="G7" s="161">
        <v>3.9735063881024368</v>
      </c>
      <c r="H7" s="679">
        <v>-10.797234859066986</v>
      </c>
      <c r="I7" s="161">
        <v>3.3996063881024372</v>
      </c>
      <c r="J7" s="297">
        <v>17.190206372420505</v>
      </c>
      <c r="L7" s="282">
        <v>0</v>
      </c>
      <c r="M7" s="266">
        <v>3.0295143565567302</v>
      </c>
      <c r="N7" s="297">
        <v>0.91278088154707149</v>
      </c>
      <c r="P7" s="282">
        <v>0</v>
      </c>
      <c r="Q7" s="161">
        <v>3.2773143565567313</v>
      </c>
      <c r="R7" s="297">
        <v>6.7771202586053292</v>
      </c>
      <c r="T7" s="282">
        <v>0</v>
      </c>
      <c r="U7" s="161">
        <v>3.5956143565567311</v>
      </c>
      <c r="V7" s="679">
        <v>7.1124501020068962</v>
      </c>
      <c r="X7" s="282">
        <v>0</v>
      </c>
      <c r="Y7" s="161">
        <v>3.2043143565567305</v>
      </c>
      <c r="Z7" s="297">
        <v>10.475309824003876</v>
      </c>
      <c r="AG7" s="311">
        <v>0</v>
      </c>
      <c r="AH7" s="312">
        <v>3.0295143565567302</v>
      </c>
      <c r="AI7" s="313">
        <v>0.91278088154707149</v>
      </c>
      <c r="AJ7" s="313">
        <f t="shared" ref="AJ7:AJ70" si="0">AI7*10</f>
        <v>9.1278088154707149</v>
      </c>
      <c r="AK7" s="313">
        <f t="shared" ref="AK7:AK70" si="1">IF(AI7&lt;0.94,AI7,0)</f>
        <v>0.91278088154707149</v>
      </c>
    </row>
    <row r="8" spans="1:46">
      <c r="A8" s="299">
        <v>41568</v>
      </c>
      <c r="B8" s="282">
        <v>0</v>
      </c>
      <c r="C8" s="266">
        <v>3.1319503382091853</v>
      </c>
      <c r="D8" s="297">
        <v>7.0894300204181242</v>
      </c>
      <c r="E8" s="161">
        <v>3.4228503382091855</v>
      </c>
      <c r="F8" s="297">
        <v>4.2742530633112654</v>
      </c>
      <c r="G8" s="161">
        <v>4.0705503382091868</v>
      </c>
      <c r="H8" s="679">
        <v>7.6576000522258889</v>
      </c>
      <c r="I8" s="161">
        <v>3.2055503382091852</v>
      </c>
      <c r="J8" s="297">
        <v>2.0995878358815263</v>
      </c>
      <c r="L8" s="282">
        <v>0</v>
      </c>
      <c r="M8" s="266">
        <v>3.1842159959313361</v>
      </c>
      <c r="N8" s="297">
        <v>20.900095740820934</v>
      </c>
      <c r="P8" s="282">
        <v>0</v>
      </c>
      <c r="Q8" s="161">
        <v>3.3345159959313371</v>
      </c>
      <c r="R8" s="297">
        <v>7.9784829979624554</v>
      </c>
      <c r="T8" s="282">
        <v>0</v>
      </c>
      <c r="U8" s="161">
        <v>3.7167159959313372</v>
      </c>
      <c r="V8" s="679">
        <v>-2.7658853434370307</v>
      </c>
      <c r="X8" s="282">
        <v>0</v>
      </c>
      <c r="Y8" s="161">
        <v>3.2750159959313367</v>
      </c>
      <c r="Z8" s="297">
        <v>8.7081514829446753</v>
      </c>
      <c r="AG8" s="311">
        <v>0</v>
      </c>
      <c r="AH8" s="312">
        <v>3.1842159959313361</v>
      </c>
      <c r="AI8" s="313"/>
      <c r="AJ8" s="313"/>
      <c r="AK8" s="313">
        <f t="shared" si="1"/>
        <v>0</v>
      </c>
    </row>
    <row r="9" spans="1:46">
      <c r="A9" s="299">
        <v>41569</v>
      </c>
      <c r="B9" s="282">
        <v>1</v>
      </c>
      <c r="C9" s="266">
        <v>3.0868947052086626</v>
      </c>
      <c r="D9" s="291">
        <v>1.4154516202041334</v>
      </c>
      <c r="E9" s="161">
        <v>3.4088947052086631</v>
      </c>
      <c r="F9" s="291">
        <v>0.50625285464152303</v>
      </c>
      <c r="G9" s="161">
        <v>4.0373947052086629</v>
      </c>
      <c r="H9" s="679">
        <v>3.2727602890206309</v>
      </c>
      <c r="I9" s="161">
        <v>3.2147947052086621</v>
      </c>
      <c r="J9" s="291">
        <v>0.54195406509585409</v>
      </c>
      <c r="L9" s="282">
        <v>0</v>
      </c>
      <c r="M9" s="266">
        <v>3.1727063881024375</v>
      </c>
      <c r="N9" s="297">
        <v>1.5919393219069451</v>
      </c>
      <c r="P9" s="282">
        <v>0</v>
      </c>
      <c r="Q9" s="161">
        <v>3.4026063881024378</v>
      </c>
      <c r="R9" s="297">
        <v>-2.7738947480843201</v>
      </c>
      <c r="T9" s="282">
        <v>0</v>
      </c>
      <c r="U9" s="161">
        <v>3.6890624191981507</v>
      </c>
      <c r="V9" s="679">
        <v>1.0890368485660638</v>
      </c>
      <c r="X9" s="282">
        <v>0</v>
      </c>
      <c r="Y9" s="161">
        <v>3.0483624191981504</v>
      </c>
      <c r="Z9" s="291">
        <v>-1.2005924491810163</v>
      </c>
      <c r="AG9" s="311">
        <v>0</v>
      </c>
      <c r="AH9" s="312">
        <v>3.1727063881024375</v>
      </c>
      <c r="AI9" s="313">
        <v>1.5919393219069451</v>
      </c>
      <c r="AJ9" s="313">
        <f t="shared" si="0"/>
        <v>15.919393219069452</v>
      </c>
      <c r="AK9" s="313">
        <f t="shared" si="1"/>
        <v>0</v>
      </c>
    </row>
    <row r="10" spans="1:46">
      <c r="A10" s="299">
        <v>41570</v>
      </c>
      <c r="B10" s="282">
        <v>2</v>
      </c>
      <c r="C10" s="266">
        <v>3.0421924557679625</v>
      </c>
      <c r="D10" s="291">
        <v>1.2480904203521725</v>
      </c>
      <c r="E10" s="161">
        <v>3.3914924557679615</v>
      </c>
      <c r="F10" s="291">
        <v>1.1592289323187195</v>
      </c>
      <c r="G10" s="161">
        <v>3.9870924557679617</v>
      </c>
      <c r="H10" s="679">
        <v>3.3176623044260181</v>
      </c>
      <c r="I10" s="161">
        <v>3.179992455767962</v>
      </c>
      <c r="J10" s="291">
        <v>-0.81316758730067118</v>
      </c>
      <c r="L10" s="282">
        <v>0</v>
      </c>
      <c r="M10" s="266">
        <v>3.1319503382091853</v>
      </c>
      <c r="N10" s="297">
        <v>7.0894300204181242</v>
      </c>
      <c r="P10" s="282">
        <v>0</v>
      </c>
      <c r="Q10" s="161">
        <v>3.4228503382091855</v>
      </c>
      <c r="R10" s="297">
        <v>4.2742530633112654</v>
      </c>
      <c r="T10" s="282">
        <v>0</v>
      </c>
      <c r="U10" s="161">
        <v>3.616246677812625</v>
      </c>
      <c r="V10" s="679">
        <v>3.3351518713484039</v>
      </c>
      <c r="X10" s="282">
        <v>0</v>
      </c>
      <c r="Y10" s="161">
        <v>3.0117466778126238</v>
      </c>
      <c r="Z10" s="297">
        <v>-1.2903566235950277</v>
      </c>
      <c r="AG10" s="311">
        <v>0</v>
      </c>
      <c r="AH10" s="312">
        <v>3.1319503382091853</v>
      </c>
      <c r="AI10" s="313">
        <v>7.0894300204181242</v>
      </c>
      <c r="AJ10" s="313">
        <f t="shared" si="0"/>
        <v>70.894300204181235</v>
      </c>
      <c r="AK10" s="313">
        <f t="shared" si="1"/>
        <v>0</v>
      </c>
    </row>
    <row r="11" spans="1:46">
      <c r="A11" s="299">
        <v>41571</v>
      </c>
      <c r="B11" s="282">
        <v>3</v>
      </c>
      <c r="C11" s="266">
        <v>2.9996337677375871</v>
      </c>
      <c r="D11" s="291">
        <v>0.9101579654641454</v>
      </c>
      <c r="E11" s="161">
        <v>3.371833767737586</v>
      </c>
      <c r="F11" s="291">
        <v>1.0750730717676156</v>
      </c>
      <c r="G11" s="161">
        <v>3.9363337677375876</v>
      </c>
      <c r="H11" s="679">
        <v>3.5923110136285521</v>
      </c>
      <c r="I11" s="161">
        <v>3.1485337677375855</v>
      </c>
      <c r="J11" s="291">
        <v>-1.8394531847439834</v>
      </c>
      <c r="L11" s="282">
        <v>0</v>
      </c>
      <c r="M11" s="266">
        <v>2.7228466778126248</v>
      </c>
      <c r="N11" s="297">
        <v>4.0624184451614198E-2</v>
      </c>
      <c r="P11" s="282">
        <v>0</v>
      </c>
      <c r="Q11" s="161">
        <v>3.4088947052086631</v>
      </c>
      <c r="R11" s="291">
        <v>0.50625285464152303</v>
      </c>
      <c r="T11" s="282">
        <v>0</v>
      </c>
      <c r="U11" s="161">
        <v>3.5144710094669973</v>
      </c>
      <c r="V11" s="679">
        <v>1.6192045711613319</v>
      </c>
      <c r="X11" s="282">
        <v>0</v>
      </c>
      <c r="Y11" s="161">
        <v>2.9733710094669976</v>
      </c>
      <c r="Z11" s="297">
        <v>-1.256909529426649</v>
      </c>
      <c r="AG11" s="311">
        <v>0</v>
      </c>
      <c r="AH11" s="312">
        <v>2.7228466778126248</v>
      </c>
      <c r="AI11" s="313">
        <v>4.0624184451614198E-2</v>
      </c>
      <c r="AJ11" s="313">
        <f t="shared" si="0"/>
        <v>0.40624184451614198</v>
      </c>
      <c r="AK11" s="313">
        <f t="shared" si="1"/>
        <v>4.0624184451614198E-2</v>
      </c>
    </row>
    <row r="12" spans="1:46">
      <c r="A12" s="299">
        <v>41572</v>
      </c>
      <c r="B12" s="282">
        <v>4</v>
      </c>
      <c r="C12" s="266">
        <v>2.9609229280280371</v>
      </c>
      <c r="D12" s="291">
        <v>1.6341429045416045</v>
      </c>
      <c r="E12" s="161">
        <v>3.3511229280280386</v>
      </c>
      <c r="F12" s="291">
        <v>0.70414640446968635</v>
      </c>
      <c r="G12" s="161">
        <v>3.8828229280280384</v>
      </c>
      <c r="H12" s="679">
        <v>4.3428434144931023</v>
      </c>
      <c r="I12" s="161">
        <v>3.1297229280280372</v>
      </c>
      <c r="J12" s="291">
        <v>-2.4695976845197039</v>
      </c>
      <c r="L12" s="282">
        <v>0</v>
      </c>
      <c r="M12" s="266">
        <v>2.6588710094669961</v>
      </c>
      <c r="N12" s="297">
        <v>0.82934655473984842</v>
      </c>
      <c r="P12" s="282">
        <v>0</v>
      </c>
      <c r="Q12" s="161">
        <v>3.3914924557679615</v>
      </c>
      <c r="R12" s="291">
        <v>1.1592289323187195</v>
      </c>
      <c r="T12" s="282">
        <v>0</v>
      </c>
      <c r="U12" s="161">
        <v>3.4816802121516313</v>
      </c>
      <c r="V12" s="679">
        <v>1.6156962261883479</v>
      </c>
      <c r="X12" s="282">
        <v>0</v>
      </c>
      <c r="Y12" s="161">
        <v>2.9555802121516304</v>
      </c>
      <c r="Z12" s="297">
        <v>-1.3455086275803958</v>
      </c>
      <c r="AG12" s="311">
        <v>0</v>
      </c>
      <c r="AH12" s="312">
        <v>2.6588710094669961</v>
      </c>
      <c r="AI12" s="313">
        <v>0.82934655473984842</v>
      </c>
      <c r="AJ12" s="313">
        <f t="shared" si="0"/>
        <v>8.2934655473984833</v>
      </c>
      <c r="AK12" s="313">
        <f t="shared" si="1"/>
        <v>0.82934655473984842</v>
      </c>
    </row>
    <row r="13" spans="1:46">
      <c r="A13" s="299">
        <v>41573</v>
      </c>
      <c r="B13" s="282">
        <v>5</v>
      </c>
      <c r="C13" s="266">
        <v>2.9154341775812385</v>
      </c>
      <c r="D13" s="291">
        <v>0.913093895886675</v>
      </c>
      <c r="E13" s="161">
        <v>3.3322341775812401</v>
      </c>
      <c r="F13" s="291">
        <v>0.52567030106860368</v>
      </c>
      <c r="G13" s="161">
        <v>3.8284341775812392</v>
      </c>
      <c r="H13" s="679">
        <v>2.7474285785189858</v>
      </c>
      <c r="I13" s="161">
        <v>3.1196341775812395</v>
      </c>
      <c r="J13" s="291">
        <v>-1.0651381288299109</v>
      </c>
      <c r="L13" s="282">
        <v>0</v>
      </c>
      <c r="M13" s="266">
        <v>2.5902771477230098</v>
      </c>
      <c r="N13" s="297">
        <v>-1.1655137588408215</v>
      </c>
      <c r="P13" s="282">
        <v>0</v>
      </c>
      <c r="Q13" s="161">
        <v>3.371833767737586</v>
      </c>
      <c r="R13" s="291">
        <v>1.0750730717676156</v>
      </c>
      <c r="T13" s="282">
        <v>0</v>
      </c>
      <c r="U13" s="161">
        <v>3.2278004524185606</v>
      </c>
      <c r="V13" s="679">
        <v>2.4786486742017049</v>
      </c>
      <c r="X13" s="282">
        <v>0</v>
      </c>
      <c r="Y13" s="161">
        <v>2.8217004524185607</v>
      </c>
      <c r="Z13" s="291">
        <v>0.41839054688435162</v>
      </c>
      <c r="AG13" s="311">
        <v>0</v>
      </c>
      <c r="AH13" s="312">
        <v>2.5902771477230098</v>
      </c>
      <c r="AI13" s="313">
        <v>-1.1655137588408215</v>
      </c>
      <c r="AJ13" s="313">
        <f t="shared" si="0"/>
        <v>-11.655137588408216</v>
      </c>
      <c r="AK13" s="313">
        <f t="shared" si="1"/>
        <v>-1.1655137588408215</v>
      </c>
    </row>
    <row r="14" spans="1:46">
      <c r="A14" s="299">
        <v>41574</v>
      </c>
      <c r="B14" s="282">
        <v>6</v>
      </c>
      <c r="C14" s="266">
        <v>2.8776409376518033</v>
      </c>
      <c r="D14" s="291">
        <v>0.93359198423635403</v>
      </c>
      <c r="E14" s="161">
        <v>3.3132409376518037</v>
      </c>
      <c r="F14" s="291">
        <v>0.54089600162749174</v>
      </c>
      <c r="G14" s="161">
        <v>3.7887409376518049</v>
      </c>
      <c r="H14" s="679">
        <v>3.9255544551259103</v>
      </c>
      <c r="I14" s="161">
        <v>3.0979409376518041</v>
      </c>
      <c r="J14" s="291">
        <v>-0.59892787746201748</v>
      </c>
      <c r="L14" s="282">
        <v>0</v>
      </c>
      <c r="M14" s="266">
        <v>2.6102194843017643</v>
      </c>
      <c r="N14" s="297">
        <v>-7.3000441576529518E-2</v>
      </c>
      <c r="P14" s="282">
        <v>0</v>
      </c>
      <c r="Q14" s="161">
        <v>3.3511229280280386</v>
      </c>
      <c r="R14" s="291">
        <v>0.70414640446968635</v>
      </c>
      <c r="T14" s="282">
        <v>0</v>
      </c>
      <c r="U14" s="161">
        <v>3.0834939113679729</v>
      </c>
      <c r="V14" s="679">
        <v>2.820729426962544</v>
      </c>
      <c r="X14" s="282">
        <v>0</v>
      </c>
      <c r="Y14" s="161">
        <v>2.7170939113679728</v>
      </c>
      <c r="Z14" s="297">
        <v>0.39819994192524177</v>
      </c>
      <c r="AG14" s="311">
        <v>0</v>
      </c>
      <c r="AH14" s="312">
        <v>2.6102194843017643</v>
      </c>
      <c r="AI14" s="313">
        <v>-7.3000441576529518E-2</v>
      </c>
      <c r="AJ14" s="313">
        <f t="shared" si="0"/>
        <v>-0.73000441576529518</v>
      </c>
      <c r="AK14" s="313">
        <f t="shared" si="1"/>
        <v>-7.3000441576529518E-2</v>
      </c>
    </row>
    <row r="15" spans="1:46">
      <c r="A15" s="299">
        <v>41575</v>
      </c>
      <c r="B15" s="282">
        <v>7</v>
      </c>
      <c r="C15" s="266">
        <v>2.8401098576753268</v>
      </c>
      <c r="D15" s="291">
        <v>1.2573000756535802</v>
      </c>
      <c r="E15" s="161">
        <v>3.292209857675326</v>
      </c>
      <c r="F15" s="291">
        <v>0.55405076621011196</v>
      </c>
      <c r="G15" s="161">
        <v>3.7360098576753265</v>
      </c>
      <c r="H15" s="679">
        <v>3.4074644537712255</v>
      </c>
      <c r="I15" s="161">
        <v>3.0740098576753261</v>
      </c>
      <c r="J15" s="291">
        <v>-0.18437699289918186</v>
      </c>
      <c r="L15" s="282">
        <v>0</v>
      </c>
      <c r="M15" s="266">
        <v>2.3528955413438131</v>
      </c>
      <c r="N15" s="297">
        <v>0.7749831953527373</v>
      </c>
      <c r="P15" s="282">
        <v>0</v>
      </c>
      <c r="Q15" s="161">
        <v>3.3322341775812401</v>
      </c>
      <c r="R15" s="291">
        <v>0.52567030106860368</v>
      </c>
      <c r="T15" s="290">
        <v>0</v>
      </c>
      <c r="U15" s="161">
        <v>3.3739726488416055</v>
      </c>
      <c r="V15" s="679">
        <v>1.7914244224558209</v>
      </c>
      <c r="X15" s="290">
        <v>0</v>
      </c>
      <c r="Y15" s="161">
        <v>2.8870726488416056</v>
      </c>
      <c r="Z15" s="291">
        <v>-0.1115077677420091</v>
      </c>
      <c r="AG15" s="311">
        <v>0</v>
      </c>
      <c r="AH15" s="312">
        <v>2.3528955413438131</v>
      </c>
      <c r="AI15" s="313">
        <v>0.7749831953527373</v>
      </c>
      <c r="AJ15" s="313">
        <f t="shared" si="0"/>
        <v>7.749831953527373</v>
      </c>
      <c r="AK15" s="313">
        <f t="shared" si="1"/>
        <v>0.7749831953527373</v>
      </c>
    </row>
    <row r="16" spans="1:46">
      <c r="A16" s="299">
        <v>41576</v>
      </c>
      <c r="B16" s="282">
        <v>8</v>
      </c>
      <c r="C16" s="266">
        <v>2.7989624191981517</v>
      </c>
      <c r="D16" s="291">
        <v>0.92911168399625987</v>
      </c>
      <c r="E16" s="161">
        <v>3.2727624191981519</v>
      </c>
      <c r="F16" s="291">
        <v>0.88096372110154597</v>
      </c>
      <c r="G16" s="161">
        <v>3.6890624191981507</v>
      </c>
      <c r="H16" s="679">
        <v>1.0890368485660638</v>
      </c>
      <c r="I16" s="161">
        <v>3.0483624191981504</v>
      </c>
      <c r="J16" s="291">
        <v>-1.2005924491810163</v>
      </c>
      <c r="L16" s="282">
        <v>0</v>
      </c>
      <c r="M16" s="266">
        <v>2.1916783584564272</v>
      </c>
      <c r="N16" s="297">
        <v>25.047249483130777</v>
      </c>
      <c r="P16" s="282">
        <v>0</v>
      </c>
      <c r="Q16" s="161">
        <v>3.3132409376518037</v>
      </c>
      <c r="R16" s="291">
        <v>0.54089600162749174</v>
      </c>
      <c r="T16" s="282">
        <v>0</v>
      </c>
      <c r="U16" s="161">
        <v>3.339745248059228</v>
      </c>
      <c r="V16" s="679">
        <v>0.98402266473139122</v>
      </c>
      <c r="X16" s="282">
        <v>0</v>
      </c>
      <c r="Y16" s="161">
        <v>2.8603452480592284</v>
      </c>
      <c r="Z16" s="297">
        <v>-8.9943979492929316E-2</v>
      </c>
      <c r="AG16" s="311">
        <v>0</v>
      </c>
      <c r="AH16" s="312">
        <v>2.1916783584564272</v>
      </c>
      <c r="AI16" s="313"/>
      <c r="AJ16" s="313"/>
      <c r="AK16" s="313">
        <f t="shared" si="1"/>
        <v>0</v>
      </c>
    </row>
    <row r="17" spans="1:37">
      <c r="A17" s="299">
        <v>41577</v>
      </c>
      <c r="B17" s="282">
        <v>9</v>
      </c>
      <c r="C17" s="266">
        <v>2.7607329762465871</v>
      </c>
      <c r="D17" s="291">
        <v>0.91881907975527088</v>
      </c>
      <c r="E17" s="161">
        <v>3.2534329762465877</v>
      </c>
      <c r="F17" s="291">
        <v>0.58902411285490697</v>
      </c>
      <c r="G17" s="161">
        <v>3.661432976246588</v>
      </c>
      <c r="H17" s="679">
        <v>2.4579943980309591</v>
      </c>
      <c r="I17" s="161">
        <v>3.0304329762465883</v>
      </c>
      <c r="J17" s="291">
        <v>-1.3680144254648865</v>
      </c>
      <c r="L17" s="282">
        <v>0</v>
      </c>
      <c r="M17" s="266">
        <v>1.6719742858665225</v>
      </c>
      <c r="N17" s="297">
        <v>1.058943944663802</v>
      </c>
      <c r="P17" s="282">
        <v>0</v>
      </c>
      <c r="Q17" s="161">
        <v>3.292209857675326</v>
      </c>
      <c r="R17" s="291">
        <v>0.55405076621011196</v>
      </c>
      <c r="T17" s="282">
        <v>0</v>
      </c>
      <c r="U17" s="161">
        <v>3.3122742858665228</v>
      </c>
      <c r="V17" s="679">
        <v>1.9122669059671247</v>
      </c>
      <c r="X17" s="282">
        <v>0</v>
      </c>
      <c r="Y17" s="161">
        <v>2.8344742858665231</v>
      </c>
      <c r="Z17" s="297">
        <v>0.18924768096589073</v>
      </c>
      <c r="AG17" s="311">
        <v>0</v>
      </c>
      <c r="AH17" s="312">
        <v>1.6719742858665225</v>
      </c>
      <c r="AI17" s="313">
        <v>1.058943944663802</v>
      </c>
      <c r="AJ17" s="313">
        <f t="shared" si="0"/>
        <v>10.589439446638021</v>
      </c>
      <c r="AK17" s="313">
        <f t="shared" si="1"/>
        <v>0</v>
      </c>
    </row>
    <row r="18" spans="1:37">
      <c r="A18" s="299">
        <v>41578</v>
      </c>
      <c r="B18" s="282">
        <v>0</v>
      </c>
      <c r="C18" s="266">
        <v>2.7228466778126248</v>
      </c>
      <c r="D18" s="297">
        <v>4.0624184451614198E-2</v>
      </c>
      <c r="E18" s="161">
        <v>3.2334466778126245</v>
      </c>
      <c r="F18" s="297">
        <v>0.84885438943788749</v>
      </c>
      <c r="G18" s="161">
        <v>3.616246677812625</v>
      </c>
      <c r="H18" s="679">
        <v>3.3351518713484039</v>
      </c>
      <c r="I18" s="161">
        <v>3.0117466778126238</v>
      </c>
      <c r="J18" s="297">
        <v>-1.2903566235950277</v>
      </c>
      <c r="L18" s="282">
        <v>0</v>
      </c>
      <c r="M18" s="266">
        <v>1.638650769200066</v>
      </c>
      <c r="N18" s="297">
        <v>1.1789106461244563</v>
      </c>
      <c r="P18" s="282">
        <v>0</v>
      </c>
      <c r="Q18" s="161">
        <v>3.2727624191981519</v>
      </c>
      <c r="R18" s="291">
        <v>0.88096372110154597</v>
      </c>
      <c r="T18" s="282">
        <v>0</v>
      </c>
      <c r="U18" s="161">
        <v>3.1658550443621065</v>
      </c>
      <c r="V18" s="679">
        <v>1.5340212544321057</v>
      </c>
      <c r="X18" s="282">
        <v>0</v>
      </c>
      <c r="Y18" s="161">
        <v>2.7202550443621063</v>
      </c>
      <c r="Z18" s="291">
        <v>0.63153638159846492</v>
      </c>
      <c r="AG18" s="311">
        <v>0</v>
      </c>
      <c r="AH18" s="312">
        <v>1.638650769200066</v>
      </c>
      <c r="AI18" s="313">
        <v>1.1789106461244563</v>
      </c>
      <c r="AJ18" s="313">
        <f t="shared" si="0"/>
        <v>11.789106461244563</v>
      </c>
      <c r="AK18" s="313">
        <f t="shared" si="1"/>
        <v>0</v>
      </c>
    </row>
    <row r="19" spans="1:37">
      <c r="A19" s="299">
        <v>41579</v>
      </c>
      <c r="B19" s="282">
        <v>1</v>
      </c>
      <c r="C19" s="266">
        <v>2.6960524038752909</v>
      </c>
      <c r="D19" s="297">
        <v>0.90354307632750341</v>
      </c>
      <c r="E19" s="161">
        <v>3.2137524038752918</v>
      </c>
      <c r="F19" s="297">
        <v>0.68358631585880625</v>
      </c>
      <c r="G19" s="161">
        <v>3.5651524038752909</v>
      </c>
      <c r="H19" s="679">
        <v>3.1596886483942379</v>
      </c>
      <c r="I19" s="161">
        <v>2.9937524038752907</v>
      </c>
      <c r="J19" s="297">
        <v>-1.2104046493505392</v>
      </c>
      <c r="L19" s="282">
        <v>0</v>
      </c>
      <c r="M19" s="266">
        <v>1.6298924910133441</v>
      </c>
      <c r="N19" s="297">
        <v>1.6232786163299595</v>
      </c>
      <c r="P19" s="282">
        <v>0</v>
      </c>
      <c r="Q19" s="161">
        <v>3.2534329762465877</v>
      </c>
      <c r="R19" s="291">
        <v>0.58902411285490697</v>
      </c>
      <c r="T19" s="282">
        <v>1</v>
      </c>
      <c r="U19" s="161">
        <v>3.9735063881024368</v>
      </c>
      <c r="V19" s="679">
        <v>-10.797234859066986</v>
      </c>
      <c r="X19" s="282">
        <v>1</v>
      </c>
      <c r="Y19" s="161">
        <v>3.3996063881024372</v>
      </c>
      <c r="Z19" s="297">
        <v>17.190206372420505</v>
      </c>
      <c r="AG19" s="311">
        <v>0</v>
      </c>
      <c r="AH19" s="312">
        <v>1.6298924910133441</v>
      </c>
      <c r="AI19" s="313">
        <v>1.6232786163299595</v>
      </c>
      <c r="AJ19" s="313">
        <f t="shared" si="0"/>
        <v>16.232786163299593</v>
      </c>
      <c r="AK19" s="313">
        <f t="shared" si="1"/>
        <v>0</v>
      </c>
    </row>
    <row r="20" spans="1:37">
      <c r="A20" s="299">
        <v>41580</v>
      </c>
      <c r="B20" s="282">
        <v>0</v>
      </c>
      <c r="C20" s="266">
        <v>2.6588710094669961</v>
      </c>
      <c r="D20" s="297">
        <v>0.82934655473984842</v>
      </c>
      <c r="E20" s="161">
        <v>3.1945710094669977</v>
      </c>
      <c r="F20" s="297">
        <v>0.73742747578617829</v>
      </c>
      <c r="G20" s="161">
        <v>3.5144710094669973</v>
      </c>
      <c r="H20" s="679">
        <v>1.6192045711613319</v>
      </c>
      <c r="I20" s="161">
        <v>2.9733710094669976</v>
      </c>
      <c r="J20" s="297">
        <v>-1.256909529426649</v>
      </c>
      <c r="L20" s="282">
        <v>0</v>
      </c>
      <c r="M20" s="266">
        <v>1.4761350043176198</v>
      </c>
      <c r="N20" s="297">
        <v>0.64233232725065381</v>
      </c>
      <c r="P20" s="282">
        <v>0</v>
      </c>
      <c r="Q20" s="161">
        <v>3.2334466778126245</v>
      </c>
      <c r="R20" s="297">
        <v>0.84885438943788749</v>
      </c>
      <c r="T20" s="282">
        <v>1</v>
      </c>
      <c r="U20" s="161">
        <v>3.661432976246588</v>
      </c>
      <c r="V20" s="679">
        <v>2.4579943980309591</v>
      </c>
      <c r="X20" s="282">
        <v>1</v>
      </c>
      <c r="Y20" s="161">
        <v>3.0304329762465883</v>
      </c>
      <c r="Z20" s="291">
        <v>-1.3680144254648865</v>
      </c>
      <c r="AG20" s="311">
        <v>0</v>
      </c>
      <c r="AH20" s="312">
        <v>1.4761350043176198</v>
      </c>
      <c r="AI20" s="313">
        <v>0.64233232725065381</v>
      </c>
      <c r="AJ20" s="313">
        <f t="shared" si="0"/>
        <v>6.4233232725065381</v>
      </c>
      <c r="AK20" s="313">
        <f t="shared" si="1"/>
        <v>0.64233232725065381</v>
      </c>
    </row>
    <row r="21" spans="1:37">
      <c r="A21" s="299">
        <v>41581</v>
      </c>
      <c r="B21" s="282">
        <v>1</v>
      </c>
      <c r="C21" s="266">
        <v>2.6246802121516297</v>
      </c>
      <c r="D21" s="297">
        <v>0.70477947891964465</v>
      </c>
      <c r="E21" s="161">
        <v>3.1776802121516301</v>
      </c>
      <c r="F21" s="297">
        <v>0.76087563962627303</v>
      </c>
      <c r="G21" s="161">
        <v>3.4816802121516313</v>
      </c>
      <c r="H21" s="679">
        <v>1.6156962261883479</v>
      </c>
      <c r="I21" s="161">
        <v>2.9555802121516304</v>
      </c>
      <c r="J21" s="297">
        <v>-1.3455086275803958</v>
      </c>
      <c r="L21" s="282">
        <v>1</v>
      </c>
      <c r="M21" s="266">
        <v>3.0868947052086626</v>
      </c>
      <c r="N21" s="291">
        <v>1.4154516202041334</v>
      </c>
      <c r="P21" s="282">
        <v>1</v>
      </c>
      <c r="Q21" s="161">
        <v>3.2137524038752918</v>
      </c>
      <c r="R21" s="297">
        <v>0.68358631585880625</v>
      </c>
      <c r="T21" s="282">
        <v>1</v>
      </c>
      <c r="U21" s="161">
        <v>3.5651524038752909</v>
      </c>
      <c r="V21" s="679">
        <v>3.1596886483942379</v>
      </c>
      <c r="X21" s="282">
        <v>1</v>
      </c>
      <c r="Y21" s="161">
        <v>2.9937524038752907</v>
      </c>
      <c r="Z21" s="297">
        <v>-1.2104046493505392</v>
      </c>
      <c r="AG21" s="205">
        <v>0</v>
      </c>
      <c r="AH21" s="205">
        <v>0.61806955386698603</v>
      </c>
      <c r="AI21" s="205"/>
      <c r="AJ21" s="313"/>
      <c r="AK21" s="313">
        <f t="shared" si="1"/>
        <v>0</v>
      </c>
    </row>
    <row r="22" spans="1:37">
      <c r="A22" s="299">
        <v>41582</v>
      </c>
      <c r="B22" s="282">
        <v>0</v>
      </c>
      <c r="C22" s="266">
        <v>2.5902771477230098</v>
      </c>
      <c r="D22" s="297">
        <v>-1.1655137588408215</v>
      </c>
      <c r="E22" s="161">
        <v>3.1596771477230092</v>
      </c>
      <c r="F22" s="297">
        <v>1.2992845975191649</v>
      </c>
      <c r="G22" s="161">
        <v>3.4474771477230091</v>
      </c>
      <c r="H22" s="679">
        <v>2.1681114336818643</v>
      </c>
      <c r="I22" s="161">
        <v>2.9368771477230093</v>
      </c>
      <c r="J22" s="297">
        <v>-0.88937211276340511</v>
      </c>
      <c r="L22" s="282">
        <v>1</v>
      </c>
      <c r="M22" s="266">
        <v>2.6960524038752909</v>
      </c>
      <c r="N22" s="297">
        <v>0.90354307632750341</v>
      </c>
      <c r="P22" s="282">
        <v>1</v>
      </c>
      <c r="Q22" s="161">
        <v>3.1945710094669977</v>
      </c>
      <c r="R22" s="297">
        <v>0.73742747578617829</v>
      </c>
      <c r="T22" s="282">
        <v>1</v>
      </c>
      <c r="U22" s="161">
        <v>3.4474771477230091</v>
      </c>
      <c r="V22" s="679">
        <v>2.1681114336818643</v>
      </c>
      <c r="X22" s="282">
        <v>1</v>
      </c>
      <c r="Y22" s="161">
        <v>2.9368771477230093</v>
      </c>
      <c r="Z22" s="297">
        <v>-0.88937211276340511</v>
      </c>
      <c r="AG22" s="205">
        <v>0</v>
      </c>
      <c r="AH22" s="205">
        <v>2.9642855213215693</v>
      </c>
      <c r="AI22" s="205"/>
      <c r="AJ22" s="313"/>
      <c r="AK22" s="313">
        <f t="shared" si="1"/>
        <v>0</v>
      </c>
    </row>
    <row r="23" spans="1:37">
      <c r="A23" s="299">
        <v>41583</v>
      </c>
      <c r="B23" s="282">
        <v>0</v>
      </c>
      <c r="C23" s="266">
        <v>2.6102194843017643</v>
      </c>
      <c r="D23" s="297">
        <v>-7.3000441576529518E-2</v>
      </c>
      <c r="E23" s="161">
        <v>3.1680194843017642</v>
      </c>
      <c r="F23" s="297">
        <v>0.30439894731696748</v>
      </c>
      <c r="G23" s="161">
        <v>3.4445194843017637</v>
      </c>
      <c r="H23" s="679">
        <v>2.5114055757523621</v>
      </c>
      <c r="I23" s="161">
        <v>2.9495194843017631</v>
      </c>
      <c r="J23" s="297">
        <v>-0.53587281932828912</v>
      </c>
      <c r="L23" s="282">
        <v>1</v>
      </c>
      <c r="M23" s="266">
        <v>2.6246802121516297</v>
      </c>
      <c r="N23" s="297">
        <v>0.70477947891964465</v>
      </c>
      <c r="P23" s="282">
        <v>1</v>
      </c>
      <c r="Q23" s="161">
        <v>3.1776802121516301</v>
      </c>
      <c r="R23" s="297">
        <v>0.76087563962627303</v>
      </c>
      <c r="T23" s="282">
        <v>1</v>
      </c>
      <c r="U23" s="161">
        <v>3.1861161938040867</v>
      </c>
      <c r="V23" s="679">
        <v>1.9248509521759751</v>
      </c>
      <c r="X23" s="282">
        <v>1</v>
      </c>
      <c r="Y23" s="161">
        <v>2.7828161938040874</v>
      </c>
      <c r="Z23" s="291">
        <v>-1.1686428406674434</v>
      </c>
      <c r="AG23" s="693">
        <v>0</v>
      </c>
      <c r="AH23" s="694">
        <v>3.1793810224401646</v>
      </c>
      <c r="AI23" s="695">
        <v>-8.6892460034803474</v>
      </c>
      <c r="AJ23" s="313">
        <f t="shared" si="0"/>
        <v>-86.892460034803477</v>
      </c>
      <c r="AK23" s="313">
        <f t="shared" si="1"/>
        <v>-8.6892460034803474</v>
      </c>
    </row>
    <row r="24" spans="1:37">
      <c r="A24" s="299">
        <v>41584</v>
      </c>
      <c r="B24" s="282">
        <v>1</v>
      </c>
      <c r="C24" s="266">
        <v>2.6013288895585291</v>
      </c>
      <c r="D24" s="297">
        <v>0.92837845983527378</v>
      </c>
      <c r="E24" s="161">
        <v>3.1691288895585306</v>
      </c>
      <c r="F24" s="297">
        <v>1.399451157204457</v>
      </c>
      <c r="G24" s="161">
        <v>3.42052888955853</v>
      </c>
      <c r="H24" s="679">
        <v>1.79241308816195</v>
      </c>
      <c r="I24" s="161">
        <v>2.9404288895585302</v>
      </c>
      <c r="J24" s="297">
        <v>-1.0553182171193645</v>
      </c>
      <c r="L24" s="282">
        <v>1</v>
      </c>
      <c r="M24" s="266">
        <v>2.6013288895585291</v>
      </c>
      <c r="N24" s="297">
        <v>0.92837845983527378</v>
      </c>
      <c r="P24" s="282">
        <v>1</v>
      </c>
      <c r="Q24" s="161">
        <v>3.1596771477230092</v>
      </c>
      <c r="R24" s="297">
        <v>1.2992845975191649</v>
      </c>
      <c r="T24" s="282">
        <v>1</v>
      </c>
      <c r="U24" s="161">
        <v>3.0417266236699829</v>
      </c>
      <c r="V24" s="679">
        <v>2.5517038625251489</v>
      </c>
      <c r="X24" s="282">
        <v>1</v>
      </c>
      <c r="Y24" s="161">
        <v>2.681026623669982</v>
      </c>
      <c r="Z24" s="297">
        <v>0.70398147285115398</v>
      </c>
      <c r="AG24" s="693">
        <v>0</v>
      </c>
      <c r="AH24" s="694">
        <v>3.2773143565567313</v>
      </c>
      <c r="AI24" s="695">
        <v>6.7771202586053292</v>
      </c>
      <c r="AJ24" s="313">
        <f t="shared" si="0"/>
        <v>67.771202586053292</v>
      </c>
      <c r="AK24" s="313">
        <f t="shared" si="1"/>
        <v>0</v>
      </c>
    </row>
    <row r="25" spans="1:37">
      <c r="A25" s="299">
        <v>41585</v>
      </c>
      <c r="B25" s="282">
        <v>2</v>
      </c>
      <c r="C25" s="266">
        <v>2.56585301864077</v>
      </c>
      <c r="D25" s="291">
        <v>0.6839133827870354</v>
      </c>
      <c r="E25" s="161">
        <v>3.1474530186407694</v>
      </c>
      <c r="F25" s="291">
        <v>0.91284390777321478</v>
      </c>
      <c r="G25" s="161">
        <v>3.3864530186407693</v>
      </c>
      <c r="H25" s="679">
        <v>2.4099202472238548</v>
      </c>
      <c r="I25" s="161">
        <v>2.9189530186407686</v>
      </c>
      <c r="J25" s="291">
        <v>-1.4934827979861893</v>
      </c>
      <c r="L25" s="282">
        <v>1</v>
      </c>
      <c r="M25" s="266">
        <v>2.3232748912332295</v>
      </c>
      <c r="N25" s="291">
        <v>1.2969365667025636</v>
      </c>
      <c r="P25" s="282">
        <v>1</v>
      </c>
      <c r="Q25" s="161">
        <v>3.1680194843017642</v>
      </c>
      <c r="R25" s="297">
        <v>0.30439894731696748</v>
      </c>
      <c r="T25" s="282">
        <v>1</v>
      </c>
      <c r="U25" s="161">
        <v>3.2755507692000672</v>
      </c>
      <c r="V25" s="679">
        <v>2.0103522813567229</v>
      </c>
      <c r="X25" s="282">
        <v>1</v>
      </c>
      <c r="Y25" s="161">
        <v>2.808250769200066</v>
      </c>
      <c r="Z25" s="297">
        <v>1.1754038743129986</v>
      </c>
      <c r="AG25" s="693">
        <v>0</v>
      </c>
      <c r="AH25" s="694">
        <v>3.3345159959313371</v>
      </c>
      <c r="AI25" s="695">
        <v>7.9784829979624554</v>
      </c>
      <c r="AJ25" s="313">
        <f t="shared" si="0"/>
        <v>79.784829979624561</v>
      </c>
      <c r="AK25" s="313">
        <f t="shared" si="1"/>
        <v>0</v>
      </c>
    </row>
    <row r="26" spans="1:37">
      <c r="A26" s="299">
        <v>41586</v>
      </c>
      <c r="B26" s="282">
        <v>3</v>
      </c>
      <c r="C26" s="266">
        <v>2.531948719981806</v>
      </c>
      <c r="D26" s="291">
        <v>0.5740736246635314</v>
      </c>
      <c r="E26" s="161">
        <v>3.1306487199818065</v>
      </c>
      <c r="F26" s="291">
        <v>1.3068606978510799</v>
      </c>
      <c r="G26" s="161">
        <v>3.3481487199818067</v>
      </c>
      <c r="H26" s="679">
        <v>2.5849687140150812</v>
      </c>
      <c r="I26" s="161">
        <v>2.8968487199818074</v>
      </c>
      <c r="J26" s="291">
        <v>-0.54631381358665632</v>
      </c>
      <c r="L26" s="282">
        <v>1</v>
      </c>
      <c r="M26" s="266">
        <v>2.2556730516361818</v>
      </c>
      <c r="N26" s="291">
        <v>1.5723226922029543</v>
      </c>
      <c r="P26" s="282">
        <v>1</v>
      </c>
      <c r="Q26" s="161">
        <v>3.1691288895585306</v>
      </c>
      <c r="R26" s="297">
        <v>1.399451157204457</v>
      </c>
      <c r="T26" s="282">
        <v>1</v>
      </c>
      <c r="U26" s="161">
        <v>3.1260257992832949</v>
      </c>
      <c r="V26" s="679">
        <v>0.580328799386439</v>
      </c>
      <c r="X26" s="282">
        <v>1</v>
      </c>
      <c r="Y26" s="161">
        <v>2.6826257992832949</v>
      </c>
      <c r="Z26" s="291">
        <v>0.94155290821139204</v>
      </c>
      <c r="AG26" s="693">
        <v>0</v>
      </c>
      <c r="AH26" s="694">
        <v>3.4026063881024378</v>
      </c>
      <c r="AI26" s="695">
        <v>-2.7738947480843201</v>
      </c>
      <c r="AJ26" s="313">
        <f t="shared" si="0"/>
        <v>-27.738947480843201</v>
      </c>
      <c r="AK26" s="313">
        <f t="shared" si="1"/>
        <v>-2.7738947480843201</v>
      </c>
    </row>
    <row r="27" spans="1:37">
      <c r="A27" s="299">
        <v>41587</v>
      </c>
      <c r="B27" s="282">
        <v>4</v>
      </c>
      <c r="C27" s="266">
        <v>2.4993953411213714</v>
      </c>
      <c r="D27" s="291">
        <v>0.9615609672864438</v>
      </c>
      <c r="E27" s="161">
        <v>3.1099953411213708</v>
      </c>
      <c r="F27" s="291">
        <v>0.91539453249542735</v>
      </c>
      <c r="G27" s="161">
        <v>3.3074953411213714</v>
      </c>
      <c r="H27" s="679">
        <v>2.357247889535663</v>
      </c>
      <c r="I27" s="161">
        <v>2.8724953411213714</v>
      </c>
      <c r="J27" s="291">
        <v>-0.80884284270011353</v>
      </c>
      <c r="L27" s="282">
        <v>1</v>
      </c>
      <c r="M27" s="266">
        <v>1.5979663033140761</v>
      </c>
      <c r="N27" s="291">
        <v>0.8999968063649697</v>
      </c>
      <c r="P27" s="282">
        <v>1</v>
      </c>
      <c r="Q27" s="161">
        <v>3.1474530186407694</v>
      </c>
      <c r="R27" s="291">
        <v>0.91284390777321478</v>
      </c>
      <c r="T27" s="282">
        <v>2</v>
      </c>
      <c r="U27" s="161">
        <v>4.0705503382091868</v>
      </c>
      <c r="V27" s="679">
        <v>7.6576000522258889</v>
      </c>
      <c r="X27" s="282">
        <v>2</v>
      </c>
      <c r="Y27" s="161">
        <v>3.2055503382091852</v>
      </c>
      <c r="Z27" s="297">
        <v>2.0995878358815263</v>
      </c>
      <c r="AG27" s="693">
        <v>0</v>
      </c>
      <c r="AH27" s="694">
        <v>3.4228503382091855</v>
      </c>
      <c r="AI27" s="695">
        <v>4.2742530633112654</v>
      </c>
      <c r="AJ27" s="313">
        <f t="shared" si="0"/>
        <v>42.742530633112651</v>
      </c>
      <c r="AK27" s="313">
        <f t="shared" si="1"/>
        <v>0</v>
      </c>
    </row>
    <row r="28" spans="1:37">
      <c r="A28" s="299">
        <v>41588</v>
      </c>
      <c r="B28" s="282">
        <v>5</v>
      </c>
      <c r="C28" s="266">
        <v>2.4632184455944803</v>
      </c>
      <c r="D28" s="291">
        <v>1.2128302897433327</v>
      </c>
      <c r="E28" s="161">
        <v>3.0919184455944819</v>
      </c>
      <c r="F28" s="291">
        <v>1.415770734711995</v>
      </c>
      <c r="G28" s="161">
        <v>3.2686184455944813</v>
      </c>
      <c r="H28" s="679">
        <v>2.4177093906381546</v>
      </c>
      <c r="I28" s="161">
        <v>2.8491184455944807</v>
      </c>
      <c r="J28" s="291">
        <v>-0.56831329959123922</v>
      </c>
      <c r="L28" s="290">
        <v>1</v>
      </c>
      <c r="M28" s="266">
        <v>1.4483703853027508</v>
      </c>
      <c r="N28" s="297">
        <v>0.62344630833039139</v>
      </c>
      <c r="P28" s="290">
        <v>1</v>
      </c>
      <c r="Q28" s="161">
        <v>3.1306487199818065</v>
      </c>
      <c r="R28" s="291">
        <v>1.3068606978510799</v>
      </c>
      <c r="T28" s="282">
        <v>2</v>
      </c>
      <c r="U28" s="161">
        <v>3.4445194843017637</v>
      </c>
      <c r="V28" s="679">
        <v>2.5114055757523621</v>
      </c>
      <c r="X28" s="282">
        <v>2</v>
      </c>
      <c r="Y28" s="161">
        <v>2.9495194843017631</v>
      </c>
      <c r="Z28" s="297">
        <v>-0.53587281932828912</v>
      </c>
      <c r="AG28" s="693">
        <v>0</v>
      </c>
      <c r="AH28" s="694">
        <v>3.4088947052086631</v>
      </c>
      <c r="AI28" s="695">
        <v>0.50625285464152303</v>
      </c>
      <c r="AJ28" s="313">
        <f t="shared" si="0"/>
        <v>5.0625285464152299</v>
      </c>
      <c r="AK28" s="313">
        <f t="shared" si="1"/>
        <v>0.50625285464152303</v>
      </c>
    </row>
    <row r="29" spans="1:37">
      <c r="A29" s="299">
        <v>41589</v>
      </c>
      <c r="B29" s="282">
        <v>6</v>
      </c>
      <c r="C29" s="266">
        <v>2.4248004524185611</v>
      </c>
      <c r="D29" s="291">
        <v>1.0866267822689588</v>
      </c>
      <c r="E29" s="161">
        <v>3.0709004524185612</v>
      </c>
      <c r="F29" s="291">
        <v>1.0833188185458038</v>
      </c>
      <c r="G29" s="161">
        <v>3.2278004524185606</v>
      </c>
      <c r="H29" s="679">
        <v>2.4786486742017049</v>
      </c>
      <c r="I29" s="161">
        <v>2.8217004524185607</v>
      </c>
      <c r="J29" s="291">
        <v>0.41839054688435162</v>
      </c>
      <c r="L29" s="282">
        <v>2</v>
      </c>
      <c r="M29" s="266">
        <v>3.0421924557679625</v>
      </c>
      <c r="N29" s="291">
        <v>1.2480904203521725</v>
      </c>
      <c r="P29" s="282">
        <v>2</v>
      </c>
      <c r="Q29" s="161">
        <v>3.1099953411213708</v>
      </c>
      <c r="R29" s="291">
        <v>0.91539453249542735</v>
      </c>
      <c r="T29" s="282">
        <v>2</v>
      </c>
      <c r="U29" s="161">
        <v>3.1516955413438135</v>
      </c>
      <c r="V29" s="679">
        <v>2.1670585310559929</v>
      </c>
      <c r="X29" s="282">
        <v>2</v>
      </c>
      <c r="Y29" s="161">
        <v>2.7604955413438126</v>
      </c>
      <c r="Z29" s="297">
        <v>-1.0361936377015302</v>
      </c>
      <c r="AG29" s="693">
        <v>0</v>
      </c>
      <c r="AH29" s="694">
        <v>3.3914924557679615</v>
      </c>
      <c r="AI29" s="695">
        <v>1.1592289323187195</v>
      </c>
      <c r="AJ29" s="313">
        <f t="shared" si="0"/>
        <v>11.592289323187195</v>
      </c>
      <c r="AK29" s="313">
        <f t="shared" si="1"/>
        <v>0</v>
      </c>
    </row>
    <row r="30" spans="1:37">
      <c r="A30" s="299">
        <v>41590</v>
      </c>
      <c r="B30" s="282">
        <v>7</v>
      </c>
      <c r="C30" s="266">
        <v>2.3878161938040869</v>
      </c>
      <c r="D30" s="291">
        <v>1.1469914943837574</v>
      </c>
      <c r="E30" s="161">
        <v>3.0501161938040884</v>
      </c>
      <c r="F30" s="291">
        <v>1.5434019704100923</v>
      </c>
      <c r="G30" s="161">
        <v>3.1861161938040867</v>
      </c>
      <c r="H30" s="679">
        <v>1.9248509521759751</v>
      </c>
      <c r="I30" s="161">
        <v>2.7828161938040874</v>
      </c>
      <c r="J30" s="291">
        <v>-1.1686428406674434</v>
      </c>
      <c r="L30" s="282">
        <v>2</v>
      </c>
      <c r="M30" s="266">
        <v>2.56585301864077</v>
      </c>
      <c r="N30" s="291">
        <v>0.6839133827870354</v>
      </c>
      <c r="P30" s="282">
        <v>2</v>
      </c>
      <c r="Q30" s="161">
        <v>3.0919184455944819</v>
      </c>
      <c r="R30" s="291">
        <v>1.415770734711995</v>
      </c>
      <c r="T30" s="282">
        <v>2</v>
      </c>
      <c r="U30" s="161">
        <v>3.0008783584564283</v>
      </c>
      <c r="V30" s="679">
        <v>-43.598756971811831</v>
      </c>
      <c r="X30" s="282">
        <v>2</v>
      </c>
      <c r="Y30" s="161">
        <v>2.6427783584564284</v>
      </c>
      <c r="Z30" s="297">
        <v>-18.884891822311864</v>
      </c>
      <c r="AG30" s="693">
        <v>0</v>
      </c>
      <c r="AH30" s="694">
        <v>3.371833767737586</v>
      </c>
      <c r="AI30" s="695">
        <v>1.0750730717676156</v>
      </c>
      <c r="AJ30" s="313">
        <f t="shared" si="0"/>
        <v>10.750730717676156</v>
      </c>
      <c r="AK30" s="313">
        <f t="shared" si="1"/>
        <v>0</v>
      </c>
    </row>
    <row r="31" spans="1:37">
      <c r="A31" s="299">
        <v>41591</v>
      </c>
      <c r="B31" s="282">
        <v>0</v>
      </c>
      <c r="C31" s="266">
        <v>2.3528955413438131</v>
      </c>
      <c r="D31" s="297">
        <v>0.7749831953527373</v>
      </c>
      <c r="E31" s="161">
        <v>3.0268955413438121</v>
      </c>
      <c r="F31" s="297">
        <v>1.6261073777602995</v>
      </c>
      <c r="G31" s="161">
        <v>3.1516955413438135</v>
      </c>
      <c r="H31" s="679">
        <v>2.1670585310559929</v>
      </c>
      <c r="I31" s="161">
        <v>2.7604955413438126</v>
      </c>
      <c r="J31" s="297">
        <v>-1.0361936377015302</v>
      </c>
      <c r="L31" s="282">
        <v>2</v>
      </c>
      <c r="M31" s="266">
        <v>2.2819939113679717</v>
      </c>
      <c r="N31" s="297">
        <v>1.6841106005933897</v>
      </c>
      <c r="P31" s="282">
        <v>2</v>
      </c>
      <c r="Q31" s="161">
        <v>3.0709004524185612</v>
      </c>
      <c r="R31" s="291">
        <v>1.0833188185458038</v>
      </c>
      <c r="T31" s="282">
        <v>2</v>
      </c>
      <c r="U31" s="161">
        <v>3.2615924910133449</v>
      </c>
      <c r="V31" s="679">
        <v>1.1842903438868602</v>
      </c>
      <c r="X31" s="282">
        <v>2</v>
      </c>
      <c r="Y31" s="161">
        <v>2.797992491013344</v>
      </c>
      <c r="Z31" s="297">
        <v>0.37484086430000274</v>
      </c>
      <c r="AG31" s="693">
        <v>0</v>
      </c>
      <c r="AH31" s="694">
        <v>3.3511229280280386</v>
      </c>
      <c r="AI31" s="695">
        <v>0.70414640446968635</v>
      </c>
      <c r="AJ31" s="313">
        <f t="shared" si="0"/>
        <v>7.0414640446968635</v>
      </c>
      <c r="AK31" s="313">
        <f t="shared" si="1"/>
        <v>0.70414640446968635</v>
      </c>
    </row>
    <row r="32" spans="1:37">
      <c r="A32" s="299">
        <v>41592</v>
      </c>
      <c r="B32" s="282">
        <v>1</v>
      </c>
      <c r="C32" s="266">
        <v>2.3232748912332295</v>
      </c>
      <c r="D32" s="291">
        <v>1.2969365667025636</v>
      </c>
      <c r="E32" s="161">
        <v>3.0064748912332302</v>
      </c>
      <c r="F32" s="291">
        <v>1.7336650977119472</v>
      </c>
      <c r="G32" s="161">
        <v>3.1205748912332298</v>
      </c>
      <c r="H32" s="679">
        <v>2.5352211692552666</v>
      </c>
      <c r="I32" s="161">
        <v>2.7414748912332292</v>
      </c>
      <c r="J32" s="291">
        <v>-0.83841064212432936</v>
      </c>
      <c r="L32" s="282">
        <v>2</v>
      </c>
      <c r="M32" s="266">
        <v>2.2130814440322788</v>
      </c>
      <c r="N32" s="291">
        <v>1.7271546831429982</v>
      </c>
      <c r="P32" s="282">
        <v>2</v>
      </c>
      <c r="Q32" s="161">
        <v>3.0501161938040884</v>
      </c>
      <c r="R32" s="291">
        <v>1.5434019704100923</v>
      </c>
      <c r="T32" s="282">
        <v>2</v>
      </c>
      <c r="U32" s="161">
        <v>3.0964350043176188</v>
      </c>
      <c r="V32" s="679">
        <v>0.53204751586813881</v>
      </c>
      <c r="X32" s="282">
        <v>2</v>
      </c>
      <c r="Y32" s="161">
        <v>2.6472350043176198</v>
      </c>
      <c r="Z32" s="297">
        <v>1.1261992430409951</v>
      </c>
      <c r="AG32" s="693">
        <v>0</v>
      </c>
      <c r="AH32" s="694">
        <v>3.3322341775812401</v>
      </c>
      <c r="AI32" s="695">
        <v>0.52567030106860368</v>
      </c>
      <c r="AJ32" s="313">
        <f t="shared" si="0"/>
        <v>5.2567030106860368</v>
      </c>
      <c r="AK32" s="313">
        <f t="shared" si="1"/>
        <v>0.52567030106860368</v>
      </c>
    </row>
    <row r="33" spans="1:37">
      <c r="A33" s="299">
        <v>41593</v>
      </c>
      <c r="B33" s="282">
        <v>2</v>
      </c>
      <c r="C33" s="266">
        <v>2.2819939113679717</v>
      </c>
      <c r="D33" s="297">
        <v>1.6841106005933897</v>
      </c>
      <c r="E33" s="161">
        <v>2.9805939113679738</v>
      </c>
      <c r="F33" s="297">
        <v>1.5688933436242667</v>
      </c>
      <c r="G33" s="161">
        <v>3.0834939113679729</v>
      </c>
      <c r="H33" s="679">
        <v>2.820729426962544</v>
      </c>
      <c r="I33" s="161">
        <v>2.7170939113679728</v>
      </c>
      <c r="J33" s="297">
        <v>0.39819994192524177</v>
      </c>
      <c r="L33" s="282">
        <v>2</v>
      </c>
      <c r="M33" s="266">
        <v>1.567169367742697</v>
      </c>
      <c r="N33" s="291">
        <v>1.0554734185815757</v>
      </c>
      <c r="P33" s="282">
        <v>2</v>
      </c>
      <c r="Q33" s="161">
        <v>3.0268955413438121</v>
      </c>
      <c r="R33" s="297">
        <v>1.6261073777602995</v>
      </c>
      <c r="T33" s="282">
        <v>3</v>
      </c>
      <c r="U33" s="161">
        <v>4.0373947052086629</v>
      </c>
      <c r="V33" s="679">
        <v>3.2727602890206309</v>
      </c>
      <c r="X33" s="282">
        <v>3</v>
      </c>
      <c r="Y33" s="161">
        <v>3.2147947052086621</v>
      </c>
      <c r="Z33" s="291">
        <v>0.54195406509585409</v>
      </c>
      <c r="AG33" s="693">
        <v>0</v>
      </c>
      <c r="AH33" s="694">
        <v>3.3132409376518037</v>
      </c>
      <c r="AI33" s="695">
        <v>0.54089600162749174</v>
      </c>
      <c r="AJ33" s="313">
        <f t="shared" si="0"/>
        <v>5.4089600162749178</v>
      </c>
      <c r="AK33" s="313">
        <f t="shared" si="1"/>
        <v>0.54089600162749174</v>
      </c>
    </row>
    <row r="34" spans="1:37">
      <c r="A34" s="299">
        <v>41594</v>
      </c>
      <c r="B34" s="282">
        <v>3</v>
      </c>
      <c r="C34" s="266">
        <v>2.2373266236699831</v>
      </c>
      <c r="D34" s="297">
        <v>1.8385673577457906</v>
      </c>
      <c r="E34" s="161">
        <v>2.9560266236699828</v>
      </c>
      <c r="F34" s="297">
        <v>1.7887421076838685</v>
      </c>
      <c r="G34" s="161">
        <v>3.0417266236699829</v>
      </c>
      <c r="H34" s="679">
        <v>2.5517038625251489</v>
      </c>
      <c r="I34" s="161">
        <v>2.681026623669982</v>
      </c>
      <c r="J34" s="297">
        <v>0.70398147285115398</v>
      </c>
      <c r="L34" s="282">
        <v>2</v>
      </c>
      <c r="M34" s="266">
        <v>1.4215358193055381</v>
      </c>
      <c r="N34" s="297">
        <v>0.95809129748864352</v>
      </c>
      <c r="P34" s="282">
        <v>2</v>
      </c>
      <c r="Q34" s="161">
        <v>3.0064748912332302</v>
      </c>
      <c r="R34" s="291">
        <v>1.7336650977119472</v>
      </c>
      <c r="T34" s="282">
        <v>3</v>
      </c>
      <c r="U34" s="161">
        <v>3.42052888955853</v>
      </c>
      <c r="V34" s="679">
        <v>1.79241308816195</v>
      </c>
      <c r="X34" s="282">
        <v>3</v>
      </c>
      <c r="Y34" s="161">
        <v>2.9404288895585302</v>
      </c>
      <c r="Z34" s="297">
        <v>-1.0553182171193645</v>
      </c>
      <c r="AG34" s="693">
        <v>0</v>
      </c>
      <c r="AH34" s="694">
        <v>3.292209857675326</v>
      </c>
      <c r="AI34" s="695">
        <v>0.55405076621011196</v>
      </c>
      <c r="AJ34" s="313">
        <f t="shared" si="0"/>
        <v>5.5405076621011196</v>
      </c>
      <c r="AK34" s="313">
        <f t="shared" si="1"/>
        <v>0.55405076621011196</v>
      </c>
    </row>
    <row r="35" spans="1:37">
      <c r="A35" s="299">
        <v>41595</v>
      </c>
      <c r="B35" s="282">
        <v>0</v>
      </c>
      <c r="C35" s="266">
        <v>2.1916783584564272</v>
      </c>
      <c r="D35" s="297">
        <v>25.047249483130777</v>
      </c>
      <c r="E35" s="161">
        <v>2.928978358456428</v>
      </c>
      <c r="F35" s="297">
        <v>-6.3876311921194677</v>
      </c>
      <c r="G35" s="161">
        <v>3.0008783584564283</v>
      </c>
      <c r="H35" s="679">
        <v>-43.598756971811831</v>
      </c>
      <c r="I35" s="161">
        <v>2.6427783584564284</v>
      </c>
      <c r="J35" s="297">
        <v>-18.884891822311864</v>
      </c>
      <c r="L35" s="282">
        <v>3</v>
      </c>
      <c r="M35" s="266">
        <v>2.9996337677375871</v>
      </c>
      <c r="N35" s="291">
        <v>0.9101579654641454</v>
      </c>
      <c r="P35" s="282">
        <v>3</v>
      </c>
      <c r="Q35" s="161">
        <v>2.9805939113679738</v>
      </c>
      <c r="R35" s="297">
        <v>1.5688933436242667</v>
      </c>
      <c r="T35" s="282">
        <v>3</v>
      </c>
      <c r="U35" s="161">
        <v>3.1205748912332298</v>
      </c>
      <c r="V35" s="679">
        <v>2.5352211692552666</v>
      </c>
      <c r="X35" s="282">
        <v>3</v>
      </c>
      <c r="Y35" s="161">
        <v>2.7414748912332292</v>
      </c>
      <c r="Z35" s="291">
        <v>-0.83841064212432936</v>
      </c>
      <c r="AG35" s="693">
        <v>0</v>
      </c>
      <c r="AH35" s="694">
        <v>3.2727624191981519</v>
      </c>
      <c r="AI35" s="695">
        <v>0.88096372110154597</v>
      </c>
      <c r="AJ35" s="313">
        <f t="shared" si="0"/>
        <v>8.8096372110154597</v>
      </c>
      <c r="AK35" s="313">
        <f t="shared" si="1"/>
        <v>0.88096372110154597</v>
      </c>
    </row>
    <row r="36" spans="1:37">
      <c r="A36" s="299">
        <v>41596</v>
      </c>
      <c r="B36" s="282">
        <v>1</v>
      </c>
      <c r="C36" s="266">
        <v>2.2556730516361818</v>
      </c>
      <c r="D36" s="291">
        <v>1.5723226922029543</v>
      </c>
      <c r="E36" s="161">
        <v>3.230673051636181</v>
      </c>
      <c r="F36" s="291">
        <v>0.72519084492523489</v>
      </c>
      <c r="G36" s="161">
        <v>3.7856730516361816</v>
      </c>
      <c r="H36" s="679">
        <v>-1.2559589110109535</v>
      </c>
      <c r="I36" s="161">
        <v>3.1592730516361818</v>
      </c>
      <c r="J36" s="291">
        <v>-1.3860916966695789</v>
      </c>
      <c r="L36" s="282">
        <v>3</v>
      </c>
      <c r="M36" s="266">
        <v>2.531948719981806</v>
      </c>
      <c r="N36" s="291">
        <v>0.5740736246635314</v>
      </c>
      <c r="P36" s="282">
        <v>3</v>
      </c>
      <c r="Q36" s="161">
        <v>2.9560266236699828</v>
      </c>
      <c r="R36" s="297">
        <v>1.7887421076838685</v>
      </c>
      <c r="T36" s="282">
        <v>3</v>
      </c>
      <c r="U36" s="161">
        <v>3.7856730516361816</v>
      </c>
      <c r="V36" s="679">
        <v>-1.2559589110109535</v>
      </c>
      <c r="X36" s="282">
        <v>3</v>
      </c>
      <c r="Y36" s="161">
        <v>3.1592730516361818</v>
      </c>
      <c r="Z36" s="291">
        <v>-1.3860916966695789</v>
      </c>
      <c r="AG36" s="693">
        <v>0</v>
      </c>
      <c r="AH36" s="694">
        <v>3.2534329762465877</v>
      </c>
      <c r="AI36" s="695">
        <v>0.58902411285490697</v>
      </c>
      <c r="AJ36" s="313">
        <f t="shared" si="0"/>
        <v>5.8902411285490697</v>
      </c>
      <c r="AK36" s="313">
        <f t="shared" si="1"/>
        <v>0.58902411285490697</v>
      </c>
    </row>
    <row r="37" spans="1:37">
      <c r="A37" s="299">
        <v>41597</v>
      </c>
      <c r="B37" s="282">
        <v>2</v>
      </c>
      <c r="C37" s="266">
        <v>2.2130814440322788</v>
      </c>
      <c r="D37" s="291">
        <v>1.7271546831429982</v>
      </c>
      <c r="E37" s="161">
        <v>3.2119814440322791</v>
      </c>
      <c r="F37" s="291">
        <v>0.89616841754780729</v>
      </c>
      <c r="G37" s="161">
        <v>3.7786814440322791</v>
      </c>
      <c r="H37" s="679">
        <v>1.6215926195515196</v>
      </c>
      <c r="I37" s="161">
        <v>3.1414814440322778</v>
      </c>
      <c r="J37" s="291">
        <v>-0.80755960410805105</v>
      </c>
      <c r="L37" s="282">
        <v>3</v>
      </c>
      <c r="M37" s="266">
        <v>2.2373266236699831</v>
      </c>
      <c r="N37" s="297">
        <v>1.8385673577457906</v>
      </c>
      <c r="P37" s="282">
        <v>3</v>
      </c>
      <c r="Q37" s="161">
        <v>2.928978358456428</v>
      </c>
      <c r="R37" s="297">
        <v>-6.3876311921194677</v>
      </c>
      <c r="T37" s="282">
        <v>3</v>
      </c>
      <c r="U37" s="161">
        <v>3.2337663033140762</v>
      </c>
      <c r="V37" s="679">
        <v>0.53413838918235657</v>
      </c>
      <c r="X37" s="282">
        <v>3</v>
      </c>
      <c r="Y37" s="161">
        <v>2.7761663033140755</v>
      </c>
      <c r="Z37" s="291">
        <v>4.3422390507913633E-2</v>
      </c>
      <c r="AG37" s="693">
        <v>0</v>
      </c>
      <c r="AH37" s="694">
        <v>3.2334466778126245</v>
      </c>
      <c r="AI37" s="695">
        <v>0.84885438943788749</v>
      </c>
      <c r="AJ37" s="313">
        <f t="shared" si="0"/>
        <v>8.4885438943788749</v>
      </c>
      <c r="AK37" s="313">
        <f t="shared" si="1"/>
        <v>0.84885438943788749</v>
      </c>
    </row>
    <row r="38" spans="1:37">
      <c r="A38" s="299">
        <v>41598</v>
      </c>
      <c r="B38" s="282">
        <v>3</v>
      </c>
      <c r="C38" s="266">
        <v>2.1686401297129607</v>
      </c>
      <c r="D38" s="291">
        <v>1.9258001675288745</v>
      </c>
      <c r="E38" s="161">
        <v>3.1923401297129619</v>
      </c>
      <c r="F38" s="291">
        <v>1.1213600437946742</v>
      </c>
      <c r="G38" s="161">
        <v>3.7410401297129612</v>
      </c>
      <c r="H38" s="679">
        <v>2.2671957312482216</v>
      </c>
      <c r="I38" s="161">
        <v>3.1183401297129616</v>
      </c>
      <c r="J38" s="291">
        <v>-0.3798904867642765</v>
      </c>
      <c r="L38" s="282">
        <v>3</v>
      </c>
      <c r="M38" s="266">
        <v>2.1686401297129607</v>
      </c>
      <c r="N38" s="291">
        <v>1.9258001675288745</v>
      </c>
      <c r="P38" s="282">
        <v>3</v>
      </c>
      <c r="Q38" s="161">
        <v>3.230673051636181</v>
      </c>
      <c r="R38" s="291">
        <v>0.72519084492523489</v>
      </c>
      <c r="T38" s="282">
        <v>3</v>
      </c>
      <c r="U38" s="161">
        <v>3.0696703853027509</v>
      </c>
      <c r="V38" s="679">
        <v>1.6332581756374496</v>
      </c>
      <c r="X38" s="282">
        <v>3</v>
      </c>
      <c r="Y38" s="161">
        <v>2.6114703853027499</v>
      </c>
      <c r="Z38" s="297">
        <v>0.89764269989083001</v>
      </c>
      <c r="AG38" s="693">
        <v>1</v>
      </c>
      <c r="AH38" s="694">
        <v>3.2137524038752918</v>
      </c>
      <c r="AI38" s="695">
        <v>0.68358631585880625</v>
      </c>
      <c r="AJ38" s="313">
        <f t="shared" si="0"/>
        <v>6.8358631585880625</v>
      </c>
      <c r="AK38" s="313">
        <f t="shared" si="1"/>
        <v>0.68358631585880625</v>
      </c>
    </row>
    <row r="39" spans="1:37">
      <c r="A39" s="299">
        <v>41599</v>
      </c>
      <c r="B39" s="282">
        <v>4</v>
      </c>
      <c r="C39" s="266">
        <v>2.1246155743392241</v>
      </c>
      <c r="D39" s="291">
        <v>2.8313129909996566</v>
      </c>
      <c r="E39" s="161">
        <v>3.1712155743392252</v>
      </c>
      <c r="F39" s="291">
        <v>1.3158187002211641</v>
      </c>
      <c r="G39" s="161">
        <v>3.7009155743392244</v>
      </c>
      <c r="H39" s="679">
        <v>2.7310272233608659</v>
      </c>
      <c r="I39" s="161">
        <v>3.0934155743392249</v>
      </c>
      <c r="J39" s="291">
        <v>-9.5686504933702565E-2</v>
      </c>
      <c r="L39" s="282">
        <v>3</v>
      </c>
      <c r="M39" s="266">
        <v>1.5350550443621054</v>
      </c>
      <c r="N39" s="291">
        <v>0.67966510994523821</v>
      </c>
      <c r="P39" s="282">
        <v>3</v>
      </c>
      <c r="Q39" s="161">
        <v>3.2119814440322791</v>
      </c>
      <c r="R39" s="291">
        <v>0.89616841754780729</v>
      </c>
      <c r="T39" s="282">
        <v>4</v>
      </c>
      <c r="U39" s="161">
        <v>3.9870924557679617</v>
      </c>
      <c r="V39" s="679">
        <v>3.3176623044260181</v>
      </c>
      <c r="X39" s="282">
        <v>4</v>
      </c>
      <c r="Y39" s="161">
        <v>3.179992455767962</v>
      </c>
      <c r="Z39" s="291">
        <v>-0.81316758730067118</v>
      </c>
      <c r="AG39" s="693">
        <v>1</v>
      </c>
      <c r="AH39" s="694">
        <v>3.1945710094669977</v>
      </c>
      <c r="AI39" s="695">
        <v>0.73742747578617829</v>
      </c>
      <c r="AJ39" s="313">
        <f t="shared" si="0"/>
        <v>7.3742747578617829</v>
      </c>
      <c r="AK39" s="313">
        <f t="shared" si="1"/>
        <v>0.73742747578617829</v>
      </c>
    </row>
    <row r="40" spans="1:37">
      <c r="A40" s="299">
        <v>41600</v>
      </c>
      <c r="B40" s="282">
        <v>5</v>
      </c>
      <c r="C40" s="266">
        <v>2.0702272337360754</v>
      </c>
      <c r="D40" s="291">
        <v>2.7853442590257771</v>
      </c>
      <c r="E40" s="161">
        <v>3.1489272337360763</v>
      </c>
      <c r="F40" s="291">
        <v>1.5417711041648789</v>
      </c>
      <c r="G40" s="161">
        <v>3.660127233736076</v>
      </c>
      <c r="H40" s="679">
        <v>2.4868161403737918</v>
      </c>
      <c r="I40" s="161">
        <v>3.0679272337360763</v>
      </c>
      <c r="J40" s="291">
        <v>-0.31456925909300182</v>
      </c>
      <c r="L40" s="290">
        <v>3</v>
      </c>
      <c r="M40" s="266">
        <v>1.394499628031872</v>
      </c>
      <c r="N40" s="291">
        <v>0.75904884507735049</v>
      </c>
      <c r="P40" s="290">
        <v>3</v>
      </c>
      <c r="Q40" s="161">
        <v>3.1923401297129619</v>
      </c>
      <c r="R40" s="291">
        <v>1.1213600437946742</v>
      </c>
      <c r="T40" s="282">
        <v>4</v>
      </c>
      <c r="U40" s="161">
        <v>3.3864530186407693</v>
      </c>
      <c r="V40" s="679">
        <v>2.4099202472238548</v>
      </c>
      <c r="X40" s="282">
        <v>4</v>
      </c>
      <c r="Y40" s="161">
        <v>2.9189530186407686</v>
      </c>
      <c r="Z40" s="291">
        <v>-1.4934827979861893</v>
      </c>
      <c r="AG40" s="693">
        <v>1</v>
      </c>
      <c r="AH40" s="694">
        <v>3.1776802121516301</v>
      </c>
      <c r="AI40" s="695">
        <v>0.76087563962627303</v>
      </c>
      <c r="AJ40" s="313">
        <f t="shared" si="0"/>
        <v>7.6087563962627307</v>
      </c>
      <c r="AK40" s="313">
        <f t="shared" si="1"/>
        <v>0.76087563962627303</v>
      </c>
    </row>
    <row r="41" spans="1:37">
      <c r="A41" s="299">
        <v>41601</v>
      </c>
      <c r="B41" s="282">
        <v>6</v>
      </c>
      <c r="C41" s="266">
        <v>2.0150720246773575</v>
      </c>
      <c r="D41" s="291">
        <v>1.9248494432963237</v>
      </c>
      <c r="E41" s="161">
        <v>3.125172024677358</v>
      </c>
      <c r="F41" s="291">
        <v>1.2240004916699454</v>
      </c>
      <c r="G41" s="161">
        <v>3.6221720246773588</v>
      </c>
      <c r="H41" s="679">
        <v>2.5163349535879447</v>
      </c>
      <c r="I41" s="161">
        <v>3.0416720246773585</v>
      </c>
      <c r="J41" s="291">
        <v>-0.3020030762041106</v>
      </c>
      <c r="L41" s="282">
        <v>4</v>
      </c>
      <c r="M41" s="266">
        <v>2.9609229280280371</v>
      </c>
      <c r="N41" s="291">
        <v>1.6341429045416045</v>
      </c>
      <c r="P41" s="282">
        <v>4</v>
      </c>
      <c r="Q41" s="161">
        <v>3.1712155743392252</v>
      </c>
      <c r="R41" s="291">
        <v>1.3158187002211641</v>
      </c>
      <c r="T41" s="282">
        <v>4</v>
      </c>
      <c r="U41" s="161">
        <v>3.7786814440322791</v>
      </c>
      <c r="V41" s="679">
        <v>1.6215926195515196</v>
      </c>
      <c r="X41" s="282">
        <v>4</v>
      </c>
      <c r="Y41" s="161">
        <v>3.1414814440322778</v>
      </c>
      <c r="Z41" s="291">
        <v>-0.80755960410805105</v>
      </c>
      <c r="AG41" s="693">
        <v>1</v>
      </c>
      <c r="AH41" s="694">
        <v>3.1596771477230092</v>
      </c>
      <c r="AI41" s="695">
        <v>1.2992845975191649</v>
      </c>
      <c r="AJ41" s="313">
        <f t="shared" si="0"/>
        <v>12.992845975191649</v>
      </c>
      <c r="AK41" s="313">
        <f t="shared" si="1"/>
        <v>0</v>
      </c>
    </row>
    <row r="42" spans="1:37">
      <c r="A42" s="299">
        <v>41602</v>
      </c>
      <c r="B42" s="282">
        <v>7</v>
      </c>
      <c r="C42" s="266">
        <v>1.9673231540970932</v>
      </c>
      <c r="D42" s="291">
        <v>2.0564767384894242</v>
      </c>
      <c r="E42" s="161">
        <v>3.1047231540970941</v>
      </c>
      <c r="F42" s="291">
        <v>1.5118078168765059</v>
      </c>
      <c r="G42" s="161">
        <v>3.5806231540970943</v>
      </c>
      <c r="H42" s="679">
        <v>2.8757220906537446</v>
      </c>
      <c r="I42" s="161">
        <v>3.0159231540970928</v>
      </c>
      <c r="J42" s="291">
        <v>-0.55699775531487106</v>
      </c>
      <c r="L42" s="282">
        <v>4</v>
      </c>
      <c r="M42" s="266">
        <v>2.4993953411213714</v>
      </c>
      <c r="N42" s="291">
        <v>0.9615609672864438</v>
      </c>
      <c r="P42" s="282">
        <v>4</v>
      </c>
      <c r="Q42" s="161">
        <v>3.1489272337360763</v>
      </c>
      <c r="R42" s="291">
        <v>1.5417711041648789</v>
      </c>
      <c r="T42" s="282">
        <v>4</v>
      </c>
      <c r="U42" s="161">
        <v>3.2027693677426976</v>
      </c>
      <c r="V42" s="679">
        <v>1.1272754696107126</v>
      </c>
      <c r="X42" s="282">
        <v>4</v>
      </c>
      <c r="Y42" s="161">
        <v>2.7505693677426968</v>
      </c>
      <c r="Z42" s="291">
        <v>-0.51649129679547023</v>
      </c>
      <c r="AG42" s="693">
        <v>1</v>
      </c>
      <c r="AH42" s="694">
        <v>3.1680194843017642</v>
      </c>
      <c r="AI42" s="695">
        <v>0.30439894731696748</v>
      </c>
      <c r="AJ42" s="313">
        <f t="shared" si="0"/>
        <v>3.0439894731696748</v>
      </c>
      <c r="AK42" s="313">
        <f t="shared" si="1"/>
        <v>0.30439894731696748</v>
      </c>
    </row>
    <row r="43" spans="1:37">
      <c r="A43" s="299">
        <v>41603</v>
      </c>
      <c r="B43" s="282">
        <v>8</v>
      </c>
      <c r="C43" s="266">
        <v>1.919013953762152</v>
      </c>
      <c r="D43" s="291">
        <v>2.4721938495631433</v>
      </c>
      <c r="E43" s="161">
        <v>3.081513953762153</v>
      </c>
      <c r="F43" s="291">
        <v>1.9693946521314181</v>
      </c>
      <c r="G43" s="161">
        <v>3.5398139537621534</v>
      </c>
      <c r="H43" s="679">
        <v>2.4897078554911189</v>
      </c>
      <c r="I43" s="161">
        <v>2.9912139537621534</v>
      </c>
      <c r="J43" s="291">
        <v>-0.58996450647456555</v>
      </c>
      <c r="L43" s="282">
        <v>4</v>
      </c>
      <c r="M43" s="266">
        <v>2.1246155743392241</v>
      </c>
      <c r="N43" s="291">
        <v>2.8313129909996566</v>
      </c>
      <c r="P43" s="282">
        <v>4</v>
      </c>
      <c r="Q43" s="161">
        <v>3.125172024677358</v>
      </c>
      <c r="R43" s="291">
        <v>1.2240004916699454</v>
      </c>
      <c r="T43" s="282">
        <v>4</v>
      </c>
      <c r="U43" s="161">
        <v>3.0310358193055391</v>
      </c>
      <c r="V43" s="679">
        <v>1.4194379491099323</v>
      </c>
      <c r="X43" s="282">
        <v>4</v>
      </c>
      <c r="Y43" s="161">
        <v>2.5763358193055388</v>
      </c>
      <c r="Z43" s="297">
        <v>1.1287018854340647</v>
      </c>
      <c r="AG43" s="693">
        <v>1</v>
      </c>
      <c r="AH43" s="694">
        <v>3.1691288895585306</v>
      </c>
      <c r="AI43" s="695">
        <v>1.399451157204457</v>
      </c>
      <c r="AJ43" s="313">
        <f t="shared" si="0"/>
        <v>13.994511572044569</v>
      </c>
      <c r="AK43" s="313">
        <f t="shared" si="1"/>
        <v>0</v>
      </c>
    </row>
    <row r="44" spans="1:37">
      <c r="A44" s="299">
        <v>41604</v>
      </c>
      <c r="B44" s="282">
        <v>9</v>
      </c>
      <c r="C44" s="266">
        <v>1.8739722295991847</v>
      </c>
      <c r="D44" s="291">
        <v>1.1410251786160979</v>
      </c>
      <c r="E44" s="161">
        <v>3.0538722295991843</v>
      </c>
      <c r="F44" s="291">
        <v>1.5696777496614087</v>
      </c>
      <c r="G44" s="161">
        <v>3.5004722295991852</v>
      </c>
      <c r="H44" s="679">
        <v>1.7566663861910565</v>
      </c>
      <c r="I44" s="161">
        <v>2.9665722295991848</v>
      </c>
      <c r="J44" s="291">
        <v>-0.35767398137029938</v>
      </c>
      <c r="L44" s="282">
        <v>4</v>
      </c>
      <c r="M44" s="266">
        <v>1.5037257992832953</v>
      </c>
      <c r="N44" s="291">
        <v>0.23280580405790197</v>
      </c>
      <c r="P44" s="282">
        <v>4</v>
      </c>
      <c r="Q44" s="161">
        <v>3.1047231540970941</v>
      </c>
      <c r="R44" s="291">
        <v>1.5118078168765059</v>
      </c>
      <c r="T44" s="282">
        <v>5</v>
      </c>
      <c r="U44" s="161">
        <v>3.9363337677375876</v>
      </c>
      <c r="V44" s="679">
        <v>3.5923110136285521</v>
      </c>
      <c r="X44" s="282">
        <v>5</v>
      </c>
      <c r="Y44" s="161">
        <v>3.1485337677375855</v>
      </c>
      <c r="Z44" s="291">
        <v>-1.8394531847439834</v>
      </c>
      <c r="AG44" s="693">
        <v>1</v>
      </c>
      <c r="AH44" s="694">
        <v>3.1474530186407694</v>
      </c>
      <c r="AI44" s="695">
        <v>0.91284390777321478</v>
      </c>
      <c r="AJ44" s="313">
        <f t="shared" si="0"/>
        <v>9.128439077732148</v>
      </c>
      <c r="AK44" s="313">
        <f t="shared" si="1"/>
        <v>0.91284390777321478</v>
      </c>
    </row>
    <row r="45" spans="1:37">
      <c r="A45" s="299">
        <v>41605</v>
      </c>
      <c r="B45" s="282">
        <v>10</v>
      </c>
      <c r="C45" s="266">
        <v>1.8367587306052831</v>
      </c>
      <c r="D45" s="291">
        <v>1.4178522630184323</v>
      </c>
      <c r="E45" s="161">
        <v>3.0250587306052825</v>
      </c>
      <c r="F45" s="291">
        <v>2.2403702987116967</v>
      </c>
      <c r="G45" s="161">
        <v>3.4643587306052828</v>
      </c>
      <c r="H45" s="679">
        <v>2.319710623450967</v>
      </c>
      <c r="I45" s="161">
        <v>2.9412587306052838</v>
      </c>
      <c r="J45" s="291">
        <v>-0.45512925890862688</v>
      </c>
      <c r="L45" s="290">
        <v>4</v>
      </c>
      <c r="M45" s="266">
        <v>1.3708202734430697</v>
      </c>
      <c r="N45" s="291">
        <v>-1.3251543685711176</v>
      </c>
      <c r="P45" s="290">
        <v>4</v>
      </c>
      <c r="Q45" s="161">
        <v>3.081513953762153</v>
      </c>
      <c r="R45" s="291">
        <v>1.9693946521314181</v>
      </c>
      <c r="T45" s="290">
        <v>5</v>
      </c>
      <c r="U45" s="161">
        <v>3.3481487199818067</v>
      </c>
      <c r="V45" s="679">
        <v>2.5849687140150812</v>
      </c>
      <c r="X45" s="290">
        <v>5</v>
      </c>
      <c r="Y45" s="161">
        <v>2.8968487199818074</v>
      </c>
      <c r="Z45" s="291">
        <v>-0.54631381358665632</v>
      </c>
      <c r="AG45" s="696">
        <v>1</v>
      </c>
      <c r="AH45" s="694">
        <v>3.1306487199818065</v>
      </c>
      <c r="AI45" s="695">
        <v>1.3068606978510799</v>
      </c>
      <c r="AJ45" s="313">
        <f t="shared" si="0"/>
        <v>13.0686069785108</v>
      </c>
      <c r="AK45" s="313">
        <f t="shared" si="1"/>
        <v>0</v>
      </c>
    </row>
    <row r="46" spans="1:37">
      <c r="A46" s="299">
        <v>41606</v>
      </c>
      <c r="B46" s="282">
        <v>11</v>
      </c>
      <c r="C46" s="266">
        <v>1.7994634391078965</v>
      </c>
      <c r="D46" s="291">
        <v>0.80350280149195719</v>
      </c>
      <c r="E46" s="161">
        <v>2.9966634391078966</v>
      </c>
      <c r="F46" s="291">
        <v>1.7403141789377914</v>
      </c>
      <c r="G46" s="161">
        <v>3.4180634391078977</v>
      </c>
      <c r="H46" s="679">
        <v>2.3794553762568071</v>
      </c>
      <c r="I46" s="161">
        <v>2.9136634391078959</v>
      </c>
      <c r="J46" s="291">
        <v>-0.37774367011921406</v>
      </c>
      <c r="L46" s="282">
        <v>5</v>
      </c>
      <c r="M46" s="266">
        <v>2.9154341775812385</v>
      </c>
      <c r="N46" s="291">
        <v>0.913093895886675</v>
      </c>
      <c r="P46" s="282">
        <v>5</v>
      </c>
      <c r="Q46" s="161">
        <v>3.0538722295991843</v>
      </c>
      <c r="R46" s="291">
        <v>1.5696777496614087</v>
      </c>
      <c r="T46" s="290">
        <v>5</v>
      </c>
      <c r="U46" s="161">
        <v>3.7410401297129612</v>
      </c>
      <c r="V46" s="679">
        <v>2.2671957312482216</v>
      </c>
      <c r="X46" s="290">
        <v>5</v>
      </c>
      <c r="Y46" s="161">
        <v>3.1183401297129616</v>
      </c>
      <c r="Z46" s="291">
        <v>-0.3798904867642765</v>
      </c>
      <c r="AG46" s="693">
        <v>2</v>
      </c>
      <c r="AH46" s="694">
        <v>3.1099953411213708</v>
      </c>
      <c r="AI46" s="695">
        <v>0.91539453249542735</v>
      </c>
      <c r="AJ46" s="313">
        <f t="shared" si="0"/>
        <v>9.1539453249542735</v>
      </c>
      <c r="AK46" s="313">
        <f t="shared" si="1"/>
        <v>0.91539453249542735</v>
      </c>
    </row>
    <row r="47" spans="1:37">
      <c r="A47" s="299">
        <v>41607</v>
      </c>
      <c r="B47" s="282">
        <v>12</v>
      </c>
      <c r="C47" s="266">
        <v>1.7632726488416055</v>
      </c>
      <c r="D47" s="291">
        <v>1.0393431137677616</v>
      </c>
      <c r="E47" s="161">
        <v>2.9721726488416049</v>
      </c>
      <c r="F47" s="291">
        <v>1.3784950405007756</v>
      </c>
      <c r="G47" s="161">
        <v>3.3739726488416055</v>
      </c>
      <c r="H47" s="679">
        <v>1.7914244224558209</v>
      </c>
      <c r="I47" s="161">
        <v>2.8870726488416056</v>
      </c>
      <c r="J47" s="291">
        <v>-0.1115077677420091</v>
      </c>
      <c r="L47" s="282">
        <v>5</v>
      </c>
      <c r="M47" s="266">
        <v>2.4632184455944803</v>
      </c>
      <c r="N47" s="291">
        <v>1.2128302897433327</v>
      </c>
      <c r="P47" s="282">
        <v>5</v>
      </c>
      <c r="Q47" s="161">
        <v>3.0250587306052825</v>
      </c>
      <c r="R47" s="291">
        <v>2.2403702987116967</v>
      </c>
      <c r="T47" s="282">
        <v>5</v>
      </c>
      <c r="U47" s="161">
        <v>2.9960996280318719</v>
      </c>
      <c r="V47" s="679">
        <v>2.1596694523603741</v>
      </c>
      <c r="X47" s="282">
        <v>5</v>
      </c>
      <c r="Y47" s="161">
        <v>2.539699628031872</v>
      </c>
      <c r="Z47" s="291">
        <v>1.1547139143188097</v>
      </c>
      <c r="AG47" s="693">
        <v>2</v>
      </c>
      <c r="AH47" s="694">
        <v>3.0919184455944819</v>
      </c>
      <c r="AI47" s="695">
        <v>1.415770734711995</v>
      </c>
      <c r="AJ47" s="313">
        <f t="shared" si="0"/>
        <v>14.157707347119949</v>
      </c>
      <c r="AK47" s="313">
        <f t="shared" si="1"/>
        <v>0</v>
      </c>
    </row>
    <row r="48" spans="1:37">
      <c r="A48" s="299">
        <v>41608</v>
      </c>
      <c r="B48" s="282">
        <v>13</v>
      </c>
      <c r="C48" s="266">
        <v>1.7149452480592271</v>
      </c>
      <c r="D48" s="297">
        <v>1.7035418375885922</v>
      </c>
      <c r="E48" s="161">
        <v>2.9501452480592274</v>
      </c>
      <c r="F48" s="297">
        <v>1.7640568089139417</v>
      </c>
      <c r="G48" s="161">
        <v>3.339745248059228</v>
      </c>
      <c r="H48" s="679">
        <v>0.98402266473139122</v>
      </c>
      <c r="I48" s="161">
        <v>2.8603452480592284</v>
      </c>
      <c r="J48" s="297">
        <v>-8.9943979492929316E-2</v>
      </c>
      <c r="L48" s="282">
        <v>5</v>
      </c>
      <c r="M48" s="266">
        <v>2.0702272337360754</v>
      </c>
      <c r="N48" s="291">
        <v>2.7853442590257771</v>
      </c>
      <c r="P48" s="282">
        <v>5</v>
      </c>
      <c r="Q48" s="161">
        <v>2.9966634391078966</v>
      </c>
      <c r="R48" s="291">
        <v>1.7403141789377914</v>
      </c>
      <c r="T48" s="282">
        <v>6</v>
      </c>
      <c r="U48" s="161">
        <v>3.8828229280280384</v>
      </c>
      <c r="V48" s="679">
        <v>4.3428434144931023</v>
      </c>
      <c r="X48" s="282">
        <v>6</v>
      </c>
      <c r="Y48" s="161">
        <v>3.1297229280280372</v>
      </c>
      <c r="Z48" s="291">
        <v>-2.4695976845197039</v>
      </c>
      <c r="AG48" s="693">
        <v>2</v>
      </c>
      <c r="AH48" s="694">
        <v>3.0709004524185612</v>
      </c>
      <c r="AI48" s="695">
        <v>1.0833188185458038</v>
      </c>
      <c r="AJ48" s="313">
        <f t="shared" si="0"/>
        <v>10.833188185458038</v>
      </c>
      <c r="AK48" s="313">
        <f t="shared" si="1"/>
        <v>0</v>
      </c>
    </row>
    <row r="49" spans="1:37">
      <c r="A49" s="299">
        <v>41609</v>
      </c>
      <c r="B49" s="282">
        <v>0</v>
      </c>
      <c r="C49" s="266">
        <v>1.6719742858665225</v>
      </c>
      <c r="D49" s="297">
        <v>1.058943944663802</v>
      </c>
      <c r="E49" s="161">
        <v>2.9242742858665238</v>
      </c>
      <c r="F49" s="297">
        <v>1.4801596817324467</v>
      </c>
      <c r="G49" s="161">
        <v>3.3122742858665228</v>
      </c>
      <c r="H49" s="679">
        <v>1.9122669059671247</v>
      </c>
      <c r="I49" s="161">
        <v>2.8344742858665231</v>
      </c>
      <c r="J49" s="297">
        <v>0.18924768096589073</v>
      </c>
      <c r="L49" s="290">
        <v>5</v>
      </c>
      <c r="M49" s="266">
        <v>1.3670572820543492</v>
      </c>
      <c r="N49" s="291">
        <v>-2.5770297340586223</v>
      </c>
      <c r="P49" s="290">
        <v>5</v>
      </c>
      <c r="Q49" s="161">
        <v>2.9721726488416049</v>
      </c>
      <c r="R49" s="291">
        <v>1.3784950405007756</v>
      </c>
      <c r="T49" s="282">
        <v>6</v>
      </c>
      <c r="U49" s="161">
        <v>3.3074953411213714</v>
      </c>
      <c r="V49" s="679">
        <v>2.357247889535663</v>
      </c>
      <c r="X49" s="282">
        <v>6</v>
      </c>
      <c r="Y49" s="161">
        <v>2.8724953411213714</v>
      </c>
      <c r="Z49" s="291">
        <v>-0.80884284270011353</v>
      </c>
      <c r="AG49" s="693">
        <v>2</v>
      </c>
      <c r="AH49" s="694">
        <v>3.0501161938040884</v>
      </c>
      <c r="AI49" s="695">
        <v>1.5434019704100923</v>
      </c>
      <c r="AJ49" s="313">
        <f t="shared" si="0"/>
        <v>15.434019704100923</v>
      </c>
      <c r="AK49" s="313">
        <f t="shared" si="1"/>
        <v>0</v>
      </c>
    </row>
    <row r="50" spans="1:37">
      <c r="A50" s="299">
        <v>41610</v>
      </c>
      <c r="B50" s="282">
        <v>0</v>
      </c>
      <c r="C50" s="266">
        <v>1.638650769200066</v>
      </c>
      <c r="D50" s="297">
        <v>1.1789106461244563</v>
      </c>
      <c r="E50" s="161">
        <v>2.9012507692000664</v>
      </c>
      <c r="F50" s="297">
        <v>1.6569906762648505</v>
      </c>
      <c r="G50" s="161">
        <v>3.2755507692000672</v>
      </c>
      <c r="H50" s="679">
        <v>2.0103522813567229</v>
      </c>
      <c r="I50" s="161">
        <v>2.808250769200066</v>
      </c>
      <c r="J50" s="297">
        <v>1.1754038743129986</v>
      </c>
      <c r="L50" s="282">
        <v>6</v>
      </c>
      <c r="M50" s="266">
        <v>2.8776409376518033</v>
      </c>
      <c r="N50" s="291">
        <v>0.93359198423635403</v>
      </c>
      <c r="P50" s="282">
        <v>6</v>
      </c>
      <c r="Q50" s="161">
        <v>2.9501452480592274</v>
      </c>
      <c r="R50" s="297">
        <v>1.7640568089139417</v>
      </c>
      <c r="T50" s="282">
        <v>6</v>
      </c>
      <c r="U50" s="161">
        <v>3.7009155743392244</v>
      </c>
      <c r="V50" s="679">
        <v>2.7310272233608659</v>
      </c>
      <c r="X50" s="282">
        <v>6</v>
      </c>
      <c r="Y50" s="161">
        <v>3.0934155743392249</v>
      </c>
      <c r="Z50" s="291">
        <v>-9.5686504933702565E-2</v>
      </c>
      <c r="AG50" s="693">
        <v>2</v>
      </c>
      <c r="AH50" s="694">
        <v>3.0268955413438121</v>
      </c>
      <c r="AI50" s="695">
        <v>1.6261073777602995</v>
      </c>
      <c r="AJ50" s="313">
        <f t="shared" si="0"/>
        <v>16.261073777602995</v>
      </c>
      <c r="AK50" s="313">
        <f t="shared" si="1"/>
        <v>0</v>
      </c>
    </row>
    <row r="51" spans="1:37">
      <c r="A51" s="299">
        <v>41611</v>
      </c>
      <c r="B51" s="282">
        <v>0</v>
      </c>
      <c r="C51" s="266">
        <v>1.6298924910133441</v>
      </c>
      <c r="D51" s="297">
        <v>1.6232786163299595</v>
      </c>
      <c r="E51" s="161">
        <v>2.8964924910133441</v>
      </c>
      <c r="F51" s="297">
        <v>1.4475908850453725</v>
      </c>
      <c r="G51" s="161">
        <v>3.2615924910133449</v>
      </c>
      <c r="H51" s="679">
        <v>1.1842903438868602</v>
      </c>
      <c r="I51" s="161">
        <v>2.797992491013344</v>
      </c>
      <c r="J51" s="297">
        <v>0.37484086430000274</v>
      </c>
      <c r="L51" s="282">
        <v>6</v>
      </c>
      <c r="M51" s="266">
        <v>2.4248004524185611</v>
      </c>
      <c r="N51" s="291">
        <v>1.0866267822689588</v>
      </c>
      <c r="P51" s="282">
        <v>6</v>
      </c>
      <c r="Q51" s="161">
        <v>2.9242742858665238</v>
      </c>
      <c r="R51" s="297">
        <v>1.4801596817324467</v>
      </c>
      <c r="T51" s="282">
        <v>6</v>
      </c>
      <c r="U51" s="161">
        <v>2.9535202734430692</v>
      </c>
      <c r="V51" s="679">
        <v>-1.3943928251726381</v>
      </c>
      <c r="X51" s="282">
        <v>6</v>
      </c>
      <c r="Y51" s="161">
        <v>2.5019202734430688</v>
      </c>
      <c r="Z51" s="291">
        <v>-2.2781676565297966</v>
      </c>
      <c r="AG51" s="693">
        <v>2</v>
      </c>
      <c r="AH51" s="694">
        <v>3.0064748912332302</v>
      </c>
      <c r="AI51" s="695">
        <v>1.7336650977119472</v>
      </c>
      <c r="AJ51" s="313">
        <f t="shared" si="0"/>
        <v>17.336650977119472</v>
      </c>
      <c r="AK51" s="313">
        <f t="shared" si="1"/>
        <v>0</v>
      </c>
    </row>
    <row r="52" spans="1:37">
      <c r="A52" s="299">
        <v>41612</v>
      </c>
      <c r="B52" s="282">
        <v>1</v>
      </c>
      <c r="C52" s="266">
        <v>1.5979663033140761</v>
      </c>
      <c r="D52" s="291">
        <v>0.8999968063649697</v>
      </c>
      <c r="E52" s="161">
        <v>2.8756663033140768</v>
      </c>
      <c r="F52" s="291">
        <v>1.3393556730952001</v>
      </c>
      <c r="G52" s="161">
        <v>3.2337663033140762</v>
      </c>
      <c r="H52" s="679">
        <v>0.53413838918235657</v>
      </c>
      <c r="I52" s="161">
        <v>2.7761663033140755</v>
      </c>
      <c r="J52" s="291">
        <v>4.3422390507913633E-2</v>
      </c>
      <c r="L52" s="282">
        <v>6</v>
      </c>
      <c r="M52" s="266">
        <v>2.0150720246773575</v>
      </c>
      <c r="N52" s="291">
        <v>1.9248494432963237</v>
      </c>
      <c r="P52" s="282">
        <v>6</v>
      </c>
      <c r="Q52" s="161">
        <v>2.9012507692000664</v>
      </c>
      <c r="R52" s="297">
        <v>1.6569906762648505</v>
      </c>
      <c r="T52" s="282">
        <v>7</v>
      </c>
      <c r="U52" s="161">
        <v>3.8284341775812392</v>
      </c>
      <c r="V52" s="679">
        <v>2.7474285785189858</v>
      </c>
      <c r="X52" s="282">
        <v>7</v>
      </c>
      <c r="Y52" s="161">
        <v>3.1196341775812395</v>
      </c>
      <c r="Z52" s="291">
        <v>-1.0651381288299109</v>
      </c>
      <c r="AG52" s="693">
        <v>3</v>
      </c>
      <c r="AH52" s="694">
        <v>2.9805939113679738</v>
      </c>
      <c r="AI52" s="695">
        <v>1.5688933436242667</v>
      </c>
      <c r="AJ52" s="313">
        <f t="shared" si="0"/>
        <v>15.688933436242667</v>
      </c>
      <c r="AK52" s="313">
        <f t="shared" si="1"/>
        <v>0</v>
      </c>
    </row>
    <row r="53" spans="1:37">
      <c r="A53" s="299">
        <v>41613</v>
      </c>
      <c r="B53" s="282">
        <v>2</v>
      </c>
      <c r="C53" s="266">
        <v>1.567169367742697</v>
      </c>
      <c r="D53" s="291">
        <v>1.0554734185815757</v>
      </c>
      <c r="E53" s="161">
        <v>2.8481693677426971</v>
      </c>
      <c r="F53" s="291">
        <v>1.8910806892071095</v>
      </c>
      <c r="G53" s="161">
        <v>3.2027693677426976</v>
      </c>
      <c r="H53" s="679">
        <v>1.1272754696107126</v>
      </c>
      <c r="I53" s="161">
        <v>2.7505693677426968</v>
      </c>
      <c r="J53" s="291">
        <v>-0.51649129679547023</v>
      </c>
      <c r="L53" s="282">
        <v>6</v>
      </c>
      <c r="M53" s="266">
        <v>1.3745521919043875</v>
      </c>
      <c r="N53" s="297">
        <v>0.92055386043178222</v>
      </c>
      <c r="P53" s="282">
        <v>6</v>
      </c>
      <c r="Q53" s="161">
        <v>2.8964924910133441</v>
      </c>
      <c r="R53" s="297">
        <v>1.4475908850453725</v>
      </c>
      <c r="T53" s="282">
        <v>7</v>
      </c>
      <c r="U53" s="161">
        <v>3.2686184455944813</v>
      </c>
      <c r="V53" s="679">
        <v>2.4177093906381546</v>
      </c>
      <c r="X53" s="282">
        <v>7</v>
      </c>
      <c r="Y53" s="161">
        <v>2.8491184455944807</v>
      </c>
      <c r="Z53" s="291">
        <v>-0.56831329959123922</v>
      </c>
      <c r="AG53" s="693">
        <v>3</v>
      </c>
      <c r="AH53" s="694">
        <v>2.9560266236699828</v>
      </c>
      <c r="AI53" s="695">
        <v>1.7887421076838685</v>
      </c>
      <c r="AJ53" s="313">
        <f t="shared" si="0"/>
        <v>17.887421076838685</v>
      </c>
      <c r="AK53" s="313">
        <f t="shared" si="1"/>
        <v>0</v>
      </c>
    </row>
    <row r="54" spans="1:37">
      <c r="A54" s="299">
        <v>41614</v>
      </c>
      <c r="B54" s="282">
        <v>3</v>
      </c>
      <c r="C54" s="266">
        <v>1.5350550443621054</v>
      </c>
      <c r="D54" s="291">
        <v>0.67966510994523821</v>
      </c>
      <c r="E54" s="161">
        <v>2.8178550443621067</v>
      </c>
      <c r="F54" s="291">
        <v>1.7955597399709995</v>
      </c>
      <c r="G54" s="161">
        <v>3.1658550443621065</v>
      </c>
      <c r="H54" s="679">
        <v>1.5340212544321057</v>
      </c>
      <c r="I54" s="161">
        <v>2.7202550443621063</v>
      </c>
      <c r="J54" s="291">
        <v>0.63153638159846492</v>
      </c>
      <c r="L54" s="282">
        <v>7</v>
      </c>
      <c r="M54" s="266">
        <v>2.8401098576753268</v>
      </c>
      <c r="N54" s="291">
        <v>1.2573000756535802</v>
      </c>
      <c r="P54" s="282">
        <v>7</v>
      </c>
      <c r="Q54" s="161">
        <v>2.8756663033140768</v>
      </c>
      <c r="R54" s="291">
        <v>1.3393556730952001</v>
      </c>
      <c r="T54" s="282">
        <v>7</v>
      </c>
      <c r="U54" s="161">
        <v>3.660127233736076</v>
      </c>
      <c r="V54" s="679">
        <v>2.4868161403737918</v>
      </c>
      <c r="X54" s="282">
        <v>7</v>
      </c>
      <c r="Y54" s="161">
        <v>3.0679272337360763</v>
      </c>
      <c r="Z54" s="291">
        <v>-0.31456925909300182</v>
      </c>
      <c r="AG54" s="693">
        <v>3</v>
      </c>
      <c r="AH54" s="694">
        <v>2.928978358456428</v>
      </c>
      <c r="AI54" s="695">
        <v>-6.3876311921194677</v>
      </c>
      <c r="AJ54" s="313">
        <f t="shared" si="0"/>
        <v>-63.876311921194677</v>
      </c>
      <c r="AK54" s="313">
        <f t="shared" si="1"/>
        <v>-6.3876311921194677</v>
      </c>
    </row>
    <row r="55" spans="1:37">
      <c r="A55" s="299">
        <v>41615</v>
      </c>
      <c r="B55" s="282">
        <v>4</v>
      </c>
      <c r="C55" s="266">
        <v>1.5037257992832953</v>
      </c>
      <c r="D55" s="291">
        <v>0.23280580405790197</v>
      </c>
      <c r="E55" s="161">
        <v>2.7797257992832947</v>
      </c>
      <c r="F55" s="291">
        <v>2.1155167385857636</v>
      </c>
      <c r="G55" s="161">
        <v>3.1260257992832949</v>
      </c>
      <c r="H55" s="679">
        <v>0.580328799386439</v>
      </c>
      <c r="I55" s="161">
        <v>2.6826257992832949</v>
      </c>
      <c r="J55" s="291">
        <v>0.94155290821139204</v>
      </c>
      <c r="L55" s="282">
        <v>7</v>
      </c>
      <c r="M55" s="266">
        <v>2.3878161938040869</v>
      </c>
      <c r="N55" s="291">
        <v>1.1469914943837574</v>
      </c>
      <c r="P55" s="282">
        <v>7</v>
      </c>
      <c r="Q55" s="161">
        <v>2.8481693677426971</v>
      </c>
      <c r="R55" s="291">
        <v>1.8910806892071095</v>
      </c>
      <c r="T55" s="282">
        <v>7</v>
      </c>
      <c r="U55" s="161">
        <v>2.9459572820543505</v>
      </c>
      <c r="V55" s="679">
        <v>-3.5079443078957273</v>
      </c>
      <c r="X55" s="282">
        <v>7</v>
      </c>
      <c r="Y55" s="161">
        <v>2.4986572820543489</v>
      </c>
      <c r="Z55" s="291">
        <v>-5.0349999742444318</v>
      </c>
      <c r="AG55" s="693">
        <v>3</v>
      </c>
      <c r="AH55" s="694">
        <v>3.230673051636181</v>
      </c>
      <c r="AI55" s="695">
        <v>0.72519084492523489</v>
      </c>
      <c r="AJ55" s="313">
        <f t="shared" si="0"/>
        <v>7.2519084492523493</v>
      </c>
      <c r="AK55" s="313">
        <f t="shared" si="1"/>
        <v>0.72519084492523489</v>
      </c>
    </row>
    <row r="56" spans="1:37">
      <c r="A56" s="299">
        <v>41616</v>
      </c>
      <c r="B56" s="282">
        <v>0</v>
      </c>
      <c r="C56" s="266">
        <v>1.4761350043176198</v>
      </c>
      <c r="D56" s="297">
        <v>0.64233232725065381</v>
      </c>
      <c r="E56" s="161">
        <v>2.7452350043176192</v>
      </c>
      <c r="F56" s="297">
        <v>2.2294272675066482</v>
      </c>
      <c r="G56" s="161">
        <v>3.0964350043176188</v>
      </c>
      <c r="H56" s="679">
        <v>0.53204751586813881</v>
      </c>
      <c r="I56" s="161">
        <v>2.6472350043176198</v>
      </c>
      <c r="J56" s="297">
        <v>1.1261992430409951</v>
      </c>
      <c r="L56" s="282">
        <v>7</v>
      </c>
      <c r="M56" s="266">
        <v>1.9673231540970932</v>
      </c>
      <c r="N56" s="291">
        <v>2.0564767384894242</v>
      </c>
      <c r="P56" s="282">
        <v>7</v>
      </c>
      <c r="Q56" s="161">
        <v>2.8178550443621067</v>
      </c>
      <c r="R56" s="291">
        <v>1.7955597399709995</v>
      </c>
      <c r="T56" s="282">
        <v>8</v>
      </c>
      <c r="U56" s="161">
        <v>3.7887409376518049</v>
      </c>
      <c r="V56" s="679">
        <v>3.9255544551259103</v>
      </c>
      <c r="X56" s="282">
        <v>8</v>
      </c>
      <c r="Y56" s="161">
        <v>3.0979409376518041</v>
      </c>
      <c r="Z56" s="291">
        <v>-0.59892787746201748</v>
      </c>
      <c r="AG56" s="693">
        <v>3</v>
      </c>
      <c r="AH56" s="694">
        <v>3.2119814440322791</v>
      </c>
      <c r="AI56" s="695">
        <v>0.89616841754780729</v>
      </c>
      <c r="AJ56" s="313">
        <f t="shared" si="0"/>
        <v>8.9616841754780729</v>
      </c>
      <c r="AK56" s="313">
        <f t="shared" si="1"/>
        <v>0.89616841754780729</v>
      </c>
    </row>
    <row r="57" spans="1:37">
      <c r="A57" s="299">
        <v>41617</v>
      </c>
      <c r="B57" s="290">
        <v>1</v>
      </c>
      <c r="C57" s="266">
        <v>1.4483703853027508</v>
      </c>
      <c r="D57" s="297">
        <v>0.62344630833039139</v>
      </c>
      <c r="E57" s="161">
        <v>2.7107703853027498</v>
      </c>
      <c r="F57" s="297">
        <v>2.1866144412357187</v>
      </c>
      <c r="G57" s="161">
        <v>3.0696703853027509</v>
      </c>
      <c r="H57" s="679">
        <v>1.6332581756374496</v>
      </c>
      <c r="I57" s="161">
        <v>2.6114703853027499</v>
      </c>
      <c r="J57" s="297">
        <v>0.89764269989083001</v>
      </c>
      <c r="L57" s="282">
        <v>7</v>
      </c>
      <c r="M57" s="266">
        <v>1.3461162032028562</v>
      </c>
      <c r="N57" s="291">
        <v>0.87132815394478991</v>
      </c>
      <c r="P57" s="282">
        <v>7</v>
      </c>
      <c r="Q57" s="161">
        <v>2.7797257992832947</v>
      </c>
      <c r="R57" s="291">
        <v>2.1155167385857636</v>
      </c>
      <c r="T57" s="282">
        <v>8</v>
      </c>
      <c r="U57" s="161">
        <v>3.6221720246773588</v>
      </c>
      <c r="V57" s="679">
        <v>2.5163349535879447</v>
      </c>
      <c r="X57" s="282">
        <v>8</v>
      </c>
      <c r="Y57" s="161">
        <v>3.0416720246773585</v>
      </c>
      <c r="Z57" s="291">
        <v>-0.3020030762041106</v>
      </c>
      <c r="AG57" s="696">
        <v>3</v>
      </c>
      <c r="AH57" s="694">
        <v>3.1923401297129619</v>
      </c>
      <c r="AI57" s="695">
        <v>1.1213600437946742</v>
      </c>
      <c r="AJ57" s="313">
        <f t="shared" si="0"/>
        <v>11.213600437946742</v>
      </c>
      <c r="AK57" s="313">
        <f t="shared" si="1"/>
        <v>0</v>
      </c>
    </row>
    <row r="58" spans="1:37">
      <c r="A58" s="299">
        <v>41618</v>
      </c>
      <c r="B58" s="282">
        <v>2</v>
      </c>
      <c r="C58" s="266">
        <v>1.4215358193055381</v>
      </c>
      <c r="D58" s="297">
        <v>0.95809129748864352</v>
      </c>
      <c r="E58" s="161">
        <v>2.6747358193055391</v>
      </c>
      <c r="F58" s="297">
        <v>2.5634788808385451</v>
      </c>
      <c r="G58" s="161">
        <v>3.0310358193055391</v>
      </c>
      <c r="H58" s="679">
        <v>1.4194379491099323</v>
      </c>
      <c r="I58" s="161">
        <v>2.5763358193055388</v>
      </c>
      <c r="J58" s="297">
        <v>1.1287018854340647</v>
      </c>
      <c r="L58" s="282">
        <v>8</v>
      </c>
      <c r="M58" s="266">
        <v>2.7989624191981517</v>
      </c>
      <c r="N58" s="291">
        <v>0.92911168399625987</v>
      </c>
      <c r="P58" s="282">
        <v>8</v>
      </c>
      <c r="Q58" s="161">
        <v>2.7452350043176192</v>
      </c>
      <c r="R58" s="297">
        <v>2.2294272675066482</v>
      </c>
      <c r="T58" s="282">
        <v>8</v>
      </c>
      <c r="U58" s="161">
        <v>2.9589521919043884</v>
      </c>
      <c r="V58" s="679">
        <v>-0.35594380909003265</v>
      </c>
      <c r="X58" s="282">
        <v>8</v>
      </c>
      <c r="Y58" s="161">
        <v>2.5224521919043883</v>
      </c>
      <c r="Z58" s="297">
        <v>-0.49042285873313674</v>
      </c>
      <c r="AG58" s="693">
        <v>4</v>
      </c>
      <c r="AH58" s="694">
        <v>3.1712155743392252</v>
      </c>
      <c r="AI58" s="695">
        <v>1.3158187002211641</v>
      </c>
      <c r="AJ58" s="313">
        <f t="shared" si="0"/>
        <v>13.158187002211641</v>
      </c>
      <c r="AK58" s="313">
        <f t="shared" si="1"/>
        <v>0</v>
      </c>
    </row>
    <row r="59" spans="1:37">
      <c r="A59" s="299">
        <v>41619</v>
      </c>
      <c r="B59" s="290">
        <v>3</v>
      </c>
      <c r="C59" s="266">
        <v>1.394499628031872</v>
      </c>
      <c r="D59" s="291">
        <v>0.75904884507735049</v>
      </c>
      <c r="E59" s="161">
        <v>2.6353996280318732</v>
      </c>
      <c r="F59" s="291">
        <v>2.8650014306715588</v>
      </c>
      <c r="G59" s="161">
        <v>2.9960996280318719</v>
      </c>
      <c r="H59" s="679">
        <v>2.1596694523603741</v>
      </c>
      <c r="I59" s="161">
        <v>2.539699628031872</v>
      </c>
      <c r="J59" s="291">
        <v>1.1547139143188097</v>
      </c>
      <c r="L59" s="282">
        <v>8</v>
      </c>
      <c r="M59" s="266">
        <v>1.919013953762152</v>
      </c>
      <c r="N59" s="291">
        <v>2.4721938495631433</v>
      </c>
      <c r="P59" s="282">
        <v>8</v>
      </c>
      <c r="Q59" s="161">
        <v>2.7107703853027498</v>
      </c>
      <c r="R59" s="297">
        <v>2.1866144412357187</v>
      </c>
      <c r="T59" s="282">
        <v>9</v>
      </c>
      <c r="U59" s="161">
        <v>3.7360098576753265</v>
      </c>
      <c r="V59" s="679">
        <v>3.4074644537712255</v>
      </c>
      <c r="X59" s="282">
        <v>9</v>
      </c>
      <c r="Y59" s="161">
        <v>3.0740098576753261</v>
      </c>
      <c r="Z59" s="291">
        <v>-0.18437699289918186</v>
      </c>
      <c r="AG59" s="693">
        <v>4</v>
      </c>
      <c r="AH59" s="694">
        <v>3.1489272337360763</v>
      </c>
      <c r="AI59" s="695">
        <v>1.5417711041648789</v>
      </c>
      <c r="AJ59" s="313">
        <f t="shared" si="0"/>
        <v>15.41771104164879</v>
      </c>
      <c r="AK59" s="313">
        <f t="shared" si="1"/>
        <v>0</v>
      </c>
    </row>
    <row r="60" spans="1:37">
      <c r="A60" s="299">
        <v>41620</v>
      </c>
      <c r="B60" s="290">
        <v>4</v>
      </c>
      <c r="C60" s="266">
        <v>1.3708202734430697</v>
      </c>
      <c r="D60" s="291">
        <v>-1.3251543685711176</v>
      </c>
      <c r="E60" s="161">
        <v>2.5918202734430693</v>
      </c>
      <c r="F60" s="291">
        <v>-0.98847688462440475</v>
      </c>
      <c r="G60" s="161">
        <v>2.9535202734430692</v>
      </c>
      <c r="H60" s="679">
        <v>-1.3943928251726381</v>
      </c>
      <c r="I60" s="161">
        <v>2.5019202734430688</v>
      </c>
      <c r="J60" s="291">
        <v>-2.2781676565297966</v>
      </c>
      <c r="L60" s="282">
        <v>8</v>
      </c>
      <c r="M60" s="266">
        <v>1.3168452457095339</v>
      </c>
      <c r="N60" s="291">
        <v>0.89640674203299264</v>
      </c>
      <c r="P60" s="282">
        <v>8</v>
      </c>
      <c r="Q60" s="161">
        <v>2.6747358193055391</v>
      </c>
      <c r="R60" s="297">
        <v>2.5634788808385451</v>
      </c>
      <c r="T60" s="282">
        <v>9</v>
      </c>
      <c r="U60" s="161">
        <v>3.5806231540970943</v>
      </c>
      <c r="V60" s="679">
        <v>2.8757220906537446</v>
      </c>
      <c r="X60" s="282">
        <v>9</v>
      </c>
      <c r="Y60" s="161">
        <v>3.0159231540970928</v>
      </c>
      <c r="Z60" s="291">
        <v>-0.55699775531487106</v>
      </c>
      <c r="AG60" s="693">
        <v>4</v>
      </c>
      <c r="AH60" s="694">
        <v>3.125172024677358</v>
      </c>
      <c r="AI60" s="695">
        <v>1.2240004916699454</v>
      </c>
      <c r="AJ60" s="313">
        <f t="shared" si="0"/>
        <v>12.240004916699455</v>
      </c>
      <c r="AK60" s="313">
        <f t="shared" si="1"/>
        <v>0</v>
      </c>
    </row>
    <row r="61" spans="1:37">
      <c r="A61" s="299">
        <v>41621</v>
      </c>
      <c r="B61" s="290">
        <v>5</v>
      </c>
      <c r="C61" s="266">
        <v>1.3670572820543492</v>
      </c>
      <c r="D61" s="291">
        <v>-2.5770297340586223</v>
      </c>
      <c r="E61" s="161">
        <v>2.588757282054349</v>
      </c>
      <c r="F61" s="291">
        <v>-4.597615342329811</v>
      </c>
      <c r="G61" s="161">
        <v>2.9459572820543505</v>
      </c>
      <c r="H61" s="679">
        <v>-3.5079443078957273</v>
      </c>
      <c r="I61" s="161">
        <v>2.4986572820543489</v>
      </c>
      <c r="J61" s="291">
        <v>-5.0349999742444318</v>
      </c>
      <c r="L61" s="282">
        <v>9</v>
      </c>
      <c r="M61" s="266">
        <v>2.7607329762465871</v>
      </c>
      <c r="N61" s="291">
        <v>0.91881907975527088</v>
      </c>
      <c r="P61" s="282">
        <v>9</v>
      </c>
      <c r="Q61" s="161">
        <v>2.6353996280318732</v>
      </c>
      <c r="R61" s="291">
        <v>2.8650014306715588</v>
      </c>
      <c r="T61" s="282">
        <v>9</v>
      </c>
      <c r="U61" s="161">
        <v>2.9403162032028556</v>
      </c>
      <c r="V61" s="679">
        <v>0.77159145993558065</v>
      </c>
      <c r="X61" s="282">
        <v>9</v>
      </c>
      <c r="Y61" s="161">
        <v>2.500216203202855</v>
      </c>
      <c r="Z61" s="291">
        <v>-0.26824852694965351</v>
      </c>
      <c r="AG61" s="693">
        <v>4</v>
      </c>
      <c r="AH61" s="694">
        <v>3.1047231540970941</v>
      </c>
      <c r="AI61" s="695">
        <v>1.5118078168765059</v>
      </c>
      <c r="AJ61" s="313">
        <f t="shared" si="0"/>
        <v>15.118078168765059</v>
      </c>
      <c r="AK61" s="313">
        <f t="shared" si="1"/>
        <v>0</v>
      </c>
    </row>
    <row r="62" spans="1:37">
      <c r="A62" s="299">
        <v>41622</v>
      </c>
      <c r="B62" s="282">
        <v>6</v>
      </c>
      <c r="C62" s="266">
        <v>1.3745521919043875</v>
      </c>
      <c r="D62" s="297">
        <v>0.92055386043178222</v>
      </c>
      <c r="E62" s="161">
        <v>2.6219521919043878</v>
      </c>
      <c r="F62" s="297">
        <v>1.1461027322692969</v>
      </c>
      <c r="G62" s="161">
        <v>2.9589521919043884</v>
      </c>
      <c r="H62" s="679">
        <v>-0.35594380909003265</v>
      </c>
      <c r="I62" s="161">
        <v>2.5224521919043883</v>
      </c>
      <c r="J62" s="297">
        <v>-0.49042285873313674</v>
      </c>
      <c r="L62" s="282">
        <v>9</v>
      </c>
      <c r="M62" s="266">
        <v>1.8739722295991847</v>
      </c>
      <c r="N62" s="291">
        <v>1.1410251786160979</v>
      </c>
      <c r="P62" s="282">
        <v>9</v>
      </c>
      <c r="Q62" s="161">
        <v>2.5918202734430693</v>
      </c>
      <c r="R62" s="291">
        <v>-0.98847688462440475</v>
      </c>
      <c r="T62" s="290">
        <v>10</v>
      </c>
      <c r="U62" s="161">
        <v>3.5398139537621534</v>
      </c>
      <c r="V62" s="679">
        <v>2.4897078554911189</v>
      </c>
      <c r="X62" s="290">
        <v>10</v>
      </c>
      <c r="Y62" s="161">
        <v>2.9912139537621534</v>
      </c>
      <c r="Z62" s="291">
        <v>-0.58996450647456555</v>
      </c>
      <c r="AG62" s="696">
        <v>4</v>
      </c>
      <c r="AH62" s="694">
        <v>3.081513953762153</v>
      </c>
      <c r="AI62" s="695">
        <v>1.9693946521314181</v>
      </c>
      <c r="AJ62" s="313">
        <f t="shared" si="0"/>
        <v>19.693946521314182</v>
      </c>
      <c r="AK62" s="313">
        <f t="shared" si="1"/>
        <v>0</v>
      </c>
    </row>
    <row r="63" spans="1:37">
      <c r="A63" s="299">
        <v>41623</v>
      </c>
      <c r="B63" s="282">
        <v>7</v>
      </c>
      <c r="C63" s="266">
        <v>1.3461162032028562</v>
      </c>
      <c r="D63" s="291">
        <v>0.87132815394478991</v>
      </c>
      <c r="E63" s="161">
        <v>2.5973162032028565</v>
      </c>
      <c r="F63" s="291">
        <v>1.3107660964389327</v>
      </c>
      <c r="G63" s="161">
        <v>2.9403162032028556</v>
      </c>
      <c r="H63" s="679">
        <v>0.77159145993558065</v>
      </c>
      <c r="I63" s="161">
        <v>2.500216203202855</v>
      </c>
      <c r="J63" s="291">
        <v>-0.26824852694965351</v>
      </c>
      <c r="L63" s="282">
        <v>9</v>
      </c>
      <c r="M63" s="266">
        <v>1.2877566978348676</v>
      </c>
      <c r="N63" s="291">
        <v>0.70789213415719754</v>
      </c>
      <c r="P63" s="282">
        <v>9</v>
      </c>
      <c r="Q63" s="161">
        <v>2.588757282054349</v>
      </c>
      <c r="R63" s="291">
        <v>-4.597615342329811</v>
      </c>
      <c r="T63" s="282">
        <v>10</v>
      </c>
      <c r="U63" s="161">
        <v>2.9093452457095355</v>
      </c>
      <c r="V63" s="679">
        <v>1.5112910128221571</v>
      </c>
      <c r="X63" s="282">
        <v>10</v>
      </c>
      <c r="Y63" s="161">
        <v>2.4751452457095353</v>
      </c>
      <c r="Z63" s="291">
        <v>0.2357336890413686</v>
      </c>
      <c r="AG63" s="693">
        <v>5</v>
      </c>
      <c r="AH63" s="694">
        <v>3.0538722295991843</v>
      </c>
      <c r="AI63" s="695">
        <v>1.5696777496614087</v>
      </c>
      <c r="AJ63" s="313">
        <f t="shared" si="0"/>
        <v>15.696777496614088</v>
      </c>
      <c r="AK63" s="313">
        <f t="shared" si="1"/>
        <v>0</v>
      </c>
    </row>
    <row r="64" spans="1:37">
      <c r="A64" s="299">
        <v>41624</v>
      </c>
      <c r="B64" s="282">
        <v>8</v>
      </c>
      <c r="C64" s="266">
        <v>1.3168452457095339</v>
      </c>
      <c r="D64" s="291">
        <v>0.89640674203299264</v>
      </c>
      <c r="E64" s="161">
        <v>2.5751452457095354</v>
      </c>
      <c r="F64" s="291">
        <v>0.93071386435971459</v>
      </c>
      <c r="G64" s="161">
        <v>2.9093452457095355</v>
      </c>
      <c r="H64" s="679">
        <v>1.5112910128221571</v>
      </c>
      <c r="I64" s="161">
        <v>2.4751452457095353</v>
      </c>
      <c r="J64" s="291">
        <v>0.2357336890413686</v>
      </c>
      <c r="L64" s="282">
        <v>10</v>
      </c>
      <c r="M64" s="266">
        <v>1.8367587306052831</v>
      </c>
      <c r="N64" s="291">
        <v>1.4178522630184323</v>
      </c>
      <c r="P64" s="282">
        <v>10</v>
      </c>
      <c r="Q64" s="161">
        <v>2.6219521919043878</v>
      </c>
      <c r="R64" s="297">
        <v>1.1461027322692969</v>
      </c>
      <c r="T64" s="282">
        <v>11</v>
      </c>
      <c r="U64" s="161">
        <v>3.5004722295991852</v>
      </c>
      <c r="V64" s="679">
        <v>1.7566663861910565</v>
      </c>
      <c r="X64" s="282">
        <v>11</v>
      </c>
      <c r="Y64" s="161">
        <v>2.9665722295991848</v>
      </c>
      <c r="Z64" s="291">
        <v>-0.35767398137029938</v>
      </c>
      <c r="AG64" s="693">
        <v>5</v>
      </c>
      <c r="AH64" s="694">
        <v>3.0250587306052825</v>
      </c>
      <c r="AI64" s="695">
        <v>2.2403702987116967</v>
      </c>
      <c r="AJ64" s="313">
        <f t="shared" si="0"/>
        <v>22.403702987116965</v>
      </c>
      <c r="AK64" s="313">
        <f t="shared" si="1"/>
        <v>0</v>
      </c>
    </row>
    <row r="65" spans="1:37">
      <c r="A65" s="299">
        <v>41625</v>
      </c>
      <c r="B65" s="282">
        <v>9</v>
      </c>
      <c r="C65" s="266">
        <v>1.2877566978348676</v>
      </c>
      <c r="D65" s="291">
        <v>0.70789213415719754</v>
      </c>
      <c r="E65" s="161">
        <v>2.5535566978348676</v>
      </c>
      <c r="F65" s="291">
        <v>1.2231741351618475</v>
      </c>
      <c r="G65" s="161">
        <v>2.8816566978348677</v>
      </c>
      <c r="H65" s="679">
        <v>1.5739227997893952</v>
      </c>
      <c r="I65" s="161">
        <v>2.4447566978348667</v>
      </c>
      <c r="J65" s="291">
        <v>9.6746017342390633E-2</v>
      </c>
      <c r="L65" s="282">
        <v>10</v>
      </c>
      <c r="M65" s="266">
        <v>1.2599575104730953</v>
      </c>
      <c r="N65" s="291">
        <v>0.83642274920172532</v>
      </c>
      <c r="P65" s="282">
        <v>10</v>
      </c>
      <c r="Q65" s="161">
        <v>2.5973162032028565</v>
      </c>
      <c r="R65" s="291">
        <v>1.3107660964389327</v>
      </c>
      <c r="T65" s="282">
        <v>11</v>
      </c>
      <c r="U65" s="161">
        <v>2.8816566978348677</v>
      </c>
      <c r="V65" s="679">
        <v>1.5739227997893952</v>
      </c>
      <c r="X65" s="282">
        <v>11</v>
      </c>
      <c r="Y65" s="161">
        <v>2.4447566978348667</v>
      </c>
      <c r="Z65" s="291">
        <v>9.6746017342390633E-2</v>
      </c>
      <c r="AG65" s="693">
        <v>5</v>
      </c>
      <c r="AH65" s="694">
        <v>2.9966634391078966</v>
      </c>
      <c r="AI65" s="695">
        <v>1.7403141789377914</v>
      </c>
      <c r="AJ65" s="313">
        <f t="shared" si="0"/>
        <v>17.403141789377912</v>
      </c>
      <c r="AK65" s="313">
        <f t="shared" si="1"/>
        <v>0</v>
      </c>
    </row>
    <row r="66" spans="1:37">
      <c r="A66" s="299">
        <v>41626</v>
      </c>
      <c r="B66" s="282">
        <v>10</v>
      </c>
      <c r="C66" s="266">
        <v>1.2599575104730953</v>
      </c>
      <c r="D66" s="291">
        <v>0.83642274920172532</v>
      </c>
      <c r="E66" s="161">
        <v>2.5267575104730966</v>
      </c>
      <c r="F66" s="291">
        <v>1.6957201727489404</v>
      </c>
      <c r="G66" s="161">
        <v>2.8446575104730956</v>
      </c>
      <c r="H66" s="679">
        <v>1.6099028971229741</v>
      </c>
      <c r="I66" s="161">
        <v>2.4068575104730967</v>
      </c>
      <c r="J66" s="291">
        <v>1.1696818889693983</v>
      </c>
      <c r="L66" s="282">
        <v>11</v>
      </c>
      <c r="M66" s="266">
        <v>1.7994634391078965</v>
      </c>
      <c r="N66" s="291">
        <v>0.80350280149195719</v>
      </c>
      <c r="P66" s="282">
        <v>11</v>
      </c>
      <c r="Q66" s="161">
        <v>2.5751452457095354</v>
      </c>
      <c r="R66" s="291">
        <v>0.93071386435971459</v>
      </c>
      <c r="T66" s="282">
        <v>12</v>
      </c>
      <c r="U66" s="161">
        <v>3.4643587306052828</v>
      </c>
      <c r="V66" s="679">
        <v>2.319710623450967</v>
      </c>
      <c r="X66" s="282">
        <v>12</v>
      </c>
      <c r="Y66" s="161">
        <v>2.9412587306052838</v>
      </c>
      <c r="Z66" s="291">
        <v>-0.45512925890862688</v>
      </c>
      <c r="AG66" s="696">
        <v>5</v>
      </c>
      <c r="AH66" s="694">
        <v>2.9721726488416049</v>
      </c>
      <c r="AI66" s="695">
        <v>1.3784950405007756</v>
      </c>
      <c r="AJ66" s="313">
        <f t="shared" si="0"/>
        <v>13.784950405007756</v>
      </c>
      <c r="AK66" s="313">
        <f t="shared" si="1"/>
        <v>0</v>
      </c>
    </row>
    <row r="67" spans="1:37">
      <c r="A67" s="299">
        <v>41627</v>
      </c>
      <c r="B67" s="282">
        <v>11</v>
      </c>
      <c r="C67" s="266">
        <v>1.2310082253497936</v>
      </c>
      <c r="D67" s="291">
        <v>0.5959488818825418</v>
      </c>
      <c r="E67" s="161">
        <v>2.4946082253497934</v>
      </c>
      <c r="F67" s="291">
        <v>2.529940140609062</v>
      </c>
      <c r="G67" s="161">
        <v>2.8065082253497939</v>
      </c>
      <c r="H67" s="679">
        <v>1.7906845772023496</v>
      </c>
      <c r="I67" s="161">
        <v>2.3701082253497936</v>
      </c>
      <c r="J67" s="291">
        <v>1.5622743532361145</v>
      </c>
      <c r="L67" s="282">
        <v>11</v>
      </c>
      <c r="M67" s="266">
        <v>1.2310082253497936</v>
      </c>
      <c r="N67" s="291">
        <v>0.5959488818825418</v>
      </c>
      <c r="P67" s="282">
        <v>11</v>
      </c>
      <c r="Q67" s="161">
        <v>2.5535566978348676</v>
      </c>
      <c r="R67" s="291">
        <v>1.2231741351618475</v>
      </c>
      <c r="T67" s="282">
        <v>12</v>
      </c>
      <c r="U67" s="161">
        <v>2.8446575104730956</v>
      </c>
      <c r="V67" s="679">
        <v>1.6099028971229741</v>
      </c>
      <c r="X67" s="282">
        <v>12</v>
      </c>
      <c r="Y67" s="161">
        <v>2.4068575104730967</v>
      </c>
      <c r="Z67" s="291">
        <v>1.1696818889693983</v>
      </c>
      <c r="AG67" s="693">
        <v>6</v>
      </c>
      <c r="AH67" s="694">
        <v>2.9501452480592274</v>
      </c>
      <c r="AI67" s="695">
        <v>1.7640568089139417</v>
      </c>
      <c r="AJ67" s="313">
        <f t="shared" si="0"/>
        <v>17.640568089139418</v>
      </c>
      <c r="AK67" s="313">
        <f t="shared" si="1"/>
        <v>0</v>
      </c>
    </row>
    <row r="68" spans="1:37">
      <c r="A68" s="299">
        <v>41628</v>
      </c>
      <c r="B68" s="282">
        <v>12</v>
      </c>
      <c r="C68" s="266">
        <v>1.2057875728895202</v>
      </c>
      <c r="D68" s="291">
        <v>0.56622401522079313</v>
      </c>
      <c r="E68" s="161">
        <v>2.456787572889521</v>
      </c>
      <c r="F68" s="291">
        <v>2.071014398483086</v>
      </c>
      <c r="G68" s="161">
        <v>2.7656875728895214</v>
      </c>
      <c r="H68" s="679">
        <v>2.0015187029673589</v>
      </c>
      <c r="I68" s="161">
        <v>2.3149875728895206</v>
      </c>
      <c r="J68" s="291">
        <v>5.262614024707073</v>
      </c>
      <c r="L68" s="282">
        <v>12</v>
      </c>
      <c r="M68" s="266">
        <v>1.7632726488416055</v>
      </c>
      <c r="N68" s="291">
        <v>1.0393431137677616</v>
      </c>
      <c r="P68" s="282">
        <v>12</v>
      </c>
      <c r="Q68" s="161">
        <v>2.5267575104730966</v>
      </c>
      <c r="R68" s="291">
        <v>1.6957201727489404</v>
      </c>
      <c r="T68" s="282">
        <v>13</v>
      </c>
      <c r="U68" s="161">
        <v>3.4180634391078977</v>
      </c>
      <c r="V68" s="679">
        <v>2.3794553762568071</v>
      </c>
      <c r="X68" s="282">
        <v>13</v>
      </c>
      <c r="Y68" s="161">
        <v>2.9136634391078959</v>
      </c>
      <c r="Z68" s="291">
        <v>-0.37774367011921406</v>
      </c>
      <c r="AG68" s="693">
        <v>6</v>
      </c>
      <c r="AH68" s="694">
        <v>2.9242742858665238</v>
      </c>
      <c r="AI68" s="695">
        <v>1.4801596817324467</v>
      </c>
      <c r="AJ68" s="313">
        <f t="shared" si="0"/>
        <v>14.801596817324468</v>
      </c>
      <c r="AK68" s="313">
        <f t="shared" si="1"/>
        <v>0</v>
      </c>
    </row>
    <row r="69" spans="1:37">
      <c r="A69" s="299">
        <v>41629</v>
      </c>
      <c r="B69" s="282">
        <v>13</v>
      </c>
      <c r="C69" s="266">
        <v>1.1813288895585292</v>
      </c>
      <c r="D69" s="291">
        <v>0.60938117859142316</v>
      </c>
      <c r="E69" s="161">
        <v>2.42622888955853</v>
      </c>
      <c r="F69" s="291">
        <v>2.3595608248919047</v>
      </c>
      <c r="G69" s="161">
        <v>2.7222288895585303</v>
      </c>
      <c r="H69" s="679">
        <v>2.9193934360205995</v>
      </c>
      <c r="I69" s="161">
        <v>2.2296288895585294</v>
      </c>
      <c r="J69" s="291">
        <v>6.0837632906680676</v>
      </c>
      <c r="L69" s="282">
        <v>12</v>
      </c>
      <c r="M69" s="266">
        <v>1.2057875728895202</v>
      </c>
      <c r="N69" s="291">
        <v>0.56622401522079313</v>
      </c>
      <c r="P69" s="282">
        <v>12</v>
      </c>
      <c r="Q69" s="161">
        <v>2.4946082253497934</v>
      </c>
      <c r="R69" s="291">
        <v>2.529940140609062</v>
      </c>
      <c r="T69" s="282">
        <v>13</v>
      </c>
      <c r="U69" s="161">
        <v>2.8065082253497939</v>
      </c>
      <c r="V69" s="679">
        <v>1.7906845772023496</v>
      </c>
      <c r="X69" s="282">
        <v>13</v>
      </c>
      <c r="Y69" s="161">
        <v>2.3701082253497936</v>
      </c>
      <c r="Z69" s="291">
        <v>1.5622743532361145</v>
      </c>
      <c r="AG69" s="693">
        <v>6</v>
      </c>
      <c r="AH69" s="694">
        <v>2.9012507692000664</v>
      </c>
      <c r="AI69" s="695">
        <v>1.6569906762648505</v>
      </c>
      <c r="AJ69" s="313">
        <f t="shared" si="0"/>
        <v>16.569906762648504</v>
      </c>
      <c r="AK69" s="313">
        <f t="shared" si="1"/>
        <v>0</v>
      </c>
    </row>
    <row r="70" spans="1:37">
      <c r="A70" s="299">
        <v>41630</v>
      </c>
      <c r="B70" s="282">
        <v>14</v>
      </c>
      <c r="C70" s="266">
        <v>1.1558933107006486</v>
      </c>
      <c r="D70" s="291">
        <v>1.1015175688425534</v>
      </c>
      <c r="E70" s="161">
        <v>2.3935933107006484</v>
      </c>
      <c r="F70" s="291">
        <v>3.2293127129462342</v>
      </c>
      <c r="G70" s="161">
        <v>2.677693310700648</v>
      </c>
      <c r="H70" s="679">
        <v>1.5777037055302723</v>
      </c>
      <c r="I70" s="161">
        <v>2.1447933107006487</v>
      </c>
      <c r="J70" s="291">
        <v>5.4372652006950917</v>
      </c>
      <c r="L70" s="282">
        <v>13</v>
      </c>
      <c r="M70" s="266">
        <v>1.7149452480592271</v>
      </c>
      <c r="N70" s="297">
        <v>1.7035418375885922</v>
      </c>
      <c r="P70" s="282">
        <v>13</v>
      </c>
      <c r="Q70" s="161">
        <v>2.456787572889521</v>
      </c>
      <c r="R70" s="291">
        <v>2.071014398483086</v>
      </c>
      <c r="T70" s="282">
        <v>14</v>
      </c>
      <c r="U70" s="161">
        <v>2.7656875728895214</v>
      </c>
      <c r="V70" s="679">
        <v>2.0015187029673589</v>
      </c>
      <c r="X70" s="282">
        <v>14</v>
      </c>
      <c r="Y70" s="161">
        <v>2.3149875728895206</v>
      </c>
      <c r="Z70" s="291">
        <v>5.262614024707073</v>
      </c>
      <c r="AG70" s="693">
        <v>6</v>
      </c>
      <c r="AH70" s="694">
        <v>2.8964924910133441</v>
      </c>
      <c r="AI70" s="695">
        <v>1.4475908850453725</v>
      </c>
      <c r="AJ70" s="313">
        <f t="shared" si="0"/>
        <v>14.475908850453724</v>
      </c>
      <c r="AK70" s="313">
        <f t="shared" si="1"/>
        <v>0</v>
      </c>
    </row>
    <row r="71" spans="1:37">
      <c r="A71" s="299">
        <v>41631</v>
      </c>
      <c r="B71" s="282">
        <v>15</v>
      </c>
      <c r="C71" s="266">
        <v>1.1294738854216377</v>
      </c>
      <c r="D71" s="291">
        <v>0.56947444958647386</v>
      </c>
      <c r="E71" s="161">
        <v>2.3505738854216389</v>
      </c>
      <c r="F71" s="291">
        <v>2.6349965501658623</v>
      </c>
      <c r="G71" s="161">
        <v>2.6445738854216385</v>
      </c>
      <c r="H71" s="679">
        <v>1.4864436727347068</v>
      </c>
      <c r="I71" s="161">
        <v>2.076373885421638</v>
      </c>
      <c r="J71" s="291">
        <v>4.9679999999999991</v>
      </c>
      <c r="L71" s="282">
        <v>13</v>
      </c>
      <c r="M71" s="266">
        <v>1.1813288895585292</v>
      </c>
      <c r="N71" s="291">
        <v>0.60938117859142316</v>
      </c>
      <c r="P71" s="282">
        <v>13</v>
      </c>
      <c r="Q71" s="161">
        <v>2.42622888955853</v>
      </c>
      <c r="R71" s="291">
        <v>2.3595608248919047</v>
      </c>
      <c r="T71" s="282">
        <v>15</v>
      </c>
      <c r="U71" s="161">
        <v>2.7222288895585303</v>
      </c>
      <c r="V71" s="679">
        <v>2.9193934360205995</v>
      </c>
      <c r="X71" s="282">
        <v>15</v>
      </c>
      <c r="Y71" s="161">
        <v>2.2296288895585294</v>
      </c>
      <c r="Z71" s="291">
        <v>6.0837632906680676</v>
      </c>
      <c r="AG71" s="693">
        <v>7</v>
      </c>
      <c r="AH71" s="694">
        <v>2.8756663033140768</v>
      </c>
      <c r="AI71" s="695">
        <v>1.3393556730952001</v>
      </c>
      <c r="AJ71" s="313">
        <f t="shared" ref="AJ71:AJ134" si="2">AI71*10</f>
        <v>13.393556730952001</v>
      </c>
      <c r="AK71" s="313">
        <f t="shared" ref="AK71:AK134" si="3">IF(AI71&lt;0.94,AI71,0)</f>
        <v>0</v>
      </c>
    </row>
    <row r="72" spans="1:37">
      <c r="A72" s="299">
        <v>41632</v>
      </c>
      <c r="B72" s="282">
        <v>16</v>
      </c>
      <c r="C72" s="266">
        <v>1.1028156048852229</v>
      </c>
      <c r="D72" s="291">
        <v>0.39303599212226015</v>
      </c>
      <c r="E72" s="161">
        <v>2.3118156048852239</v>
      </c>
      <c r="F72" s="291">
        <v>2.0602434062651653</v>
      </c>
      <c r="G72" s="161">
        <v>2.6126156048852236</v>
      </c>
      <c r="H72" s="679">
        <v>1.4098371767342979</v>
      </c>
      <c r="I72" s="161">
        <v>2.0227156048852222</v>
      </c>
      <c r="J72" s="291">
        <v>3.5424000000000002</v>
      </c>
      <c r="L72" s="282">
        <v>14</v>
      </c>
      <c r="M72" s="266">
        <v>1.1558933107006486</v>
      </c>
      <c r="N72" s="291">
        <v>1.1015175688425534</v>
      </c>
      <c r="P72" s="282">
        <v>14</v>
      </c>
      <c r="Q72" s="161">
        <v>2.3935933107006484</v>
      </c>
      <c r="R72" s="291">
        <v>3.2293127129462342</v>
      </c>
      <c r="T72" s="282">
        <v>16</v>
      </c>
      <c r="U72" s="161">
        <v>2.677693310700648</v>
      </c>
      <c r="V72" s="679">
        <v>1.5777037055302723</v>
      </c>
      <c r="X72" s="282">
        <v>16</v>
      </c>
      <c r="Y72" s="161">
        <v>2.1447933107006487</v>
      </c>
      <c r="Z72" s="291">
        <v>5.4372652006950917</v>
      </c>
      <c r="AG72" s="693">
        <v>7</v>
      </c>
      <c r="AH72" s="694">
        <v>2.8481693677426971</v>
      </c>
      <c r="AI72" s="695">
        <v>1.8910806892071095</v>
      </c>
      <c r="AJ72" s="313">
        <f t="shared" si="2"/>
        <v>18.910806892071093</v>
      </c>
      <c r="AK72" s="313">
        <f t="shared" si="3"/>
        <v>0</v>
      </c>
    </row>
    <row r="73" spans="1:37">
      <c r="A73" s="299">
        <v>41633</v>
      </c>
      <c r="B73" s="282">
        <v>17</v>
      </c>
      <c r="C73" s="266">
        <v>1.0784434202106383</v>
      </c>
      <c r="D73" s="291">
        <v>0.5057443635654395</v>
      </c>
      <c r="E73" s="161">
        <v>2.2767434202106376</v>
      </c>
      <c r="F73" s="291">
        <v>2.8535780423817458</v>
      </c>
      <c r="G73" s="161">
        <v>2.5780434202106379</v>
      </c>
      <c r="H73" s="679">
        <v>1.4931207691465183</v>
      </c>
      <c r="I73" s="161">
        <v>1.9766434202106367</v>
      </c>
      <c r="J73" s="291">
        <v>2.3939984227144446</v>
      </c>
      <c r="L73" s="282">
        <v>15</v>
      </c>
      <c r="M73" s="266">
        <v>1.1294738854216377</v>
      </c>
      <c r="N73" s="291">
        <v>0.56947444958647386</v>
      </c>
      <c r="P73" s="282">
        <v>15</v>
      </c>
      <c r="Q73" s="161">
        <v>2.3505738854216389</v>
      </c>
      <c r="R73" s="291">
        <v>2.6349965501658623</v>
      </c>
      <c r="T73" s="282">
        <v>17</v>
      </c>
      <c r="U73" s="161">
        <v>2.6445738854216385</v>
      </c>
      <c r="V73" s="679">
        <v>1.4864436727347068</v>
      </c>
      <c r="X73" s="282">
        <v>17</v>
      </c>
      <c r="Y73" s="161">
        <v>2.076373885421638</v>
      </c>
      <c r="Z73" s="291">
        <v>4.9679999999999991</v>
      </c>
      <c r="AG73" s="693">
        <v>7</v>
      </c>
      <c r="AH73" s="694">
        <v>2.8178550443621067</v>
      </c>
      <c r="AI73" s="695">
        <v>1.7955597399709995</v>
      </c>
      <c r="AJ73" s="313">
        <f t="shared" si="2"/>
        <v>17.955597399709994</v>
      </c>
      <c r="AK73" s="313">
        <f t="shared" si="3"/>
        <v>0</v>
      </c>
    </row>
    <row r="74" spans="1:37">
      <c r="A74" s="299">
        <v>41634</v>
      </c>
      <c r="B74" s="282">
        <v>18</v>
      </c>
      <c r="C74" s="266">
        <v>1.0514010906809603</v>
      </c>
      <c r="D74" s="291">
        <v>1.6355713718672651</v>
      </c>
      <c r="E74" s="161">
        <v>2.2421010906809613</v>
      </c>
      <c r="F74" s="291">
        <v>2.2215100794748581</v>
      </c>
      <c r="G74" s="161">
        <v>2.5453010906809608</v>
      </c>
      <c r="H74" s="679">
        <v>1.1733069915397629</v>
      </c>
      <c r="I74" s="161">
        <v>1.9459010906809602</v>
      </c>
      <c r="J74" s="291">
        <v>1.6847999999999999</v>
      </c>
      <c r="L74" s="282">
        <v>16</v>
      </c>
      <c r="M74" s="266">
        <v>1.1028156048852229</v>
      </c>
      <c r="N74" s="291">
        <v>0.39303599212226015</v>
      </c>
      <c r="P74" s="282">
        <v>16</v>
      </c>
      <c r="Q74" s="161">
        <v>2.3118156048852239</v>
      </c>
      <c r="R74" s="291">
        <v>2.0602434062651653</v>
      </c>
      <c r="T74" s="282">
        <v>18</v>
      </c>
      <c r="U74" s="161">
        <v>2.6126156048852236</v>
      </c>
      <c r="V74" s="679">
        <v>1.4098371767342979</v>
      </c>
      <c r="X74" s="282">
        <v>18</v>
      </c>
      <c r="Y74" s="161">
        <v>2.0227156048852222</v>
      </c>
      <c r="Z74" s="291">
        <v>3.5424000000000002</v>
      </c>
      <c r="AG74" s="693">
        <v>7</v>
      </c>
      <c r="AH74" s="694">
        <v>2.7797257992832947</v>
      </c>
      <c r="AI74" s="695">
        <v>2.1155167385857636</v>
      </c>
      <c r="AJ74" s="313">
        <f t="shared" si="2"/>
        <v>21.155167385857638</v>
      </c>
      <c r="AK74" s="313">
        <f t="shared" si="3"/>
        <v>0</v>
      </c>
    </row>
    <row r="75" spans="1:37">
      <c r="A75" s="299">
        <v>41635</v>
      </c>
      <c r="B75" s="282">
        <v>19</v>
      </c>
      <c r="C75" s="266">
        <v>1.0209965847504816</v>
      </c>
      <c r="D75" s="291">
        <v>0.87777292866804757</v>
      </c>
      <c r="E75" s="161">
        <v>2.2058965847504819</v>
      </c>
      <c r="F75" s="291">
        <v>1.8489628663529076</v>
      </c>
      <c r="G75" s="161">
        <v>2.5081965847504817</v>
      </c>
      <c r="H75" s="679">
        <v>1.3886855674006373</v>
      </c>
      <c r="I75" s="161">
        <v>1.9260965847504816</v>
      </c>
      <c r="J75" s="291">
        <v>0.91871999999999998</v>
      </c>
      <c r="L75" s="282">
        <v>17</v>
      </c>
      <c r="M75" s="266">
        <v>1.0784434202106383</v>
      </c>
      <c r="N75" s="291">
        <v>0.5057443635654395</v>
      </c>
      <c r="P75" s="282">
        <v>17</v>
      </c>
      <c r="Q75" s="161">
        <v>2.2767434202106376</v>
      </c>
      <c r="R75" s="291">
        <v>2.8535780423817458</v>
      </c>
      <c r="T75" s="282">
        <v>19</v>
      </c>
      <c r="U75" s="161">
        <v>2.5780434202106379</v>
      </c>
      <c r="V75" s="679">
        <v>1.4931207691465183</v>
      </c>
      <c r="X75" s="282">
        <v>19</v>
      </c>
      <c r="Y75" s="161">
        <v>1.9766434202106367</v>
      </c>
      <c r="Z75" s="291">
        <v>2.3939984227144446</v>
      </c>
      <c r="AG75" s="693">
        <v>8</v>
      </c>
      <c r="AH75" s="694">
        <v>2.7452350043176192</v>
      </c>
      <c r="AI75" s="695">
        <v>2.2294272675066482</v>
      </c>
      <c r="AJ75" s="313">
        <f t="shared" si="2"/>
        <v>22.29427267506648</v>
      </c>
      <c r="AK75" s="313">
        <f t="shared" si="3"/>
        <v>0</v>
      </c>
    </row>
    <row r="76" spans="1:37">
      <c r="A76" s="299">
        <v>41636</v>
      </c>
      <c r="B76" s="282">
        <v>20</v>
      </c>
      <c r="C76" s="266">
        <v>0.99228676730036958</v>
      </c>
      <c r="D76" s="291">
        <v>0.76843228316337764</v>
      </c>
      <c r="E76" s="161">
        <v>2.1696867673003695</v>
      </c>
      <c r="F76" s="291">
        <v>1.6639015834679181</v>
      </c>
      <c r="G76" s="161">
        <v>2.4690867673003689</v>
      </c>
      <c r="H76" s="679">
        <v>2.0090834447837604</v>
      </c>
      <c r="I76" s="161">
        <v>1.9073867673003693</v>
      </c>
      <c r="J76" s="291">
        <v>0.97055999999999998</v>
      </c>
      <c r="L76" s="282">
        <v>18</v>
      </c>
      <c r="M76" s="266">
        <v>1.0514010906809603</v>
      </c>
      <c r="N76" s="291">
        <v>1.6355713718672651</v>
      </c>
      <c r="P76" s="282">
        <v>18</v>
      </c>
      <c r="Q76" s="161">
        <v>2.2421010906809613</v>
      </c>
      <c r="R76" s="291">
        <v>2.2215100794748581</v>
      </c>
      <c r="T76" s="282">
        <v>20</v>
      </c>
      <c r="U76" s="161">
        <v>2.5453010906809608</v>
      </c>
      <c r="V76" s="679">
        <v>1.1733069915397629</v>
      </c>
      <c r="X76" s="282">
        <v>20</v>
      </c>
      <c r="Y76" s="161">
        <v>1.9459010906809602</v>
      </c>
      <c r="Z76" s="291">
        <v>1.6847999999999999</v>
      </c>
      <c r="AG76" s="693">
        <v>8</v>
      </c>
      <c r="AH76" s="694">
        <v>2.7107703853027498</v>
      </c>
      <c r="AI76" s="695">
        <v>2.1866144412357187</v>
      </c>
      <c r="AJ76" s="313">
        <f t="shared" si="2"/>
        <v>21.866144412357187</v>
      </c>
      <c r="AK76" s="313">
        <f t="shared" si="3"/>
        <v>0</v>
      </c>
    </row>
    <row r="77" spans="1:37">
      <c r="A77" s="299">
        <v>41637</v>
      </c>
      <c r="B77" s="282">
        <v>21</v>
      </c>
      <c r="C77" s="266">
        <v>0.96585404559959065</v>
      </c>
      <c r="D77" s="291">
        <v>0.16242659840085238</v>
      </c>
      <c r="E77" s="161">
        <v>2.1281540455995902</v>
      </c>
      <c r="F77" s="291">
        <v>3.4811482193524226</v>
      </c>
      <c r="G77" s="161">
        <v>2.4298540455995914</v>
      </c>
      <c r="H77" s="679">
        <v>0.97471852729933239</v>
      </c>
      <c r="I77" s="161">
        <v>1.8889540455995912</v>
      </c>
      <c r="J77" s="291">
        <v>0.9979199999999997</v>
      </c>
      <c r="L77" s="282">
        <v>19</v>
      </c>
      <c r="M77" s="266">
        <v>1.0209965847504816</v>
      </c>
      <c r="N77" s="291">
        <v>0.87777292866804757</v>
      </c>
      <c r="P77" s="282">
        <v>19</v>
      </c>
      <c r="Q77" s="161">
        <v>2.2058965847504819</v>
      </c>
      <c r="R77" s="291">
        <v>1.8489628663529076</v>
      </c>
      <c r="T77" s="282">
        <v>21</v>
      </c>
      <c r="U77" s="161">
        <v>2.5081965847504817</v>
      </c>
      <c r="V77" s="679">
        <v>1.3886855674006373</v>
      </c>
      <c r="X77" s="282">
        <v>21</v>
      </c>
      <c r="Y77" s="161">
        <v>1.9260965847504816</v>
      </c>
      <c r="Z77" s="291">
        <v>0.91871999999999998</v>
      </c>
      <c r="AG77" s="693">
        <v>8</v>
      </c>
      <c r="AH77" s="694">
        <v>2.6747358193055391</v>
      </c>
      <c r="AI77" s="695">
        <v>2.5634788808385451</v>
      </c>
      <c r="AJ77" s="313">
        <f t="shared" si="2"/>
        <v>25.634788808385451</v>
      </c>
      <c r="AK77" s="313">
        <f t="shared" si="3"/>
        <v>0</v>
      </c>
    </row>
    <row r="78" spans="1:37">
      <c r="A78" s="299">
        <v>41638</v>
      </c>
      <c r="B78" s="282">
        <v>22</v>
      </c>
      <c r="C78" s="266">
        <v>0.94686099884352315</v>
      </c>
      <c r="D78" s="291">
        <v>0.27139643798940738</v>
      </c>
      <c r="E78" s="161">
        <v>2.0889609988435236</v>
      </c>
      <c r="F78" s="291">
        <v>0.90378747644363466</v>
      </c>
      <c r="G78" s="161">
        <v>2.3931609988435225</v>
      </c>
      <c r="H78" s="679">
        <v>2.0572191929802992</v>
      </c>
      <c r="I78" s="161">
        <v>1.8552609988435225</v>
      </c>
      <c r="J78" s="291">
        <v>3.528</v>
      </c>
      <c r="L78" s="282">
        <v>20</v>
      </c>
      <c r="M78" s="266">
        <v>0.99228676730036958</v>
      </c>
      <c r="N78" s="291">
        <v>0.76843228316337764</v>
      </c>
      <c r="P78" s="282">
        <v>20</v>
      </c>
      <c r="Q78" s="161">
        <v>2.1696867673003695</v>
      </c>
      <c r="R78" s="291">
        <v>1.6639015834679181</v>
      </c>
      <c r="T78" s="282">
        <v>22</v>
      </c>
      <c r="U78" s="161">
        <v>2.4690867673003689</v>
      </c>
      <c r="V78" s="679">
        <v>2.0090834447837604</v>
      </c>
      <c r="X78" s="282">
        <v>22</v>
      </c>
      <c r="Y78" s="161">
        <v>1.9073867673003693</v>
      </c>
      <c r="Z78" s="291">
        <v>0.97055999999999998</v>
      </c>
      <c r="AG78" s="693">
        <v>9</v>
      </c>
      <c r="AH78" s="694">
        <v>2.6353996280318732</v>
      </c>
      <c r="AI78" s="695">
        <v>2.8650014306715588</v>
      </c>
      <c r="AJ78" s="313">
        <f t="shared" si="2"/>
        <v>28.650014306715587</v>
      </c>
      <c r="AK78" s="313">
        <f t="shared" si="3"/>
        <v>0</v>
      </c>
    </row>
    <row r="79" spans="1:37">
      <c r="A79" s="299">
        <v>41639</v>
      </c>
      <c r="B79" s="282">
        <v>23</v>
      </c>
      <c r="C79" s="266">
        <v>0.92725057132731747</v>
      </c>
      <c r="D79" s="291">
        <v>-0.2883326986762702</v>
      </c>
      <c r="E79" s="161">
        <v>2.0485505713273184</v>
      </c>
      <c r="F79" s="291">
        <v>1.5727804140015467</v>
      </c>
      <c r="G79" s="161">
        <v>2.3502505713273179</v>
      </c>
      <c r="H79" s="679">
        <v>2.294508238372603</v>
      </c>
      <c r="I79" s="161">
        <v>1.8162505713273176</v>
      </c>
      <c r="J79" s="291">
        <v>2.8512</v>
      </c>
      <c r="L79" s="282">
        <v>21</v>
      </c>
      <c r="M79" s="266">
        <v>0.96585404559959065</v>
      </c>
      <c r="N79" s="291">
        <v>0.16242659840085238</v>
      </c>
      <c r="P79" s="282">
        <v>21</v>
      </c>
      <c r="Q79" s="161">
        <v>2.1281540455995902</v>
      </c>
      <c r="R79" s="291">
        <v>3.4811482193524226</v>
      </c>
      <c r="T79" s="282">
        <v>23</v>
      </c>
      <c r="U79" s="161">
        <v>2.4298540455995914</v>
      </c>
      <c r="V79" s="679">
        <v>0.97471852729933239</v>
      </c>
      <c r="X79" s="282">
        <v>23</v>
      </c>
      <c r="Y79" s="161">
        <v>1.8889540455995912</v>
      </c>
      <c r="Z79" s="291">
        <v>0.9979199999999997</v>
      </c>
      <c r="AG79" s="693">
        <v>9</v>
      </c>
      <c r="AH79" s="694">
        <v>2.5918202734430693</v>
      </c>
      <c r="AI79" s="695">
        <v>-0.98847688462440475</v>
      </c>
      <c r="AJ79" s="313">
        <f t="shared" si="2"/>
        <v>-9.8847688462440466</v>
      </c>
      <c r="AK79" s="313">
        <f t="shared" si="3"/>
        <v>-0.98847688462440475</v>
      </c>
    </row>
    <row r="80" spans="1:37">
      <c r="A80" s="299">
        <v>41640</v>
      </c>
      <c r="B80" s="282">
        <v>24</v>
      </c>
      <c r="C80" s="266">
        <v>0.90683318586779882</v>
      </c>
      <c r="D80" s="297">
        <v>-0.78232290841960905</v>
      </c>
      <c r="E80" s="161">
        <v>2.0045331858677997</v>
      </c>
      <c r="F80" s="297">
        <v>0.32688450912724321</v>
      </c>
      <c r="G80" s="161">
        <v>2.3023331858677993</v>
      </c>
      <c r="H80" s="679">
        <v>0.97535549717860937</v>
      </c>
      <c r="I80" s="161">
        <v>1.7785331858677984</v>
      </c>
      <c r="J80" s="297">
        <v>2.4471695916804177</v>
      </c>
      <c r="L80" s="282">
        <v>22</v>
      </c>
      <c r="M80" s="266">
        <v>0.94686099884352315</v>
      </c>
      <c r="N80" s="291">
        <v>0.27139643798940738</v>
      </c>
      <c r="P80" s="282">
        <v>22</v>
      </c>
      <c r="Q80" s="161">
        <v>2.0889609988435236</v>
      </c>
      <c r="R80" s="291">
        <v>0.90378747644363466</v>
      </c>
      <c r="T80" s="282">
        <v>24</v>
      </c>
      <c r="U80" s="161">
        <v>2.3931609988435225</v>
      </c>
      <c r="V80" s="679">
        <v>2.0572191929802992</v>
      </c>
      <c r="X80" s="282">
        <v>24</v>
      </c>
      <c r="Y80" s="161">
        <v>1.8552609988435225</v>
      </c>
      <c r="Z80" s="291">
        <v>3.528</v>
      </c>
      <c r="AG80" s="693">
        <v>9</v>
      </c>
      <c r="AH80" s="694">
        <v>2.588757282054349</v>
      </c>
      <c r="AI80" s="695">
        <v>-4.597615342329811</v>
      </c>
      <c r="AJ80" s="313">
        <f t="shared" si="2"/>
        <v>-45.976153423298108</v>
      </c>
      <c r="AK80" s="313">
        <f t="shared" si="3"/>
        <v>-4.597615342329811</v>
      </c>
    </row>
    <row r="81" spans="1:40">
      <c r="A81" s="299">
        <v>41641</v>
      </c>
      <c r="B81" s="282">
        <v>25</v>
      </c>
      <c r="C81" s="266">
        <v>0.88597981170674578</v>
      </c>
      <c r="D81" s="291">
        <v>-0.48853298888598173</v>
      </c>
      <c r="E81" s="161">
        <v>1.9808798117067459</v>
      </c>
      <c r="F81" s="291">
        <v>0.99278997740990227</v>
      </c>
      <c r="G81" s="161">
        <v>2.2695798117067456</v>
      </c>
      <c r="H81" s="679">
        <v>0.8130560206943076</v>
      </c>
      <c r="I81" s="161">
        <v>1.744879811706745</v>
      </c>
      <c r="J81" s="291">
        <v>1.7568000000000001</v>
      </c>
      <c r="L81" s="282">
        <v>23</v>
      </c>
      <c r="M81" s="266">
        <v>0.92725057132731747</v>
      </c>
      <c r="N81" s="291">
        <v>-0.2883326986762702</v>
      </c>
      <c r="P81" s="282">
        <v>23</v>
      </c>
      <c r="Q81" s="161">
        <v>2.0485505713273184</v>
      </c>
      <c r="R81" s="291">
        <v>1.5727804140015467</v>
      </c>
      <c r="T81" s="282">
        <v>25</v>
      </c>
      <c r="U81" s="161">
        <v>2.3502505713273179</v>
      </c>
      <c r="V81" s="679">
        <v>2.294508238372603</v>
      </c>
      <c r="X81" s="282">
        <v>25</v>
      </c>
      <c r="Y81" s="161">
        <v>1.8162505713273176</v>
      </c>
      <c r="Z81" s="291">
        <v>2.8512</v>
      </c>
      <c r="AG81" s="693">
        <v>10</v>
      </c>
      <c r="AH81" s="694">
        <v>2.6219521919043878</v>
      </c>
      <c r="AI81" s="695">
        <v>1.1461027322692969</v>
      </c>
      <c r="AJ81" s="313">
        <f t="shared" si="2"/>
        <v>11.461027322692969</v>
      </c>
      <c r="AK81" s="313">
        <f t="shared" si="3"/>
        <v>0</v>
      </c>
    </row>
    <row r="82" spans="1:40">
      <c r="A82" s="299">
        <v>41642</v>
      </c>
      <c r="B82" s="282">
        <v>26</v>
      </c>
      <c r="C82" s="266">
        <v>0.85625384067776678</v>
      </c>
      <c r="D82" s="291">
        <v>-6.2650090333922215E-3</v>
      </c>
      <c r="E82" s="161">
        <v>1.9578538406777672</v>
      </c>
      <c r="F82" s="291">
        <v>0.50041994278655544</v>
      </c>
      <c r="G82" s="161">
        <v>2.2397538406777668</v>
      </c>
      <c r="H82" s="679">
        <v>0.86026939967923921</v>
      </c>
      <c r="I82" s="161">
        <v>1.7175538406777657</v>
      </c>
      <c r="J82" s="291">
        <v>1.8863999999999999</v>
      </c>
      <c r="L82" s="282">
        <v>24</v>
      </c>
      <c r="M82" s="266">
        <v>0.90683318586779882</v>
      </c>
      <c r="N82" s="297">
        <v>-0.78232290841960905</v>
      </c>
      <c r="P82" s="282">
        <v>24</v>
      </c>
      <c r="Q82" s="161">
        <v>2.0045331858677997</v>
      </c>
      <c r="R82" s="297">
        <v>0.32688450912724321</v>
      </c>
      <c r="T82" s="282">
        <v>26</v>
      </c>
      <c r="U82" s="161">
        <v>2.3023331858677993</v>
      </c>
      <c r="V82" s="679">
        <v>0.97535549717860937</v>
      </c>
      <c r="X82" s="282">
        <v>26</v>
      </c>
      <c r="Y82" s="161">
        <v>1.7785331858677984</v>
      </c>
      <c r="Z82" s="297">
        <v>2.4471695916804177</v>
      </c>
      <c r="AG82" s="693">
        <v>10</v>
      </c>
      <c r="AH82" s="694">
        <v>2.5973162032028565</v>
      </c>
      <c r="AI82" s="695">
        <v>1.3107660964389327</v>
      </c>
      <c r="AJ82" s="313">
        <f t="shared" si="2"/>
        <v>13.107660964389327</v>
      </c>
      <c r="AK82" s="313">
        <f t="shared" si="3"/>
        <v>0</v>
      </c>
    </row>
    <row r="83" spans="1:40">
      <c r="A83" s="299">
        <v>41643</v>
      </c>
      <c r="B83" s="282">
        <v>27</v>
      </c>
      <c r="C83" s="266">
        <v>0.82819800980449421</v>
      </c>
      <c r="D83" s="291">
        <v>0.25864402271873166</v>
      </c>
      <c r="E83" s="161">
        <v>1.9360980098044942</v>
      </c>
      <c r="F83" s="291">
        <v>0.95706882410562466</v>
      </c>
      <c r="G83" s="161">
        <v>2.2115980098044945</v>
      </c>
      <c r="H83" s="679">
        <v>1.0946237297955292</v>
      </c>
      <c r="I83" s="161">
        <v>1.6927980098044944</v>
      </c>
      <c r="J83" s="291">
        <v>1.4327999999999999</v>
      </c>
      <c r="L83" s="282">
        <v>25</v>
      </c>
      <c r="M83" s="266">
        <v>0.88597981170674578</v>
      </c>
      <c r="N83" s="291">
        <v>-0.48853298888598173</v>
      </c>
      <c r="P83" s="282">
        <v>25</v>
      </c>
      <c r="Q83" s="161">
        <v>1.9808798117067459</v>
      </c>
      <c r="R83" s="291">
        <v>0.99278997740990227</v>
      </c>
      <c r="T83" s="282">
        <v>27</v>
      </c>
      <c r="U83" s="161">
        <v>2.2695798117067456</v>
      </c>
      <c r="V83" s="679">
        <v>0.8130560206943076</v>
      </c>
      <c r="X83" s="282">
        <v>27</v>
      </c>
      <c r="Y83" s="161">
        <v>1.744879811706745</v>
      </c>
      <c r="Z83" s="291">
        <v>1.7568000000000001</v>
      </c>
      <c r="AG83" s="693">
        <v>11</v>
      </c>
      <c r="AH83" s="694">
        <v>2.5751452457095354</v>
      </c>
      <c r="AI83" s="695">
        <v>0.93071386435971459</v>
      </c>
      <c r="AJ83" s="313">
        <f t="shared" si="2"/>
        <v>9.3071386435971455</v>
      </c>
      <c r="AK83" s="313">
        <f t="shared" si="3"/>
        <v>0.93071386435971459</v>
      </c>
    </row>
    <row r="84" spans="1:40">
      <c r="A84" s="299">
        <v>41644</v>
      </c>
      <c r="B84" s="282">
        <v>28</v>
      </c>
      <c r="C84" s="266">
        <v>0.79448532579851039</v>
      </c>
      <c r="D84" s="291">
        <v>0.79932721657620842</v>
      </c>
      <c r="E84" s="161">
        <v>1.9113853257985107</v>
      </c>
      <c r="F84" s="291">
        <v>1.0083357123997592</v>
      </c>
      <c r="G84" s="161">
        <v>2.1831853257985108</v>
      </c>
      <c r="H84" s="679">
        <v>1.3589583779788437</v>
      </c>
      <c r="I84" s="161">
        <v>1.6738853257985116</v>
      </c>
      <c r="J84" s="291">
        <v>1.2312000000000001</v>
      </c>
      <c r="L84" s="282">
        <v>26</v>
      </c>
      <c r="M84" s="266">
        <v>0.85625384067776678</v>
      </c>
      <c r="N84" s="291">
        <v>-6.2650090333922215E-3</v>
      </c>
      <c r="P84" s="282">
        <v>26</v>
      </c>
      <c r="Q84" s="161">
        <v>1.9578538406777672</v>
      </c>
      <c r="R84" s="291">
        <v>0.50041994278655544</v>
      </c>
      <c r="T84" s="282">
        <v>28</v>
      </c>
      <c r="U84" s="161">
        <v>2.2397538406777668</v>
      </c>
      <c r="V84" s="679">
        <v>0.86026939967923921</v>
      </c>
      <c r="X84" s="282">
        <v>28</v>
      </c>
      <c r="Y84" s="161">
        <v>1.7175538406777657</v>
      </c>
      <c r="Z84" s="291">
        <v>1.8863999999999999</v>
      </c>
      <c r="AG84" s="693">
        <v>11</v>
      </c>
      <c r="AH84" s="694">
        <v>2.5535566978348676</v>
      </c>
      <c r="AI84" s="695">
        <v>1.2231741351618475</v>
      </c>
      <c r="AJ84" s="313">
        <f t="shared" si="2"/>
        <v>12.231741351618474</v>
      </c>
      <c r="AK84" s="313">
        <f t="shared" si="3"/>
        <v>0</v>
      </c>
    </row>
    <row r="85" spans="1:40">
      <c r="A85" s="299">
        <v>41645</v>
      </c>
      <c r="B85" s="282">
        <v>29</v>
      </c>
      <c r="C85" s="266">
        <v>0.76523991774205824</v>
      </c>
      <c r="D85" s="291">
        <v>1.33632</v>
      </c>
      <c r="E85" s="161">
        <v>1.887739917742058</v>
      </c>
      <c r="F85" s="291">
        <v>0.49559293197706089</v>
      </c>
      <c r="G85" s="161">
        <v>2.1525399177420583</v>
      </c>
      <c r="H85" s="679">
        <v>1.2228366820038494</v>
      </c>
      <c r="I85" s="161">
        <v>1.6540399177420588</v>
      </c>
      <c r="J85" s="291">
        <v>0.7545599999999999</v>
      </c>
      <c r="L85" s="282">
        <v>27</v>
      </c>
      <c r="M85" s="266">
        <v>0.82819800980449421</v>
      </c>
      <c r="N85" s="291">
        <v>0.25864402271873166</v>
      </c>
      <c r="P85" s="282">
        <v>27</v>
      </c>
      <c r="Q85" s="161">
        <v>1.9360980098044942</v>
      </c>
      <c r="R85" s="291">
        <v>0.95706882410562466</v>
      </c>
      <c r="T85" s="282">
        <v>29</v>
      </c>
      <c r="U85" s="161">
        <v>2.2115980098044945</v>
      </c>
      <c r="V85" s="679">
        <v>1.0946237297955292</v>
      </c>
      <c r="X85" s="282">
        <v>29</v>
      </c>
      <c r="Y85" s="161">
        <v>1.6927980098044944</v>
      </c>
      <c r="Z85" s="291">
        <v>1.4327999999999999</v>
      </c>
      <c r="AG85" s="693">
        <v>12</v>
      </c>
      <c r="AH85" s="694">
        <v>2.5267575104730966</v>
      </c>
      <c r="AI85" s="695">
        <v>1.6957201727489404</v>
      </c>
      <c r="AJ85" s="313">
        <f t="shared" si="2"/>
        <v>16.957201727489405</v>
      </c>
      <c r="AK85" s="313">
        <f t="shared" si="3"/>
        <v>0</v>
      </c>
    </row>
    <row r="86" spans="1:40">
      <c r="A86" s="299">
        <v>41646</v>
      </c>
      <c r="B86" s="282">
        <v>30</v>
      </c>
      <c r="C86" s="266">
        <v>0.74332233440979012</v>
      </c>
      <c r="D86" s="291">
        <v>0.99173523473489589</v>
      </c>
      <c r="E86" s="161">
        <v>1.8694223344097904</v>
      </c>
      <c r="F86" s="291">
        <v>20.710782849403934</v>
      </c>
      <c r="G86" s="161">
        <v>2.1216223344097918</v>
      </c>
      <c r="H86" s="679">
        <v>0.72839827802081403</v>
      </c>
      <c r="I86" s="161">
        <v>1.6342223344097913</v>
      </c>
      <c r="J86" s="291">
        <v>0.81496190140176283</v>
      </c>
      <c r="L86" s="282">
        <v>28</v>
      </c>
      <c r="M86" s="266">
        <v>0.79448532579851039</v>
      </c>
      <c r="N86" s="291">
        <v>0.79932721657620842</v>
      </c>
      <c r="P86" s="282">
        <v>28</v>
      </c>
      <c r="Q86" s="161">
        <v>1.9113853257985107</v>
      </c>
      <c r="R86" s="291">
        <v>1.0083357123997592</v>
      </c>
      <c r="T86" s="282">
        <v>30</v>
      </c>
      <c r="U86" s="161">
        <v>2.1831853257985108</v>
      </c>
      <c r="V86" s="679">
        <v>1.3589583779788437</v>
      </c>
      <c r="X86" s="282">
        <v>30</v>
      </c>
      <c r="Y86" s="161">
        <v>1.6738853257985116</v>
      </c>
      <c r="Z86" s="291">
        <v>1.2312000000000001</v>
      </c>
      <c r="AG86" s="693">
        <v>12</v>
      </c>
      <c r="AH86" s="694">
        <v>2.4946082253497934</v>
      </c>
      <c r="AI86" s="695">
        <v>2.529940140609062</v>
      </c>
      <c r="AJ86" s="313">
        <f t="shared" si="2"/>
        <v>25.29940140609062</v>
      </c>
      <c r="AK86" s="313">
        <f t="shared" si="3"/>
        <v>0</v>
      </c>
    </row>
    <row r="87" spans="1:40">
      <c r="A87" s="299">
        <v>41647</v>
      </c>
      <c r="B87" s="282">
        <v>31</v>
      </c>
      <c r="C87" s="266">
        <v>0.72644667781262529</v>
      </c>
      <c r="D87" s="291">
        <v>-4.8186006758389244E-2</v>
      </c>
      <c r="E87" s="161">
        <v>1.6491466778126254</v>
      </c>
      <c r="F87" s="291">
        <v>-17.097612268616246</v>
      </c>
      <c r="G87" s="161">
        <v>2.0977466778126255</v>
      </c>
      <c r="H87" s="679">
        <v>5.0879672029718437E-2</v>
      </c>
      <c r="I87" s="161">
        <v>1.6170466778126253</v>
      </c>
      <c r="J87" s="291">
        <v>-0.50834847130751692</v>
      </c>
      <c r="L87" s="282">
        <v>29</v>
      </c>
      <c r="M87" s="266">
        <v>0.76523991774205824</v>
      </c>
      <c r="N87" s="291">
        <v>1.33632</v>
      </c>
      <c r="P87" s="282">
        <v>29</v>
      </c>
      <c r="Q87" s="161">
        <v>1.887739917742058</v>
      </c>
      <c r="R87" s="291">
        <v>0.49559293197706089</v>
      </c>
      <c r="T87" s="282">
        <v>31</v>
      </c>
      <c r="U87" s="161">
        <v>2.1525399177420583</v>
      </c>
      <c r="V87" s="679">
        <v>1.2228366820038494</v>
      </c>
      <c r="X87" s="282">
        <v>31</v>
      </c>
      <c r="Y87" s="161">
        <v>1.6540399177420588</v>
      </c>
      <c r="Z87" s="291">
        <v>0.7545599999999999</v>
      </c>
      <c r="AG87" s="693">
        <v>13</v>
      </c>
      <c r="AH87" s="694">
        <v>2.456787572889521</v>
      </c>
      <c r="AI87" s="695">
        <v>2.071014398483086</v>
      </c>
      <c r="AJ87" s="313">
        <f t="shared" si="2"/>
        <v>20.710143984830861</v>
      </c>
      <c r="AK87" s="313">
        <f t="shared" si="3"/>
        <v>0</v>
      </c>
    </row>
    <row r="88" spans="1:40">
      <c r="A88" s="299">
        <v>41648</v>
      </c>
      <c r="B88" s="282">
        <v>32</v>
      </c>
      <c r="C88" s="266">
        <v>0.72156631271284555</v>
      </c>
      <c r="D88" s="291">
        <v>1.3449600000000002</v>
      </c>
      <c r="E88" s="161">
        <v>1.8071663127128443</v>
      </c>
      <c r="F88" s="291">
        <v>-0.60032232136566965</v>
      </c>
      <c r="G88" s="161">
        <v>2.0814663127128457</v>
      </c>
      <c r="H88" s="679">
        <v>1.337378577976011</v>
      </c>
      <c r="I88" s="161">
        <v>1.6136663127128439</v>
      </c>
      <c r="J88" s="291">
        <v>1.3881599999999998</v>
      </c>
      <c r="L88" s="282">
        <v>30</v>
      </c>
      <c r="M88" s="266">
        <v>0.74332233440979012</v>
      </c>
      <c r="N88" s="291">
        <v>0.99173523473489589</v>
      </c>
      <c r="P88" s="282">
        <v>30</v>
      </c>
      <c r="Q88" s="161">
        <v>1.8694223344097904</v>
      </c>
      <c r="R88" s="291">
        <v>20.710782849403934</v>
      </c>
      <c r="T88" s="282">
        <v>32</v>
      </c>
      <c r="U88" s="161">
        <v>2.1216223344097918</v>
      </c>
      <c r="V88" s="679">
        <v>0.72839827802081403</v>
      </c>
      <c r="X88" s="282">
        <v>32</v>
      </c>
      <c r="Y88" s="161">
        <v>1.6342223344097913</v>
      </c>
      <c r="Z88" s="291">
        <v>0.81496190140176283</v>
      </c>
      <c r="AG88" s="693">
        <v>13</v>
      </c>
      <c r="AH88" s="694">
        <v>2.42622888955853</v>
      </c>
      <c r="AI88" s="695">
        <v>2.3595608248919047</v>
      </c>
      <c r="AJ88" s="313">
        <f t="shared" si="2"/>
        <v>23.595608248919046</v>
      </c>
      <c r="AK88" s="313">
        <f t="shared" si="3"/>
        <v>0</v>
      </c>
      <c r="AL88" s="282"/>
      <c r="AM88" s="161"/>
      <c r="AN88" s="297"/>
    </row>
    <row r="89" spans="1:40">
      <c r="A89" s="299">
        <v>41649</v>
      </c>
      <c r="B89" s="282">
        <v>33</v>
      </c>
      <c r="C89" s="266">
        <v>0.70435056662793416</v>
      </c>
      <c r="D89" s="291">
        <v>1.3204800000000001</v>
      </c>
      <c r="E89" s="161">
        <v>1.8004505666279333</v>
      </c>
      <c r="F89" s="291">
        <v>1.4961209645573195</v>
      </c>
      <c r="G89" s="161">
        <v>2.055550566627935</v>
      </c>
      <c r="H89" s="679">
        <v>1.2449419530532713</v>
      </c>
      <c r="I89" s="161">
        <v>1.5972505666279342</v>
      </c>
      <c r="J89" s="291">
        <v>0.98639999999999994</v>
      </c>
      <c r="L89" s="282">
        <v>31</v>
      </c>
      <c r="M89" s="266">
        <v>0.72644667781262529</v>
      </c>
      <c r="N89" s="291">
        <v>-4.8186006758389244E-2</v>
      </c>
      <c r="P89" s="282">
        <v>31</v>
      </c>
      <c r="Q89" s="161">
        <v>1.6491466778126254</v>
      </c>
      <c r="R89" s="291">
        <v>-17.097612268616246</v>
      </c>
      <c r="T89" s="282">
        <v>33</v>
      </c>
      <c r="U89" s="161">
        <v>2.0977466778126255</v>
      </c>
      <c r="V89" s="679">
        <v>5.0879672029718437E-2</v>
      </c>
      <c r="X89" s="282">
        <v>33</v>
      </c>
      <c r="Y89" s="161">
        <v>1.6170466778126253</v>
      </c>
      <c r="Z89" s="291">
        <v>-0.50834847130751692</v>
      </c>
      <c r="AG89" s="204">
        <v>0</v>
      </c>
      <c r="AH89" s="691">
        <v>0.16656955386698569</v>
      </c>
      <c r="AI89" s="692"/>
      <c r="AJ89" s="313"/>
      <c r="AK89" s="313">
        <f t="shared" si="3"/>
        <v>0</v>
      </c>
      <c r="AL89" s="282"/>
      <c r="AM89" s="161"/>
      <c r="AN89" s="297"/>
    </row>
    <row r="90" spans="1:40">
      <c r="A90" s="299">
        <v>41650</v>
      </c>
      <c r="B90" s="282">
        <v>34</v>
      </c>
      <c r="C90" s="266">
        <v>0.681747092355661</v>
      </c>
      <c r="D90" s="291">
        <v>0.51407999999999987</v>
      </c>
      <c r="E90" s="161">
        <v>1.7729470923556627</v>
      </c>
      <c r="F90" s="291">
        <v>-0.52110750501723047</v>
      </c>
      <c r="G90" s="161">
        <v>2.0289470923556623</v>
      </c>
      <c r="H90" s="679">
        <v>1.0391201934159273</v>
      </c>
      <c r="I90" s="161">
        <v>1.5800470923556609</v>
      </c>
      <c r="J90" s="291">
        <v>0.63648000000000005</v>
      </c>
      <c r="L90" s="282">
        <v>32</v>
      </c>
      <c r="M90" s="266">
        <v>0.72156631271284555</v>
      </c>
      <c r="N90" s="291">
        <v>1.3449600000000002</v>
      </c>
      <c r="P90" s="282">
        <v>32</v>
      </c>
      <c r="Q90" s="161">
        <v>1.8071663127128443</v>
      </c>
      <c r="R90" s="291">
        <v>-0.60032232136566965</v>
      </c>
      <c r="T90" s="282">
        <v>34</v>
      </c>
      <c r="U90" s="161">
        <v>2.0814663127128457</v>
      </c>
      <c r="V90" s="679">
        <v>1.337378577976011</v>
      </c>
      <c r="X90" s="282">
        <v>34</v>
      </c>
      <c r="Y90" s="161">
        <v>1.6136663127128439</v>
      </c>
      <c r="Z90" s="291">
        <v>1.3881599999999998</v>
      </c>
      <c r="AG90" s="204">
        <v>0</v>
      </c>
      <c r="AH90" s="317">
        <v>3.153485521321568</v>
      </c>
      <c r="AI90" s="692"/>
      <c r="AJ90" s="313"/>
      <c r="AK90" s="313">
        <f t="shared" si="3"/>
        <v>0</v>
      </c>
      <c r="AL90" s="282"/>
      <c r="AM90" s="161"/>
      <c r="AN90" s="297"/>
    </row>
    <row r="91" spans="1:40">
      <c r="A91" s="299">
        <v>41651</v>
      </c>
      <c r="B91" s="282">
        <v>35</v>
      </c>
      <c r="C91" s="266">
        <v>0.65773114369861618</v>
      </c>
      <c r="D91" s="291">
        <v>0.30240000000000045</v>
      </c>
      <c r="E91" s="161">
        <v>1.1646311436986172</v>
      </c>
      <c r="F91" s="291">
        <v>-0.60700000000001042</v>
      </c>
      <c r="G91" s="161">
        <v>2.0001311436986162</v>
      </c>
      <c r="H91" s="679">
        <v>1.0384080211698601</v>
      </c>
      <c r="I91" s="161">
        <v>1.5642311436986165</v>
      </c>
      <c r="J91" s="291">
        <v>0.58607999999999993</v>
      </c>
      <c r="L91" s="282">
        <v>33</v>
      </c>
      <c r="M91" s="266">
        <v>0.70435056662793416</v>
      </c>
      <c r="N91" s="291">
        <v>1.3204800000000001</v>
      </c>
      <c r="P91" s="282">
        <v>33</v>
      </c>
      <c r="Q91" s="161">
        <v>1.8004505666279333</v>
      </c>
      <c r="R91" s="291">
        <v>1.4961209645573195</v>
      </c>
      <c r="T91" s="282">
        <v>35</v>
      </c>
      <c r="U91" s="161">
        <v>2.055550566627935</v>
      </c>
      <c r="V91" s="679">
        <v>1.2449419530532713</v>
      </c>
      <c r="X91" s="282">
        <v>35</v>
      </c>
      <c r="Y91" s="161">
        <v>1.5972505666279342</v>
      </c>
      <c r="Z91" s="291">
        <v>0.98639999999999994</v>
      </c>
      <c r="AG91" s="316">
        <v>0</v>
      </c>
      <c r="AH91" s="317">
        <v>3.402581022440164</v>
      </c>
      <c r="AI91" s="692"/>
      <c r="AJ91" s="313"/>
      <c r="AK91" s="313">
        <f t="shared" si="3"/>
        <v>0</v>
      </c>
      <c r="AL91" s="282"/>
      <c r="AM91" s="161"/>
      <c r="AN91" s="297"/>
    </row>
    <row r="92" spans="1:40">
      <c r="A92" s="299">
        <v>41652</v>
      </c>
      <c r="B92" s="282">
        <v>36</v>
      </c>
      <c r="C92" s="266">
        <v>0.61232889425791415</v>
      </c>
      <c r="D92" s="291">
        <v>3.8736000000000002</v>
      </c>
      <c r="E92" s="161">
        <v>1.1184288942579135</v>
      </c>
      <c r="F92" s="291">
        <v>-0.50699999999999923</v>
      </c>
      <c r="G92" s="161">
        <v>1.9718288942579132</v>
      </c>
      <c r="H92" s="679">
        <v>0.72196983464759823</v>
      </c>
      <c r="I92" s="161">
        <v>1.5474288942579135</v>
      </c>
      <c r="J92" s="291">
        <v>0.78336000000000006</v>
      </c>
      <c r="L92" s="282">
        <v>34</v>
      </c>
      <c r="M92" s="266">
        <v>0.681747092355661</v>
      </c>
      <c r="N92" s="291">
        <v>0.51407999999999987</v>
      </c>
      <c r="P92" s="282">
        <v>34</v>
      </c>
      <c r="Q92" s="161">
        <v>1.7729470923556627</v>
      </c>
      <c r="R92" s="291">
        <v>-0.52110750501723047</v>
      </c>
      <c r="T92" s="282">
        <v>36</v>
      </c>
      <c r="U92" s="161">
        <v>2.0289470923556623</v>
      </c>
      <c r="V92" s="679">
        <v>1.0391201934159273</v>
      </c>
      <c r="X92" s="282">
        <v>36</v>
      </c>
      <c r="Y92" s="161">
        <v>1.5800470923556609</v>
      </c>
      <c r="Z92" s="291">
        <v>0.63648000000000005</v>
      </c>
      <c r="AG92" s="316">
        <v>0</v>
      </c>
      <c r="AH92" s="317">
        <v>3.5956143565567311</v>
      </c>
      <c r="AI92" s="692">
        <v>7.1124501020068962</v>
      </c>
      <c r="AJ92" s="313">
        <f t="shared" si="2"/>
        <v>71.124501020068962</v>
      </c>
      <c r="AK92" s="313">
        <f t="shared" si="3"/>
        <v>0</v>
      </c>
      <c r="AL92" s="282"/>
      <c r="AM92" s="161"/>
      <c r="AN92" s="297"/>
    </row>
    <row r="93" spans="1:40">
      <c r="A93" s="299">
        <v>41653</v>
      </c>
      <c r="B93" s="282">
        <f>B92+1</f>
        <v>37</v>
      </c>
      <c r="C93" s="266"/>
      <c r="D93" s="291"/>
      <c r="E93" s="267">
        <v>1.090943413161561</v>
      </c>
      <c r="F93" s="291"/>
      <c r="G93" s="161">
        <v>1.94464341316156</v>
      </c>
      <c r="H93" s="679">
        <v>1.3419423188444295</v>
      </c>
      <c r="I93" s="161">
        <v>1.5286434131615603</v>
      </c>
      <c r="J93" s="291">
        <v>0.62783999999999995</v>
      </c>
      <c r="L93" s="282">
        <v>35</v>
      </c>
      <c r="M93" s="266">
        <v>0.65773114369861618</v>
      </c>
      <c r="N93" s="291">
        <v>0.30240000000000045</v>
      </c>
      <c r="P93" s="282">
        <v>35</v>
      </c>
      <c r="Q93" s="161">
        <v>1.1646311436986172</v>
      </c>
      <c r="R93" s="291">
        <v>-0.60700000000001042</v>
      </c>
      <c r="T93" s="282">
        <v>37</v>
      </c>
      <c r="U93" s="161">
        <v>2.0001311436986162</v>
      </c>
      <c r="V93" s="679">
        <v>1.0384080211698601</v>
      </c>
      <c r="X93" s="282">
        <v>37</v>
      </c>
      <c r="Y93" s="161">
        <v>1.5642311436986165</v>
      </c>
      <c r="Z93" s="291">
        <v>0.58607999999999993</v>
      </c>
      <c r="AG93" s="316">
        <v>0</v>
      </c>
      <c r="AH93" s="317">
        <v>3.7167159959313372</v>
      </c>
      <c r="AI93" s="692">
        <v>-2.7658853434370307</v>
      </c>
      <c r="AJ93" s="313">
        <f t="shared" si="2"/>
        <v>-27.658853434370307</v>
      </c>
      <c r="AK93" s="313">
        <f t="shared" si="3"/>
        <v>-2.7658853434370307</v>
      </c>
      <c r="AL93" s="282"/>
      <c r="AM93" s="267"/>
      <c r="AN93" s="291"/>
    </row>
    <row r="94" spans="1:40">
      <c r="A94" s="299">
        <v>41654</v>
      </c>
      <c r="B94" s="282">
        <f t="shared" ref="B94:B131" si="4">B93+1</f>
        <v>38</v>
      </c>
      <c r="C94" s="266"/>
      <c r="D94" s="291"/>
      <c r="E94" s="267">
        <v>1.0930092617073848</v>
      </c>
      <c r="F94" s="291"/>
      <c r="G94" s="161">
        <v>1.9197092617073845</v>
      </c>
      <c r="H94" s="679">
        <v>1.3272920470254472</v>
      </c>
      <c r="I94" s="161">
        <v>1.5106092617073847</v>
      </c>
      <c r="J94" s="291">
        <v>0.54143999999999992</v>
      </c>
      <c r="L94" s="282">
        <v>36</v>
      </c>
      <c r="M94" s="266">
        <v>0.61232889425791415</v>
      </c>
      <c r="N94" s="291">
        <v>3.8736000000000002</v>
      </c>
      <c r="P94" s="282">
        <v>36</v>
      </c>
      <c r="Q94" s="161">
        <v>1.1184288942579135</v>
      </c>
      <c r="R94" s="291">
        <v>-0.50699999999999923</v>
      </c>
      <c r="T94" s="282">
        <v>38</v>
      </c>
      <c r="U94" s="161">
        <v>1.9718288942579132</v>
      </c>
      <c r="V94" s="679">
        <v>0.72196983464759823</v>
      </c>
      <c r="X94" s="282">
        <v>38</v>
      </c>
      <c r="Y94" s="161">
        <v>1.5474288942579135</v>
      </c>
      <c r="Z94" s="291">
        <v>0.78336000000000006</v>
      </c>
      <c r="AG94" s="316">
        <v>0</v>
      </c>
      <c r="AH94" s="317">
        <v>3.6890624191981507</v>
      </c>
      <c r="AI94" s="692">
        <v>1.0890368485660638</v>
      </c>
      <c r="AJ94" s="313">
        <f t="shared" si="2"/>
        <v>10.890368485660638</v>
      </c>
      <c r="AK94" s="313">
        <f t="shared" si="3"/>
        <v>0</v>
      </c>
      <c r="AL94" s="282"/>
      <c r="AM94" s="267"/>
      <c r="AN94" s="291"/>
    </row>
    <row r="95" spans="1:40">
      <c r="A95" s="299">
        <v>41655</v>
      </c>
      <c r="B95" s="282">
        <f t="shared" si="4"/>
        <v>39</v>
      </c>
      <c r="C95" s="268"/>
      <c r="D95" s="291"/>
      <c r="E95" s="267">
        <v>1.0970460747956066</v>
      </c>
      <c r="F95" s="291"/>
      <c r="G95" s="161">
        <v>1.8912460747956057</v>
      </c>
      <c r="H95" s="679">
        <v>1.0102926714582252</v>
      </c>
      <c r="I95" s="161">
        <v>1.4923460747956052</v>
      </c>
      <c r="J95" s="291">
        <v>0.64511999999999992</v>
      </c>
      <c r="L95" s="303"/>
      <c r="M95" s="291"/>
      <c r="P95" s="303"/>
      <c r="Q95" s="267"/>
      <c r="R95" s="291"/>
      <c r="T95" s="303">
        <v>39</v>
      </c>
      <c r="U95" s="161">
        <v>1.94464341316156</v>
      </c>
      <c r="V95" s="679">
        <v>1.3419423188444295</v>
      </c>
      <c r="X95" s="303">
        <v>39</v>
      </c>
      <c r="Y95" s="161">
        <v>1.5286434131615603</v>
      </c>
      <c r="Z95" s="291">
        <v>0.62783999999999995</v>
      </c>
      <c r="AG95" s="316">
        <v>0</v>
      </c>
      <c r="AH95" s="317">
        <v>3.616246677812625</v>
      </c>
      <c r="AI95" s="692">
        <v>3.3351518713484039</v>
      </c>
      <c r="AJ95" s="313">
        <f t="shared" si="2"/>
        <v>33.35151871348404</v>
      </c>
      <c r="AK95" s="313">
        <f t="shared" si="3"/>
        <v>0</v>
      </c>
      <c r="AL95" s="282"/>
      <c r="AM95" s="267"/>
      <c r="AN95" s="291"/>
    </row>
    <row r="96" spans="1:40">
      <c r="A96" s="299">
        <v>41656</v>
      </c>
      <c r="B96" s="282">
        <f t="shared" si="4"/>
        <v>40</v>
      </c>
      <c r="C96" s="268"/>
      <c r="D96" s="291"/>
      <c r="E96" s="267">
        <v>1.0962438253549072</v>
      </c>
      <c r="F96" s="291"/>
      <c r="G96" s="161">
        <v>1.8654438253549059</v>
      </c>
      <c r="H96" s="679">
        <v>1.0201309896267592</v>
      </c>
      <c r="I96" s="161">
        <v>1.4737438253549064</v>
      </c>
      <c r="J96" s="291">
        <v>1.1059199999999998</v>
      </c>
      <c r="L96" s="303"/>
      <c r="M96" s="291"/>
      <c r="P96" s="303"/>
      <c r="Q96" s="267"/>
      <c r="R96" s="291"/>
      <c r="T96" s="303">
        <v>40</v>
      </c>
      <c r="U96" s="161">
        <v>1.9197092617073845</v>
      </c>
      <c r="V96" s="679">
        <v>1.3272920470254472</v>
      </c>
      <c r="X96" s="303">
        <v>40</v>
      </c>
      <c r="Y96" s="161">
        <v>1.5106092617073847</v>
      </c>
      <c r="Z96" s="291">
        <v>0.54143999999999992</v>
      </c>
      <c r="AG96" s="316">
        <v>0</v>
      </c>
      <c r="AH96" s="317">
        <v>3.5144710094669973</v>
      </c>
      <c r="AI96" s="692">
        <v>1.6192045711613319</v>
      </c>
      <c r="AJ96" s="313">
        <f t="shared" si="2"/>
        <v>16.192045711613318</v>
      </c>
      <c r="AK96" s="313">
        <f t="shared" si="3"/>
        <v>0</v>
      </c>
      <c r="AL96" s="284"/>
      <c r="AM96" s="267"/>
      <c r="AN96" s="291"/>
    </row>
    <row r="97" spans="1:40">
      <c r="A97" s="299">
        <v>41657</v>
      </c>
      <c r="B97" s="282">
        <f t="shared" si="4"/>
        <v>41</v>
      </c>
      <c r="C97" s="268"/>
      <c r="D97" s="291"/>
      <c r="E97" s="267">
        <v>1.0918272572329977</v>
      </c>
      <c r="F97" s="291"/>
      <c r="G97" s="161">
        <v>1.8430272572329993</v>
      </c>
      <c r="H97" s="679">
        <v>0.74483004024267152</v>
      </c>
      <c r="I97" s="161">
        <v>1.4548272572329988</v>
      </c>
      <c r="J97" s="291">
        <v>0.93023999999999996</v>
      </c>
      <c r="L97" s="303"/>
      <c r="M97" s="291"/>
      <c r="P97" s="303"/>
      <c r="Q97" s="267"/>
      <c r="R97" s="291"/>
      <c r="T97" s="303">
        <v>41</v>
      </c>
      <c r="U97" s="161">
        <v>1.8912460747956057</v>
      </c>
      <c r="V97" s="679">
        <v>1.0102926714582252</v>
      </c>
      <c r="X97" s="303">
        <v>41</v>
      </c>
      <c r="Y97" s="161">
        <v>1.4923460747956052</v>
      </c>
      <c r="Z97" s="291">
        <v>0.64511999999999992</v>
      </c>
      <c r="AG97" s="316">
        <v>0</v>
      </c>
      <c r="AH97" s="317">
        <v>3.4816802121516313</v>
      </c>
      <c r="AI97" s="692">
        <v>1.6156962261883479</v>
      </c>
      <c r="AJ97" s="313">
        <f t="shared" si="2"/>
        <v>16.156962261883479</v>
      </c>
      <c r="AK97" s="313">
        <f t="shared" si="3"/>
        <v>0</v>
      </c>
      <c r="AL97" s="284"/>
      <c r="AM97" s="267"/>
      <c r="AN97" s="291"/>
    </row>
    <row r="98" spans="1:40">
      <c r="A98" s="299">
        <v>41658</v>
      </c>
      <c r="B98" s="282">
        <f t="shared" si="4"/>
        <v>42</v>
      </c>
      <c r="C98" s="268"/>
      <c r="D98" s="291"/>
      <c r="E98" s="267">
        <v>1.0925387187570992</v>
      </c>
      <c r="F98" s="291"/>
      <c r="G98" s="161">
        <v>1.8197387187570999</v>
      </c>
      <c r="H98" s="679">
        <v>0.56576661193491162</v>
      </c>
      <c r="I98" s="161">
        <v>1.434738718757099</v>
      </c>
      <c r="J98" s="291">
        <v>0.70991999999999988</v>
      </c>
      <c r="L98" s="303"/>
      <c r="M98" s="291"/>
      <c r="P98" s="303"/>
      <c r="Q98" s="267"/>
      <c r="R98" s="291"/>
      <c r="T98" s="303">
        <v>42</v>
      </c>
      <c r="U98" s="161">
        <v>1.8654438253549059</v>
      </c>
      <c r="V98" s="679">
        <v>1.0201309896267592</v>
      </c>
      <c r="X98" s="303">
        <v>42</v>
      </c>
      <c r="Y98" s="161">
        <v>1.4737438253549064</v>
      </c>
      <c r="Z98" s="291">
        <v>1.1059199999999998</v>
      </c>
      <c r="AG98" s="316">
        <v>0</v>
      </c>
      <c r="AH98" s="317">
        <v>3.2278004524185606</v>
      </c>
      <c r="AI98" s="692">
        <v>2.4786486742017049</v>
      </c>
      <c r="AJ98" s="313">
        <f t="shared" si="2"/>
        <v>24.786486742017047</v>
      </c>
      <c r="AK98" s="313">
        <f t="shared" si="3"/>
        <v>0</v>
      </c>
      <c r="AL98" s="284"/>
      <c r="AM98" s="267"/>
      <c r="AN98" s="291"/>
    </row>
    <row r="99" spans="1:40">
      <c r="A99" s="299">
        <v>41659</v>
      </c>
      <c r="B99" s="282">
        <f t="shared" si="4"/>
        <v>43</v>
      </c>
      <c r="C99" s="268"/>
      <c r="D99" s="291"/>
      <c r="E99" s="267">
        <v>1.0855307456034244</v>
      </c>
      <c r="F99" s="291"/>
      <c r="G99" s="161">
        <v>1.7965307456034256</v>
      </c>
      <c r="H99" s="679">
        <v>0.56816344768324645</v>
      </c>
      <c r="I99" s="161">
        <v>1.4139307456034245</v>
      </c>
      <c r="J99" s="291">
        <v>0.60624000000000011</v>
      </c>
      <c r="L99" s="303"/>
      <c r="M99" s="291"/>
      <c r="P99" s="303"/>
      <c r="Q99" s="267"/>
      <c r="R99" s="291"/>
      <c r="T99" s="303">
        <v>43</v>
      </c>
      <c r="U99" s="161">
        <v>1.8430272572329993</v>
      </c>
      <c r="V99" s="679">
        <v>0.74483004024267152</v>
      </c>
      <c r="X99" s="303">
        <v>43</v>
      </c>
      <c r="Y99" s="161">
        <v>1.4548272572329988</v>
      </c>
      <c r="Z99" s="291">
        <v>0.93023999999999996</v>
      </c>
      <c r="AG99" s="316">
        <v>0</v>
      </c>
      <c r="AH99" s="317">
        <v>3.0834939113679729</v>
      </c>
      <c r="AI99" s="692">
        <v>2.820729426962544</v>
      </c>
      <c r="AJ99" s="313">
        <f t="shared" si="2"/>
        <v>28.207294269625439</v>
      </c>
      <c r="AK99" s="313">
        <f t="shared" si="3"/>
        <v>0</v>
      </c>
      <c r="AL99" s="284"/>
      <c r="AM99" s="267"/>
      <c r="AN99" s="291"/>
    </row>
    <row r="100" spans="1:40">
      <c r="A100" s="299">
        <v>41660</v>
      </c>
      <c r="B100" s="282">
        <f t="shared" si="4"/>
        <v>44</v>
      </c>
      <c r="C100" s="268"/>
      <c r="D100" s="291"/>
      <c r="E100" s="267">
        <v>0.68517123553605486</v>
      </c>
      <c r="F100" s="291"/>
      <c r="G100" s="161">
        <v>1.7742712355360541</v>
      </c>
      <c r="H100" s="679">
        <v>0.59808424612383937</v>
      </c>
      <c r="I100" s="161">
        <v>1.3935712355360539</v>
      </c>
      <c r="J100" s="291">
        <v>0.48527999999999993</v>
      </c>
      <c r="L100" s="303"/>
      <c r="M100" s="291"/>
      <c r="P100" s="303"/>
      <c r="Q100" s="267"/>
      <c r="R100" s="291"/>
      <c r="T100" s="303">
        <v>44</v>
      </c>
      <c r="U100" s="161">
        <v>1.8197387187570999</v>
      </c>
      <c r="V100" s="679">
        <v>0.56576661193491162</v>
      </c>
      <c r="X100" s="303">
        <v>44</v>
      </c>
      <c r="Y100" s="161">
        <v>1.434738718757099</v>
      </c>
      <c r="Z100" s="291">
        <v>0.70991999999999988</v>
      </c>
      <c r="AG100" s="318">
        <v>0</v>
      </c>
      <c r="AH100" s="317">
        <v>3.3739726488416055</v>
      </c>
      <c r="AI100" s="692">
        <v>1.7914244224558209</v>
      </c>
      <c r="AJ100" s="313">
        <f t="shared" si="2"/>
        <v>17.91424422455821</v>
      </c>
      <c r="AK100" s="313">
        <f t="shared" si="3"/>
        <v>0</v>
      </c>
      <c r="AL100" s="284"/>
      <c r="AM100" s="267"/>
      <c r="AN100" s="291"/>
    </row>
    <row r="101" spans="1:40">
      <c r="A101" s="299">
        <v>41661</v>
      </c>
      <c r="B101" s="282">
        <f t="shared" si="4"/>
        <v>45</v>
      </c>
      <c r="C101" s="268"/>
      <c r="D101" s="291"/>
      <c r="E101" s="267">
        <v>0.68514484761434402</v>
      </c>
      <c r="F101" s="291"/>
      <c r="G101" s="161">
        <v>1.7503448476143439</v>
      </c>
      <c r="H101" s="679">
        <v>0.52868427880805724</v>
      </c>
      <c r="I101" s="161">
        <v>1.3718448476143439</v>
      </c>
      <c r="J101" s="291">
        <v>0.36143999999999998</v>
      </c>
      <c r="L101" s="303"/>
      <c r="M101" s="291"/>
      <c r="P101" s="303"/>
      <c r="Q101" s="267"/>
      <c r="R101" s="291"/>
      <c r="T101" s="303">
        <v>45</v>
      </c>
      <c r="U101" s="161">
        <v>1.7965307456034256</v>
      </c>
      <c r="V101" s="679">
        <v>0.56816344768324645</v>
      </c>
      <c r="X101" s="303">
        <v>45</v>
      </c>
      <c r="Y101" s="161">
        <v>1.4139307456034245</v>
      </c>
      <c r="Z101" s="291">
        <v>0.60624000000000011</v>
      </c>
      <c r="AG101" s="316">
        <v>0</v>
      </c>
      <c r="AH101" s="317">
        <v>3.339745248059228</v>
      </c>
      <c r="AI101" s="692">
        <v>0.98402266473139122</v>
      </c>
      <c r="AJ101" s="313">
        <f t="shared" si="2"/>
        <v>9.8402266473139122</v>
      </c>
      <c r="AK101" s="313">
        <f t="shared" si="3"/>
        <v>0</v>
      </c>
      <c r="AL101" s="284"/>
      <c r="AM101" s="267"/>
      <c r="AN101" s="291"/>
    </row>
    <row r="102" spans="1:40">
      <c r="A102" s="299">
        <v>41662</v>
      </c>
      <c r="B102" s="282">
        <f t="shared" si="4"/>
        <v>46</v>
      </c>
      <c r="C102" s="268"/>
      <c r="D102" s="291"/>
      <c r="E102" s="267">
        <v>0.6803583466082459</v>
      </c>
      <c r="F102" s="291"/>
      <c r="G102" s="161">
        <v>1.7278583466082462</v>
      </c>
      <c r="H102" s="679">
        <v>0.34658347167495518</v>
      </c>
      <c r="I102" s="161">
        <v>1.3499583466082465</v>
      </c>
      <c r="J102" s="291">
        <v>0.42255134218871415</v>
      </c>
      <c r="L102" s="303"/>
      <c r="M102" s="291"/>
      <c r="P102" s="303"/>
      <c r="Q102" s="267"/>
      <c r="R102" s="291"/>
      <c r="T102" s="303">
        <v>46</v>
      </c>
      <c r="U102" s="161">
        <v>1.7742712355360541</v>
      </c>
      <c r="V102" s="679">
        <v>0.59808424612383937</v>
      </c>
      <c r="X102" s="303">
        <v>46</v>
      </c>
      <c r="Y102" s="161">
        <v>1.3935712355360539</v>
      </c>
      <c r="Z102" s="291">
        <v>0.48527999999999993</v>
      </c>
      <c r="AG102" s="316">
        <v>0</v>
      </c>
      <c r="AH102" s="317">
        <v>3.3122742858665228</v>
      </c>
      <c r="AI102" s="692">
        <v>1.9122669059671247</v>
      </c>
      <c r="AJ102" s="313">
        <f t="shared" si="2"/>
        <v>19.122669059671246</v>
      </c>
      <c r="AK102" s="313">
        <f t="shared" si="3"/>
        <v>0</v>
      </c>
      <c r="AL102" s="284"/>
      <c r="AM102" s="267"/>
      <c r="AN102" s="291"/>
    </row>
    <row r="103" spans="1:40">
      <c r="A103" s="299">
        <v>41663</v>
      </c>
      <c r="B103" s="282">
        <f t="shared" si="4"/>
        <v>47</v>
      </c>
      <c r="C103" s="268"/>
      <c r="D103" s="291"/>
      <c r="E103" s="267">
        <v>0.67871397020999935</v>
      </c>
      <c r="F103" s="291"/>
      <c r="G103" s="161">
        <v>1.7063139702099981</v>
      </c>
      <c r="H103" s="679">
        <v>0.34718426852914019</v>
      </c>
      <c r="I103" s="161">
        <v>1.3276139702099985</v>
      </c>
      <c r="J103" s="291">
        <v>0.42623999999999995</v>
      </c>
      <c r="L103" s="303"/>
      <c r="M103" s="291"/>
      <c r="P103" s="303"/>
      <c r="Q103" s="267"/>
      <c r="R103" s="291"/>
      <c r="T103" s="303">
        <v>47</v>
      </c>
      <c r="U103" s="161">
        <v>1.7503448476143439</v>
      </c>
      <c r="V103" s="679">
        <v>0.52868427880805724</v>
      </c>
      <c r="X103" s="303">
        <v>47</v>
      </c>
      <c r="Y103" s="161">
        <v>1.3718448476143439</v>
      </c>
      <c r="Z103" s="291">
        <v>0.36143999999999998</v>
      </c>
      <c r="AG103" s="316">
        <v>0</v>
      </c>
      <c r="AH103" s="317">
        <v>3.1658550443621065</v>
      </c>
      <c r="AI103" s="692">
        <v>1.5340212544321057</v>
      </c>
      <c r="AJ103" s="313">
        <f t="shared" si="2"/>
        <v>15.340212544321057</v>
      </c>
      <c r="AK103" s="313">
        <f t="shared" si="3"/>
        <v>0</v>
      </c>
      <c r="AL103" s="284"/>
      <c r="AM103" s="267"/>
      <c r="AN103" s="291"/>
    </row>
    <row r="104" spans="1:40">
      <c r="A104" s="299">
        <v>41664</v>
      </c>
      <c r="B104" s="282">
        <f t="shared" si="4"/>
        <v>48</v>
      </c>
      <c r="C104" s="268"/>
      <c r="D104" s="291"/>
      <c r="E104" s="267">
        <v>0.67948594526337458</v>
      </c>
      <c r="F104" s="291"/>
      <c r="G104" s="161">
        <v>1.6838859452633741</v>
      </c>
      <c r="H104" s="679">
        <v>-0.47807999999999984</v>
      </c>
      <c r="I104" s="161">
        <v>1.305385945263374</v>
      </c>
      <c r="J104" s="291">
        <v>1.0396800000000002</v>
      </c>
      <c r="L104" s="303"/>
      <c r="M104" s="291"/>
      <c r="P104" s="303"/>
      <c r="Q104" s="267"/>
      <c r="R104" s="291"/>
      <c r="T104" s="303">
        <v>48</v>
      </c>
      <c r="U104" s="161">
        <v>1.7278583466082462</v>
      </c>
      <c r="V104" s="679">
        <v>0.34658347167495518</v>
      </c>
      <c r="X104" s="303">
        <v>48</v>
      </c>
      <c r="Y104" s="161">
        <v>1.3499583466082465</v>
      </c>
      <c r="Z104" s="291">
        <v>0.42255134218871415</v>
      </c>
      <c r="AG104" s="316">
        <v>1</v>
      </c>
      <c r="AH104" s="317">
        <v>3.9735063881024368</v>
      </c>
      <c r="AI104" s="692">
        <v>-10.797234859066986</v>
      </c>
      <c r="AJ104" s="313">
        <f t="shared" si="2"/>
        <v>-107.97234859066987</v>
      </c>
      <c r="AK104" s="313">
        <f t="shared" si="3"/>
        <v>-10.797234859066986</v>
      </c>
      <c r="AL104" s="284"/>
      <c r="AM104" s="267"/>
      <c r="AN104" s="291"/>
    </row>
    <row r="105" spans="1:40">
      <c r="A105" s="299">
        <v>41665</v>
      </c>
      <c r="B105" s="282">
        <f t="shared" si="4"/>
        <v>49</v>
      </c>
      <c r="C105" s="268"/>
      <c r="D105" s="291"/>
      <c r="E105" s="267">
        <v>0.68175751987186373</v>
      </c>
      <c r="F105" s="291"/>
      <c r="G105" s="161">
        <v>1.6634575198718646</v>
      </c>
      <c r="H105" s="679">
        <v>-0.15983999999999998</v>
      </c>
      <c r="I105" s="161">
        <v>1.2829575198718639</v>
      </c>
      <c r="J105" s="291">
        <v>-2.6784000000000141E-2</v>
      </c>
      <c r="L105" s="303"/>
      <c r="M105" s="291"/>
      <c r="P105" s="303"/>
      <c r="Q105" s="267"/>
      <c r="R105" s="291"/>
      <c r="T105" s="303">
        <v>49</v>
      </c>
      <c r="U105" s="161">
        <v>1.7063139702099981</v>
      </c>
      <c r="V105" s="679">
        <v>0.34718426852914019</v>
      </c>
      <c r="X105" s="303">
        <v>49</v>
      </c>
      <c r="Y105" s="161">
        <v>1.3276139702099985</v>
      </c>
      <c r="Z105" s="291">
        <v>0.42623999999999995</v>
      </c>
      <c r="AG105" s="316">
        <v>1</v>
      </c>
      <c r="AH105" s="317">
        <v>3.661432976246588</v>
      </c>
      <c r="AI105" s="692">
        <v>2.4579943980309591</v>
      </c>
      <c r="AJ105" s="313">
        <f t="shared" si="2"/>
        <v>24.57994398030959</v>
      </c>
      <c r="AK105" s="313">
        <f t="shared" si="3"/>
        <v>0</v>
      </c>
      <c r="AL105" s="284"/>
      <c r="AM105" s="267"/>
      <c r="AN105" s="291"/>
    </row>
    <row r="106" spans="1:40">
      <c r="A106" s="299">
        <v>41666</v>
      </c>
      <c r="B106" s="282">
        <f t="shared" si="4"/>
        <v>50</v>
      </c>
      <c r="C106" s="268"/>
      <c r="D106" s="291"/>
      <c r="E106" s="267">
        <v>0.6814783796036552</v>
      </c>
      <c r="F106" s="291"/>
      <c r="G106" s="161">
        <v>1.6420783796036555</v>
      </c>
      <c r="H106" s="679">
        <v>-0.4104000000000001</v>
      </c>
      <c r="I106" s="161">
        <v>1.2593783796036564</v>
      </c>
      <c r="J106" s="291">
        <v>-1.2830399999999909E-2</v>
      </c>
      <c r="L106" s="303"/>
      <c r="M106" s="291"/>
      <c r="P106" s="303"/>
      <c r="Q106" s="267"/>
      <c r="R106" s="291"/>
      <c r="T106" s="303">
        <v>50</v>
      </c>
      <c r="U106" s="161">
        <v>1.6838859452633741</v>
      </c>
      <c r="V106" s="679">
        <v>-0.47807999999999984</v>
      </c>
      <c r="X106" s="303">
        <v>50</v>
      </c>
      <c r="Y106" s="161">
        <v>1.305385945263374</v>
      </c>
      <c r="Z106" s="291">
        <v>1.0396800000000002</v>
      </c>
      <c r="AG106" s="316">
        <v>1</v>
      </c>
      <c r="AH106" s="317">
        <v>3.5651524038752909</v>
      </c>
      <c r="AI106" s="692">
        <v>3.1596886483942379</v>
      </c>
      <c r="AJ106" s="313">
        <f t="shared" si="2"/>
        <v>31.596886483942377</v>
      </c>
      <c r="AK106" s="313">
        <f t="shared" si="3"/>
        <v>0</v>
      </c>
      <c r="AL106" s="284"/>
      <c r="AM106" s="267"/>
      <c r="AN106" s="291"/>
    </row>
    <row r="107" spans="1:40">
      <c r="A107" s="299">
        <v>41667</v>
      </c>
      <c r="B107" s="282">
        <f t="shared" si="4"/>
        <v>51</v>
      </c>
      <c r="C107" s="268"/>
      <c r="D107" s="291"/>
      <c r="E107" s="267">
        <v>0.68158144638197071</v>
      </c>
      <c r="F107" s="291"/>
      <c r="G107" s="161">
        <v>1.6201814463819708</v>
      </c>
      <c r="H107" s="679">
        <v>-0.24191999999999991</v>
      </c>
      <c r="I107" s="161">
        <v>1.2354814463819692</v>
      </c>
      <c r="J107" s="291">
        <v>9.6191999999999833E-2</v>
      </c>
      <c r="L107" s="303"/>
      <c r="M107" s="291"/>
      <c r="P107" s="303"/>
      <c r="Q107" s="267"/>
      <c r="R107" s="291"/>
      <c r="T107" s="303">
        <v>51</v>
      </c>
      <c r="U107" s="161">
        <v>1.6634575198718646</v>
      </c>
      <c r="V107" s="679">
        <v>-0.15983999999999998</v>
      </c>
      <c r="X107" s="303">
        <v>51</v>
      </c>
      <c r="Y107" s="161">
        <v>1.2829575198718639</v>
      </c>
      <c r="Z107" s="291">
        <v>-2.6784000000000141E-2</v>
      </c>
      <c r="AG107" s="316">
        <v>1</v>
      </c>
      <c r="AH107" s="317">
        <v>3.4474771477230091</v>
      </c>
      <c r="AI107" s="692">
        <v>2.1681114336818643</v>
      </c>
      <c r="AJ107" s="313">
        <f t="shared" si="2"/>
        <v>21.681114336818645</v>
      </c>
      <c r="AK107" s="313">
        <f t="shared" si="3"/>
        <v>0</v>
      </c>
      <c r="AL107" s="284"/>
      <c r="AM107" s="267"/>
      <c r="AN107" s="291"/>
    </row>
    <row r="108" spans="1:40">
      <c r="A108" s="299">
        <v>41668</v>
      </c>
      <c r="B108" s="282">
        <f t="shared" si="4"/>
        <v>52</v>
      </c>
      <c r="C108" s="268"/>
      <c r="D108" s="291"/>
      <c r="E108" s="267">
        <v>0.68152602770204118</v>
      </c>
      <c r="F108" s="291"/>
      <c r="G108" s="161">
        <v>1.5991260277020405</v>
      </c>
      <c r="H108" s="679">
        <v>-0.23328000000000015</v>
      </c>
      <c r="I108" s="161">
        <v>1.2124260277020418</v>
      </c>
      <c r="J108" s="291">
        <v>0.18432000000000004</v>
      </c>
      <c r="L108" s="303"/>
      <c r="M108" s="291"/>
      <c r="P108" s="303"/>
      <c r="Q108" s="267"/>
      <c r="R108" s="291"/>
      <c r="T108" s="303">
        <v>52</v>
      </c>
      <c r="U108" s="161">
        <v>1.6420783796036555</v>
      </c>
      <c r="V108" s="679">
        <v>-0.4104000000000001</v>
      </c>
      <c r="X108" s="303">
        <v>52</v>
      </c>
      <c r="Y108" s="161">
        <v>1.2593783796036564</v>
      </c>
      <c r="Z108" s="291">
        <v>-1.2830399999999909E-2</v>
      </c>
      <c r="AG108" s="316">
        <v>1</v>
      </c>
      <c r="AH108" s="317">
        <v>3.1861161938040867</v>
      </c>
      <c r="AI108" s="692">
        <v>1.9248509521759751</v>
      </c>
      <c r="AJ108" s="313">
        <f t="shared" si="2"/>
        <v>19.24850952175975</v>
      </c>
      <c r="AK108" s="313">
        <f t="shared" si="3"/>
        <v>0</v>
      </c>
      <c r="AL108" s="284"/>
      <c r="AM108" s="267"/>
      <c r="AN108" s="291"/>
    </row>
    <row r="109" spans="1:40">
      <c r="A109" s="299">
        <v>41669</v>
      </c>
      <c r="B109" s="282">
        <f t="shared" si="4"/>
        <v>53</v>
      </c>
      <c r="C109" s="268"/>
      <c r="D109" s="291"/>
      <c r="E109" s="267">
        <v>0.67944300566760218</v>
      </c>
      <c r="F109" s="291"/>
      <c r="G109" s="161">
        <v>1.5776430056676023</v>
      </c>
      <c r="H109" s="679">
        <v>-7.185599999999992E-2</v>
      </c>
      <c r="I109" s="161">
        <v>1.1877430056676022</v>
      </c>
      <c r="J109" s="291">
        <v>-3.8736000000000104E-2</v>
      </c>
      <c r="L109" s="303"/>
      <c r="M109" s="291"/>
      <c r="P109" s="303"/>
      <c r="Q109" s="267"/>
      <c r="R109" s="291"/>
      <c r="T109" s="303">
        <v>53</v>
      </c>
      <c r="U109" s="161">
        <v>1.6201814463819708</v>
      </c>
      <c r="V109" s="679">
        <v>-0.24191999999999991</v>
      </c>
      <c r="X109" s="303">
        <v>53</v>
      </c>
      <c r="Y109" s="161">
        <v>1.2354814463819692</v>
      </c>
      <c r="Z109" s="291">
        <v>9.6191999999999833E-2</v>
      </c>
      <c r="AG109" s="316">
        <v>1</v>
      </c>
      <c r="AH109" s="317">
        <v>3.0417266236699829</v>
      </c>
      <c r="AI109" s="692">
        <v>2.5517038625251489</v>
      </c>
      <c r="AJ109" s="313">
        <f t="shared" si="2"/>
        <v>25.517038625251487</v>
      </c>
      <c r="AK109" s="313">
        <f t="shared" si="3"/>
        <v>0</v>
      </c>
      <c r="AL109" s="284"/>
      <c r="AM109" s="267"/>
      <c r="AN109" s="291"/>
    </row>
    <row r="110" spans="1:40">
      <c r="A110" s="299">
        <v>41670</v>
      </c>
      <c r="B110" s="282">
        <f t="shared" si="4"/>
        <v>54</v>
      </c>
      <c r="C110" s="268"/>
      <c r="D110" s="291"/>
      <c r="E110" s="267">
        <v>0.68045629738998392</v>
      </c>
      <c r="F110" s="291"/>
      <c r="G110" s="161">
        <v>1.5563562973899845</v>
      </c>
      <c r="H110" s="679">
        <v>-0.14371199999999984</v>
      </c>
      <c r="I110" s="161">
        <v>1.1624562973899848</v>
      </c>
      <c r="J110" s="291">
        <v>0.11231999999999998</v>
      </c>
      <c r="L110" s="303"/>
      <c r="M110" s="291"/>
      <c r="P110" s="303"/>
      <c r="Q110" s="267"/>
      <c r="R110" s="291"/>
      <c r="T110" s="303">
        <v>54</v>
      </c>
      <c r="U110" s="161">
        <v>1.5991260277020405</v>
      </c>
      <c r="V110" s="679">
        <v>-0.23328000000000015</v>
      </c>
      <c r="X110" s="303">
        <v>54</v>
      </c>
      <c r="Y110" s="161">
        <v>1.2124260277020418</v>
      </c>
      <c r="Z110" s="291">
        <v>0.18432000000000004</v>
      </c>
      <c r="AG110" s="316">
        <v>1</v>
      </c>
      <c r="AH110" s="317">
        <v>3.2755507692000672</v>
      </c>
      <c r="AI110" s="692">
        <v>2.0103522813567229</v>
      </c>
      <c r="AJ110" s="313">
        <f t="shared" si="2"/>
        <v>20.103522813567231</v>
      </c>
      <c r="AK110" s="313">
        <f t="shared" si="3"/>
        <v>0</v>
      </c>
      <c r="AL110" s="284"/>
      <c r="AM110" s="267"/>
      <c r="AN110" s="291"/>
    </row>
    <row r="111" spans="1:40">
      <c r="A111" s="299">
        <v>41671</v>
      </c>
      <c r="B111" s="282">
        <f t="shared" si="4"/>
        <v>55</v>
      </c>
      <c r="C111" s="268"/>
      <c r="D111" s="291"/>
      <c r="E111" s="267">
        <v>0.67946610544132624</v>
      </c>
      <c r="F111" s="291"/>
      <c r="G111" s="161">
        <v>1.5351661054413257</v>
      </c>
      <c r="H111" s="679">
        <v>-6.3072000000000017E-2</v>
      </c>
      <c r="I111" s="161">
        <v>1.1376661054413257</v>
      </c>
      <c r="J111" s="291">
        <v>0.30527999999999977</v>
      </c>
      <c r="L111" s="303"/>
      <c r="M111" s="291"/>
      <c r="P111" s="303"/>
      <c r="Q111" s="267"/>
      <c r="R111" s="291"/>
      <c r="T111" s="303">
        <v>55</v>
      </c>
      <c r="U111" s="161">
        <v>1.5776430056676023</v>
      </c>
      <c r="V111" s="679">
        <v>-7.185599999999992E-2</v>
      </c>
      <c r="X111" s="303">
        <v>55</v>
      </c>
      <c r="Y111" s="161">
        <v>1.1877430056676022</v>
      </c>
      <c r="Z111" s="291">
        <v>-3.8736000000000104E-2</v>
      </c>
      <c r="AG111" s="316">
        <v>1</v>
      </c>
      <c r="AH111" s="317">
        <v>3.1260257992832949</v>
      </c>
      <c r="AI111" s="692">
        <v>0.580328799386439</v>
      </c>
      <c r="AJ111" s="313">
        <f t="shared" si="2"/>
        <v>5.80328799386439</v>
      </c>
      <c r="AK111" s="313">
        <f t="shared" si="3"/>
        <v>0.580328799386439</v>
      </c>
      <c r="AL111" s="284"/>
      <c r="AM111" s="267"/>
      <c r="AN111" s="291"/>
    </row>
    <row r="112" spans="1:40">
      <c r="A112" s="299">
        <v>41672</v>
      </c>
      <c r="B112" s="282">
        <f t="shared" si="4"/>
        <v>56</v>
      </c>
      <c r="C112" s="268"/>
      <c r="D112" s="291"/>
      <c r="E112" s="267">
        <v>0.67936570264675189</v>
      </c>
      <c r="F112" s="291"/>
      <c r="G112" s="161">
        <v>1.5152657026467513</v>
      </c>
      <c r="H112" s="679">
        <v>5.731200000000003E-2</v>
      </c>
      <c r="I112" s="161">
        <v>1.112165702646752</v>
      </c>
      <c r="J112" s="291">
        <v>-0.17711999999999994</v>
      </c>
      <c r="L112" s="303"/>
      <c r="M112" s="291"/>
      <c r="P112" s="303"/>
      <c r="Q112" s="267"/>
      <c r="R112" s="291"/>
      <c r="T112" s="303">
        <v>56</v>
      </c>
      <c r="U112" s="161">
        <v>1.5563562973899845</v>
      </c>
      <c r="V112" s="679">
        <v>-0.14371199999999984</v>
      </c>
      <c r="X112" s="303">
        <v>56</v>
      </c>
      <c r="Y112" s="161">
        <v>1.1624562973899848</v>
      </c>
      <c r="Z112" s="291">
        <v>0.11231999999999998</v>
      </c>
      <c r="AG112" s="472">
        <v>0</v>
      </c>
      <c r="AH112" s="482">
        <v>0.25926955386698619</v>
      </c>
      <c r="AI112" s="472"/>
      <c r="AJ112" s="313"/>
      <c r="AK112" s="313">
        <f t="shared" si="3"/>
        <v>0</v>
      </c>
      <c r="AL112" s="284"/>
      <c r="AM112" s="267"/>
      <c r="AN112" s="291"/>
    </row>
    <row r="113" spans="1:46">
      <c r="A113" s="299">
        <v>41673</v>
      </c>
      <c r="B113" s="282">
        <f t="shared" si="4"/>
        <v>57</v>
      </c>
      <c r="C113" s="268"/>
      <c r="D113" s="291"/>
      <c r="E113" s="267">
        <v>0.67947653295753141</v>
      </c>
      <c r="F113" s="291"/>
      <c r="G113" s="161">
        <v>1.4951765329575299</v>
      </c>
      <c r="H113" s="679">
        <v>0.11203200000000013</v>
      </c>
      <c r="I113" s="161">
        <v>1.08927653295753</v>
      </c>
      <c r="J113" s="291">
        <v>-4.8528000000000127E-2</v>
      </c>
      <c r="L113" s="303"/>
      <c r="M113" s="291"/>
      <c r="P113" s="303"/>
      <c r="Q113" s="267"/>
      <c r="R113" s="291"/>
      <c r="T113" s="303">
        <v>57</v>
      </c>
      <c r="U113" s="161">
        <v>1.5351661054413257</v>
      </c>
      <c r="V113" s="679">
        <v>-6.3072000000000017E-2</v>
      </c>
      <c r="X113" s="303">
        <v>57</v>
      </c>
      <c r="Y113" s="161">
        <v>1.1376661054413257</v>
      </c>
      <c r="Z113" s="291">
        <v>0.30527999999999977</v>
      </c>
      <c r="AG113" s="472">
        <v>0</v>
      </c>
      <c r="AH113" s="471">
        <v>2.8782855213215686</v>
      </c>
      <c r="AI113" s="472"/>
      <c r="AJ113" s="313"/>
      <c r="AK113" s="313">
        <f t="shared" si="3"/>
        <v>0</v>
      </c>
      <c r="AL113" s="284"/>
      <c r="AM113" s="267"/>
      <c r="AN113" s="291"/>
    </row>
    <row r="114" spans="1:46">
      <c r="A114" s="299">
        <v>41674</v>
      </c>
      <c r="B114" s="282">
        <f t="shared" si="4"/>
        <v>58</v>
      </c>
      <c r="C114" s="268"/>
      <c r="D114" s="291"/>
      <c r="E114" s="267">
        <v>0.68115730555127008</v>
      </c>
      <c r="F114" s="291"/>
      <c r="G114" s="161">
        <v>1.4721573055512711</v>
      </c>
      <c r="H114" s="679">
        <v>-0.7128000000000001</v>
      </c>
      <c r="I114" s="161">
        <v>1.0646573055512696</v>
      </c>
      <c r="J114" s="291">
        <v>0.12844800000000012</v>
      </c>
      <c r="L114" s="303"/>
      <c r="M114" s="291"/>
      <c r="P114" s="303"/>
      <c r="Q114" s="267"/>
      <c r="R114" s="291"/>
      <c r="T114" s="303">
        <v>58</v>
      </c>
      <c r="U114" s="161">
        <v>1.5152657026467513</v>
      </c>
      <c r="V114" s="679">
        <v>5.731200000000003E-2</v>
      </c>
      <c r="X114" s="303">
        <v>58</v>
      </c>
      <c r="Y114" s="161">
        <v>1.112165702646752</v>
      </c>
      <c r="Z114" s="291">
        <v>-0.17711999999999994</v>
      </c>
      <c r="AG114" s="466">
        <v>0</v>
      </c>
      <c r="AH114" s="471">
        <v>3.1435810224401641</v>
      </c>
      <c r="AI114" s="468">
        <v>-6.1038436513770584</v>
      </c>
      <c r="AJ114" s="313">
        <f t="shared" si="2"/>
        <v>-61.038436513770584</v>
      </c>
      <c r="AK114" s="313">
        <f t="shared" si="3"/>
        <v>-6.1038436513770584</v>
      </c>
      <c r="AL114" s="284"/>
      <c r="AM114" s="267"/>
      <c r="AN114" s="291"/>
    </row>
    <row r="115" spans="1:46">
      <c r="A115" s="299">
        <v>41675</v>
      </c>
      <c r="B115" s="282">
        <f t="shared" si="4"/>
        <v>59</v>
      </c>
      <c r="C115" s="268"/>
      <c r="D115" s="291"/>
      <c r="E115" s="267">
        <v>0.68275525398331793</v>
      </c>
      <c r="F115" s="291"/>
      <c r="G115" s="161">
        <v>1.4525552539833169</v>
      </c>
      <c r="H115" s="679">
        <v>-0.66528000000000009</v>
      </c>
      <c r="I115" s="161">
        <v>1.0399552539833183</v>
      </c>
      <c r="J115" s="291">
        <v>-0.22319999999999984</v>
      </c>
      <c r="L115" s="303"/>
      <c r="M115" s="291"/>
      <c r="P115" s="303"/>
      <c r="Q115" s="267"/>
      <c r="R115" s="291"/>
      <c r="T115" s="303">
        <v>59</v>
      </c>
      <c r="U115" s="161">
        <v>1.4951765329575299</v>
      </c>
      <c r="V115" s="679">
        <v>0.11203200000000013</v>
      </c>
      <c r="X115" s="303">
        <v>59</v>
      </c>
      <c r="Y115" s="161">
        <v>1.08927653295753</v>
      </c>
      <c r="Z115" s="291">
        <v>-4.8528000000000127E-2</v>
      </c>
      <c r="AG115" s="466">
        <v>0</v>
      </c>
      <c r="AH115" s="471">
        <v>3.2043143565567305</v>
      </c>
      <c r="AI115" s="468"/>
      <c r="AJ115" s="313"/>
      <c r="AK115" s="313">
        <f t="shared" si="3"/>
        <v>0</v>
      </c>
      <c r="AL115" s="284"/>
      <c r="AM115" s="267"/>
      <c r="AN115" s="291"/>
    </row>
    <row r="116" spans="1:46">
      <c r="A116" s="299">
        <v>41676</v>
      </c>
      <c r="B116" s="282">
        <f t="shared" si="4"/>
        <v>60</v>
      </c>
      <c r="C116" s="268"/>
      <c r="D116" s="291"/>
      <c r="E116" s="267">
        <v>0.68241988004726273</v>
      </c>
      <c r="F116" s="291"/>
      <c r="G116" s="161">
        <v>1.4321198800472623</v>
      </c>
      <c r="H116" s="679">
        <v>-1.2369599999999998</v>
      </c>
      <c r="I116" s="161">
        <v>1.0165198800472619</v>
      </c>
      <c r="J116" s="291">
        <v>-0.97775999999999996</v>
      </c>
      <c r="L116" s="303"/>
      <c r="M116" s="291"/>
      <c r="P116" s="303"/>
      <c r="Q116" s="267"/>
      <c r="R116" s="291"/>
      <c r="T116" s="303">
        <v>60</v>
      </c>
      <c r="U116" s="161">
        <v>1.4721573055512711</v>
      </c>
      <c r="V116" s="679">
        <v>-0.7128000000000001</v>
      </c>
      <c r="X116" s="303">
        <v>60</v>
      </c>
      <c r="Y116" s="161">
        <v>1.0646573055512696</v>
      </c>
      <c r="Z116" s="291">
        <v>0.12844800000000012</v>
      </c>
      <c r="AG116" s="466">
        <v>0</v>
      </c>
      <c r="AH116" s="471">
        <v>3.2750159959313367</v>
      </c>
      <c r="AI116" s="468">
        <v>8.7081514829446753</v>
      </c>
      <c r="AJ116" s="313">
        <f t="shared" si="2"/>
        <v>87.081514829446746</v>
      </c>
      <c r="AK116" s="313">
        <f t="shared" si="3"/>
        <v>0</v>
      </c>
      <c r="AL116" s="284"/>
      <c r="AM116" s="267"/>
      <c r="AN116" s="291"/>
    </row>
    <row r="117" spans="1:46">
      <c r="A117" s="299">
        <v>41677</v>
      </c>
      <c r="B117" s="282">
        <f t="shared" si="4"/>
        <v>61</v>
      </c>
      <c r="C117" s="268"/>
      <c r="D117" s="291"/>
      <c r="E117" s="267">
        <v>0.68287406919623428</v>
      </c>
      <c r="F117" s="291"/>
      <c r="G117" s="161">
        <v>1.4101740691962346</v>
      </c>
      <c r="H117" s="679">
        <v>-1.0411200000000003</v>
      </c>
      <c r="I117" s="161">
        <v>0.99477406919623368</v>
      </c>
      <c r="J117" s="291">
        <v>-0.54576000000000002</v>
      </c>
      <c r="L117" s="303"/>
      <c r="M117" s="291"/>
      <c r="P117" s="303"/>
      <c r="Q117" s="267"/>
      <c r="R117" s="291"/>
      <c r="T117" s="303">
        <v>61</v>
      </c>
      <c r="U117" s="161">
        <v>1.4525552539833169</v>
      </c>
      <c r="V117" s="679">
        <v>-0.66528000000000009</v>
      </c>
      <c r="X117" s="303">
        <v>61</v>
      </c>
      <c r="Y117" s="161">
        <v>1.0399552539833183</v>
      </c>
      <c r="Z117" s="291">
        <v>-0.22319999999999984</v>
      </c>
      <c r="AG117" s="466">
        <v>0</v>
      </c>
      <c r="AH117" s="471">
        <v>3.0483624191981504</v>
      </c>
      <c r="AI117" s="468">
        <v>-1.2005924491810163</v>
      </c>
      <c r="AJ117" s="313">
        <f t="shared" si="2"/>
        <v>-12.005924491810163</v>
      </c>
      <c r="AK117" s="313">
        <f t="shared" si="3"/>
        <v>-1.2005924491810163</v>
      </c>
      <c r="AL117" s="284"/>
      <c r="AM117" s="267"/>
      <c r="AN117" s="291"/>
    </row>
    <row r="118" spans="1:46">
      <c r="A118" s="299">
        <v>41678</v>
      </c>
      <c r="B118" s="282">
        <f t="shared" si="4"/>
        <v>62</v>
      </c>
      <c r="C118" s="268"/>
      <c r="D118" s="291"/>
      <c r="E118" s="267">
        <v>0.68332928765371981</v>
      </c>
      <c r="F118" s="291"/>
      <c r="G118" s="161">
        <v>1.3890292876537189</v>
      </c>
      <c r="H118" s="679">
        <v>-0.87695999999999996</v>
      </c>
      <c r="I118" s="161">
        <v>0.97102928765371876</v>
      </c>
      <c r="J118" s="291">
        <v>-0.30527999999999977</v>
      </c>
      <c r="L118" s="303"/>
      <c r="M118" s="291"/>
      <c r="P118" s="303"/>
      <c r="Q118" s="267"/>
      <c r="R118" s="291"/>
      <c r="T118" s="303">
        <v>62</v>
      </c>
      <c r="U118" s="161">
        <v>1.4321198800472623</v>
      </c>
      <c r="V118" s="679">
        <v>-1.2369599999999998</v>
      </c>
      <c r="X118" s="303">
        <v>62</v>
      </c>
      <c r="Y118" s="161">
        <v>1.0165198800472619</v>
      </c>
      <c r="Z118" s="291">
        <v>-0.97775999999999996</v>
      </c>
      <c r="AG118" s="466">
        <v>0</v>
      </c>
      <c r="AH118" s="471">
        <v>3.0117466778126238</v>
      </c>
      <c r="AI118" s="468">
        <v>-1.2903566235950277</v>
      </c>
      <c r="AJ118" s="313">
        <f t="shared" si="2"/>
        <v>-12.903566235950276</v>
      </c>
      <c r="AK118" s="313">
        <f t="shared" si="3"/>
        <v>-1.2903566235950277</v>
      </c>
      <c r="AL118" s="284"/>
      <c r="AM118" s="267"/>
      <c r="AN118" s="291"/>
    </row>
    <row r="119" spans="1:46">
      <c r="A119" s="299">
        <v>41679</v>
      </c>
      <c r="B119" s="282">
        <f t="shared" si="4"/>
        <v>63</v>
      </c>
      <c r="C119" s="268"/>
      <c r="D119" s="291"/>
      <c r="E119" s="267">
        <v>0.68192253463223174</v>
      </c>
      <c r="F119" s="291"/>
      <c r="G119" s="161">
        <v>1.3675225346322315</v>
      </c>
      <c r="H119" s="679">
        <v>-0.98351999999999995</v>
      </c>
      <c r="I119" s="161">
        <v>0.94512253463223272</v>
      </c>
      <c r="J119" s="291">
        <v>-0.45359999999999978</v>
      </c>
      <c r="L119" s="303"/>
      <c r="M119" s="291"/>
      <c r="P119" s="303"/>
      <c r="Q119" s="267"/>
      <c r="R119" s="291"/>
      <c r="T119" s="303">
        <v>63</v>
      </c>
      <c r="U119" s="161">
        <v>1.4101740691962346</v>
      </c>
      <c r="V119" s="679">
        <v>-1.0411200000000003</v>
      </c>
      <c r="X119" s="303">
        <v>63</v>
      </c>
      <c r="Y119" s="161">
        <v>0.99477406919623368</v>
      </c>
      <c r="Z119" s="291">
        <v>-0.54576000000000002</v>
      </c>
      <c r="AG119" s="466">
        <v>0</v>
      </c>
      <c r="AH119" s="471">
        <v>2.9733710094669976</v>
      </c>
      <c r="AI119" s="468">
        <v>-1.256909529426649</v>
      </c>
      <c r="AJ119" s="313">
        <f t="shared" si="2"/>
        <v>-12.569095294266489</v>
      </c>
      <c r="AK119" s="313">
        <f t="shared" si="3"/>
        <v>-1.256909529426649</v>
      </c>
      <c r="AL119" s="284"/>
      <c r="AM119" s="267"/>
      <c r="AN119" s="291"/>
    </row>
    <row r="120" spans="1:46">
      <c r="A120" s="299">
        <v>41680</v>
      </c>
      <c r="B120" s="282">
        <f t="shared" si="4"/>
        <v>64</v>
      </c>
      <c r="C120" s="268"/>
      <c r="D120" s="291"/>
      <c r="E120" s="267">
        <v>0.68356568619890701</v>
      </c>
      <c r="F120" s="291"/>
      <c r="G120" s="161">
        <v>1.3459656861989058</v>
      </c>
      <c r="H120" s="679">
        <v>-1.0526400000000002</v>
      </c>
      <c r="I120" s="161">
        <v>0.92076568619890642</v>
      </c>
      <c r="J120" s="291">
        <v>-0.6120000000000001</v>
      </c>
      <c r="L120" s="303"/>
      <c r="M120" s="291"/>
      <c r="P120" s="303"/>
      <c r="Q120" s="267"/>
      <c r="R120" s="291"/>
      <c r="T120" s="303">
        <v>64</v>
      </c>
      <c r="U120" s="161">
        <v>1.3890292876537189</v>
      </c>
      <c r="V120" s="679">
        <v>-0.87695999999999996</v>
      </c>
      <c r="X120" s="303">
        <v>64</v>
      </c>
      <c r="Y120" s="161">
        <v>0.97102928765371876</v>
      </c>
      <c r="Z120" s="291">
        <v>-0.30527999999999977</v>
      </c>
      <c r="AG120" s="466">
        <v>0</v>
      </c>
      <c r="AH120" s="471">
        <v>2.9555802121516304</v>
      </c>
      <c r="AI120" s="468">
        <v>-1.3455086275803958</v>
      </c>
      <c r="AJ120" s="313">
        <f t="shared" si="2"/>
        <v>-13.455086275803957</v>
      </c>
      <c r="AK120" s="313">
        <f t="shared" si="3"/>
        <v>-1.3455086275803958</v>
      </c>
      <c r="AL120" s="284"/>
      <c r="AM120" s="267"/>
      <c r="AN120" s="291"/>
    </row>
    <row r="121" spans="1:46">
      <c r="A121" s="299">
        <v>41681</v>
      </c>
      <c r="B121" s="282">
        <f t="shared" si="4"/>
        <v>65</v>
      </c>
      <c r="C121" s="268"/>
      <c r="D121" s="291"/>
      <c r="E121" s="267">
        <v>0.68445014268613114</v>
      </c>
      <c r="F121" s="291"/>
      <c r="G121" s="161">
        <v>1.3257501426861293</v>
      </c>
      <c r="H121" s="679">
        <v>-0.98064000000000018</v>
      </c>
      <c r="I121" s="161">
        <v>0.89365014268613008</v>
      </c>
      <c r="J121" s="291">
        <v>-0.93455999999999984</v>
      </c>
      <c r="L121" s="303"/>
      <c r="M121" s="291"/>
      <c r="P121" s="303"/>
      <c r="Q121" s="267"/>
      <c r="R121" s="291"/>
      <c r="T121" s="303">
        <v>65</v>
      </c>
      <c r="U121" s="161">
        <v>1.3675225346322315</v>
      </c>
      <c r="V121" s="679">
        <v>-0.98351999999999995</v>
      </c>
      <c r="X121" s="303">
        <v>65</v>
      </c>
      <c r="Y121" s="161">
        <v>0.94512253463223272</v>
      </c>
      <c r="Z121" s="291">
        <v>-0.45359999999999978</v>
      </c>
      <c r="AG121" s="466">
        <v>0</v>
      </c>
      <c r="AH121" s="471">
        <v>2.8217004524185607</v>
      </c>
      <c r="AI121" s="468">
        <v>0.41839054688435162</v>
      </c>
      <c r="AJ121" s="313">
        <f t="shared" si="2"/>
        <v>4.1839054688435162</v>
      </c>
      <c r="AK121" s="313">
        <f t="shared" si="3"/>
        <v>0.41839054688435162</v>
      </c>
      <c r="AL121" s="284"/>
      <c r="AM121" s="267"/>
      <c r="AN121" s="291"/>
    </row>
    <row r="122" spans="1:46">
      <c r="A122" s="299">
        <v>41682</v>
      </c>
      <c r="B122" s="282">
        <f t="shared" si="4"/>
        <v>66</v>
      </c>
      <c r="C122" s="268"/>
      <c r="D122" s="291"/>
      <c r="E122" s="267">
        <v>0.68089103541333329</v>
      </c>
      <c r="F122" s="291"/>
      <c r="G122" s="161">
        <v>1.3051910354133338</v>
      </c>
      <c r="H122" s="679">
        <v>-8.524799999999999E-2</v>
      </c>
      <c r="I122" s="161">
        <v>0.86809103541333377</v>
      </c>
      <c r="J122" s="291">
        <v>-0.12124800000000002</v>
      </c>
      <c r="L122" s="303"/>
      <c r="M122" s="291"/>
      <c r="P122" s="303"/>
      <c r="Q122" s="267"/>
      <c r="R122" s="291"/>
      <c r="T122" s="303">
        <v>66</v>
      </c>
      <c r="U122" s="161">
        <v>1.3459656861989058</v>
      </c>
      <c r="V122" s="679">
        <v>-1.0526400000000002</v>
      </c>
      <c r="X122" s="303">
        <v>66</v>
      </c>
      <c r="Y122" s="161">
        <v>0.92076568619890642</v>
      </c>
      <c r="Z122" s="291">
        <v>-0.6120000000000001</v>
      </c>
      <c r="AG122" s="466">
        <v>0</v>
      </c>
      <c r="AH122" s="471">
        <v>2.7170939113679728</v>
      </c>
      <c r="AI122" s="468">
        <v>0.39819994192524177</v>
      </c>
      <c r="AJ122" s="313">
        <f t="shared" si="2"/>
        <v>3.9819994192524177</v>
      </c>
      <c r="AK122" s="313">
        <f t="shared" si="3"/>
        <v>0.39819994192524177</v>
      </c>
      <c r="AL122" s="284"/>
      <c r="AM122" s="267"/>
      <c r="AN122" s="291"/>
    </row>
    <row r="123" spans="1:46">
      <c r="A123" s="299">
        <v>41683</v>
      </c>
      <c r="B123" s="282">
        <f t="shared" si="4"/>
        <v>67</v>
      </c>
      <c r="C123" s="268"/>
      <c r="D123" s="291"/>
      <c r="E123" s="267">
        <v>0.68080679089701213</v>
      </c>
      <c r="F123" s="291"/>
      <c r="G123" s="161">
        <v>1.2847067908970122</v>
      </c>
      <c r="H123" s="679">
        <v>0.12196799999999985</v>
      </c>
      <c r="I123" s="161">
        <v>0.84340679089701309</v>
      </c>
      <c r="J123" s="291">
        <v>0.30384000000000011</v>
      </c>
      <c r="L123" s="303"/>
      <c r="M123" s="291"/>
      <c r="P123" s="303"/>
      <c r="Q123" s="267"/>
      <c r="R123" s="291"/>
      <c r="T123" s="303">
        <v>67</v>
      </c>
      <c r="U123" s="161">
        <v>1.3257501426861293</v>
      </c>
      <c r="V123" s="679">
        <v>-0.98064000000000018</v>
      </c>
      <c r="X123" s="303">
        <v>67</v>
      </c>
      <c r="Y123" s="161">
        <v>0.89365014268613008</v>
      </c>
      <c r="Z123" s="291">
        <v>-0.93455999999999984</v>
      </c>
      <c r="AG123" s="489">
        <v>0</v>
      </c>
      <c r="AH123" s="471">
        <v>2.8870726488416056</v>
      </c>
      <c r="AI123" s="468">
        <v>-0.1115077677420091</v>
      </c>
      <c r="AJ123" s="313">
        <f t="shared" si="2"/>
        <v>-1.115077677420091</v>
      </c>
      <c r="AK123" s="313">
        <f t="shared" si="3"/>
        <v>-0.1115077677420091</v>
      </c>
      <c r="AL123" s="284"/>
      <c r="AM123" s="267"/>
      <c r="AN123" s="291"/>
      <c r="AO123" s="282"/>
      <c r="AP123" s="161"/>
      <c r="AQ123" s="297"/>
      <c r="AR123" s="282"/>
      <c r="AS123" s="161"/>
      <c r="AT123" s="297"/>
    </row>
    <row r="124" spans="1:46">
      <c r="A124" s="299">
        <v>41684</v>
      </c>
      <c r="B124" s="282">
        <f t="shared" si="4"/>
        <v>68</v>
      </c>
      <c r="C124" s="268"/>
      <c r="D124" s="291"/>
      <c r="E124" s="267">
        <v>0.68272704526209593</v>
      </c>
      <c r="F124" s="291"/>
      <c r="G124" s="161">
        <v>1.2617270452620954</v>
      </c>
      <c r="H124" s="679">
        <v>0.74015999999999993</v>
      </c>
      <c r="I124" s="161">
        <v>0.81532704526209576</v>
      </c>
      <c r="J124" s="291">
        <v>1.6992</v>
      </c>
      <c r="L124" s="303"/>
      <c r="M124" s="291"/>
      <c r="P124" s="303"/>
      <c r="Q124" s="267"/>
      <c r="R124" s="291"/>
      <c r="T124" s="303">
        <v>68</v>
      </c>
      <c r="U124" s="161">
        <v>1.3051910354133338</v>
      </c>
      <c r="V124" s="679">
        <v>-8.524799999999999E-2</v>
      </c>
      <c r="X124" s="303">
        <v>68</v>
      </c>
      <c r="Y124" s="161">
        <v>0.86809103541333377</v>
      </c>
      <c r="Z124" s="291">
        <v>-0.12124800000000002</v>
      </c>
      <c r="AG124" s="466">
        <v>0</v>
      </c>
      <c r="AH124" s="471">
        <v>2.8603452480592284</v>
      </c>
      <c r="AI124" s="468">
        <v>-8.9943979492929316E-2</v>
      </c>
      <c r="AJ124" s="313">
        <f t="shared" si="2"/>
        <v>-0.89943979492929316</v>
      </c>
      <c r="AK124" s="313">
        <f t="shared" si="3"/>
        <v>-8.9943979492929316E-2</v>
      </c>
      <c r="AL124" s="284"/>
      <c r="AM124" s="267"/>
      <c r="AN124" s="291"/>
      <c r="AO124" s="282"/>
      <c r="AP124" s="161"/>
      <c r="AQ124" s="297"/>
      <c r="AR124" s="282"/>
      <c r="AS124" s="161"/>
      <c r="AT124" s="297"/>
    </row>
    <row r="125" spans="1:46">
      <c r="A125" s="299">
        <v>41685</v>
      </c>
      <c r="B125" s="282">
        <f t="shared" si="4"/>
        <v>69</v>
      </c>
      <c r="C125" s="268"/>
      <c r="D125" s="291"/>
      <c r="E125" s="267">
        <v>0.68089329895218653</v>
      </c>
      <c r="F125" s="291"/>
      <c r="G125" s="161">
        <v>1.2418932989521871</v>
      </c>
      <c r="H125" s="679">
        <v>0.22320000000000007</v>
      </c>
      <c r="I125" s="161">
        <v>0.78949329895218723</v>
      </c>
      <c r="J125" s="291">
        <v>-0.3024</v>
      </c>
      <c r="L125" s="303"/>
      <c r="M125" s="291"/>
      <c r="P125" s="303"/>
      <c r="Q125" s="267"/>
      <c r="R125" s="291"/>
      <c r="T125" s="303">
        <v>69</v>
      </c>
      <c r="U125" s="161">
        <v>1.2847067908970122</v>
      </c>
      <c r="V125" s="679">
        <v>0.12196799999999985</v>
      </c>
      <c r="X125" s="303">
        <v>69</v>
      </c>
      <c r="Y125" s="161">
        <v>0.84340679089701309</v>
      </c>
      <c r="Z125" s="291">
        <v>0.30384000000000011</v>
      </c>
      <c r="AG125" s="466">
        <v>0</v>
      </c>
      <c r="AH125" s="471">
        <v>2.8344742858665231</v>
      </c>
      <c r="AI125" s="468">
        <v>0.18924768096589073</v>
      </c>
      <c r="AJ125" s="313">
        <f t="shared" si="2"/>
        <v>1.8924768096589073</v>
      </c>
      <c r="AK125" s="313">
        <f t="shared" si="3"/>
        <v>0.18924768096589073</v>
      </c>
      <c r="AL125" s="284"/>
      <c r="AM125" s="267"/>
      <c r="AN125" s="291"/>
      <c r="AO125" s="282"/>
      <c r="AP125" s="161"/>
      <c r="AQ125" s="297"/>
      <c r="AR125" s="282"/>
      <c r="AS125" s="161"/>
      <c r="AT125" s="297"/>
    </row>
    <row r="126" spans="1:46">
      <c r="A126" s="299">
        <v>41686</v>
      </c>
      <c r="B126" s="282">
        <f t="shared" si="4"/>
        <v>70</v>
      </c>
      <c r="C126" s="268"/>
      <c r="D126" s="291"/>
      <c r="E126" s="267">
        <v>0.67807836315581205</v>
      </c>
      <c r="F126" s="291"/>
      <c r="G126" s="161">
        <v>1.2223783631558125</v>
      </c>
      <c r="H126" s="679">
        <v>0.19584000000000001</v>
      </c>
      <c r="I126" s="161">
        <v>0.76517836315581134</v>
      </c>
      <c r="J126" s="291">
        <v>-0.26495999999999986</v>
      </c>
      <c r="L126" s="303"/>
      <c r="M126" s="291"/>
      <c r="P126" s="303"/>
      <c r="Q126" s="267"/>
      <c r="R126" s="291"/>
      <c r="T126" s="303">
        <v>70</v>
      </c>
      <c r="U126" s="161">
        <v>1.2617270452620954</v>
      </c>
      <c r="V126" s="679">
        <v>0.74015999999999993</v>
      </c>
      <c r="X126" s="303">
        <v>70</v>
      </c>
      <c r="Y126" s="161">
        <v>0.81532704526209576</v>
      </c>
      <c r="Z126" s="291">
        <v>1.6992</v>
      </c>
      <c r="AG126" s="466">
        <v>0</v>
      </c>
      <c r="AH126" s="471">
        <v>2.7202550443621063</v>
      </c>
      <c r="AI126" s="468">
        <v>0.63153638159846492</v>
      </c>
      <c r="AJ126" s="313">
        <f t="shared" si="2"/>
        <v>6.3153638159846492</v>
      </c>
      <c r="AK126" s="313">
        <f t="shared" si="3"/>
        <v>0.63153638159846492</v>
      </c>
      <c r="AL126" s="284"/>
      <c r="AM126" s="267"/>
      <c r="AN126" s="291"/>
      <c r="AO126" s="282"/>
      <c r="AP126" s="161"/>
      <c r="AQ126" s="297"/>
      <c r="AR126" s="282"/>
      <c r="AS126" s="161"/>
      <c r="AT126" s="297"/>
    </row>
    <row r="127" spans="1:46">
      <c r="A127" s="299">
        <v>41687</v>
      </c>
      <c r="B127" s="282">
        <f t="shared" si="4"/>
        <v>71</v>
      </c>
      <c r="C127" s="268"/>
      <c r="D127" s="291"/>
      <c r="E127" s="267">
        <v>0.67648941248657102</v>
      </c>
      <c r="F127" s="291"/>
      <c r="G127" s="161">
        <v>1.2017894124865713</v>
      </c>
      <c r="H127" s="679">
        <v>0.52127999999999997</v>
      </c>
      <c r="I127" s="161">
        <v>0.74098941248656969</v>
      </c>
      <c r="J127" s="291">
        <v>0.71711999999999998</v>
      </c>
      <c r="L127" s="303"/>
      <c r="M127" s="291"/>
      <c r="P127" s="303"/>
      <c r="Q127" s="267"/>
      <c r="R127" s="291"/>
      <c r="T127" s="303">
        <v>71</v>
      </c>
      <c r="U127" s="161">
        <v>1.2418932989521871</v>
      </c>
      <c r="V127" s="679">
        <v>0.22320000000000007</v>
      </c>
      <c r="X127" s="303">
        <v>71</v>
      </c>
      <c r="Y127" s="161">
        <v>0.78949329895218723</v>
      </c>
      <c r="Z127" s="291">
        <v>-0.3024</v>
      </c>
      <c r="AG127" s="466">
        <v>1</v>
      </c>
      <c r="AH127" s="471">
        <v>3.3996063881024372</v>
      </c>
      <c r="AI127" s="468"/>
      <c r="AJ127" s="313"/>
      <c r="AK127" s="313">
        <f t="shared" si="3"/>
        <v>0</v>
      </c>
      <c r="AL127" s="284"/>
      <c r="AM127" s="267"/>
      <c r="AN127" s="291"/>
      <c r="AO127" s="282"/>
      <c r="AP127" s="161"/>
      <c r="AQ127" s="291"/>
      <c r="AR127" s="282"/>
      <c r="AS127" s="161"/>
      <c r="AT127" s="297"/>
    </row>
    <row r="128" spans="1:46">
      <c r="A128" s="299">
        <v>41688</v>
      </c>
      <c r="B128" s="282">
        <f t="shared" si="4"/>
        <v>72</v>
      </c>
      <c r="C128" s="268"/>
      <c r="D128" s="291"/>
      <c r="E128" s="267">
        <v>0.67692950432400756</v>
      </c>
      <c r="F128" s="291"/>
      <c r="G128" s="161">
        <v>1.1800295043240081</v>
      </c>
      <c r="H128" s="679">
        <v>7.6608000000000231E-3</v>
      </c>
      <c r="I128" s="161">
        <v>0.71552950432400797</v>
      </c>
      <c r="J128" s="291">
        <v>0.28224000000000005</v>
      </c>
      <c r="L128" s="303"/>
      <c r="M128" s="291"/>
      <c r="P128" s="303"/>
      <c r="Q128" s="267"/>
      <c r="R128" s="291"/>
      <c r="T128" s="303">
        <v>72</v>
      </c>
      <c r="U128" s="161">
        <v>1.2223783631558125</v>
      </c>
      <c r="V128" s="679">
        <v>0.19584000000000001</v>
      </c>
      <c r="X128" s="303">
        <v>72</v>
      </c>
      <c r="Y128" s="161">
        <v>0.76517836315581134</v>
      </c>
      <c r="Z128" s="291">
        <v>-0.26495999999999986</v>
      </c>
      <c r="AG128" s="466">
        <v>1</v>
      </c>
      <c r="AH128" s="471">
        <v>3.0304329762465883</v>
      </c>
      <c r="AI128" s="468">
        <v>-1.3680144254648865</v>
      </c>
      <c r="AJ128" s="313">
        <f t="shared" si="2"/>
        <v>-13.680144254648866</v>
      </c>
      <c r="AK128" s="313">
        <f t="shared" si="3"/>
        <v>-1.3680144254648865</v>
      </c>
      <c r="AL128" s="284"/>
      <c r="AM128" s="267"/>
      <c r="AN128" s="291"/>
      <c r="AO128" s="282"/>
      <c r="AP128" s="161"/>
      <c r="AQ128" s="291"/>
      <c r="AR128" s="282"/>
      <c r="AS128" s="161"/>
      <c r="AT128" s="291"/>
    </row>
    <row r="129" spans="1:46">
      <c r="A129" s="299">
        <v>41689</v>
      </c>
      <c r="B129" s="282">
        <f t="shared" si="4"/>
        <v>73</v>
      </c>
      <c r="C129" s="268"/>
      <c r="D129" s="291"/>
      <c r="E129" s="267">
        <v>0.67544443542099919</v>
      </c>
      <c r="F129" s="291"/>
      <c r="G129" s="161">
        <v>1.1658444354209991</v>
      </c>
      <c r="H129" s="679">
        <v>-0.13852799999999998</v>
      </c>
      <c r="I129" s="161">
        <v>0.69674443542099906</v>
      </c>
      <c r="J129" s="291">
        <v>-1.1664000000000003</v>
      </c>
      <c r="L129" s="303"/>
      <c r="M129" s="291"/>
      <c r="P129" s="303"/>
      <c r="Q129" s="267"/>
      <c r="R129" s="291"/>
      <c r="T129" s="303">
        <v>73</v>
      </c>
      <c r="U129" s="161">
        <v>1.2017894124865713</v>
      </c>
      <c r="V129" s="679">
        <v>0.52127999999999997</v>
      </c>
      <c r="X129" s="303">
        <v>73</v>
      </c>
      <c r="Y129" s="161">
        <v>0.74098941248656969</v>
      </c>
      <c r="Z129" s="291">
        <v>0.71711999999999998</v>
      </c>
      <c r="AG129" s="466">
        <v>1</v>
      </c>
      <c r="AH129" s="471">
        <v>2.9937524038752907</v>
      </c>
      <c r="AI129" s="468">
        <v>-1.2104046493505392</v>
      </c>
      <c r="AJ129" s="313">
        <f t="shared" si="2"/>
        <v>-12.104046493505392</v>
      </c>
      <c r="AK129" s="313">
        <f t="shared" si="3"/>
        <v>-1.2104046493505392</v>
      </c>
      <c r="AL129" s="284"/>
      <c r="AM129" s="267"/>
      <c r="AN129" s="291"/>
      <c r="AO129" s="282"/>
      <c r="AP129" s="161"/>
      <c r="AQ129" s="291"/>
      <c r="AR129" s="282"/>
      <c r="AS129" s="161"/>
      <c r="AT129" s="291"/>
    </row>
    <row r="130" spans="1:46">
      <c r="A130" s="299">
        <v>41690</v>
      </c>
      <c r="B130" s="282">
        <f t="shared" si="4"/>
        <v>74</v>
      </c>
      <c r="C130" s="268">
        <v>0</v>
      </c>
      <c r="D130" s="291"/>
      <c r="E130" s="267">
        <v>0.67470271125802994</v>
      </c>
      <c r="F130" s="291"/>
      <c r="G130" s="161">
        <v>1.1438027112580298</v>
      </c>
      <c r="H130" s="679">
        <v>3.0095999999999901E-2</v>
      </c>
      <c r="I130" s="161">
        <v>0.67210271125803045</v>
      </c>
      <c r="J130" s="291">
        <v>14.347606644081701</v>
      </c>
      <c r="L130" s="303"/>
      <c r="M130" s="291"/>
      <c r="P130" s="303"/>
      <c r="Q130" s="267"/>
      <c r="R130" s="291"/>
      <c r="T130" s="303">
        <v>74</v>
      </c>
      <c r="U130" s="161">
        <v>1.1800295043240081</v>
      </c>
      <c r="V130" s="679">
        <v>7.6608000000000231E-3</v>
      </c>
      <c r="X130" s="303">
        <v>74</v>
      </c>
      <c r="Y130" s="161">
        <v>0.71552950432400797</v>
      </c>
      <c r="Z130" s="291">
        <v>0.28224000000000005</v>
      </c>
      <c r="AG130" s="466">
        <v>1</v>
      </c>
      <c r="AH130" s="471">
        <v>2.9368771477230093</v>
      </c>
      <c r="AI130" s="468">
        <v>-0.88937211276340511</v>
      </c>
      <c r="AJ130" s="313">
        <f t="shared" si="2"/>
        <v>-8.893721127634052</v>
      </c>
      <c r="AK130" s="313">
        <f t="shared" si="3"/>
        <v>-0.88937211276340511</v>
      </c>
      <c r="AL130" s="284"/>
      <c r="AM130" s="267"/>
      <c r="AN130" s="291"/>
      <c r="AO130" s="282"/>
      <c r="AP130" s="161"/>
      <c r="AQ130" s="297"/>
      <c r="AR130" s="282"/>
      <c r="AS130" s="161"/>
      <c r="AT130" s="291"/>
    </row>
    <row r="131" spans="1:46">
      <c r="A131" s="299">
        <v>41691</v>
      </c>
      <c r="B131" s="282">
        <f t="shared" si="4"/>
        <v>75</v>
      </c>
      <c r="C131" s="268">
        <v>0</v>
      </c>
      <c r="D131" s="291"/>
      <c r="E131" s="267">
        <v>0.67712664481721219</v>
      </c>
      <c r="F131" s="291"/>
      <c r="G131" s="161">
        <v>1.1231266448172126</v>
      </c>
      <c r="H131" s="679">
        <v>0.16847999999999996</v>
      </c>
      <c r="I131" s="161">
        <v>0.52862664481721344</v>
      </c>
      <c r="J131" s="291">
        <v>6.7684048993264412</v>
      </c>
      <c r="L131" s="303"/>
      <c r="M131" s="291"/>
      <c r="P131" s="303"/>
      <c r="Q131" s="267"/>
      <c r="R131" s="291"/>
      <c r="T131" s="303">
        <v>75</v>
      </c>
      <c r="U131" s="161">
        <v>1.1658444354209991</v>
      </c>
      <c r="V131" s="679">
        <v>-0.13852799999999998</v>
      </c>
      <c r="X131" s="303">
        <v>75</v>
      </c>
      <c r="Y131" s="161">
        <v>0.69674443542099906</v>
      </c>
      <c r="Z131" s="291">
        <v>-1.1664000000000003</v>
      </c>
      <c r="AG131" s="466">
        <v>1</v>
      </c>
      <c r="AH131" s="471">
        <v>2.7828161938040874</v>
      </c>
      <c r="AI131" s="468">
        <v>-1.1686428406674434</v>
      </c>
      <c r="AJ131" s="313">
        <f t="shared" si="2"/>
        <v>-11.686428406674434</v>
      </c>
      <c r="AK131" s="313">
        <f t="shared" si="3"/>
        <v>-1.1686428406674434</v>
      </c>
      <c r="AL131" s="284"/>
      <c r="AM131" s="267"/>
      <c r="AN131" s="291"/>
      <c r="AO131" s="282"/>
      <c r="AP131" s="161"/>
      <c r="AQ131" s="297"/>
      <c r="AR131" s="282"/>
      <c r="AS131" s="161"/>
      <c r="AT131" s="291"/>
    </row>
    <row r="132" spans="1:46">
      <c r="A132" s="300"/>
      <c r="B132" s="287"/>
      <c r="C132" s="267"/>
      <c r="D132" s="236"/>
      <c r="E132" s="267"/>
      <c r="F132" s="236"/>
      <c r="G132" s="269"/>
      <c r="H132" s="236"/>
      <c r="I132" s="269"/>
      <c r="J132" s="236"/>
      <c r="L132" s="304"/>
      <c r="M132" s="291"/>
      <c r="P132" s="304"/>
      <c r="Q132" s="267"/>
      <c r="R132" s="236"/>
      <c r="T132" s="304"/>
      <c r="U132" s="161"/>
      <c r="V132" s="679"/>
      <c r="Y132" s="161"/>
      <c r="Z132" s="291"/>
      <c r="AG132" s="466">
        <v>1</v>
      </c>
      <c r="AH132" s="471">
        <v>2.681026623669982</v>
      </c>
      <c r="AI132" s="468">
        <v>0.70398147285115398</v>
      </c>
      <c r="AJ132" s="313">
        <f t="shared" si="2"/>
        <v>7.0398147285115398</v>
      </c>
      <c r="AK132" s="313">
        <f t="shared" si="3"/>
        <v>0.70398147285115398</v>
      </c>
    </row>
    <row r="133" spans="1:46">
      <c r="A133" s="300"/>
      <c r="B133" s="288"/>
      <c r="C133" s="267"/>
      <c r="D133" s="134"/>
      <c r="E133" s="267"/>
      <c r="F133" s="134"/>
      <c r="G133" s="269"/>
      <c r="H133" s="134"/>
      <c r="I133" s="267"/>
      <c r="J133" s="134"/>
      <c r="L133" s="303"/>
      <c r="M133" s="291"/>
      <c r="P133" s="303"/>
      <c r="Q133" s="267"/>
      <c r="R133" s="134"/>
      <c r="T133" s="303"/>
      <c r="U133" s="161"/>
      <c r="V133" s="679"/>
      <c r="Y133" s="161"/>
      <c r="Z133" s="291"/>
      <c r="AG133" s="466">
        <v>1</v>
      </c>
      <c r="AH133" s="471">
        <v>2.808250769200066</v>
      </c>
      <c r="AI133" s="468">
        <v>1.1754038743129986</v>
      </c>
      <c r="AJ133" s="313">
        <f t="shared" si="2"/>
        <v>11.754038743129986</v>
      </c>
      <c r="AK133" s="313">
        <f t="shared" si="3"/>
        <v>0</v>
      </c>
    </row>
    <row r="134" spans="1:46">
      <c r="A134" s="300"/>
      <c r="B134" s="288"/>
      <c r="C134" s="267"/>
      <c r="D134" s="134"/>
      <c r="E134" s="267"/>
      <c r="F134" s="134"/>
      <c r="G134" s="269"/>
      <c r="H134" s="134"/>
      <c r="I134" s="267"/>
      <c r="J134" s="134"/>
      <c r="L134" s="304"/>
      <c r="M134" s="291"/>
      <c r="P134" s="304"/>
      <c r="Q134" s="267"/>
      <c r="R134" s="134"/>
      <c r="T134" s="304"/>
      <c r="U134" s="269"/>
      <c r="V134" s="134"/>
      <c r="Y134" s="267"/>
      <c r="Z134" s="134"/>
      <c r="AG134" s="466">
        <v>1</v>
      </c>
      <c r="AH134" s="471">
        <v>2.6826257992832949</v>
      </c>
      <c r="AI134" s="468">
        <v>0.94155290821139204</v>
      </c>
      <c r="AJ134" s="313">
        <f t="shared" si="2"/>
        <v>9.4155290821139204</v>
      </c>
      <c r="AK134" s="313">
        <f t="shared" si="3"/>
        <v>0</v>
      </c>
    </row>
    <row r="135" spans="1:46">
      <c r="A135" s="300"/>
      <c r="B135" s="288"/>
      <c r="C135" s="267"/>
      <c r="D135" s="134"/>
      <c r="E135" s="267"/>
      <c r="F135" s="134"/>
      <c r="G135" s="269"/>
      <c r="H135" s="134"/>
      <c r="I135" s="267"/>
      <c r="J135" s="134"/>
      <c r="L135" s="303"/>
      <c r="M135" s="291"/>
      <c r="P135" s="303"/>
      <c r="Q135" s="267"/>
      <c r="R135" s="134"/>
      <c r="T135" s="303"/>
      <c r="U135" s="269"/>
      <c r="V135" s="134"/>
      <c r="Y135" s="267"/>
      <c r="Z135" s="134"/>
      <c r="AG135" s="466">
        <v>2</v>
      </c>
      <c r="AH135" s="471">
        <v>3.2055503382091852</v>
      </c>
      <c r="AI135" s="468">
        <v>2.0995878358815263</v>
      </c>
      <c r="AJ135" s="313">
        <f t="shared" ref="AJ135:AJ198" si="5">AI135*10</f>
        <v>20.995878358815261</v>
      </c>
      <c r="AK135" s="313">
        <f t="shared" ref="AK135:AK198" si="6">IF(AI135&lt;0.94,AI135,0)</f>
        <v>0</v>
      </c>
    </row>
    <row r="136" spans="1:46">
      <c r="A136" s="300"/>
      <c r="B136" s="288"/>
      <c r="C136" s="267"/>
      <c r="D136" s="236"/>
      <c r="E136" s="267"/>
      <c r="F136" s="236"/>
      <c r="G136" s="269"/>
      <c r="H136" s="236"/>
      <c r="I136" s="267"/>
      <c r="J136" s="236"/>
      <c r="L136" s="304"/>
      <c r="M136" s="291"/>
      <c r="P136" s="304"/>
      <c r="Q136" s="267"/>
      <c r="R136" s="236"/>
      <c r="T136" s="304"/>
      <c r="U136" s="269"/>
      <c r="V136" s="236"/>
      <c r="Y136" s="267"/>
      <c r="Z136" s="236"/>
      <c r="AG136" s="466">
        <v>2</v>
      </c>
      <c r="AH136" s="471">
        <v>2.9495194843017631</v>
      </c>
      <c r="AI136" s="468">
        <v>-0.53587281932828912</v>
      </c>
      <c r="AJ136" s="313">
        <f t="shared" si="5"/>
        <v>-5.3587281932828912</v>
      </c>
      <c r="AK136" s="313">
        <f t="shared" si="6"/>
        <v>-0.53587281932828912</v>
      </c>
    </row>
    <row r="137" spans="1:46">
      <c r="A137" s="300"/>
      <c r="B137" s="288"/>
      <c r="C137" s="267"/>
      <c r="D137" s="134"/>
      <c r="E137" s="267"/>
      <c r="F137" s="134"/>
      <c r="G137" s="269"/>
      <c r="H137" s="134"/>
      <c r="I137" s="267"/>
      <c r="J137" s="134"/>
      <c r="L137" s="303"/>
      <c r="M137" s="291"/>
      <c r="P137" s="303"/>
      <c r="Q137" s="267"/>
      <c r="R137" s="134"/>
      <c r="T137" s="303"/>
      <c r="U137" s="269"/>
      <c r="V137" s="134"/>
      <c r="Y137" s="267"/>
      <c r="Z137" s="134"/>
      <c r="AG137" s="466">
        <v>2</v>
      </c>
      <c r="AH137" s="471">
        <v>2.7604955413438126</v>
      </c>
      <c r="AI137" s="468">
        <v>-1.0361936377015302</v>
      </c>
      <c r="AJ137" s="313">
        <f t="shared" si="5"/>
        <v>-10.361936377015301</v>
      </c>
      <c r="AK137" s="313">
        <f t="shared" si="6"/>
        <v>-1.0361936377015302</v>
      </c>
    </row>
    <row r="138" spans="1:46">
      <c r="A138" s="300"/>
      <c r="B138" s="288"/>
      <c r="C138" s="267"/>
      <c r="D138" s="134"/>
      <c r="E138" s="267"/>
      <c r="F138" s="134"/>
      <c r="G138" s="269"/>
      <c r="H138" s="134"/>
      <c r="I138" s="267"/>
      <c r="J138" s="134"/>
      <c r="L138" s="304"/>
      <c r="M138" s="291"/>
      <c r="P138" s="304"/>
      <c r="Q138" s="267"/>
      <c r="R138" s="134"/>
      <c r="T138" s="304"/>
      <c r="U138" s="269"/>
      <c r="V138" s="134"/>
      <c r="Y138" s="267"/>
      <c r="Z138" s="134"/>
      <c r="AG138" s="466">
        <v>2</v>
      </c>
      <c r="AH138" s="471">
        <v>2.6427783584564284</v>
      </c>
      <c r="AI138" s="468"/>
      <c r="AJ138" s="313"/>
      <c r="AK138" s="313">
        <f t="shared" si="6"/>
        <v>0</v>
      </c>
    </row>
    <row r="139" spans="1:46">
      <c r="A139" s="300"/>
      <c r="B139" s="288"/>
      <c r="C139" s="267"/>
      <c r="D139" s="134"/>
      <c r="E139" s="267"/>
      <c r="F139" s="134"/>
      <c r="G139" s="269"/>
      <c r="H139" s="134"/>
      <c r="I139" s="267"/>
      <c r="J139" s="134"/>
      <c r="L139" s="303"/>
      <c r="M139" s="291"/>
      <c r="P139" s="303"/>
      <c r="Q139" s="267"/>
      <c r="R139" s="134"/>
      <c r="T139" s="303"/>
      <c r="U139" s="269"/>
      <c r="V139" s="134"/>
      <c r="Y139" s="267"/>
      <c r="Z139" s="134"/>
      <c r="AG139" s="466">
        <v>2</v>
      </c>
      <c r="AH139" s="471">
        <v>2.797992491013344</v>
      </c>
      <c r="AI139" s="468">
        <v>0.37484086430000274</v>
      </c>
      <c r="AJ139" s="313">
        <f t="shared" si="5"/>
        <v>3.7484086430000274</v>
      </c>
      <c r="AK139" s="313">
        <f t="shared" si="6"/>
        <v>0.37484086430000274</v>
      </c>
    </row>
    <row r="140" spans="1:46">
      <c r="A140" s="300"/>
      <c r="B140" s="288"/>
      <c r="C140" s="267"/>
      <c r="D140" s="134"/>
      <c r="E140" s="267"/>
      <c r="F140" s="134"/>
      <c r="G140" s="269"/>
      <c r="H140" s="134"/>
      <c r="I140" s="267"/>
      <c r="J140" s="134"/>
      <c r="L140" s="303"/>
      <c r="M140" s="291"/>
      <c r="P140" s="303"/>
      <c r="Q140" s="267"/>
      <c r="R140" s="134"/>
      <c r="T140" s="303"/>
      <c r="U140" s="269"/>
      <c r="V140" s="134"/>
      <c r="Y140" s="267"/>
      <c r="Z140" s="134"/>
      <c r="AG140" s="466">
        <v>2</v>
      </c>
      <c r="AH140" s="471">
        <v>2.6472350043176198</v>
      </c>
      <c r="AI140" s="468">
        <v>1.1261992430409951</v>
      </c>
      <c r="AJ140" s="313">
        <f t="shared" si="5"/>
        <v>11.261992430409951</v>
      </c>
      <c r="AK140" s="313">
        <f t="shared" si="6"/>
        <v>0</v>
      </c>
    </row>
    <row r="141" spans="1:46">
      <c r="A141" s="300"/>
      <c r="B141" s="288"/>
      <c r="C141" s="267"/>
      <c r="D141" s="134"/>
      <c r="E141" s="267"/>
      <c r="F141" s="134"/>
      <c r="G141" s="269"/>
      <c r="H141" s="134"/>
      <c r="I141" s="267"/>
      <c r="J141" s="134"/>
      <c r="L141" s="303"/>
      <c r="M141" s="291"/>
      <c r="P141" s="303"/>
      <c r="Q141" s="267"/>
      <c r="R141" s="134"/>
      <c r="T141" s="303"/>
      <c r="U141" s="269"/>
      <c r="V141" s="134"/>
      <c r="Y141" s="267"/>
      <c r="Z141" s="134"/>
      <c r="AG141" s="466">
        <v>3</v>
      </c>
      <c r="AH141" s="471">
        <v>3.2147947052086621</v>
      </c>
      <c r="AI141" s="468">
        <v>0.54195406509585409</v>
      </c>
      <c r="AJ141" s="313">
        <f t="shared" si="5"/>
        <v>5.4195406509585409</v>
      </c>
      <c r="AK141" s="313">
        <f t="shared" si="6"/>
        <v>0.54195406509585409</v>
      </c>
    </row>
    <row r="142" spans="1:46">
      <c r="A142" s="300"/>
      <c r="B142" s="288"/>
      <c r="C142" s="267"/>
      <c r="D142" s="134"/>
      <c r="E142" s="267"/>
      <c r="F142" s="134"/>
      <c r="G142" s="269"/>
      <c r="H142" s="134"/>
      <c r="I142" s="267"/>
      <c r="J142" s="134"/>
      <c r="L142" s="303"/>
      <c r="M142" s="291"/>
      <c r="P142" s="303"/>
      <c r="Q142" s="267"/>
      <c r="R142" s="134"/>
      <c r="T142" s="303"/>
      <c r="U142" s="269"/>
      <c r="V142" s="134"/>
      <c r="Y142" s="267"/>
      <c r="Z142" s="134"/>
      <c r="AG142" s="466">
        <v>3</v>
      </c>
      <c r="AH142" s="471">
        <v>2.9404288895585302</v>
      </c>
      <c r="AI142" s="468">
        <v>-1.0553182171193645</v>
      </c>
      <c r="AJ142" s="313">
        <f t="shared" si="5"/>
        <v>-10.553182171193644</v>
      </c>
      <c r="AK142" s="313">
        <f t="shared" si="6"/>
        <v>-1.0553182171193645</v>
      </c>
    </row>
    <row r="143" spans="1:46">
      <c r="A143" s="300"/>
      <c r="B143" s="288"/>
      <c r="C143" s="267"/>
      <c r="D143" s="134"/>
      <c r="E143" s="267"/>
      <c r="F143" s="134"/>
      <c r="G143" s="269"/>
      <c r="H143" s="134"/>
      <c r="I143" s="267"/>
      <c r="J143" s="134"/>
      <c r="L143" s="303"/>
      <c r="M143" s="291"/>
      <c r="P143" s="303"/>
      <c r="Q143" s="267"/>
      <c r="R143" s="134"/>
      <c r="T143" s="303"/>
      <c r="U143" s="269"/>
      <c r="V143" s="134"/>
      <c r="Y143" s="267"/>
      <c r="Z143" s="134"/>
      <c r="AG143" s="466">
        <v>3</v>
      </c>
      <c r="AH143" s="471">
        <v>2.7414748912332292</v>
      </c>
      <c r="AI143" s="468">
        <v>-0.83841064212432936</v>
      </c>
      <c r="AJ143" s="313">
        <f t="shared" si="5"/>
        <v>-8.3841064212432936</v>
      </c>
      <c r="AK143" s="313">
        <f t="shared" si="6"/>
        <v>-0.83841064212432936</v>
      </c>
    </row>
    <row r="144" spans="1:46">
      <c r="A144" s="300"/>
      <c r="B144" s="288"/>
      <c r="C144" s="267"/>
      <c r="D144" s="134"/>
      <c r="E144" s="267"/>
      <c r="F144" s="134"/>
      <c r="G144" s="269"/>
      <c r="H144" s="134"/>
      <c r="I144" s="267"/>
      <c r="J144" s="134"/>
      <c r="L144" s="303"/>
      <c r="M144" s="291"/>
      <c r="P144" s="303"/>
      <c r="Q144" s="267"/>
      <c r="R144" s="134"/>
      <c r="T144" s="303"/>
      <c r="U144" s="269"/>
      <c r="V144" s="134"/>
      <c r="Y144" s="267"/>
      <c r="Z144" s="134"/>
      <c r="AG144" s="466">
        <v>3</v>
      </c>
      <c r="AH144" s="471">
        <v>3.1592730516361818</v>
      </c>
      <c r="AI144" s="468">
        <v>-1.3860916966695789</v>
      </c>
      <c r="AJ144" s="313">
        <f t="shared" si="5"/>
        <v>-13.86091696669579</v>
      </c>
      <c r="AK144" s="313">
        <f t="shared" si="6"/>
        <v>-1.3860916966695789</v>
      </c>
    </row>
    <row r="145" spans="1:37">
      <c r="A145" s="300"/>
      <c r="B145" s="288"/>
      <c r="C145" s="267"/>
      <c r="D145" s="134"/>
      <c r="E145" s="267"/>
      <c r="F145" s="134"/>
      <c r="G145" s="269"/>
      <c r="H145" s="134"/>
      <c r="I145" s="267"/>
      <c r="J145" s="134"/>
      <c r="L145" s="303"/>
      <c r="M145" s="291"/>
      <c r="P145" s="303"/>
      <c r="Q145" s="267"/>
      <c r="R145" s="134"/>
      <c r="T145" s="303"/>
      <c r="U145" s="269"/>
      <c r="V145" s="134"/>
      <c r="Y145" s="267"/>
      <c r="Z145" s="134"/>
      <c r="AG145" s="466">
        <v>3</v>
      </c>
      <c r="AH145" s="471">
        <v>2.7761663033140755</v>
      </c>
      <c r="AI145" s="468">
        <v>4.3422390507913633E-2</v>
      </c>
      <c r="AJ145" s="313">
        <f t="shared" si="5"/>
        <v>0.43422390507913633</v>
      </c>
      <c r="AK145" s="313">
        <f t="shared" si="6"/>
        <v>4.3422390507913633E-2</v>
      </c>
    </row>
    <row r="146" spans="1:37">
      <c r="L146" s="303"/>
      <c r="M146" s="291"/>
      <c r="P146" s="303"/>
      <c r="T146" s="303"/>
      <c r="AG146" s="466">
        <v>3</v>
      </c>
      <c r="AH146" s="471">
        <v>2.6114703853027499</v>
      </c>
      <c r="AI146" s="468">
        <v>0.89764269989083001</v>
      </c>
      <c r="AJ146" s="313">
        <f t="shared" si="5"/>
        <v>8.9764269989083001</v>
      </c>
      <c r="AK146" s="313">
        <f t="shared" si="6"/>
        <v>0.89764269989083001</v>
      </c>
    </row>
    <row r="147" spans="1:37">
      <c r="L147" s="303"/>
      <c r="M147" s="291"/>
      <c r="P147" s="303"/>
      <c r="T147" s="303"/>
      <c r="AG147" s="466">
        <v>4</v>
      </c>
      <c r="AH147" s="471">
        <v>3.179992455767962</v>
      </c>
      <c r="AI147" s="468">
        <v>-0.81316758730067118</v>
      </c>
      <c r="AJ147" s="313">
        <f t="shared" si="5"/>
        <v>-8.1316758730067118</v>
      </c>
      <c r="AK147" s="313">
        <f t="shared" si="6"/>
        <v>-0.81316758730067118</v>
      </c>
    </row>
    <row r="148" spans="1:37">
      <c r="L148" s="303"/>
      <c r="M148" s="291"/>
      <c r="P148" s="303"/>
      <c r="T148" s="303"/>
      <c r="AG148" s="466">
        <v>4</v>
      </c>
      <c r="AH148" s="471">
        <v>2.9189530186407686</v>
      </c>
      <c r="AI148" s="468">
        <v>-1.4934827979861893</v>
      </c>
      <c r="AJ148" s="313">
        <f t="shared" si="5"/>
        <v>-14.934827979861893</v>
      </c>
      <c r="AK148" s="313">
        <f t="shared" si="6"/>
        <v>-1.4934827979861893</v>
      </c>
    </row>
    <row r="149" spans="1:37">
      <c r="L149" s="303"/>
      <c r="M149" s="291"/>
      <c r="P149" s="303"/>
      <c r="T149" s="303"/>
      <c r="AG149" s="466">
        <v>4</v>
      </c>
      <c r="AH149" s="471">
        <v>3.1414814440322778</v>
      </c>
      <c r="AI149" s="468">
        <v>-0.80755960410805105</v>
      </c>
      <c r="AJ149" s="313">
        <f t="shared" si="5"/>
        <v>-8.0755960410805105</v>
      </c>
      <c r="AK149" s="313">
        <f t="shared" si="6"/>
        <v>-0.80755960410805105</v>
      </c>
    </row>
    <row r="150" spans="1:37">
      <c r="L150" s="303"/>
      <c r="M150" s="291"/>
      <c r="P150" s="303"/>
      <c r="T150" s="303"/>
      <c r="AG150" s="466">
        <v>4</v>
      </c>
      <c r="AH150" s="471">
        <v>2.7505693677426968</v>
      </c>
      <c r="AI150" s="468">
        <v>-0.51649129679547023</v>
      </c>
      <c r="AJ150" s="313">
        <f t="shared" si="5"/>
        <v>-5.1649129679547023</v>
      </c>
      <c r="AK150" s="313">
        <f t="shared" si="6"/>
        <v>-0.51649129679547023</v>
      </c>
    </row>
    <row r="151" spans="1:37">
      <c r="L151" s="303"/>
      <c r="M151" s="291"/>
      <c r="P151" s="303"/>
      <c r="T151" s="303"/>
      <c r="AG151" s="466">
        <v>4</v>
      </c>
      <c r="AH151" s="471">
        <v>2.5763358193055388</v>
      </c>
      <c r="AI151" s="468">
        <v>1.1287018854340647</v>
      </c>
      <c r="AJ151" s="313">
        <f t="shared" si="5"/>
        <v>11.287018854340648</v>
      </c>
      <c r="AK151" s="313">
        <f t="shared" si="6"/>
        <v>0</v>
      </c>
    </row>
    <row r="152" spans="1:37">
      <c r="L152" s="303"/>
      <c r="M152" s="291"/>
      <c r="P152" s="303"/>
      <c r="T152" s="303"/>
      <c r="AG152" s="466">
        <v>5</v>
      </c>
      <c r="AH152" s="471">
        <v>3.1485337677375855</v>
      </c>
      <c r="AI152" s="468">
        <v>-1.8394531847439834</v>
      </c>
      <c r="AJ152" s="313">
        <f t="shared" si="5"/>
        <v>-18.394531847439836</v>
      </c>
      <c r="AK152" s="313">
        <f t="shared" si="6"/>
        <v>-1.8394531847439834</v>
      </c>
    </row>
    <row r="153" spans="1:37">
      <c r="L153" s="303"/>
      <c r="M153" s="291"/>
      <c r="P153" s="303"/>
      <c r="T153" s="303"/>
      <c r="AG153" s="489">
        <v>5</v>
      </c>
      <c r="AH153" s="471">
        <v>2.8968487199818074</v>
      </c>
      <c r="AI153" s="468">
        <v>-0.54631381358665632</v>
      </c>
      <c r="AJ153" s="313">
        <f t="shared" si="5"/>
        <v>-5.4631381358665632</v>
      </c>
      <c r="AK153" s="313">
        <f t="shared" si="6"/>
        <v>-0.54631381358665632</v>
      </c>
    </row>
    <row r="154" spans="1:37">
      <c r="L154" s="303"/>
      <c r="M154" s="291"/>
      <c r="P154" s="303"/>
      <c r="T154" s="303"/>
      <c r="AG154" s="489">
        <v>5</v>
      </c>
      <c r="AH154" s="471">
        <v>3.1183401297129616</v>
      </c>
      <c r="AI154" s="468">
        <v>-0.3798904867642765</v>
      </c>
      <c r="AJ154" s="313">
        <f t="shared" si="5"/>
        <v>-3.798904867642765</v>
      </c>
      <c r="AK154" s="313">
        <f t="shared" si="6"/>
        <v>-0.3798904867642765</v>
      </c>
    </row>
    <row r="155" spans="1:37">
      <c r="L155" s="303"/>
      <c r="M155" s="291"/>
      <c r="P155" s="303"/>
      <c r="T155" s="303"/>
      <c r="AG155" s="466">
        <v>5</v>
      </c>
      <c r="AH155" s="471">
        <v>2.539699628031872</v>
      </c>
      <c r="AI155" s="468">
        <v>1.1547139143188097</v>
      </c>
      <c r="AJ155" s="313">
        <f t="shared" si="5"/>
        <v>11.547139143188097</v>
      </c>
      <c r="AK155" s="313">
        <f t="shared" si="6"/>
        <v>0</v>
      </c>
    </row>
    <row r="156" spans="1:37">
      <c r="L156" s="303"/>
      <c r="M156" s="291"/>
      <c r="P156" s="303"/>
      <c r="T156" s="303"/>
      <c r="AG156" s="466">
        <v>6</v>
      </c>
      <c r="AH156" s="471">
        <v>3.1297229280280372</v>
      </c>
      <c r="AI156" s="468">
        <v>-2.4695976845197039</v>
      </c>
      <c r="AJ156" s="313">
        <f t="shared" si="5"/>
        <v>-24.695976845197038</v>
      </c>
      <c r="AK156" s="313">
        <f t="shared" si="6"/>
        <v>-2.4695976845197039</v>
      </c>
    </row>
    <row r="157" spans="1:37">
      <c r="L157" s="303"/>
      <c r="M157" s="291"/>
      <c r="P157" s="303"/>
      <c r="T157" s="303"/>
      <c r="AG157" s="466">
        <v>6</v>
      </c>
      <c r="AH157" s="471">
        <v>2.8724953411213714</v>
      </c>
      <c r="AI157" s="468">
        <v>-0.80884284270011353</v>
      </c>
      <c r="AJ157" s="313">
        <f t="shared" si="5"/>
        <v>-8.0884284270011353</v>
      </c>
      <c r="AK157" s="313">
        <f t="shared" si="6"/>
        <v>-0.80884284270011353</v>
      </c>
    </row>
    <row r="158" spans="1:37">
      <c r="L158" s="303"/>
      <c r="M158" s="291"/>
      <c r="P158" s="303"/>
      <c r="T158" s="303"/>
      <c r="AG158" s="466">
        <v>6</v>
      </c>
      <c r="AH158" s="471">
        <v>3.0934155743392249</v>
      </c>
      <c r="AI158" s="468">
        <v>-9.5686504933702565E-2</v>
      </c>
      <c r="AJ158" s="313">
        <f t="shared" si="5"/>
        <v>-0.95686504933702565</v>
      </c>
      <c r="AK158" s="313">
        <f t="shared" si="6"/>
        <v>-9.5686504933702565E-2</v>
      </c>
    </row>
    <row r="159" spans="1:37">
      <c r="L159" s="303"/>
      <c r="M159" s="291"/>
      <c r="P159" s="303"/>
      <c r="T159" s="303"/>
      <c r="AG159" s="466">
        <v>6</v>
      </c>
      <c r="AH159" s="471">
        <v>2.5019202734430688</v>
      </c>
      <c r="AI159" s="468">
        <v>-2.2781676565297966</v>
      </c>
      <c r="AJ159" s="313">
        <f t="shared" si="5"/>
        <v>-22.781676565297964</v>
      </c>
      <c r="AK159" s="313">
        <f t="shared" si="6"/>
        <v>-2.2781676565297966</v>
      </c>
    </row>
    <row r="160" spans="1:37">
      <c r="L160" s="303"/>
      <c r="M160" s="291"/>
      <c r="P160" s="303"/>
      <c r="T160" s="303"/>
      <c r="AG160" s="466">
        <v>7</v>
      </c>
      <c r="AH160" s="471">
        <v>3.1196341775812395</v>
      </c>
      <c r="AI160" s="468">
        <v>-1.0651381288299109</v>
      </c>
      <c r="AJ160" s="313">
        <f t="shared" si="5"/>
        <v>-10.65138128829911</v>
      </c>
      <c r="AK160" s="313">
        <f t="shared" si="6"/>
        <v>-1.0651381288299109</v>
      </c>
    </row>
    <row r="161" spans="12:37">
      <c r="L161" s="303"/>
      <c r="M161" s="291"/>
      <c r="P161" s="303"/>
      <c r="T161" s="303"/>
      <c r="AG161" s="466">
        <v>7</v>
      </c>
      <c r="AH161" s="471">
        <v>2.8491184455944807</v>
      </c>
      <c r="AI161" s="468">
        <v>-0.56831329959123922</v>
      </c>
      <c r="AJ161" s="313">
        <f t="shared" si="5"/>
        <v>-5.6831329959123922</v>
      </c>
      <c r="AK161" s="313">
        <f t="shared" si="6"/>
        <v>-0.56831329959123922</v>
      </c>
    </row>
    <row r="162" spans="12:37">
      <c r="L162" s="303"/>
      <c r="M162" s="291"/>
      <c r="P162" s="303"/>
      <c r="T162" s="303"/>
      <c r="AG162" s="466">
        <v>7</v>
      </c>
      <c r="AH162" s="471">
        <v>3.0679272337360763</v>
      </c>
      <c r="AI162" s="468">
        <v>-0.31456925909300182</v>
      </c>
      <c r="AJ162" s="313">
        <f t="shared" si="5"/>
        <v>-3.1456925909300182</v>
      </c>
      <c r="AK162" s="313">
        <f t="shared" si="6"/>
        <v>-0.31456925909300182</v>
      </c>
    </row>
    <row r="163" spans="12:37">
      <c r="L163" s="303"/>
      <c r="M163" s="291"/>
      <c r="P163" s="303"/>
      <c r="T163" s="303"/>
      <c r="AG163" s="466">
        <v>7</v>
      </c>
      <c r="AH163" s="471">
        <v>2.4986572820543489</v>
      </c>
      <c r="AI163" s="468">
        <v>-5.0349999742444318</v>
      </c>
      <c r="AJ163" s="313">
        <f t="shared" si="5"/>
        <v>-50.349999742444318</v>
      </c>
      <c r="AK163" s="313">
        <f t="shared" si="6"/>
        <v>-5.0349999742444318</v>
      </c>
    </row>
    <row r="164" spans="12:37">
      <c r="L164" s="303"/>
      <c r="M164" s="291"/>
      <c r="P164" s="303"/>
      <c r="T164" s="303"/>
      <c r="AG164" s="466">
        <v>8</v>
      </c>
      <c r="AH164" s="471">
        <v>3.0979409376518041</v>
      </c>
      <c r="AI164" s="468">
        <v>-0.59892787746201748</v>
      </c>
      <c r="AJ164" s="313">
        <f t="shared" si="5"/>
        <v>-5.9892787746201748</v>
      </c>
      <c r="AK164" s="313">
        <f t="shared" si="6"/>
        <v>-0.59892787746201748</v>
      </c>
    </row>
    <row r="165" spans="12:37">
      <c r="L165" s="303"/>
      <c r="M165" s="291"/>
      <c r="P165" s="303"/>
      <c r="T165" s="303"/>
      <c r="AG165" s="466">
        <v>8</v>
      </c>
      <c r="AH165" s="471">
        <v>3.0416720246773585</v>
      </c>
      <c r="AI165" s="468">
        <v>-0.3020030762041106</v>
      </c>
      <c r="AJ165" s="313">
        <f t="shared" si="5"/>
        <v>-3.020030762041106</v>
      </c>
      <c r="AK165" s="313">
        <f t="shared" si="6"/>
        <v>-0.3020030762041106</v>
      </c>
    </row>
    <row r="166" spans="12:37">
      <c r="L166" s="303"/>
      <c r="M166" s="291"/>
      <c r="P166" s="303"/>
      <c r="T166" s="303"/>
      <c r="AG166" s="466">
        <v>8</v>
      </c>
      <c r="AH166" s="471">
        <v>2.5224521919043883</v>
      </c>
      <c r="AI166" s="468">
        <v>-0.49042285873313674</v>
      </c>
      <c r="AJ166" s="313">
        <f t="shared" si="5"/>
        <v>-4.9042285873313674</v>
      </c>
      <c r="AK166" s="313">
        <f t="shared" si="6"/>
        <v>-0.49042285873313674</v>
      </c>
    </row>
    <row r="167" spans="12:37">
      <c r="L167" s="303"/>
      <c r="M167" s="291"/>
      <c r="P167" s="303"/>
      <c r="T167" s="303"/>
      <c r="AG167" s="466">
        <v>9</v>
      </c>
      <c r="AH167" s="471">
        <v>3.0740098576753261</v>
      </c>
      <c r="AI167" s="468">
        <v>-0.18437699289918186</v>
      </c>
      <c r="AJ167" s="313">
        <f t="shared" si="5"/>
        <v>-1.8437699289918186</v>
      </c>
      <c r="AK167" s="313">
        <f t="shared" si="6"/>
        <v>-0.18437699289918186</v>
      </c>
    </row>
    <row r="168" spans="12:37">
      <c r="L168" s="303"/>
      <c r="M168" s="291"/>
      <c r="P168" s="303"/>
      <c r="T168" s="303"/>
      <c r="AG168" s="466">
        <v>9</v>
      </c>
      <c r="AH168" s="471">
        <v>3.0159231540970928</v>
      </c>
      <c r="AI168" s="468">
        <v>-0.55699775531487106</v>
      </c>
      <c r="AJ168" s="313">
        <f t="shared" si="5"/>
        <v>-5.5699775531487106</v>
      </c>
      <c r="AK168" s="313">
        <f t="shared" si="6"/>
        <v>-0.55699775531487106</v>
      </c>
    </row>
    <row r="169" spans="12:37">
      <c r="L169" s="303"/>
      <c r="M169" s="291"/>
      <c r="P169" s="303"/>
      <c r="T169" s="303"/>
      <c r="AG169" s="466">
        <v>9</v>
      </c>
      <c r="AH169" s="471">
        <v>2.500216203202855</v>
      </c>
      <c r="AI169" s="468">
        <v>-0.26824852694965351</v>
      </c>
      <c r="AJ169" s="313">
        <f t="shared" si="5"/>
        <v>-2.6824852694965351</v>
      </c>
      <c r="AK169" s="313">
        <f t="shared" si="6"/>
        <v>-0.26824852694965351</v>
      </c>
    </row>
    <row r="170" spans="12:37">
      <c r="L170" s="303"/>
      <c r="M170" s="291"/>
      <c r="P170" s="303"/>
      <c r="T170" s="303"/>
      <c r="AG170" s="489">
        <v>10</v>
      </c>
      <c r="AH170" s="471">
        <v>2.9912139537621534</v>
      </c>
      <c r="AI170" s="468">
        <v>-0.58996450647456555</v>
      </c>
      <c r="AJ170" s="313">
        <f t="shared" si="5"/>
        <v>-5.8996450647456555</v>
      </c>
      <c r="AK170" s="313">
        <f t="shared" si="6"/>
        <v>-0.58996450647456555</v>
      </c>
    </row>
    <row r="171" spans="12:37">
      <c r="L171" s="303"/>
      <c r="M171" s="291"/>
      <c r="P171" s="303"/>
      <c r="T171" s="303"/>
      <c r="AG171" s="466">
        <v>10</v>
      </c>
      <c r="AH171" s="471">
        <v>2.4751452457095353</v>
      </c>
      <c r="AI171" s="468">
        <v>0.2357336890413686</v>
      </c>
      <c r="AJ171" s="313">
        <f t="shared" si="5"/>
        <v>2.357336890413686</v>
      </c>
      <c r="AK171" s="313">
        <f t="shared" si="6"/>
        <v>0.2357336890413686</v>
      </c>
    </row>
    <row r="172" spans="12:37">
      <c r="L172" s="303"/>
      <c r="M172" s="291"/>
      <c r="P172" s="303"/>
      <c r="T172" s="303"/>
      <c r="AG172" s="466">
        <v>11</v>
      </c>
      <c r="AH172" s="471">
        <v>2.9665722295991848</v>
      </c>
      <c r="AI172" s="468">
        <v>-0.35767398137029938</v>
      </c>
      <c r="AJ172" s="313">
        <f t="shared" si="5"/>
        <v>-3.5767398137029938</v>
      </c>
      <c r="AK172" s="313">
        <f t="shared" si="6"/>
        <v>-0.35767398137029938</v>
      </c>
    </row>
    <row r="173" spans="12:37">
      <c r="L173" s="303"/>
      <c r="M173" s="291"/>
      <c r="P173" s="303"/>
      <c r="T173" s="303"/>
      <c r="AG173" s="466">
        <v>11</v>
      </c>
      <c r="AH173" s="471">
        <v>2.4447566978348667</v>
      </c>
      <c r="AI173" s="468">
        <v>9.6746017342390633E-2</v>
      </c>
      <c r="AJ173" s="313">
        <f t="shared" si="5"/>
        <v>0.96746017342390633</v>
      </c>
      <c r="AK173" s="313">
        <f t="shared" si="6"/>
        <v>9.6746017342390633E-2</v>
      </c>
    </row>
    <row r="174" spans="12:37">
      <c r="L174" s="303"/>
      <c r="M174" s="291"/>
      <c r="P174" s="303"/>
      <c r="T174" s="303"/>
      <c r="AG174" s="466">
        <v>12</v>
      </c>
      <c r="AH174" s="471">
        <v>2.9412587306052838</v>
      </c>
      <c r="AI174" s="468">
        <v>-0.45512925890862688</v>
      </c>
      <c r="AJ174" s="313">
        <f t="shared" si="5"/>
        <v>-4.5512925890862688</v>
      </c>
      <c r="AK174" s="313">
        <f t="shared" si="6"/>
        <v>-0.45512925890862688</v>
      </c>
    </row>
    <row r="175" spans="12:37">
      <c r="L175" s="303"/>
      <c r="M175" s="291"/>
      <c r="P175" s="303"/>
      <c r="T175" s="303"/>
      <c r="AG175" s="466">
        <v>12</v>
      </c>
      <c r="AH175" s="471">
        <v>2.4068575104730967</v>
      </c>
      <c r="AI175" s="468">
        <v>1.1696818889693983</v>
      </c>
      <c r="AJ175" s="313">
        <f t="shared" si="5"/>
        <v>11.696818889693983</v>
      </c>
      <c r="AK175" s="313">
        <f t="shared" si="6"/>
        <v>0</v>
      </c>
    </row>
    <row r="176" spans="12:37">
      <c r="L176" s="303"/>
      <c r="M176" s="291"/>
      <c r="P176" s="303"/>
      <c r="T176" s="303"/>
      <c r="AG176" s="466">
        <v>13</v>
      </c>
      <c r="AH176" s="471">
        <v>2.9136634391078959</v>
      </c>
      <c r="AI176" s="468">
        <v>-0.37774367011921406</v>
      </c>
      <c r="AJ176" s="313">
        <f t="shared" si="5"/>
        <v>-3.7774367011921406</v>
      </c>
      <c r="AK176" s="313">
        <f t="shared" si="6"/>
        <v>-0.37774367011921406</v>
      </c>
    </row>
    <row r="177" spans="12:37">
      <c r="L177" s="303"/>
      <c r="M177" s="291"/>
      <c r="P177" s="303"/>
      <c r="T177" s="303"/>
      <c r="AG177" s="466">
        <v>13</v>
      </c>
      <c r="AH177" s="471">
        <v>2.3701082253497936</v>
      </c>
      <c r="AI177" s="468">
        <v>1.5622743532361145</v>
      </c>
      <c r="AJ177" s="313">
        <f t="shared" si="5"/>
        <v>15.622743532361145</v>
      </c>
      <c r="AK177" s="313">
        <f t="shared" si="6"/>
        <v>0</v>
      </c>
    </row>
    <row r="178" spans="12:37">
      <c r="L178" s="303"/>
      <c r="M178" s="291"/>
      <c r="P178" s="303"/>
      <c r="T178" s="303"/>
      <c r="AG178" s="466">
        <v>14</v>
      </c>
      <c r="AH178" s="471">
        <v>2.3149875728895206</v>
      </c>
      <c r="AI178" s="468">
        <v>5.262614024707073</v>
      </c>
      <c r="AJ178" s="313">
        <f t="shared" si="5"/>
        <v>52.62614024707073</v>
      </c>
      <c r="AK178" s="313">
        <f t="shared" si="6"/>
        <v>0</v>
      </c>
    </row>
    <row r="179" spans="12:37">
      <c r="L179" s="303"/>
      <c r="M179" s="291"/>
      <c r="P179" s="303"/>
      <c r="T179" s="303"/>
      <c r="AG179" s="466">
        <v>15</v>
      </c>
      <c r="AH179" s="471">
        <v>2.2296288895585294</v>
      </c>
      <c r="AI179" s="468">
        <v>6.0837632906680676</v>
      </c>
      <c r="AJ179" s="313">
        <f t="shared" si="5"/>
        <v>60.837632906680675</v>
      </c>
      <c r="AK179" s="313">
        <f t="shared" si="6"/>
        <v>0</v>
      </c>
    </row>
    <row r="180" spans="12:37">
      <c r="L180" s="303"/>
      <c r="M180" s="291"/>
      <c r="P180" s="303"/>
      <c r="T180" s="303"/>
      <c r="AG180" s="311">
        <v>1</v>
      </c>
      <c r="AH180" s="312">
        <v>3.0868947052086626</v>
      </c>
      <c r="AI180" s="313">
        <v>1.4154516202041334</v>
      </c>
      <c r="AJ180" s="313">
        <f t="shared" si="5"/>
        <v>14.154516202041334</v>
      </c>
      <c r="AK180" s="313">
        <f t="shared" si="6"/>
        <v>0</v>
      </c>
    </row>
    <row r="181" spans="12:37">
      <c r="L181" s="303"/>
      <c r="M181" s="291"/>
      <c r="P181" s="303"/>
      <c r="T181" s="303"/>
      <c r="AG181" s="311">
        <v>1</v>
      </c>
      <c r="AH181" s="312">
        <v>2.6960524038752909</v>
      </c>
      <c r="AI181" s="313">
        <v>0.90354307632750341</v>
      </c>
      <c r="AJ181" s="313">
        <f t="shared" si="5"/>
        <v>9.0354307632750341</v>
      </c>
      <c r="AK181" s="313">
        <f t="shared" si="6"/>
        <v>0.90354307632750341</v>
      </c>
    </row>
    <row r="182" spans="12:37">
      <c r="L182" s="303"/>
      <c r="M182" s="291"/>
      <c r="P182" s="303"/>
      <c r="T182" s="303"/>
      <c r="AG182" s="311">
        <v>1</v>
      </c>
      <c r="AH182" s="312">
        <v>2.6246802121516297</v>
      </c>
      <c r="AI182" s="313">
        <v>0.70477947891964465</v>
      </c>
      <c r="AJ182" s="313">
        <f t="shared" si="5"/>
        <v>7.0477947891964465</v>
      </c>
      <c r="AK182" s="313">
        <f t="shared" si="6"/>
        <v>0.70477947891964465</v>
      </c>
    </row>
    <row r="183" spans="12:37">
      <c r="L183" s="303"/>
      <c r="M183" s="291"/>
      <c r="P183" s="303"/>
      <c r="T183" s="303"/>
      <c r="AG183" s="311">
        <v>1</v>
      </c>
      <c r="AH183" s="312">
        <v>2.6013288895585291</v>
      </c>
      <c r="AI183" s="313">
        <v>0.92837845983527378</v>
      </c>
      <c r="AJ183" s="313">
        <f t="shared" si="5"/>
        <v>9.2837845983527387</v>
      </c>
      <c r="AK183" s="313">
        <f t="shared" si="6"/>
        <v>0.92837845983527378</v>
      </c>
    </row>
    <row r="184" spans="12:37">
      <c r="L184" s="303"/>
      <c r="M184" s="291"/>
      <c r="P184" s="303"/>
      <c r="T184" s="303"/>
      <c r="AG184" s="311">
        <v>1</v>
      </c>
      <c r="AH184" s="312">
        <v>2.3232748912332295</v>
      </c>
      <c r="AI184" s="313">
        <v>1.2969365667025636</v>
      </c>
      <c r="AJ184" s="313">
        <f t="shared" si="5"/>
        <v>12.969365667025636</v>
      </c>
      <c r="AK184" s="313">
        <f t="shared" si="6"/>
        <v>0</v>
      </c>
    </row>
    <row r="185" spans="12:37">
      <c r="L185" s="303"/>
      <c r="M185" s="291"/>
      <c r="P185" s="303"/>
      <c r="T185" s="303"/>
      <c r="AG185" s="311">
        <v>1</v>
      </c>
      <c r="AH185" s="312">
        <v>2.2556730516361818</v>
      </c>
      <c r="AI185" s="313">
        <v>1.5723226922029543</v>
      </c>
      <c r="AJ185" s="313">
        <f t="shared" si="5"/>
        <v>15.723226922029543</v>
      </c>
      <c r="AK185" s="313">
        <f t="shared" si="6"/>
        <v>0</v>
      </c>
    </row>
    <row r="186" spans="12:37">
      <c r="L186" s="303"/>
      <c r="M186" s="291"/>
      <c r="P186" s="303"/>
      <c r="T186" s="303"/>
      <c r="AG186" s="311">
        <v>1</v>
      </c>
      <c r="AH186" s="312">
        <v>1.5979663033140761</v>
      </c>
      <c r="AI186" s="313">
        <v>0.8999968063649697</v>
      </c>
      <c r="AJ186" s="313">
        <f t="shared" si="5"/>
        <v>8.9999680636496961</v>
      </c>
      <c r="AK186" s="313">
        <f t="shared" si="6"/>
        <v>0.8999968063649697</v>
      </c>
    </row>
    <row r="187" spans="12:37">
      <c r="L187" s="303"/>
      <c r="M187" s="291"/>
      <c r="P187" s="303"/>
      <c r="T187" s="303"/>
      <c r="AG187" s="314">
        <v>1</v>
      </c>
      <c r="AH187" s="312">
        <v>1.4483703853027508</v>
      </c>
      <c r="AI187" s="313">
        <v>0.62344630833039139</v>
      </c>
      <c r="AJ187" s="313">
        <f t="shared" si="5"/>
        <v>6.2344630833039139</v>
      </c>
      <c r="AK187" s="313">
        <f t="shared" si="6"/>
        <v>0.62344630833039139</v>
      </c>
    </row>
    <row r="188" spans="12:37">
      <c r="L188" s="303"/>
      <c r="M188" s="291"/>
      <c r="P188" s="303"/>
      <c r="T188" s="303"/>
      <c r="AG188" s="311">
        <v>2</v>
      </c>
      <c r="AH188" s="312">
        <v>3.0421924557679625</v>
      </c>
      <c r="AI188" s="313">
        <v>1.2480904203521725</v>
      </c>
      <c r="AJ188" s="313">
        <f t="shared" si="5"/>
        <v>12.480904203521725</v>
      </c>
      <c r="AK188" s="313">
        <f t="shared" si="6"/>
        <v>0</v>
      </c>
    </row>
    <row r="189" spans="12:37">
      <c r="L189" s="303"/>
      <c r="M189" s="291"/>
      <c r="P189" s="303"/>
      <c r="T189" s="303"/>
      <c r="AG189" s="311">
        <v>2</v>
      </c>
      <c r="AH189" s="312">
        <v>2.56585301864077</v>
      </c>
      <c r="AI189" s="313">
        <v>0.6839133827870354</v>
      </c>
      <c r="AJ189" s="313">
        <f t="shared" si="5"/>
        <v>6.839133827870354</v>
      </c>
      <c r="AK189" s="313">
        <f t="shared" si="6"/>
        <v>0.6839133827870354</v>
      </c>
    </row>
    <row r="190" spans="12:37">
      <c r="L190" s="303"/>
      <c r="M190" s="291"/>
      <c r="P190" s="303"/>
      <c r="T190" s="303"/>
      <c r="AG190" s="311">
        <v>2</v>
      </c>
      <c r="AH190" s="312">
        <v>2.2819939113679717</v>
      </c>
      <c r="AI190" s="313">
        <v>1.6841106005933897</v>
      </c>
      <c r="AJ190" s="313">
        <f t="shared" si="5"/>
        <v>16.841106005933895</v>
      </c>
      <c r="AK190" s="313">
        <f t="shared" si="6"/>
        <v>0</v>
      </c>
    </row>
    <row r="191" spans="12:37">
      <c r="L191" s="303"/>
      <c r="M191" s="291"/>
      <c r="P191" s="303"/>
      <c r="T191" s="303"/>
      <c r="AG191" s="311">
        <v>2</v>
      </c>
      <c r="AH191" s="312">
        <v>2.2130814440322788</v>
      </c>
      <c r="AI191" s="313">
        <v>1.7271546831429982</v>
      </c>
      <c r="AJ191" s="313">
        <f t="shared" si="5"/>
        <v>17.271546831429983</v>
      </c>
      <c r="AK191" s="313">
        <f t="shared" si="6"/>
        <v>0</v>
      </c>
    </row>
    <row r="192" spans="12:37">
      <c r="L192" s="303"/>
      <c r="M192" s="291"/>
      <c r="P192" s="303"/>
      <c r="T192" s="303"/>
      <c r="AG192" s="311">
        <v>2</v>
      </c>
      <c r="AH192" s="312">
        <v>1.567169367742697</v>
      </c>
      <c r="AI192" s="313">
        <v>1.0554734185815757</v>
      </c>
      <c r="AJ192" s="313">
        <f t="shared" si="5"/>
        <v>10.554734185815757</v>
      </c>
      <c r="AK192" s="313">
        <f t="shared" si="6"/>
        <v>0</v>
      </c>
    </row>
    <row r="193" spans="12:37">
      <c r="L193" s="303"/>
      <c r="M193" s="291"/>
      <c r="P193" s="303"/>
      <c r="T193" s="303"/>
      <c r="AG193" s="311">
        <v>2</v>
      </c>
      <c r="AH193" s="312">
        <v>1.4215358193055381</v>
      </c>
      <c r="AI193" s="313">
        <v>0.95809129748864352</v>
      </c>
      <c r="AJ193" s="313">
        <f t="shared" si="5"/>
        <v>9.5809129748864343</v>
      </c>
      <c r="AK193" s="313">
        <f t="shared" si="6"/>
        <v>0</v>
      </c>
    </row>
    <row r="194" spans="12:37">
      <c r="L194" s="303"/>
      <c r="M194" s="291"/>
      <c r="P194" s="303"/>
      <c r="T194" s="303"/>
      <c r="AG194" s="311">
        <v>3</v>
      </c>
      <c r="AH194" s="312">
        <v>2.9996337677375871</v>
      </c>
      <c r="AI194" s="313">
        <v>0.9101579654641454</v>
      </c>
      <c r="AJ194" s="313">
        <f t="shared" si="5"/>
        <v>9.1015796546414549</v>
      </c>
      <c r="AK194" s="313">
        <f t="shared" si="6"/>
        <v>0.9101579654641454</v>
      </c>
    </row>
    <row r="195" spans="12:37">
      <c r="L195" s="303"/>
      <c r="M195" s="291"/>
      <c r="P195" s="303"/>
      <c r="T195" s="303"/>
      <c r="AG195" s="311">
        <v>3</v>
      </c>
      <c r="AH195" s="312">
        <v>2.531948719981806</v>
      </c>
      <c r="AI195" s="313">
        <v>0.5740736246635314</v>
      </c>
      <c r="AJ195" s="313">
        <f t="shared" si="5"/>
        <v>5.740736246635314</v>
      </c>
      <c r="AK195" s="313">
        <f t="shared" si="6"/>
        <v>0.5740736246635314</v>
      </c>
    </row>
    <row r="196" spans="12:37">
      <c r="L196" s="303"/>
      <c r="M196" s="291"/>
      <c r="P196" s="303"/>
      <c r="T196" s="303"/>
      <c r="AG196" s="311">
        <v>3</v>
      </c>
      <c r="AH196" s="312">
        <v>2.2373266236699831</v>
      </c>
      <c r="AI196" s="313">
        <v>1.8385673577457906</v>
      </c>
      <c r="AJ196" s="313">
        <f t="shared" si="5"/>
        <v>18.385673577457908</v>
      </c>
      <c r="AK196" s="313">
        <f t="shared" si="6"/>
        <v>0</v>
      </c>
    </row>
    <row r="197" spans="12:37">
      <c r="L197" s="303"/>
      <c r="M197" s="291"/>
      <c r="P197" s="303"/>
      <c r="T197" s="303"/>
      <c r="AG197" s="311">
        <v>3</v>
      </c>
      <c r="AH197" s="312">
        <v>2.1686401297129607</v>
      </c>
      <c r="AI197" s="313">
        <v>1.9258001675288745</v>
      </c>
      <c r="AJ197" s="313">
        <f t="shared" si="5"/>
        <v>19.258001675288746</v>
      </c>
      <c r="AK197" s="313">
        <f t="shared" si="6"/>
        <v>0</v>
      </c>
    </row>
    <row r="198" spans="12:37">
      <c r="L198" s="303"/>
      <c r="M198" s="291"/>
      <c r="P198" s="303"/>
      <c r="T198" s="303"/>
      <c r="AG198" s="311">
        <v>3</v>
      </c>
      <c r="AH198" s="312">
        <v>1.5350550443621054</v>
      </c>
      <c r="AI198" s="313">
        <v>0.67966510994523821</v>
      </c>
      <c r="AJ198" s="313">
        <f t="shared" si="5"/>
        <v>6.7966510994523821</v>
      </c>
      <c r="AK198" s="313">
        <f t="shared" si="6"/>
        <v>0.67966510994523821</v>
      </c>
    </row>
    <row r="199" spans="12:37">
      <c r="L199" s="303"/>
      <c r="M199" s="291"/>
      <c r="P199" s="303"/>
      <c r="T199" s="303"/>
      <c r="AG199" s="314">
        <v>3</v>
      </c>
      <c r="AH199" s="312">
        <v>1.394499628031872</v>
      </c>
      <c r="AI199" s="313">
        <v>0.75904884507735049</v>
      </c>
      <c r="AJ199" s="313">
        <f t="shared" ref="AJ199:AJ262" si="7">AI199*10</f>
        <v>7.5904884507735044</v>
      </c>
      <c r="AK199" s="313">
        <f t="shared" ref="AK199:AK262" si="8">IF(AI199&lt;0.94,AI199,0)</f>
        <v>0.75904884507735049</v>
      </c>
    </row>
    <row r="200" spans="12:37">
      <c r="L200" s="303"/>
      <c r="M200" s="291"/>
      <c r="P200" s="303"/>
      <c r="T200" s="303"/>
      <c r="AG200" s="311">
        <v>4</v>
      </c>
      <c r="AH200" s="312">
        <v>2.9609229280280371</v>
      </c>
      <c r="AI200" s="313">
        <v>1.6341429045416045</v>
      </c>
      <c r="AJ200" s="313">
        <f t="shared" si="7"/>
        <v>16.341429045416046</v>
      </c>
      <c r="AK200" s="313">
        <f t="shared" si="8"/>
        <v>0</v>
      </c>
    </row>
    <row r="201" spans="12:37">
      <c r="L201" s="303"/>
      <c r="M201" s="291"/>
      <c r="P201" s="303"/>
      <c r="T201" s="303"/>
      <c r="AG201" s="311">
        <v>4</v>
      </c>
      <c r="AH201" s="312">
        <v>2.4993953411213714</v>
      </c>
      <c r="AI201" s="313">
        <v>0.9615609672864438</v>
      </c>
      <c r="AJ201" s="313">
        <f t="shared" si="7"/>
        <v>9.6156096728644371</v>
      </c>
      <c r="AK201" s="313">
        <f t="shared" si="8"/>
        <v>0</v>
      </c>
    </row>
    <row r="202" spans="12:37">
      <c r="L202" s="303"/>
      <c r="M202" s="291"/>
      <c r="P202" s="303"/>
      <c r="T202" s="303"/>
      <c r="AG202" s="311">
        <v>4</v>
      </c>
      <c r="AH202" s="312">
        <v>2.1246155743392241</v>
      </c>
      <c r="AI202" s="313">
        <v>2.8313129909996566</v>
      </c>
      <c r="AJ202" s="313">
        <f t="shared" si="7"/>
        <v>28.313129909996565</v>
      </c>
      <c r="AK202" s="313">
        <f t="shared" si="8"/>
        <v>0</v>
      </c>
    </row>
    <row r="203" spans="12:37">
      <c r="L203" s="303"/>
      <c r="M203" s="291"/>
      <c r="P203" s="303"/>
      <c r="T203" s="303"/>
      <c r="AG203" s="311">
        <v>4</v>
      </c>
      <c r="AH203" s="312">
        <v>1.5037257992832953</v>
      </c>
      <c r="AI203" s="313">
        <v>0.23280580405790197</v>
      </c>
      <c r="AJ203" s="313">
        <f t="shared" si="7"/>
        <v>2.3280580405790197</v>
      </c>
      <c r="AK203" s="313">
        <f t="shared" si="8"/>
        <v>0.23280580405790197</v>
      </c>
    </row>
    <row r="204" spans="12:37">
      <c r="L204" s="303"/>
      <c r="M204" s="291"/>
      <c r="P204" s="303"/>
      <c r="T204" s="303"/>
      <c r="AG204" s="314">
        <v>4</v>
      </c>
      <c r="AH204" s="312">
        <v>1.3708202734430697</v>
      </c>
      <c r="AI204" s="313">
        <v>-1.3251543685711176</v>
      </c>
      <c r="AJ204" s="313">
        <f t="shared" si="7"/>
        <v>-13.251543685711177</v>
      </c>
      <c r="AK204" s="313">
        <f t="shared" si="8"/>
        <v>-1.3251543685711176</v>
      </c>
    </row>
    <row r="205" spans="12:37">
      <c r="L205" s="303"/>
      <c r="M205" s="291"/>
      <c r="P205" s="303"/>
      <c r="T205" s="303"/>
      <c r="AG205" s="311">
        <v>5</v>
      </c>
      <c r="AH205" s="312">
        <v>2.9154341775812385</v>
      </c>
      <c r="AI205" s="313">
        <v>0.913093895886675</v>
      </c>
      <c r="AJ205" s="313">
        <f t="shared" si="7"/>
        <v>9.13093895886675</v>
      </c>
      <c r="AK205" s="313">
        <f t="shared" si="8"/>
        <v>0.913093895886675</v>
      </c>
    </row>
    <row r="206" spans="12:37">
      <c r="L206" s="303"/>
      <c r="M206" s="291"/>
      <c r="P206" s="303"/>
      <c r="T206" s="303"/>
      <c r="AG206" s="311">
        <v>5</v>
      </c>
      <c r="AH206" s="312">
        <v>2.4632184455944803</v>
      </c>
      <c r="AI206" s="313">
        <v>1.2128302897433327</v>
      </c>
      <c r="AJ206" s="313">
        <f t="shared" si="7"/>
        <v>12.128302897433327</v>
      </c>
      <c r="AK206" s="313">
        <f t="shared" si="8"/>
        <v>0</v>
      </c>
    </row>
    <row r="207" spans="12:37">
      <c r="L207" s="303"/>
      <c r="M207" s="291"/>
      <c r="P207" s="303"/>
      <c r="T207" s="303"/>
      <c r="AG207" s="311">
        <v>5</v>
      </c>
      <c r="AH207" s="312">
        <v>2.0702272337360754</v>
      </c>
      <c r="AI207" s="313">
        <v>2.7853442590257771</v>
      </c>
      <c r="AJ207" s="313">
        <f t="shared" si="7"/>
        <v>27.853442590257771</v>
      </c>
      <c r="AK207" s="313">
        <f t="shared" si="8"/>
        <v>0</v>
      </c>
    </row>
    <row r="208" spans="12:37">
      <c r="L208" s="303"/>
      <c r="M208" s="291"/>
      <c r="P208" s="303"/>
      <c r="T208" s="303"/>
      <c r="AG208" s="314">
        <v>5</v>
      </c>
      <c r="AH208" s="312">
        <v>1.3670572820543492</v>
      </c>
      <c r="AI208" s="313">
        <v>-2.5770297340586223</v>
      </c>
      <c r="AJ208" s="313">
        <f t="shared" si="7"/>
        <v>-25.770297340586225</v>
      </c>
      <c r="AK208" s="313">
        <f t="shared" si="8"/>
        <v>-2.5770297340586223</v>
      </c>
    </row>
    <row r="209" spans="12:40">
      <c r="L209" s="303"/>
      <c r="M209" s="291"/>
      <c r="P209" s="303"/>
      <c r="T209" s="303"/>
      <c r="AG209" s="311">
        <v>6</v>
      </c>
      <c r="AH209" s="312">
        <v>2.8776409376518033</v>
      </c>
      <c r="AI209" s="313">
        <v>0.93359198423635403</v>
      </c>
      <c r="AJ209" s="313">
        <f t="shared" si="7"/>
        <v>9.3359198423635412</v>
      </c>
      <c r="AK209" s="313">
        <f t="shared" si="8"/>
        <v>0.93359198423635403</v>
      </c>
    </row>
    <row r="210" spans="12:40">
      <c r="L210" s="303"/>
      <c r="M210" s="291"/>
      <c r="P210" s="303"/>
      <c r="T210" s="303"/>
      <c r="AG210" s="311">
        <v>6</v>
      </c>
      <c r="AH210" s="312">
        <v>2.4248004524185611</v>
      </c>
      <c r="AI210" s="313">
        <v>1.0866267822689588</v>
      </c>
      <c r="AJ210" s="313">
        <f t="shared" si="7"/>
        <v>10.866267822689588</v>
      </c>
      <c r="AK210" s="313">
        <f t="shared" si="8"/>
        <v>0</v>
      </c>
    </row>
    <row r="211" spans="12:40">
      <c r="L211" s="303"/>
      <c r="M211" s="291"/>
      <c r="P211" s="303"/>
      <c r="T211" s="303"/>
      <c r="AG211" s="311">
        <v>6</v>
      </c>
      <c r="AH211" s="312">
        <v>2.0150720246773575</v>
      </c>
      <c r="AI211" s="313">
        <v>1.9248494432963237</v>
      </c>
      <c r="AJ211" s="313">
        <f t="shared" si="7"/>
        <v>19.248494432963238</v>
      </c>
      <c r="AK211" s="313">
        <f t="shared" si="8"/>
        <v>0</v>
      </c>
    </row>
    <row r="212" spans="12:40">
      <c r="L212" s="303"/>
      <c r="M212" s="291"/>
      <c r="P212" s="303"/>
      <c r="T212" s="303"/>
      <c r="AG212" s="311">
        <v>6</v>
      </c>
      <c r="AH212" s="312">
        <v>1.3745521919043875</v>
      </c>
      <c r="AI212" s="313">
        <v>0.92055386043178222</v>
      </c>
      <c r="AJ212" s="313">
        <f t="shared" si="7"/>
        <v>9.2055386043178231</v>
      </c>
      <c r="AK212" s="313">
        <f t="shared" si="8"/>
        <v>0.92055386043178222</v>
      </c>
    </row>
    <row r="213" spans="12:40">
      <c r="L213" s="303"/>
      <c r="M213" s="291"/>
      <c r="P213" s="303"/>
      <c r="T213" s="303"/>
      <c r="AG213" s="311">
        <v>7</v>
      </c>
      <c r="AH213" s="312">
        <v>2.8401098576753268</v>
      </c>
      <c r="AI213" s="313">
        <v>1.2573000756535802</v>
      </c>
      <c r="AJ213" s="313">
        <f t="shared" si="7"/>
        <v>12.573000756535802</v>
      </c>
      <c r="AK213" s="313">
        <f t="shared" si="8"/>
        <v>0</v>
      </c>
    </row>
    <row r="214" spans="12:40">
      <c r="L214" s="303"/>
      <c r="M214" s="291"/>
      <c r="P214" s="303"/>
      <c r="T214" s="303"/>
      <c r="AG214" s="311">
        <v>7</v>
      </c>
      <c r="AH214" s="312">
        <v>2.3878161938040869</v>
      </c>
      <c r="AI214" s="313">
        <v>1.1469914943837574</v>
      </c>
      <c r="AJ214" s="313">
        <f t="shared" si="7"/>
        <v>11.469914943837573</v>
      </c>
      <c r="AK214" s="313">
        <f t="shared" si="8"/>
        <v>0</v>
      </c>
    </row>
    <row r="215" spans="12:40">
      <c r="L215" s="303"/>
      <c r="M215" s="291"/>
      <c r="P215" s="303"/>
      <c r="T215" s="303"/>
      <c r="AG215" s="311">
        <v>7</v>
      </c>
      <c r="AH215" s="312">
        <v>1.9673231540970932</v>
      </c>
      <c r="AI215" s="313">
        <v>2.0564767384894242</v>
      </c>
      <c r="AJ215" s="313">
        <f t="shared" si="7"/>
        <v>20.564767384894242</v>
      </c>
      <c r="AK215" s="313">
        <f t="shared" si="8"/>
        <v>0</v>
      </c>
    </row>
    <row r="216" spans="12:40">
      <c r="L216" s="303"/>
      <c r="M216" s="291"/>
      <c r="P216" s="303"/>
      <c r="T216" s="303"/>
      <c r="AG216" s="311">
        <v>7</v>
      </c>
      <c r="AH216" s="312">
        <v>1.3461162032028562</v>
      </c>
      <c r="AI216" s="313">
        <v>0.87132815394478991</v>
      </c>
      <c r="AJ216" s="313">
        <f t="shared" si="7"/>
        <v>8.7132815394478982</v>
      </c>
      <c r="AK216" s="313">
        <f t="shared" si="8"/>
        <v>0.87132815394478991</v>
      </c>
    </row>
    <row r="217" spans="12:40">
      <c r="L217" s="303"/>
      <c r="M217" s="291"/>
      <c r="P217" s="303"/>
      <c r="T217" s="303"/>
      <c r="AG217" s="311">
        <v>8</v>
      </c>
      <c r="AH217" s="312">
        <v>2.7989624191981517</v>
      </c>
      <c r="AI217" s="313">
        <v>0.92911168399625987</v>
      </c>
      <c r="AJ217" s="313">
        <f t="shared" si="7"/>
        <v>9.2911168399625979</v>
      </c>
      <c r="AK217" s="313">
        <f t="shared" si="8"/>
        <v>0.92911168399625987</v>
      </c>
    </row>
    <row r="218" spans="12:40">
      <c r="L218" s="303"/>
      <c r="M218" s="291"/>
      <c r="P218" s="303"/>
      <c r="T218" s="303"/>
      <c r="AG218" s="311">
        <v>8</v>
      </c>
      <c r="AH218" s="312">
        <v>1.919013953762152</v>
      </c>
      <c r="AI218" s="313">
        <v>2.4721938495631433</v>
      </c>
      <c r="AJ218" s="313">
        <f t="shared" si="7"/>
        <v>24.721938495631434</v>
      </c>
      <c r="AK218" s="313">
        <f t="shared" si="8"/>
        <v>0</v>
      </c>
      <c r="AM218" t="s">
        <v>103</v>
      </c>
    </row>
    <row r="219" spans="12:40">
      <c r="L219" s="303"/>
      <c r="M219" s="291"/>
      <c r="P219" s="303"/>
      <c r="T219" s="303"/>
      <c r="AG219" s="311">
        <v>8</v>
      </c>
      <c r="AH219" s="312">
        <v>1.3168452457095339</v>
      </c>
      <c r="AI219" s="313">
        <v>0.89640674203299264</v>
      </c>
      <c r="AJ219" s="313">
        <f t="shared" si="7"/>
        <v>8.9640674203299255</v>
      </c>
      <c r="AK219" s="313">
        <f t="shared" si="8"/>
        <v>0.89640674203299264</v>
      </c>
      <c r="AM219" t="e">
        <f t="array" ref="AM219:AN223">LINEST(AI219:AI407,AH219:AH407,TRUE,TRUE)</f>
        <v>#VALUE!</v>
      </c>
      <c r="AN219" t="e">
        <v>#VALUE!</v>
      </c>
    </row>
    <row r="220" spans="12:40">
      <c r="L220" s="303"/>
      <c r="M220" s="291"/>
      <c r="P220" s="303"/>
      <c r="T220" s="303"/>
      <c r="AG220" s="311">
        <v>9</v>
      </c>
      <c r="AH220" s="312">
        <v>2.7607329762465871</v>
      </c>
      <c r="AI220" s="313">
        <v>0.91881907975527088</v>
      </c>
      <c r="AJ220" s="313">
        <f t="shared" si="7"/>
        <v>9.1881907975527088</v>
      </c>
      <c r="AK220" s="313">
        <f t="shared" si="8"/>
        <v>0.91881907975527088</v>
      </c>
      <c r="AM220" t="e">
        <v>#VALUE!</v>
      </c>
      <c r="AN220" t="e">
        <v>#VALUE!</v>
      </c>
    </row>
    <row r="221" spans="12:40">
      <c r="L221" s="303"/>
      <c r="M221" s="291"/>
      <c r="P221" s="303"/>
      <c r="T221" s="303"/>
      <c r="AG221" s="311">
        <v>9</v>
      </c>
      <c r="AH221" s="312">
        <v>1.8739722295991847</v>
      </c>
      <c r="AI221" s="313">
        <v>1.1410251786160979</v>
      </c>
      <c r="AJ221" s="313">
        <f t="shared" si="7"/>
        <v>11.410251786160979</v>
      </c>
      <c r="AK221" s="313">
        <f t="shared" si="8"/>
        <v>0</v>
      </c>
      <c r="AM221" t="e">
        <v>#VALUE!</v>
      </c>
      <c r="AN221" t="e">
        <v>#VALUE!</v>
      </c>
    </row>
    <row r="222" spans="12:40">
      <c r="L222" s="303"/>
      <c r="M222" s="291"/>
      <c r="P222" s="303"/>
      <c r="T222" s="303"/>
      <c r="AG222" s="311">
        <v>9</v>
      </c>
      <c r="AH222" s="312">
        <v>1.2877566978348676</v>
      </c>
      <c r="AI222" s="313">
        <v>0.70789213415719754</v>
      </c>
      <c r="AJ222" s="313">
        <f t="shared" si="7"/>
        <v>7.0789213415719754</v>
      </c>
      <c r="AK222" s="313">
        <f t="shared" si="8"/>
        <v>0.70789213415719754</v>
      </c>
      <c r="AM222" t="e">
        <v>#VALUE!</v>
      </c>
      <c r="AN222" t="e">
        <v>#VALUE!</v>
      </c>
    </row>
    <row r="223" spans="12:40">
      <c r="L223" s="303"/>
      <c r="M223" s="291"/>
      <c r="P223" s="303"/>
      <c r="T223" s="303"/>
      <c r="AG223" s="311">
        <v>10</v>
      </c>
      <c r="AH223" s="312">
        <v>1.8367587306052831</v>
      </c>
      <c r="AI223" s="313">
        <v>1.4178522630184323</v>
      </c>
      <c r="AJ223" s="313">
        <f t="shared" si="7"/>
        <v>14.178522630184322</v>
      </c>
      <c r="AK223" s="313">
        <f t="shared" si="8"/>
        <v>0</v>
      </c>
      <c r="AM223" t="e">
        <v>#VALUE!</v>
      </c>
      <c r="AN223" t="e">
        <v>#VALUE!</v>
      </c>
    </row>
    <row r="224" spans="12:40">
      <c r="L224" s="303"/>
      <c r="M224" s="291"/>
      <c r="P224" s="303"/>
      <c r="T224" s="303"/>
      <c r="AG224" s="311">
        <v>10</v>
      </c>
      <c r="AH224" s="312">
        <v>1.2599575104730953</v>
      </c>
      <c r="AI224" s="313">
        <v>0.83642274920172532</v>
      </c>
      <c r="AJ224" s="313">
        <f t="shared" si="7"/>
        <v>8.3642274920172532</v>
      </c>
      <c r="AK224" s="313">
        <f t="shared" si="8"/>
        <v>0.83642274920172532</v>
      </c>
    </row>
    <row r="225" spans="12:37">
      <c r="L225" s="303"/>
      <c r="M225" s="291"/>
      <c r="P225" s="303"/>
      <c r="T225" s="303"/>
      <c r="AG225" s="311">
        <v>11</v>
      </c>
      <c r="AH225" s="312">
        <v>1.7994634391078965</v>
      </c>
      <c r="AI225" s="313">
        <v>0.80350280149195719</v>
      </c>
      <c r="AJ225" s="313">
        <f t="shared" si="7"/>
        <v>8.0350280149195719</v>
      </c>
      <c r="AK225" s="313">
        <f t="shared" si="8"/>
        <v>0.80350280149195719</v>
      </c>
    </row>
    <row r="226" spans="12:37">
      <c r="L226" s="303"/>
      <c r="M226" s="291"/>
      <c r="P226" s="303"/>
      <c r="T226" s="303"/>
      <c r="AG226" s="311">
        <v>11</v>
      </c>
      <c r="AH226" s="312">
        <v>1.2310082253497936</v>
      </c>
      <c r="AI226" s="313">
        <v>0.5959488818825418</v>
      </c>
      <c r="AJ226" s="313">
        <f t="shared" si="7"/>
        <v>5.9594888188254185</v>
      </c>
      <c r="AK226" s="313">
        <f t="shared" si="8"/>
        <v>0.5959488818825418</v>
      </c>
    </row>
    <row r="227" spans="12:37">
      <c r="L227" s="303"/>
      <c r="M227" s="291"/>
      <c r="P227" s="303"/>
      <c r="T227" s="303"/>
      <c r="AG227" s="311">
        <v>12</v>
      </c>
      <c r="AH227" s="312">
        <v>1.7632726488416055</v>
      </c>
      <c r="AI227" s="313">
        <v>1.0393431137677616</v>
      </c>
      <c r="AJ227" s="313">
        <f t="shared" si="7"/>
        <v>10.393431137677617</v>
      </c>
      <c r="AK227" s="313">
        <f t="shared" si="8"/>
        <v>0</v>
      </c>
    </row>
    <row r="228" spans="12:37">
      <c r="L228" s="303"/>
      <c r="M228" s="291"/>
      <c r="P228" s="303"/>
      <c r="T228" s="303"/>
      <c r="AG228" s="311">
        <v>12</v>
      </c>
      <c r="AH228" s="312">
        <v>1.2057875728895202</v>
      </c>
      <c r="AI228" s="313">
        <v>0.56622401522079313</v>
      </c>
      <c r="AJ228" s="313">
        <f t="shared" si="7"/>
        <v>5.6622401522079313</v>
      </c>
      <c r="AK228" s="313">
        <f t="shared" si="8"/>
        <v>0.56622401522079313</v>
      </c>
    </row>
    <row r="229" spans="12:37">
      <c r="L229" s="303"/>
      <c r="M229" s="291"/>
      <c r="P229" s="303"/>
      <c r="T229" s="303"/>
      <c r="AG229" s="311">
        <v>13</v>
      </c>
      <c r="AH229" s="312">
        <v>1.7149452480592271</v>
      </c>
      <c r="AI229" s="313">
        <v>1.7035418375885922</v>
      </c>
      <c r="AJ229" s="313">
        <f t="shared" si="7"/>
        <v>17.035418375885921</v>
      </c>
      <c r="AK229" s="313">
        <f t="shared" si="8"/>
        <v>0</v>
      </c>
    </row>
    <row r="230" spans="12:37">
      <c r="L230" s="303"/>
      <c r="M230" s="291"/>
      <c r="P230" s="303"/>
      <c r="T230" s="303"/>
      <c r="AG230" s="311">
        <v>13</v>
      </c>
      <c r="AH230" s="312">
        <v>1.1813288895585292</v>
      </c>
      <c r="AI230" s="313">
        <v>0.60938117859142316</v>
      </c>
      <c r="AJ230" s="313">
        <f t="shared" si="7"/>
        <v>6.093811785914232</v>
      </c>
      <c r="AK230" s="313">
        <f t="shared" si="8"/>
        <v>0.60938117859142316</v>
      </c>
    </row>
    <row r="231" spans="12:37">
      <c r="L231" s="303"/>
      <c r="M231" s="291"/>
      <c r="P231" s="303"/>
      <c r="T231" s="303"/>
      <c r="AG231" s="311">
        <v>14</v>
      </c>
      <c r="AH231" s="312">
        <v>1.1558933107006486</v>
      </c>
      <c r="AI231" s="313">
        <v>1.1015175688425534</v>
      </c>
      <c r="AJ231" s="313">
        <f t="shared" si="7"/>
        <v>11.015175688425533</v>
      </c>
      <c r="AK231" s="313">
        <f t="shared" si="8"/>
        <v>0</v>
      </c>
    </row>
    <row r="232" spans="12:37">
      <c r="L232" s="303"/>
      <c r="M232" s="291"/>
      <c r="P232" s="303"/>
      <c r="T232" s="303"/>
      <c r="AG232" s="311">
        <v>15</v>
      </c>
      <c r="AH232" s="312">
        <v>1.1294738854216377</v>
      </c>
      <c r="AI232" s="313">
        <v>0.56947444958647386</v>
      </c>
      <c r="AJ232" s="313">
        <f t="shared" si="7"/>
        <v>5.6947444958647386</v>
      </c>
      <c r="AK232" s="313">
        <f t="shared" si="8"/>
        <v>0.56947444958647386</v>
      </c>
    </row>
    <row r="233" spans="12:37">
      <c r="L233" s="303"/>
      <c r="M233" s="291"/>
      <c r="P233" s="303"/>
      <c r="T233" s="303"/>
      <c r="AG233" s="311">
        <v>16</v>
      </c>
      <c r="AH233" s="312">
        <v>1.1028156048852229</v>
      </c>
      <c r="AI233" s="313">
        <v>0.39303599212226015</v>
      </c>
      <c r="AJ233" s="313">
        <f t="shared" si="7"/>
        <v>3.9303599212226015</v>
      </c>
      <c r="AK233" s="313">
        <f t="shared" si="8"/>
        <v>0.39303599212226015</v>
      </c>
    </row>
    <row r="234" spans="12:37">
      <c r="L234" s="303"/>
      <c r="M234" s="291"/>
      <c r="P234" s="303"/>
      <c r="T234" s="303"/>
      <c r="AG234" s="311">
        <v>17</v>
      </c>
      <c r="AH234" s="312">
        <v>1.0784434202106383</v>
      </c>
      <c r="AI234" s="313">
        <v>0.5057443635654395</v>
      </c>
      <c r="AJ234" s="313">
        <f t="shared" si="7"/>
        <v>5.057443635654395</v>
      </c>
      <c r="AK234" s="313">
        <f t="shared" si="8"/>
        <v>0.5057443635654395</v>
      </c>
    </row>
    <row r="235" spans="12:37">
      <c r="L235" s="303"/>
      <c r="M235" s="291"/>
      <c r="P235" s="303"/>
      <c r="T235" s="303"/>
      <c r="AG235" s="311">
        <v>18</v>
      </c>
      <c r="AH235" s="312">
        <v>1.0514010906809603</v>
      </c>
      <c r="AI235" s="313">
        <v>1.6355713718672651</v>
      </c>
      <c r="AJ235" s="313">
        <f t="shared" si="7"/>
        <v>16.35571371867265</v>
      </c>
      <c r="AK235" s="313">
        <f t="shared" si="8"/>
        <v>0</v>
      </c>
    </row>
    <row r="236" spans="12:37">
      <c r="L236" s="303"/>
      <c r="M236" s="291"/>
      <c r="P236" s="303"/>
      <c r="T236" s="303"/>
      <c r="AG236" s="311">
        <v>19</v>
      </c>
      <c r="AH236" s="312">
        <v>1.0209965847504816</v>
      </c>
      <c r="AI236" s="313">
        <v>0.87777292866804757</v>
      </c>
      <c r="AJ236" s="313">
        <f t="shared" si="7"/>
        <v>8.7777292866804757</v>
      </c>
      <c r="AK236" s="313">
        <f t="shared" si="8"/>
        <v>0.87777292866804757</v>
      </c>
    </row>
    <row r="237" spans="12:37">
      <c r="L237" s="303"/>
      <c r="M237" s="291"/>
      <c r="P237" s="303"/>
      <c r="T237" s="303"/>
      <c r="AG237" s="311">
        <v>20</v>
      </c>
      <c r="AH237" s="312">
        <v>0.99228676730036958</v>
      </c>
      <c r="AI237" s="313">
        <v>0.76843228316337764</v>
      </c>
      <c r="AJ237" s="313">
        <f t="shared" si="7"/>
        <v>7.6843228316337768</v>
      </c>
      <c r="AK237" s="313">
        <f t="shared" si="8"/>
        <v>0.76843228316337764</v>
      </c>
    </row>
    <row r="238" spans="12:37">
      <c r="L238" s="303"/>
      <c r="M238" s="291"/>
      <c r="P238" s="303"/>
      <c r="T238" s="303"/>
      <c r="AG238" s="311">
        <v>21</v>
      </c>
      <c r="AH238" s="312">
        <v>0.96585404559959065</v>
      </c>
      <c r="AI238" s="313">
        <v>0.16242659840085238</v>
      </c>
      <c r="AJ238" s="313">
        <f t="shared" si="7"/>
        <v>1.6242659840085238</v>
      </c>
      <c r="AK238" s="313">
        <f t="shared" si="8"/>
        <v>0.16242659840085238</v>
      </c>
    </row>
    <row r="239" spans="12:37">
      <c r="L239" s="303"/>
      <c r="M239" s="291"/>
      <c r="P239" s="303"/>
      <c r="T239" s="303"/>
      <c r="AG239" s="311">
        <v>22</v>
      </c>
      <c r="AH239" s="312">
        <v>0.94686099884352315</v>
      </c>
      <c r="AI239" s="313">
        <v>0.27139643798940738</v>
      </c>
      <c r="AJ239" s="313">
        <f t="shared" si="7"/>
        <v>2.7139643798940738</v>
      </c>
      <c r="AK239" s="313">
        <f t="shared" si="8"/>
        <v>0.27139643798940738</v>
      </c>
    </row>
    <row r="240" spans="12:37">
      <c r="L240" s="303"/>
      <c r="M240" s="291"/>
      <c r="P240" s="303"/>
      <c r="T240" s="303"/>
      <c r="AG240" s="311">
        <v>23</v>
      </c>
      <c r="AH240" s="312">
        <v>0.92725057132731747</v>
      </c>
      <c r="AI240" s="313">
        <v>-0.2883326986762702</v>
      </c>
      <c r="AJ240" s="313">
        <f t="shared" si="7"/>
        <v>-2.883326986762702</v>
      </c>
      <c r="AK240" s="313">
        <f t="shared" si="8"/>
        <v>-0.2883326986762702</v>
      </c>
    </row>
    <row r="241" spans="12:37">
      <c r="L241" s="303"/>
      <c r="M241" s="291"/>
      <c r="P241" s="303"/>
      <c r="T241" s="303"/>
      <c r="AG241" s="311">
        <v>24</v>
      </c>
      <c r="AH241" s="312">
        <v>0.90683318586779882</v>
      </c>
      <c r="AI241" s="313">
        <v>-0.78232290841960905</v>
      </c>
      <c r="AJ241" s="313">
        <f t="shared" si="7"/>
        <v>-7.8232290841960905</v>
      </c>
      <c r="AK241" s="313">
        <f t="shared" si="8"/>
        <v>-0.78232290841960905</v>
      </c>
    </row>
    <row r="242" spans="12:37">
      <c r="L242" s="303"/>
      <c r="M242" s="291"/>
      <c r="P242" s="303"/>
      <c r="T242" s="303"/>
      <c r="AG242" s="311">
        <v>25</v>
      </c>
      <c r="AH242" s="312">
        <v>0.88597981170674578</v>
      </c>
      <c r="AI242" s="313">
        <v>-0.48853298888598173</v>
      </c>
      <c r="AJ242" s="313">
        <f t="shared" si="7"/>
        <v>-4.8853298888598173</v>
      </c>
      <c r="AK242" s="313">
        <f t="shared" si="8"/>
        <v>-0.48853298888598173</v>
      </c>
    </row>
    <row r="243" spans="12:37">
      <c r="L243" s="305"/>
      <c r="M243" s="236"/>
      <c r="P243" s="305"/>
      <c r="T243" s="305"/>
      <c r="AG243" s="311">
        <v>26</v>
      </c>
      <c r="AH243" s="312">
        <v>0.85625384067776678</v>
      </c>
      <c r="AI243" s="313">
        <v>-6.2650090333922215E-3</v>
      </c>
      <c r="AJ243" s="313">
        <f t="shared" si="7"/>
        <v>-6.2650090333922215E-2</v>
      </c>
      <c r="AK243" s="313">
        <f t="shared" si="8"/>
        <v>-6.2650090333922215E-3</v>
      </c>
    </row>
    <row r="244" spans="12:37">
      <c r="L244" s="303"/>
      <c r="M244" s="291"/>
      <c r="P244" s="303"/>
      <c r="T244" s="303"/>
      <c r="AG244" s="311">
        <v>27</v>
      </c>
      <c r="AH244" s="312">
        <v>0.82819800980449421</v>
      </c>
      <c r="AI244" s="313">
        <v>0.25864402271873166</v>
      </c>
      <c r="AJ244" s="313">
        <f t="shared" si="7"/>
        <v>2.5864402271873166</v>
      </c>
      <c r="AK244" s="313">
        <f t="shared" si="8"/>
        <v>0.25864402271873166</v>
      </c>
    </row>
    <row r="245" spans="12:37">
      <c r="L245" s="303"/>
      <c r="M245" s="291"/>
      <c r="P245" s="303"/>
      <c r="T245" s="303"/>
      <c r="AG245" s="311">
        <v>28</v>
      </c>
      <c r="AH245" s="312">
        <v>0.79448532579851039</v>
      </c>
      <c r="AI245" s="313">
        <v>0.79932721657620842</v>
      </c>
      <c r="AJ245" s="313">
        <f t="shared" si="7"/>
        <v>7.9932721657620842</v>
      </c>
      <c r="AK245" s="313">
        <f t="shared" si="8"/>
        <v>0.79932721657620842</v>
      </c>
    </row>
    <row r="246" spans="12:37">
      <c r="L246" s="303"/>
      <c r="M246" s="291"/>
      <c r="P246" s="303"/>
      <c r="T246" s="303"/>
      <c r="AG246" s="311">
        <v>29</v>
      </c>
      <c r="AH246" s="312">
        <v>0.76523991774205824</v>
      </c>
      <c r="AI246" s="313">
        <v>1.33632</v>
      </c>
      <c r="AJ246" s="313">
        <f t="shared" si="7"/>
        <v>13.363199999999999</v>
      </c>
      <c r="AK246" s="313">
        <f t="shared" si="8"/>
        <v>0</v>
      </c>
    </row>
    <row r="247" spans="12:37">
      <c r="L247" s="303"/>
      <c r="M247" s="291"/>
      <c r="P247" s="303"/>
      <c r="T247" s="303"/>
      <c r="AG247" s="311">
        <v>30</v>
      </c>
      <c r="AH247" s="312">
        <v>0.74332233440979012</v>
      </c>
      <c r="AI247" s="313">
        <v>0.99173523473489589</v>
      </c>
      <c r="AJ247" s="313">
        <f t="shared" si="7"/>
        <v>9.9173523473489595</v>
      </c>
      <c r="AK247" s="313">
        <f t="shared" si="8"/>
        <v>0</v>
      </c>
    </row>
    <row r="248" spans="12:37">
      <c r="L248" s="303"/>
      <c r="M248" s="291"/>
      <c r="P248" s="303"/>
      <c r="T248" s="303"/>
      <c r="AG248" s="311">
        <v>31</v>
      </c>
      <c r="AH248" s="312">
        <v>0.72644667781262529</v>
      </c>
      <c r="AI248" s="313">
        <v>-4.8186006758389244E-2</v>
      </c>
      <c r="AJ248" s="313">
        <f t="shared" si="7"/>
        <v>-0.48186006758389244</v>
      </c>
      <c r="AK248" s="313">
        <f t="shared" si="8"/>
        <v>-4.8186006758389244E-2</v>
      </c>
    </row>
    <row r="249" spans="12:37">
      <c r="L249" s="303"/>
      <c r="M249" s="291"/>
      <c r="P249" s="303"/>
      <c r="T249" s="303"/>
      <c r="AG249" s="311">
        <v>32</v>
      </c>
      <c r="AH249" s="312">
        <v>0.72156631271284555</v>
      </c>
      <c r="AI249" s="313">
        <v>1.3449600000000002</v>
      </c>
      <c r="AJ249" s="313">
        <f t="shared" si="7"/>
        <v>13.449600000000002</v>
      </c>
      <c r="AK249" s="313">
        <f t="shared" si="8"/>
        <v>0</v>
      </c>
    </row>
    <row r="250" spans="12:37">
      <c r="L250" s="303"/>
      <c r="M250" s="291"/>
      <c r="P250" s="303"/>
      <c r="T250" s="303"/>
      <c r="AG250" s="311">
        <v>33</v>
      </c>
      <c r="AH250" s="312">
        <v>0.70435056662793416</v>
      </c>
      <c r="AI250" s="313">
        <v>1.3204800000000001</v>
      </c>
      <c r="AJ250" s="313">
        <f t="shared" si="7"/>
        <v>13.204800000000001</v>
      </c>
      <c r="AK250" s="313">
        <f t="shared" si="8"/>
        <v>0</v>
      </c>
    </row>
    <row r="251" spans="12:37">
      <c r="L251" s="303"/>
      <c r="M251" s="291"/>
      <c r="P251" s="303"/>
      <c r="T251" s="303"/>
      <c r="AG251" s="311">
        <v>34</v>
      </c>
      <c r="AH251" s="312">
        <v>0.681747092355661</v>
      </c>
      <c r="AI251" s="313">
        <v>0.51407999999999987</v>
      </c>
      <c r="AJ251" s="313">
        <f t="shared" si="7"/>
        <v>5.1407999999999987</v>
      </c>
      <c r="AK251" s="313">
        <f t="shared" si="8"/>
        <v>0.51407999999999987</v>
      </c>
    </row>
    <row r="252" spans="12:37">
      <c r="L252" s="303"/>
      <c r="M252" s="291"/>
      <c r="P252" s="303"/>
      <c r="T252" s="303"/>
      <c r="AG252" s="311">
        <v>35</v>
      </c>
      <c r="AH252" s="312">
        <v>0.65773114369861618</v>
      </c>
      <c r="AI252" s="313">
        <v>0.30240000000000045</v>
      </c>
      <c r="AJ252" s="313">
        <f t="shared" si="7"/>
        <v>3.0240000000000045</v>
      </c>
      <c r="AK252" s="313">
        <f t="shared" si="8"/>
        <v>0.30240000000000045</v>
      </c>
    </row>
    <row r="253" spans="12:37">
      <c r="L253" s="303"/>
      <c r="M253" s="291"/>
      <c r="P253" s="303"/>
      <c r="T253" s="303"/>
      <c r="AG253" s="311">
        <v>36</v>
      </c>
      <c r="AH253" s="312">
        <v>0.61232889425791415</v>
      </c>
      <c r="AI253" s="313"/>
      <c r="AJ253" s="313">
        <f t="shared" si="7"/>
        <v>0</v>
      </c>
      <c r="AK253" s="313">
        <f t="shared" si="8"/>
        <v>0</v>
      </c>
    </row>
    <row r="254" spans="12:37">
      <c r="L254" s="303"/>
      <c r="M254" s="291"/>
      <c r="P254" s="303"/>
      <c r="T254" s="303"/>
      <c r="AG254" s="693">
        <v>14</v>
      </c>
      <c r="AH254" s="694">
        <v>2.3935933107006484</v>
      </c>
      <c r="AI254" s="695">
        <v>3.2293127129462342</v>
      </c>
      <c r="AJ254" s="313">
        <f t="shared" si="7"/>
        <v>32.293127129462341</v>
      </c>
      <c r="AK254" s="313">
        <f t="shared" si="8"/>
        <v>0</v>
      </c>
    </row>
    <row r="255" spans="12:37">
      <c r="L255" s="303"/>
      <c r="M255" s="291"/>
      <c r="P255" s="303"/>
      <c r="T255" s="303"/>
      <c r="AG255" s="693">
        <v>15</v>
      </c>
      <c r="AH255" s="694">
        <v>2.3505738854216389</v>
      </c>
      <c r="AI255" s="695">
        <v>2.6349965501658623</v>
      </c>
      <c r="AJ255" s="313">
        <f t="shared" si="7"/>
        <v>26.349965501658623</v>
      </c>
      <c r="AK255" s="313">
        <f t="shared" si="8"/>
        <v>0</v>
      </c>
    </row>
    <row r="256" spans="12:37">
      <c r="L256" s="303"/>
      <c r="M256" s="291"/>
      <c r="P256" s="303"/>
      <c r="T256" s="303"/>
      <c r="AG256" s="693">
        <v>16</v>
      </c>
      <c r="AH256" s="694">
        <v>2.3118156048852239</v>
      </c>
      <c r="AI256" s="695">
        <v>2.0602434062651653</v>
      </c>
      <c r="AJ256" s="313">
        <f t="shared" si="7"/>
        <v>20.602434062651653</v>
      </c>
      <c r="AK256" s="313">
        <f t="shared" si="8"/>
        <v>0</v>
      </c>
    </row>
    <row r="257" spans="12:37">
      <c r="L257" s="303"/>
      <c r="M257" s="291"/>
      <c r="P257" s="303"/>
      <c r="T257" s="303"/>
      <c r="AG257" s="693">
        <v>17</v>
      </c>
      <c r="AH257" s="694">
        <v>2.2767434202106376</v>
      </c>
      <c r="AI257" s="695">
        <v>2.8535780423817458</v>
      </c>
      <c r="AJ257" s="313">
        <f t="shared" si="7"/>
        <v>28.535780423817457</v>
      </c>
      <c r="AK257" s="313">
        <f t="shared" si="8"/>
        <v>0</v>
      </c>
    </row>
    <row r="258" spans="12:37">
      <c r="L258" s="303"/>
      <c r="M258" s="291"/>
      <c r="P258" s="303"/>
      <c r="T258" s="303"/>
      <c r="AG258" s="693">
        <v>18</v>
      </c>
      <c r="AH258" s="694">
        <v>2.2421010906809613</v>
      </c>
      <c r="AI258" s="695">
        <v>2.2215100794748581</v>
      </c>
      <c r="AJ258" s="313">
        <f t="shared" si="7"/>
        <v>22.215100794748579</v>
      </c>
      <c r="AK258" s="313">
        <f t="shared" si="8"/>
        <v>0</v>
      </c>
    </row>
    <row r="259" spans="12:37">
      <c r="L259" s="303"/>
      <c r="M259" s="291"/>
      <c r="P259" s="303"/>
      <c r="T259" s="303"/>
      <c r="AG259" s="693">
        <v>19</v>
      </c>
      <c r="AH259" s="694">
        <v>2.2058965847504819</v>
      </c>
      <c r="AI259" s="695">
        <v>1.8489628663529076</v>
      </c>
      <c r="AJ259" s="313">
        <f t="shared" si="7"/>
        <v>18.489628663529075</v>
      </c>
      <c r="AK259" s="313">
        <f t="shared" si="8"/>
        <v>0</v>
      </c>
    </row>
    <row r="260" spans="12:37">
      <c r="L260" s="303"/>
      <c r="M260" s="291"/>
      <c r="P260" s="303"/>
      <c r="T260" s="303"/>
      <c r="AG260" s="693">
        <v>20</v>
      </c>
      <c r="AH260" s="694">
        <v>2.1696867673003695</v>
      </c>
      <c r="AI260" s="695">
        <v>1.6639015834679181</v>
      </c>
      <c r="AJ260" s="313">
        <f t="shared" si="7"/>
        <v>16.639015834679181</v>
      </c>
      <c r="AK260" s="313">
        <f t="shared" si="8"/>
        <v>0</v>
      </c>
    </row>
    <row r="261" spans="12:37">
      <c r="L261" s="303"/>
      <c r="M261" s="291"/>
      <c r="P261" s="303"/>
      <c r="T261" s="303"/>
      <c r="AG261" s="693">
        <v>21</v>
      </c>
      <c r="AH261" s="694">
        <v>2.1281540455995902</v>
      </c>
      <c r="AI261" s="695">
        <v>3.4811482193524226</v>
      </c>
      <c r="AJ261" s="313">
        <f t="shared" si="7"/>
        <v>34.811482193524228</v>
      </c>
      <c r="AK261" s="313">
        <f t="shared" si="8"/>
        <v>0</v>
      </c>
    </row>
    <row r="262" spans="12:37">
      <c r="L262" s="303"/>
      <c r="M262" s="291"/>
      <c r="P262" s="303"/>
      <c r="T262" s="303"/>
      <c r="AG262" s="693">
        <v>22</v>
      </c>
      <c r="AH262" s="694">
        <v>2.0889609988435236</v>
      </c>
      <c r="AI262" s="695">
        <v>0.90378747644363466</v>
      </c>
      <c r="AJ262" s="313">
        <f t="shared" si="7"/>
        <v>9.0378747644363457</v>
      </c>
      <c r="AK262" s="313">
        <f t="shared" si="8"/>
        <v>0.90378747644363466</v>
      </c>
    </row>
    <row r="263" spans="12:37">
      <c r="L263" s="303"/>
      <c r="M263" s="291"/>
      <c r="P263" s="303"/>
      <c r="T263" s="303"/>
      <c r="AG263" s="693">
        <v>23</v>
      </c>
      <c r="AH263" s="694">
        <v>2.0485505713273184</v>
      </c>
      <c r="AI263" s="695">
        <v>1.5727804140015467</v>
      </c>
      <c r="AJ263" s="313">
        <f t="shared" ref="AJ263:AJ326" si="9">AI263*10</f>
        <v>15.727804140015467</v>
      </c>
      <c r="AK263" s="313">
        <f t="shared" ref="AK263:AK326" si="10">IF(AI263&lt;0.94,AI263,0)</f>
        <v>0</v>
      </c>
    </row>
    <row r="264" spans="12:37">
      <c r="L264" s="303"/>
      <c r="M264" s="291"/>
      <c r="P264" s="303"/>
      <c r="T264" s="303"/>
      <c r="AG264" s="693">
        <v>24</v>
      </c>
      <c r="AH264" s="694">
        <v>2.0045331858677997</v>
      </c>
      <c r="AI264" s="695">
        <v>0.32688450912724321</v>
      </c>
      <c r="AJ264" s="313">
        <f t="shared" si="9"/>
        <v>3.2688450912724321</v>
      </c>
      <c r="AK264" s="313">
        <f t="shared" si="10"/>
        <v>0.32688450912724321</v>
      </c>
    </row>
    <row r="265" spans="12:37">
      <c r="L265" s="303"/>
      <c r="M265" s="291"/>
      <c r="P265" s="303"/>
      <c r="T265" s="303"/>
      <c r="AG265" s="693">
        <v>25</v>
      </c>
      <c r="AH265" s="694">
        <v>1.9808798117067459</v>
      </c>
      <c r="AI265" s="695">
        <v>0.99278997740990227</v>
      </c>
      <c r="AJ265" s="313">
        <f t="shared" si="9"/>
        <v>9.9278997740990231</v>
      </c>
      <c r="AK265" s="313">
        <f t="shared" si="10"/>
        <v>0</v>
      </c>
    </row>
    <row r="266" spans="12:37">
      <c r="L266" s="303"/>
      <c r="M266" s="291"/>
      <c r="P266" s="303"/>
      <c r="T266" s="303"/>
      <c r="AG266" s="693">
        <v>26</v>
      </c>
      <c r="AH266" s="694">
        <v>1.9578538406777672</v>
      </c>
      <c r="AI266" s="695">
        <v>0.50041994278655544</v>
      </c>
      <c r="AJ266" s="313">
        <f t="shared" si="9"/>
        <v>5.0041994278655544</v>
      </c>
      <c r="AK266" s="313">
        <f t="shared" si="10"/>
        <v>0.50041994278655544</v>
      </c>
    </row>
    <row r="267" spans="12:37">
      <c r="L267" s="303"/>
      <c r="M267" s="291"/>
      <c r="P267" s="303"/>
      <c r="T267" s="303"/>
      <c r="AG267" s="693">
        <v>27</v>
      </c>
      <c r="AH267" s="694">
        <v>1.9360980098044942</v>
      </c>
      <c r="AI267" s="695">
        <v>0.95706882410562466</v>
      </c>
      <c r="AJ267" s="313">
        <f t="shared" si="9"/>
        <v>9.5706882410562457</v>
      </c>
      <c r="AK267" s="313">
        <f t="shared" si="10"/>
        <v>0</v>
      </c>
    </row>
    <row r="268" spans="12:37">
      <c r="L268" s="303"/>
      <c r="M268" s="291"/>
      <c r="P268" s="303"/>
      <c r="T268" s="303"/>
      <c r="AG268" s="693">
        <v>28</v>
      </c>
      <c r="AH268" s="694">
        <v>1.9113853257985107</v>
      </c>
      <c r="AI268" s="695">
        <v>1.0083357123997592</v>
      </c>
      <c r="AJ268" s="313">
        <f t="shared" si="9"/>
        <v>10.083357123997592</v>
      </c>
      <c r="AK268" s="313">
        <f t="shared" si="10"/>
        <v>0</v>
      </c>
    </row>
    <row r="269" spans="12:37">
      <c r="L269" s="303"/>
      <c r="M269" s="291"/>
      <c r="P269" s="303"/>
      <c r="T269" s="303"/>
      <c r="AG269" s="693">
        <v>29</v>
      </c>
      <c r="AH269" s="694">
        <v>1.887739917742058</v>
      </c>
      <c r="AI269" s="695">
        <v>0.49559293197706089</v>
      </c>
      <c r="AJ269" s="313">
        <f t="shared" si="9"/>
        <v>4.9559293197706094</v>
      </c>
      <c r="AK269" s="313">
        <f t="shared" si="10"/>
        <v>0.49559293197706089</v>
      </c>
    </row>
    <row r="270" spans="12:37">
      <c r="L270" s="303"/>
      <c r="M270" s="291"/>
      <c r="P270" s="303"/>
      <c r="T270" s="303"/>
      <c r="AG270" s="693">
        <v>30</v>
      </c>
      <c r="AH270" s="694">
        <v>1.8694223344097904</v>
      </c>
      <c r="AI270" s="695"/>
      <c r="AJ270" s="313"/>
      <c r="AK270" s="313">
        <f t="shared" si="10"/>
        <v>0</v>
      </c>
    </row>
    <row r="271" spans="12:37">
      <c r="L271" s="303"/>
      <c r="M271" s="291"/>
      <c r="P271" s="303"/>
      <c r="T271" s="303"/>
      <c r="AG271" s="693">
        <v>31</v>
      </c>
      <c r="AH271" s="694">
        <v>1.6491466778126254</v>
      </c>
      <c r="AI271" s="695"/>
      <c r="AJ271" s="313"/>
      <c r="AK271" s="313">
        <f t="shared" si="10"/>
        <v>0</v>
      </c>
    </row>
    <row r="272" spans="12:37">
      <c r="L272" s="303"/>
      <c r="M272" s="291"/>
      <c r="P272" s="303"/>
      <c r="T272" s="303"/>
      <c r="AG272" s="693">
        <v>32</v>
      </c>
      <c r="AH272" s="694">
        <v>1.8071663127128443</v>
      </c>
      <c r="AI272" s="695">
        <v>-0.60032232136566965</v>
      </c>
      <c r="AJ272" s="313">
        <f t="shared" si="9"/>
        <v>-6.0032232136566961</v>
      </c>
      <c r="AK272" s="313">
        <f t="shared" si="10"/>
        <v>-0.60032232136566965</v>
      </c>
    </row>
    <row r="273" spans="12:37">
      <c r="L273" s="303"/>
      <c r="M273" s="291"/>
      <c r="P273" s="303"/>
      <c r="T273" s="303"/>
      <c r="AG273" s="693">
        <v>33</v>
      </c>
      <c r="AH273" s="694">
        <v>1.8004505666279333</v>
      </c>
      <c r="AI273" s="695">
        <v>1.4961209645573195</v>
      </c>
      <c r="AJ273" s="313">
        <f t="shared" si="9"/>
        <v>14.961209645573195</v>
      </c>
      <c r="AK273" s="313">
        <f t="shared" si="10"/>
        <v>0</v>
      </c>
    </row>
    <row r="274" spans="12:37">
      <c r="L274" s="303"/>
      <c r="M274" s="291"/>
      <c r="P274" s="303"/>
      <c r="T274" s="303"/>
      <c r="AG274" s="693">
        <v>34</v>
      </c>
      <c r="AH274" s="694">
        <v>1.7729470923556627</v>
      </c>
      <c r="AI274" s="695">
        <v>-0.52110750501723047</v>
      </c>
      <c r="AJ274" s="313">
        <f t="shared" si="9"/>
        <v>-5.2110750501723047</v>
      </c>
      <c r="AK274" s="313">
        <f t="shared" si="10"/>
        <v>-0.52110750501723047</v>
      </c>
    </row>
    <row r="275" spans="12:37">
      <c r="L275" s="303"/>
      <c r="M275" s="291"/>
      <c r="P275" s="303"/>
      <c r="T275" s="303"/>
      <c r="AG275" s="693">
        <v>35</v>
      </c>
      <c r="AH275" s="694">
        <v>1.1646311436986172</v>
      </c>
      <c r="AI275" s="695">
        <v>-0.60700000000001042</v>
      </c>
      <c r="AJ275" s="313">
        <f t="shared" si="9"/>
        <v>-6.0700000000001042</v>
      </c>
      <c r="AK275" s="313">
        <f t="shared" si="10"/>
        <v>-0.60700000000001042</v>
      </c>
    </row>
    <row r="276" spans="12:37">
      <c r="L276" s="303"/>
      <c r="M276" s="291"/>
      <c r="P276" s="303"/>
      <c r="T276" s="303"/>
      <c r="AG276" s="693">
        <v>36</v>
      </c>
      <c r="AH276" s="694">
        <v>1.1184288942579135</v>
      </c>
      <c r="AI276" s="695">
        <v>-0.50699999999999923</v>
      </c>
      <c r="AJ276" s="313">
        <f t="shared" si="9"/>
        <v>-5.0699999999999923</v>
      </c>
      <c r="AK276" s="313">
        <f t="shared" si="10"/>
        <v>-0.50699999999999923</v>
      </c>
    </row>
    <row r="277" spans="12:37">
      <c r="L277" s="303"/>
      <c r="M277" s="291"/>
      <c r="P277" s="303"/>
      <c r="T277" s="303"/>
      <c r="AG277" s="316">
        <v>2</v>
      </c>
      <c r="AH277" s="317">
        <v>4.0705503382091868</v>
      </c>
      <c r="AI277" s="692">
        <v>7.6576000522258889</v>
      </c>
      <c r="AJ277" s="313">
        <f t="shared" si="9"/>
        <v>76.576000522258894</v>
      </c>
      <c r="AK277" s="313">
        <f t="shared" si="10"/>
        <v>0</v>
      </c>
    </row>
    <row r="278" spans="12:37">
      <c r="L278" s="303"/>
      <c r="M278" s="291"/>
      <c r="P278" s="303"/>
      <c r="T278" s="303"/>
      <c r="AG278" s="316">
        <v>2</v>
      </c>
      <c r="AH278" s="317">
        <v>3.4445194843017637</v>
      </c>
      <c r="AI278" s="692">
        <v>2.5114055757523621</v>
      </c>
      <c r="AJ278" s="313">
        <f t="shared" si="9"/>
        <v>25.114055757523623</v>
      </c>
      <c r="AK278" s="313">
        <f t="shared" si="10"/>
        <v>0</v>
      </c>
    </row>
    <row r="279" spans="12:37">
      <c r="L279" s="303"/>
      <c r="M279" s="291"/>
      <c r="P279" s="303"/>
      <c r="T279" s="303"/>
      <c r="AG279" s="316">
        <v>2</v>
      </c>
      <c r="AH279" s="317">
        <v>3.1516955413438135</v>
      </c>
      <c r="AI279" s="692">
        <v>2.1670585310559929</v>
      </c>
      <c r="AJ279" s="313">
        <f t="shared" si="9"/>
        <v>21.670585310559929</v>
      </c>
      <c r="AK279" s="313">
        <f t="shared" si="10"/>
        <v>0</v>
      </c>
    </row>
    <row r="280" spans="12:37">
      <c r="L280" s="303"/>
      <c r="M280" s="291"/>
      <c r="P280" s="303"/>
      <c r="T280" s="303"/>
      <c r="AG280" s="316">
        <v>2</v>
      </c>
      <c r="AH280" s="317">
        <v>3.0008783584564283</v>
      </c>
      <c r="AI280" s="692"/>
      <c r="AJ280" s="313"/>
      <c r="AK280" s="313">
        <f t="shared" si="10"/>
        <v>0</v>
      </c>
    </row>
    <row r="281" spans="12:37">
      <c r="L281" s="303"/>
      <c r="M281" s="291"/>
      <c r="P281" s="303"/>
      <c r="T281" s="303"/>
      <c r="AG281" s="316">
        <v>2</v>
      </c>
      <c r="AH281" s="317">
        <v>3.2615924910133449</v>
      </c>
      <c r="AI281" s="692">
        <v>1.1842903438868602</v>
      </c>
      <c r="AJ281" s="313">
        <f t="shared" si="9"/>
        <v>11.842903438868602</v>
      </c>
      <c r="AK281" s="313">
        <f t="shared" si="10"/>
        <v>0</v>
      </c>
    </row>
    <row r="282" spans="12:37">
      <c r="L282" s="303"/>
      <c r="M282" s="291"/>
      <c r="P282" s="303"/>
      <c r="T282" s="303"/>
      <c r="AG282" s="316">
        <v>2</v>
      </c>
      <c r="AH282" s="317">
        <v>3.0964350043176188</v>
      </c>
      <c r="AI282" s="692">
        <v>0.53204751586813881</v>
      </c>
      <c r="AJ282" s="313">
        <f t="shared" si="9"/>
        <v>5.3204751586813881</v>
      </c>
      <c r="AK282" s="313">
        <f t="shared" si="10"/>
        <v>0.53204751586813881</v>
      </c>
    </row>
    <row r="283" spans="12:37">
      <c r="L283" s="303"/>
      <c r="M283" s="291"/>
      <c r="P283" s="303"/>
      <c r="T283" s="303"/>
      <c r="AG283" s="316">
        <v>3</v>
      </c>
      <c r="AH283" s="317">
        <v>4.0373947052086629</v>
      </c>
      <c r="AI283" s="692">
        <v>3.2727602890206309</v>
      </c>
      <c r="AJ283" s="313">
        <f t="shared" si="9"/>
        <v>32.727602890206306</v>
      </c>
      <c r="AK283" s="313">
        <f t="shared" si="10"/>
        <v>0</v>
      </c>
    </row>
    <row r="284" spans="12:37">
      <c r="L284" s="303"/>
      <c r="M284" s="291"/>
      <c r="P284" s="303"/>
      <c r="T284" s="303"/>
      <c r="AG284" s="316">
        <v>3</v>
      </c>
      <c r="AH284" s="317">
        <v>3.42052888955853</v>
      </c>
      <c r="AI284" s="692">
        <v>1.79241308816195</v>
      </c>
      <c r="AJ284" s="313">
        <f t="shared" si="9"/>
        <v>17.924130881619501</v>
      </c>
      <c r="AK284" s="313">
        <f t="shared" si="10"/>
        <v>0</v>
      </c>
    </row>
    <row r="285" spans="12:37">
      <c r="L285" s="303"/>
      <c r="M285" s="291"/>
      <c r="P285" s="303"/>
      <c r="T285" s="303"/>
      <c r="AG285" s="316">
        <v>3</v>
      </c>
      <c r="AH285" s="317">
        <v>3.1205748912332298</v>
      </c>
      <c r="AI285" s="692">
        <v>2.5352211692552666</v>
      </c>
      <c r="AJ285" s="313">
        <f t="shared" si="9"/>
        <v>25.352211692552665</v>
      </c>
      <c r="AK285" s="313">
        <f t="shared" si="10"/>
        <v>0</v>
      </c>
    </row>
    <row r="286" spans="12:37">
      <c r="L286" s="303"/>
      <c r="M286" s="291"/>
      <c r="P286" s="303"/>
      <c r="T286" s="303"/>
      <c r="AG286" s="316">
        <v>3</v>
      </c>
      <c r="AH286" s="317">
        <v>3.7856730516361816</v>
      </c>
      <c r="AI286" s="692">
        <v>-1.2559589110109535</v>
      </c>
      <c r="AJ286" s="313">
        <f t="shared" si="9"/>
        <v>-12.559589110109535</v>
      </c>
      <c r="AK286" s="313">
        <f t="shared" si="10"/>
        <v>-1.2559589110109535</v>
      </c>
    </row>
    <row r="287" spans="12:37">
      <c r="L287" s="303"/>
      <c r="M287" s="291"/>
      <c r="P287" s="303"/>
      <c r="T287" s="303"/>
      <c r="AG287" s="316">
        <v>3</v>
      </c>
      <c r="AH287" s="317">
        <v>3.2337663033140762</v>
      </c>
      <c r="AI287" s="692">
        <v>0.53413838918235657</v>
      </c>
      <c r="AJ287" s="313">
        <f t="shared" si="9"/>
        <v>5.3413838918235657</v>
      </c>
      <c r="AK287" s="313">
        <f t="shared" si="10"/>
        <v>0.53413838918235657</v>
      </c>
    </row>
    <row r="288" spans="12:37">
      <c r="L288" s="303"/>
      <c r="M288" s="291"/>
      <c r="P288" s="303"/>
      <c r="T288" s="303"/>
      <c r="AG288" s="316">
        <v>3</v>
      </c>
      <c r="AH288" s="317">
        <v>3.0696703853027509</v>
      </c>
      <c r="AI288" s="692">
        <v>1.6332581756374496</v>
      </c>
      <c r="AJ288" s="313">
        <f t="shared" si="9"/>
        <v>16.332581756374495</v>
      </c>
      <c r="AK288" s="313">
        <f t="shared" si="10"/>
        <v>0</v>
      </c>
    </row>
    <row r="289" spans="12:37">
      <c r="L289" s="303"/>
      <c r="M289" s="291"/>
      <c r="P289" s="303"/>
      <c r="T289" s="303"/>
      <c r="AG289" s="316">
        <v>4</v>
      </c>
      <c r="AH289" s="317">
        <v>3.9870924557679617</v>
      </c>
      <c r="AI289" s="692">
        <v>3.3176623044260181</v>
      </c>
      <c r="AJ289" s="313">
        <f t="shared" si="9"/>
        <v>33.176623044260182</v>
      </c>
      <c r="AK289" s="313">
        <f t="shared" si="10"/>
        <v>0</v>
      </c>
    </row>
    <row r="290" spans="12:37">
      <c r="L290" s="303"/>
      <c r="M290" s="291"/>
      <c r="P290" s="303"/>
      <c r="T290" s="303"/>
      <c r="AG290" s="316">
        <v>4</v>
      </c>
      <c r="AH290" s="317">
        <v>3.3864530186407693</v>
      </c>
      <c r="AI290" s="692">
        <v>2.4099202472238548</v>
      </c>
      <c r="AJ290" s="313">
        <f t="shared" si="9"/>
        <v>24.099202472238549</v>
      </c>
      <c r="AK290" s="313">
        <f t="shared" si="10"/>
        <v>0</v>
      </c>
    </row>
    <row r="291" spans="12:37">
      <c r="L291" s="303"/>
      <c r="M291" s="291"/>
      <c r="P291" s="303"/>
      <c r="T291" s="303"/>
      <c r="AG291" s="316">
        <v>4</v>
      </c>
      <c r="AH291" s="317">
        <v>3.7786814440322791</v>
      </c>
      <c r="AI291" s="692">
        <v>1.6215926195515196</v>
      </c>
      <c r="AJ291" s="313">
        <f t="shared" si="9"/>
        <v>16.215926195515195</v>
      </c>
      <c r="AK291" s="313">
        <f t="shared" si="10"/>
        <v>0</v>
      </c>
    </row>
    <row r="292" spans="12:37">
      <c r="L292" s="303"/>
      <c r="M292" s="291"/>
      <c r="P292" s="303"/>
      <c r="T292" s="303"/>
      <c r="AG292" s="316">
        <v>4</v>
      </c>
      <c r="AH292" s="317">
        <v>3.2027693677426976</v>
      </c>
      <c r="AI292" s="692">
        <v>1.1272754696107126</v>
      </c>
      <c r="AJ292" s="313">
        <f t="shared" si="9"/>
        <v>11.272754696107125</v>
      </c>
      <c r="AK292" s="313">
        <f t="shared" si="10"/>
        <v>0</v>
      </c>
    </row>
    <row r="293" spans="12:37">
      <c r="L293" s="303"/>
      <c r="M293" s="291"/>
      <c r="P293" s="303"/>
      <c r="T293" s="303"/>
      <c r="AG293" s="316">
        <v>4</v>
      </c>
      <c r="AH293" s="317">
        <v>3.0310358193055391</v>
      </c>
      <c r="AI293" s="692">
        <v>1.4194379491099323</v>
      </c>
      <c r="AJ293" s="313">
        <f t="shared" si="9"/>
        <v>14.194379491099323</v>
      </c>
      <c r="AK293" s="313">
        <f t="shared" si="10"/>
        <v>0</v>
      </c>
    </row>
    <row r="294" spans="12:37">
      <c r="L294" s="303"/>
      <c r="M294" s="291"/>
      <c r="P294" s="303"/>
      <c r="T294" s="303"/>
      <c r="AG294" s="316">
        <v>5</v>
      </c>
      <c r="AH294" s="317">
        <v>3.9363337677375876</v>
      </c>
      <c r="AI294" s="692">
        <v>3.5923110136285521</v>
      </c>
      <c r="AJ294" s="313">
        <f t="shared" si="9"/>
        <v>35.923110136285523</v>
      </c>
      <c r="AK294" s="313">
        <f t="shared" si="10"/>
        <v>0</v>
      </c>
    </row>
    <row r="295" spans="12:37">
      <c r="L295" s="303"/>
      <c r="M295" s="291"/>
      <c r="P295" s="303"/>
      <c r="T295" s="303"/>
      <c r="AG295" s="318">
        <v>5</v>
      </c>
      <c r="AH295" s="317">
        <v>3.3481487199818067</v>
      </c>
      <c r="AI295" s="692">
        <v>2.5849687140150812</v>
      </c>
      <c r="AJ295" s="313">
        <f t="shared" si="9"/>
        <v>25.849687140150813</v>
      </c>
      <c r="AK295" s="313">
        <f t="shared" si="10"/>
        <v>0</v>
      </c>
    </row>
    <row r="296" spans="12:37">
      <c r="L296" s="303"/>
      <c r="M296" s="291"/>
      <c r="P296" s="303"/>
      <c r="T296" s="303"/>
      <c r="AG296" s="318">
        <v>5</v>
      </c>
      <c r="AH296" s="317">
        <v>3.7410401297129612</v>
      </c>
      <c r="AI296" s="692">
        <v>2.2671957312482216</v>
      </c>
      <c r="AJ296" s="313">
        <f t="shared" si="9"/>
        <v>22.671957312482217</v>
      </c>
      <c r="AK296" s="313">
        <f t="shared" si="10"/>
        <v>0</v>
      </c>
    </row>
    <row r="297" spans="12:37">
      <c r="L297" s="303"/>
      <c r="M297" s="291"/>
      <c r="P297" s="303"/>
      <c r="T297" s="303"/>
      <c r="AG297" s="316">
        <v>5</v>
      </c>
      <c r="AH297" s="317">
        <v>2.9960996280318719</v>
      </c>
      <c r="AI297" s="692">
        <v>2.1596694523603741</v>
      </c>
      <c r="AJ297" s="313">
        <f t="shared" si="9"/>
        <v>21.596694523603741</v>
      </c>
      <c r="AK297" s="313">
        <f t="shared" si="10"/>
        <v>0</v>
      </c>
    </row>
    <row r="298" spans="12:37">
      <c r="L298" s="303"/>
      <c r="M298" s="291"/>
      <c r="P298" s="303"/>
      <c r="T298" s="303"/>
      <c r="AG298" s="316">
        <v>6</v>
      </c>
      <c r="AH298" s="317">
        <v>3.8828229280280384</v>
      </c>
      <c r="AI298" s="692">
        <v>4.3428434144931023</v>
      </c>
      <c r="AJ298" s="313">
        <f t="shared" si="9"/>
        <v>43.428434144931025</v>
      </c>
      <c r="AK298" s="313">
        <f t="shared" si="10"/>
        <v>0</v>
      </c>
    </row>
    <row r="299" spans="12:37">
      <c r="L299" s="303"/>
      <c r="M299" s="291"/>
      <c r="P299" s="303"/>
      <c r="T299" s="303"/>
      <c r="AG299" s="316">
        <v>6</v>
      </c>
      <c r="AH299" s="317">
        <v>3.3074953411213714</v>
      </c>
      <c r="AI299" s="692">
        <v>2.357247889535663</v>
      </c>
      <c r="AJ299" s="313">
        <f t="shared" si="9"/>
        <v>23.572478895356632</v>
      </c>
      <c r="AK299" s="313">
        <f t="shared" si="10"/>
        <v>0</v>
      </c>
    </row>
    <row r="300" spans="12:37">
      <c r="L300" s="303"/>
      <c r="M300" s="291"/>
      <c r="P300" s="303"/>
      <c r="T300" s="303"/>
      <c r="AG300" s="316">
        <v>6</v>
      </c>
      <c r="AH300" s="317">
        <v>3.7009155743392244</v>
      </c>
      <c r="AI300" s="692">
        <v>2.7310272233608659</v>
      </c>
      <c r="AJ300" s="313">
        <f t="shared" si="9"/>
        <v>27.310272233608657</v>
      </c>
      <c r="AK300" s="313">
        <f t="shared" si="10"/>
        <v>0</v>
      </c>
    </row>
    <row r="301" spans="12:37">
      <c r="L301" s="303"/>
      <c r="M301" s="291"/>
      <c r="P301" s="303"/>
      <c r="T301" s="303"/>
      <c r="AG301" s="316">
        <v>6</v>
      </c>
      <c r="AH301" s="317">
        <v>2.9535202734430692</v>
      </c>
      <c r="AI301" s="692">
        <v>-1.3943928251726381</v>
      </c>
      <c r="AJ301" s="313">
        <f t="shared" si="9"/>
        <v>-13.94392825172638</v>
      </c>
      <c r="AK301" s="313">
        <f t="shared" si="10"/>
        <v>-1.3943928251726381</v>
      </c>
    </row>
    <row r="302" spans="12:37">
      <c r="L302" s="303"/>
      <c r="M302" s="291"/>
      <c r="P302" s="303"/>
      <c r="T302" s="303"/>
      <c r="AG302" s="316">
        <v>7</v>
      </c>
      <c r="AH302" s="317">
        <v>3.8284341775812392</v>
      </c>
      <c r="AI302" s="692">
        <v>2.7474285785189858</v>
      </c>
      <c r="AJ302" s="313">
        <f t="shared" si="9"/>
        <v>27.474285785189856</v>
      </c>
      <c r="AK302" s="313">
        <f t="shared" si="10"/>
        <v>0</v>
      </c>
    </row>
    <row r="303" spans="12:37">
      <c r="L303" s="303"/>
      <c r="M303" s="291"/>
      <c r="P303" s="303"/>
      <c r="T303" s="303"/>
      <c r="AG303" s="316">
        <v>7</v>
      </c>
      <c r="AH303" s="317">
        <v>3.2686184455944813</v>
      </c>
      <c r="AI303" s="692">
        <v>2.4177093906381546</v>
      </c>
      <c r="AJ303" s="313">
        <f t="shared" si="9"/>
        <v>24.177093906381547</v>
      </c>
      <c r="AK303" s="313">
        <f t="shared" si="10"/>
        <v>0</v>
      </c>
    </row>
    <row r="304" spans="12:37">
      <c r="L304" s="303"/>
      <c r="M304" s="291"/>
      <c r="P304" s="303"/>
      <c r="T304" s="303"/>
      <c r="AG304" s="316">
        <v>7</v>
      </c>
      <c r="AH304" s="317">
        <v>3.660127233736076</v>
      </c>
      <c r="AI304" s="692">
        <v>2.4868161403737918</v>
      </c>
      <c r="AJ304" s="313">
        <f t="shared" si="9"/>
        <v>24.868161403737918</v>
      </c>
      <c r="AK304" s="313">
        <f t="shared" si="10"/>
        <v>0</v>
      </c>
    </row>
    <row r="305" spans="12:37">
      <c r="L305" s="303"/>
      <c r="M305" s="291"/>
      <c r="P305" s="303"/>
      <c r="T305" s="303"/>
      <c r="AG305" s="316">
        <v>7</v>
      </c>
      <c r="AH305" s="317">
        <v>2.9459572820543505</v>
      </c>
      <c r="AI305" s="692">
        <v>-3.5079443078957273</v>
      </c>
      <c r="AJ305" s="313">
        <f t="shared" si="9"/>
        <v>-35.079443078957276</v>
      </c>
      <c r="AK305" s="313">
        <f t="shared" si="10"/>
        <v>-3.5079443078957273</v>
      </c>
    </row>
    <row r="306" spans="12:37">
      <c r="L306" s="303"/>
      <c r="M306" s="291"/>
      <c r="P306" s="303"/>
      <c r="T306" s="303"/>
      <c r="AG306" s="316">
        <v>8</v>
      </c>
      <c r="AH306" s="317">
        <v>3.7887409376518049</v>
      </c>
      <c r="AI306" s="692">
        <v>3.9255544551259103</v>
      </c>
      <c r="AJ306" s="313">
        <f t="shared" si="9"/>
        <v>39.255544551259106</v>
      </c>
      <c r="AK306" s="313">
        <f t="shared" si="10"/>
        <v>0</v>
      </c>
    </row>
    <row r="307" spans="12:37">
      <c r="L307" s="303"/>
      <c r="M307" s="291"/>
      <c r="P307" s="303"/>
      <c r="T307" s="303"/>
      <c r="AG307" s="316">
        <v>8</v>
      </c>
      <c r="AH307" s="317">
        <v>3.6221720246773588</v>
      </c>
      <c r="AI307" s="692">
        <v>2.5163349535879447</v>
      </c>
      <c r="AJ307" s="313">
        <f t="shared" si="9"/>
        <v>25.163349535879448</v>
      </c>
      <c r="AK307" s="313">
        <f t="shared" si="10"/>
        <v>0</v>
      </c>
    </row>
    <row r="308" spans="12:37">
      <c r="L308" s="303"/>
      <c r="M308" s="291"/>
      <c r="P308" s="303"/>
      <c r="T308" s="303"/>
      <c r="AG308" s="316">
        <v>8</v>
      </c>
      <c r="AH308" s="317">
        <v>2.9589521919043884</v>
      </c>
      <c r="AI308" s="692">
        <v>-0.35594380909003265</v>
      </c>
      <c r="AJ308" s="313">
        <f t="shared" si="9"/>
        <v>-3.5594380909003265</v>
      </c>
      <c r="AK308" s="313">
        <f t="shared" si="10"/>
        <v>-0.35594380909003265</v>
      </c>
    </row>
    <row r="309" spans="12:37">
      <c r="L309" s="303"/>
      <c r="M309" s="291"/>
      <c r="P309" s="303"/>
      <c r="T309" s="303"/>
      <c r="AG309" s="316">
        <v>9</v>
      </c>
      <c r="AH309" s="317">
        <v>3.7360098576753265</v>
      </c>
      <c r="AI309" s="692">
        <v>3.4074644537712255</v>
      </c>
      <c r="AJ309" s="313">
        <f t="shared" si="9"/>
        <v>34.074644537712253</v>
      </c>
      <c r="AK309" s="313">
        <f t="shared" si="10"/>
        <v>0</v>
      </c>
    </row>
    <row r="310" spans="12:37">
      <c r="L310" s="303"/>
      <c r="M310" s="291"/>
      <c r="P310" s="303"/>
      <c r="T310" s="303"/>
      <c r="AG310" s="316">
        <v>9</v>
      </c>
      <c r="AH310" s="317">
        <v>3.5806231540970943</v>
      </c>
      <c r="AI310" s="692">
        <v>2.8757220906537446</v>
      </c>
      <c r="AJ310" s="313">
        <f t="shared" si="9"/>
        <v>28.757220906537448</v>
      </c>
      <c r="AK310" s="313">
        <f t="shared" si="10"/>
        <v>0</v>
      </c>
    </row>
    <row r="311" spans="12:37">
      <c r="L311" s="303"/>
      <c r="M311" s="291"/>
      <c r="P311" s="303"/>
      <c r="T311" s="303"/>
      <c r="AG311" s="316">
        <v>9</v>
      </c>
      <c r="AH311" s="317">
        <v>2.9403162032028556</v>
      </c>
      <c r="AI311" s="692">
        <v>0.77159145993558065</v>
      </c>
      <c r="AJ311" s="313">
        <f t="shared" si="9"/>
        <v>7.7159145993558065</v>
      </c>
      <c r="AK311" s="313">
        <f t="shared" si="10"/>
        <v>0.77159145993558065</v>
      </c>
    </row>
    <row r="312" spans="12:37">
      <c r="L312" s="303"/>
      <c r="M312" s="291"/>
      <c r="P312" s="303"/>
      <c r="T312" s="303"/>
      <c r="AG312" s="318">
        <v>10</v>
      </c>
      <c r="AH312" s="317">
        <v>3.5398139537621534</v>
      </c>
      <c r="AI312" s="692">
        <v>2.4897078554911189</v>
      </c>
      <c r="AJ312" s="313">
        <f t="shared" si="9"/>
        <v>24.897078554911189</v>
      </c>
      <c r="AK312" s="313">
        <f t="shared" si="10"/>
        <v>0</v>
      </c>
    </row>
    <row r="313" spans="12:37">
      <c r="L313" s="303"/>
      <c r="M313" s="291"/>
      <c r="P313" s="303"/>
      <c r="T313" s="303"/>
      <c r="AG313" s="316">
        <v>10</v>
      </c>
      <c r="AH313" s="317">
        <v>2.9093452457095355</v>
      </c>
      <c r="AI313" s="692">
        <v>1.5112910128221571</v>
      </c>
      <c r="AJ313" s="313">
        <f t="shared" si="9"/>
        <v>15.112910128221571</v>
      </c>
      <c r="AK313" s="313">
        <f t="shared" si="10"/>
        <v>0</v>
      </c>
    </row>
    <row r="314" spans="12:37">
      <c r="L314" s="303"/>
      <c r="M314" s="291"/>
      <c r="P314" s="303"/>
      <c r="T314" s="303"/>
      <c r="AG314" s="316">
        <v>11</v>
      </c>
      <c r="AH314" s="317">
        <v>3.5004722295991852</v>
      </c>
      <c r="AI314" s="692">
        <v>1.7566663861910565</v>
      </c>
      <c r="AJ314" s="313">
        <f t="shared" si="9"/>
        <v>17.566663861910566</v>
      </c>
      <c r="AK314" s="313">
        <f t="shared" si="10"/>
        <v>0</v>
      </c>
    </row>
    <row r="315" spans="12:37">
      <c r="L315" s="303"/>
      <c r="M315" s="291"/>
      <c r="P315" s="303"/>
      <c r="T315" s="303"/>
      <c r="AG315" s="316">
        <v>11</v>
      </c>
      <c r="AH315" s="317">
        <v>2.8816566978348677</v>
      </c>
      <c r="AI315" s="692">
        <v>1.5739227997893952</v>
      </c>
      <c r="AJ315" s="313">
        <f t="shared" si="9"/>
        <v>15.739227997893952</v>
      </c>
      <c r="AK315" s="313">
        <f t="shared" si="10"/>
        <v>0</v>
      </c>
    </row>
    <row r="316" spans="12:37">
      <c r="L316" s="303"/>
      <c r="M316" s="291"/>
      <c r="P316" s="303"/>
      <c r="T316" s="303"/>
      <c r="AG316" s="316">
        <v>12</v>
      </c>
      <c r="AH316" s="317">
        <v>3.4643587306052828</v>
      </c>
      <c r="AI316" s="692">
        <v>2.319710623450967</v>
      </c>
      <c r="AJ316" s="313">
        <f t="shared" si="9"/>
        <v>23.197106234509668</v>
      </c>
      <c r="AK316" s="313">
        <f t="shared" si="10"/>
        <v>0</v>
      </c>
    </row>
    <row r="317" spans="12:37">
      <c r="L317" s="303"/>
      <c r="M317" s="291"/>
      <c r="P317" s="303"/>
      <c r="T317" s="303"/>
      <c r="AG317" s="316">
        <v>12</v>
      </c>
      <c r="AH317" s="317">
        <v>2.8446575104730956</v>
      </c>
      <c r="AI317" s="692">
        <v>1.6099028971229741</v>
      </c>
      <c r="AJ317" s="313">
        <f t="shared" si="9"/>
        <v>16.099028971229743</v>
      </c>
      <c r="AK317" s="313">
        <f t="shared" si="10"/>
        <v>0</v>
      </c>
    </row>
    <row r="318" spans="12:37">
      <c r="L318" s="303"/>
      <c r="M318" s="291"/>
      <c r="P318" s="303"/>
      <c r="T318" s="303"/>
      <c r="AG318" s="316">
        <v>13</v>
      </c>
      <c r="AH318" s="317">
        <v>3.4180634391078977</v>
      </c>
      <c r="AI318" s="692">
        <v>2.3794553762568071</v>
      </c>
      <c r="AJ318" s="313">
        <f t="shared" si="9"/>
        <v>23.794553762568071</v>
      </c>
      <c r="AK318" s="313">
        <f t="shared" si="10"/>
        <v>0</v>
      </c>
    </row>
    <row r="319" spans="12:37">
      <c r="L319" s="303"/>
      <c r="M319" s="291"/>
      <c r="P319" s="303"/>
      <c r="T319" s="303"/>
      <c r="AG319" s="316">
        <v>13</v>
      </c>
      <c r="AH319" s="317">
        <v>2.8065082253497939</v>
      </c>
      <c r="AI319" s="692">
        <v>1.7906845772023496</v>
      </c>
      <c r="AJ319" s="313">
        <f t="shared" si="9"/>
        <v>17.906845772023495</v>
      </c>
      <c r="AK319" s="313">
        <f t="shared" si="10"/>
        <v>0</v>
      </c>
    </row>
    <row r="320" spans="12:37">
      <c r="L320" s="303"/>
      <c r="M320" s="291"/>
      <c r="P320" s="303"/>
      <c r="T320" s="303"/>
      <c r="AG320" s="316">
        <v>14</v>
      </c>
      <c r="AH320" s="317">
        <v>2.7656875728895214</v>
      </c>
      <c r="AI320" s="692">
        <v>2.0015187029673589</v>
      </c>
      <c r="AJ320" s="313">
        <f t="shared" si="9"/>
        <v>20.015187029673591</v>
      </c>
      <c r="AK320" s="313">
        <f t="shared" si="10"/>
        <v>0</v>
      </c>
    </row>
    <row r="321" spans="12:37">
      <c r="L321" s="303"/>
      <c r="M321" s="291"/>
      <c r="P321" s="303"/>
      <c r="T321" s="303"/>
      <c r="AG321" s="316">
        <v>15</v>
      </c>
      <c r="AH321" s="317">
        <v>2.7222288895585303</v>
      </c>
      <c r="AI321" s="692">
        <v>2.9193934360205995</v>
      </c>
      <c r="AJ321" s="313">
        <f t="shared" si="9"/>
        <v>29.193934360205994</v>
      </c>
      <c r="AK321" s="313">
        <f t="shared" si="10"/>
        <v>0</v>
      </c>
    </row>
    <row r="322" spans="12:37">
      <c r="L322" s="303"/>
      <c r="M322" s="291"/>
      <c r="P322" s="303"/>
      <c r="T322" s="303"/>
      <c r="AG322" s="316">
        <v>16</v>
      </c>
      <c r="AH322" s="317">
        <v>2.677693310700648</v>
      </c>
      <c r="AI322" s="692">
        <v>1.5777037055302723</v>
      </c>
      <c r="AJ322" s="313">
        <f t="shared" si="9"/>
        <v>15.777037055302722</v>
      </c>
      <c r="AK322" s="313">
        <f t="shared" si="10"/>
        <v>0</v>
      </c>
    </row>
    <row r="323" spans="12:37">
      <c r="L323" s="303"/>
      <c r="M323" s="291"/>
      <c r="P323" s="303"/>
      <c r="T323" s="303"/>
      <c r="AG323" s="316">
        <v>17</v>
      </c>
      <c r="AH323" s="317">
        <v>2.6445738854216385</v>
      </c>
      <c r="AI323" s="692">
        <v>1.4864436727347068</v>
      </c>
      <c r="AJ323" s="313">
        <f t="shared" si="9"/>
        <v>14.864436727347067</v>
      </c>
      <c r="AK323" s="313">
        <f t="shared" si="10"/>
        <v>0</v>
      </c>
    </row>
    <row r="324" spans="12:37">
      <c r="L324" s="303"/>
      <c r="M324" s="291"/>
      <c r="P324" s="303"/>
      <c r="T324" s="303"/>
      <c r="AG324" s="316">
        <v>18</v>
      </c>
      <c r="AH324" s="317">
        <v>2.6126156048852236</v>
      </c>
      <c r="AI324" s="692">
        <v>1.4098371767342979</v>
      </c>
      <c r="AJ324" s="313">
        <f t="shared" si="9"/>
        <v>14.098371767342979</v>
      </c>
      <c r="AK324" s="313">
        <f t="shared" si="10"/>
        <v>0</v>
      </c>
    </row>
    <row r="325" spans="12:37">
      <c r="L325" s="303"/>
      <c r="M325" s="291"/>
      <c r="P325" s="303"/>
      <c r="T325" s="303"/>
      <c r="AG325" s="316">
        <v>19</v>
      </c>
      <c r="AH325" s="317">
        <v>2.5780434202106379</v>
      </c>
      <c r="AI325" s="692">
        <v>1.4931207691465183</v>
      </c>
      <c r="AJ325" s="313">
        <f t="shared" si="9"/>
        <v>14.931207691465183</v>
      </c>
      <c r="AK325" s="313">
        <f t="shared" si="10"/>
        <v>0</v>
      </c>
    </row>
    <row r="326" spans="12:37">
      <c r="L326" s="303"/>
      <c r="M326" s="291"/>
      <c r="P326" s="303"/>
      <c r="T326" s="303"/>
      <c r="AG326" s="316">
        <v>20</v>
      </c>
      <c r="AH326" s="317">
        <v>2.5453010906809608</v>
      </c>
      <c r="AI326" s="692">
        <v>1.1733069915397629</v>
      </c>
      <c r="AJ326" s="313">
        <f t="shared" si="9"/>
        <v>11.733069915397628</v>
      </c>
      <c r="AK326" s="313">
        <f t="shared" si="10"/>
        <v>0</v>
      </c>
    </row>
    <row r="327" spans="12:37">
      <c r="L327" s="303"/>
      <c r="M327" s="291"/>
      <c r="P327" s="303"/>
      <c r="T327" s="303"/>
      <c r="AG327" s="316">
        <v>21</v>
      </c>
      <c r="AH327" s="317">
        <v>2.5081965847504817</v>
      </c>
      <c r="AI327" s="692">
        <v>1.3886855674006373</v>
      </c>
      <c r="AJ327" s="313">
        <f t="shared" ref="AJ327:AJ390" si="11">AI327*10</f>
        <v>13.886855674006373</v>
      </c>
      <c r="AK327" s="313">
        <f t="shared" ref="AK327:AK390" si="12">IF(AI327&lt;0.94,AI327,0)</f>
        <v>0</v>
      </c>
    </row>
    <row r="328" spans="12:37">
      <c r="L328" s="303"/>
      <c r="M328" s="291"/>
      <c r="P328" s="303"/>
      <c r="T328" s="303"/>
      <c r="AG328" s="316">
        <v>22</v>
      </c>
      <c r="AH328" s="317">
        <v>2.4690867673003689</v>
      </c>
      <c r="AI328" s="692">
        <v>2.0090834447837604</v>
      </c>
      <c r="AJ328" s="313">
        <f t="shared" si="11"/>
        <v>20.090834447837604</v>
      </c>
      <c r="AK328" s="313">
        <f t="shared" si="12"/>
        <v>0</v>
      </c>
    </row>
    <row r="329" spans="12:37">
      <c r="L329" s="303"/>
      <c r="M329" s="291"/>
      <c r="P329" s="303"/>
      <c r="T329" s="303"/>
      <c r="AG329" s="316">
        <v>23</v>
      </c>
      <c r="AH329" s="317">
        <v>2.4298540455995914</v>
      </c>
      <c r="AI329" s="692">
        <v>0.97471852729933239</v>
      </c>
      <c r="AJ329" s="313">
        <f t="shared" si="11"/>
        <v>9.7471852729933239</v>
      </c>
      <c r="AK329" s="313">
        <f t="shared" si="12"/>
        <v>0</v>
      </c>
    </row>
    <row r="330" spans="12:37">
      <c r="L330" s="303"/>
      <c r="M330" s="291"/>
      <c r="P330" s="303"/>
      <c r="T330" s="303"/>
      <c r="AG330" s="316">
        <v>24</v>
      </c>
      <c r="AH330" s="317">
        <v>2.3931609988435225</v>
      </c>
      <c r="AI330" s="692">
        <v>2.0572191929802992</v>
      </c>
      <c r="AJ330" s="313">
        <f t="shared" si="11"/>
        <v>20.57219192980299</v>
      </c>
      <c r="AK330" s="313">
        <f t="shared" si="12"/>
        <v>0</v>
      </c>
    </row>
    <row r="331" spans="12:37">
      <c r="L331" s="303"/>
      <c r="M331" s="291"/>
      <c r="P331" s="303"/>
      <c r="T331" s="303"/>
      <c r="AG331" s="316">
        <v>25</v>
      </c>
      <c r="AH331" s="317">
        <v>2.3502505713273179</v>
      </c>
      <c r="AI331" s="692">
        <v>2.294508238372603</v>
      </c>
      <c r="AJ331" s="313">
        <f t="shared" si="11"/>
        <v>22.945082383726032</v>
      </c>
      <c r="AK331" s="313">
        <f t="shared" si="12"/>
        <v>0</v>
      </c>
    </row>
    <row r="332" spans="12:37">
      <c r="L332" s="303"/>
      <c r="M332" s="291"/>
      <c r="P332" s="303"/>
      <c r="T332" s="303"/>
      <c r="AG332" s="316">
        <v>26</v>
      </c>
      <c r="AH332" s="317">
        <v>2.3023331858677993</v>
      </c>
      <c r="AI332" s="692">
        <v>0.97535549717860937</v>
      </c>
      <c r="AJ332" s="313">
        <f t="shared" si="11"/>
        <v>9.7535549717860945</v>
      </c>
      <c r="AK332" s="313">
        <f t="shared" si="12"/>
        <v>0</v>
      </c>
    </row>
    <row r="333" spans="12:37">
      <c r="L333" s="303"/>
      <c r="M333" s="291"/>
      <c r="P333" s="303"/>
      <c r="T333" s="303"/>
      <c r="AG333" s="316">
        <v>27</v>
      </c>
      <c r="AH333" s="317">
        <v>2.2695798117067456</v>
      </c>
      <c r="AI333" s="692">
        <v>0.8130560206943076</v>
      </c>
      <c r="AJ333" s="313">
        <f t="shared" si="11"/>
        <v>8.1305602069430769</v>
      </c>
      <c r="AK333" s="313">
        <f t="shared" si="12"/>
        <v>0.8130560206943076</v>
      </c>
    </row>
    <row r="334" spans="12:37">
      <c r="L334" s="303"/>
      <c r="M334" s="291"/>
      <c r="P334" s="303"/>
      <c r="T334" s="303"/>
      <c r="AG334" s="316">
        <v>28</v>
      </c>
      <c r="AH334" s="317">
        <v>2.2397538406777668</v>
      </c>
      <c r="AI334" s="692">
        <v>0.86026939967923921</v>
      </c>
      <c r="AJ334" s="313">
        <f t="shared" si="11"/>
        <v>8.602693996792393</v>
      </c>
      <c r="AK334" s="313">
        <f t="shared" si="12"/>
        <v>0.86026939967923921</v>
      </c>
    </row>
    <row r="335" spans="12:37">
      <c r="L335" s="303"/>
      <c r="M335" s="291"/>
      <c r="P335" s="303"/>
      <c r="T335" s="303"/>
      <c r="AG335" s="316">
        <v>29</v>
      </c>
      <c r="AH335" s="317">
        <v>2.2115980098044945</v>
      </c>
      <c r="AI335" s="692">
        <v>1.0946237297955292</v>
      </c>
      <c r="AJ335" s="313">
        <f t="shared" si="11"/>
        <v>10.946237297955292</v>
      </c>
      <c r="AK335" s="313">
        <f t="shared" si="12"/>
        <v>0</v>
      </c>
    </row>
    <row r="336" spans="12:37">
      <c r="L336" s="303"/>
      <c r="M336" s="291"/>
      <c r="P336" s="303"/>
      <c r="T336" s="303"/>
      <c r="AG336" s="316">
        <v>30</v>
      </c>
      <c r="AH336" s="317">
        <v>2.1831853257985108</v>
      </c>
      <c r="AI336" s="692">
        <v>1.3589583779788437</v>
      </c>
      <c r="AJ336" s="313">
        <f t="shared" si="11"/>
        <v>13.589583779788438</v>
      </c>
      <c r="AK336" s="313">
        <f t="shared" si="12"/>
        <v>0</v>
      </c>
    </row>
    <row r="337" spans="12:37">
      <c r="L337" s="303"/>
      <c r="M337" s="291"/>
      <c r="P337" s="303"/>
      <c r="T337" s="303"/>
      <c r="AG337" s="316">
        <v>31</v>
      </c>
      <c r="AH337" s="317">
        <v>2.1525399177420583</v>
      </c>
      <c r="AI337" s="692">
        <v>1.2228366820038494</v>
      </c>
      <c r="AJ337" s="313">
        <f t="shared" si="11"/>
        <v>12.228366820038495</v>
      </c>
      <c r="AK337" s="313">
        <f t="shared" si="12"/>
        <v>0</v>
      </c>
    </row>
    <row r="338" spans="12:37">
      <c r="L338" s="303"/>
      <c r="M338" s="291"/>
      <c r="P338" s="303"/>
      <c r="T338" s="303"/>
      <c r="AG338" s="316">
        <v>32</v>
      </c>
      <c r="AH338" s="317">
        <v>2.1216223344097918</v>
      </c>
      <c r="AI338" s="692">
        <v>0.72839827802081403</v>
      </c>
      <c r="AJ338" s="313">
        <f t="shared" si="11"/>
        <v>7.2839827802081398</v>
      </c>
      <c r="AK338" s="313">
        <f t="shared" si="12"/>
        <v>0.72839827802081403</v>
      </c>
    </row>
    <row r="339" spans="12:37">
      <c r="L339" s="303"/>
      <c r="M339" s="291"/>
      <c r="P339" s="303"/>
      <c r="T339" s="303"/>
      <c r="AG339" s="316">
        <v>33</v>
      </c>
      <c r="AH339" s="317">
        <v>2.0977466778126255</v>
      </c>
      <c r="AI339" s="692">
        <v>5.0879672029718437E-2</v>
      </c>
      <c r="AJ339" s="313">
        <f t="shared" si="11"/>
        <v>0.50879672029718437</v>
      </c>
      <c r="AK339" s="313">
        <f t="shared" si="12"/>
        <v>5.0879672029718437E-2</v>
      </c>
    </row>
    <row r="340" spans="12:37">
      <c r="L340" s="303"/>
      <c r="M340" s="291"/>
      <c r="P340" s="303"/>
      <c r="T340" s="303"/>
      <c r="AG340" s="316">
        <v>34</v>
      </c>
      <c r="AH340" s="317">
        <v>2.0814663127128457</v>
      </c>
      <c r="AI340" s="692">
        <v>1.337378577976011</v>
      </c>
      <c r="AJ340" s="313">
        <f t="shared" si="11"/>
        <v>13.373785779760111</v>
      </c>
      <c r="AK340" s="313">
        <f t="shared" si="12"/>
        <v>0</v>
      </c>
    </row>
    <row r="341" spans="12:37">
      <c r="L341" s="303"/>
      <c r="M341" s="291"/>
      <c r="P341" s="303"/>
      <c r="T341" s="303"/>
      <c r="AG341" s="316">
        <v>35</v>
      </c>
      <c r="AH341" s="317">
        <v>2.055550566627935</v>
      </c>
      <c r="AI341" s="692">
        <v>1.2449419530532713</v>
      </c>
      <c r="AJ341" s="313">
        <f t="shared" si="11"/>
        <v>12.449419530532712</v>
      </c>
      <c r="AK341" s="313">
        <f t="shared" si="12"/>
        <v>0</v>
      </c>
    </row>
    <row r="342" spans="12:37">
      <c r="L342" s="303"/>
      <c r="M342" s="291"/>
      <c r="P342" s="303"/>
      <c r="T342" s="303"/>
      <c r="AG342" s="316">
        <v>36</v>
      </c>
      <c r="AH342" s="317">
        <v>2.0289470923556623</v>
      </c>
      <c r="AI342" s="692">
        <v>1.0391201934159273</v>
      </c>
      <c r="AJ342" s="313">
        <f t="shared" si="11"/>
        <v>10.391201934159273</v>
      </c>
      <c r="AK342" s="313">
        <f t="shared" si="12"/>
        <v>0</v>
      </c>
    </row>
    <row r="343" spans="12:37">
      <c r="L343" s="303"/>
      <c r="M343" s="291"/>
      <c r="P343" s="303"/>
      <c r="T343" s="303"/>
      <c r="AG343" s="316">
        <v>37</v>
      </c>
      <c r="AH343" s="317">
        <v>2.0001311436986162</v>
      </c>
      <c r="AI343" s="692">
        <v>1.0384080211698601</v>
      </c>
      <c r="AJ343" s="313">
        <f t="shared" si="11"/>
        <v>10.384080211698601</v>
      </c>
      <c r="AK343" s="313">
        <f t="shared" si="12"/>
        <v>0</v>
      </c>
    </row>
    <row r="344" spans="12:37">
      <c r="L344" s="303"/>
      <c r="M344" s="291"/>
      <c r="P344" s="303"/>
      <c r="T344" s="303"/>
      <c r="AG344" s="316">
        <v>38</v>
      </c>
      <c r="AH344" s="317">
        <v>1.9718288942579132</v>
      </c>
      <c r="AI344" s="692">
        <v>0.72196983464759823</v>
      </c>
      <c r="AJ344" s="313">
        <f t="shared" si="11"/>
        <v>7.2196983464759823</v>
      </c>
      <c r="AK344" s="313">
        <f t="shared" si="12"/>
        <v>0.72196983464759823</v>
      </c>
    </row>
    <row r="345" spans="12:37">
      <c r="L345" s="303"/>
      <c r="M345" s="291"/>
      <c r="P345" s="303"/>
      <c r="T345" s="303"/>
      <c r="AG345" s="697">
        <v>39</v>
      </c>
      <c r="AH345" s="317">
        <v>1.94464341316156</v>
      </c>
      <c r="AI345" s="692">
        <v>1.3419423188444295</v>
      </c>
      <c r="AJ345" s="313">
        <f t="shared" si="11"/>
        <v>13.419423188444295</v>
      </c>
      <c r="AK345" s="313">
        <f t="shared" si="12"/>
        <v>0</v>
      </c>
    </row>
    <row r="346" spans="12:37">
      <c r="L346" s="303"/>
      <c r="M346" s="291"/>
      <c r="P346" s="303"/>
      <c r="T346" s="303"/>
      <c r="AG346" s="697">
        <v>40</v>
      </c>
      <c r="AH346" s="317">
        <v>1.9197092617073845</v>
      </c>
      <c r="AI346" s="692">
        <v>1.3272920470254472</v>
      </c>
      <c r="AJ346" s="313">
        <f t="shared" si="11"/>
        <v>13.272920470254473</v>
      </c>
      <c r="AK346" s="313">
        <f t="shared" si="12"/>
        <v>0</v>
      </c>
    </row>
    <row r="347" spans="12:37">
      <c r="L347" s="305"/>
      <c r="M347" s="236"/>
      <c r="P347" s="305"/>
      <c r="T347" s="305"/>
      <c r="AG347" s="697">
        <v>41</v>
      </c>
      <c r="AH347" s="317">
        <v>1.8912460747956057</v>
      </c>
      <c r="AI347" s="692">
        <v>1.0102926714582252</v>
      </c>
      <c r="AJ347" s="313">
        <f t="shared" si="11"/>
        <v>10.102926714582253</v>
      </c>
      <c r="AK347" s="313">
        <f t="shared" si="12"/>
        <v>0</v>
      </c>
    </row>
    <row r="348" spans="12:37">
      <c r="L348" s="304"/>
      <c r="M348" s="134"/>
      <c r="P348" s="304"/>
      <c r="T348" s="304"/>
      <c r="AG348" s="697">
        <v>42</v>
      </c>
      <c r="AH348" s="317">
        <v>1.8654438253549059</v>
      </c>
      <c r="AI348" s="692">
        <v>1.0201309896267592</v>
      </c>
      <c r="AJ348" s="313">
        <f t="shared" si="11"/>
        <v>10.201309896267592</v>
      </c>
      <c r="AK348" s="313">
        <f t="shared" si="12"/>
        <v>0</v>
      </c>
    </row>
    <row r="349" spans="12:37">
      <c r="L349" s="304"/>
      <c r="M349" s="134"/>
      <c r="P349" s="304"/>
      <c r="T349" s="304"/>
      <c r="AG349" s="697">
        <v>43</v>
      </c>
      <c r="AH349" s="317">
        <v>1.8430272572329993</v>
      </c>
      <c r="AI349" s="692">
        <v>0.74483004024267152</v>
      </c>
      <c r="AJ349" s="313">
        <f t="shared" si="11"/>
        <v>7.4483004024267156</v>
      </c>
      <c r="AK349" s="313">
        <f t="shared" si="12"/>
        <v>0.74483004024267152</v>
      </c>
    </row>
    <row r="350" spans="12:37">
      <c r="L350" s="304"/>
      <c r="M350" s="134"/>
      <c r="P350" s="304"/>
      <c r="T350" s="304"/>
      <c r="AG350" s="697">
        <v>44</v>
      </c>
      <c r="AH350" s="317">
        <v>1.8197387187570999</v>
      </c>
      <c r="AI350" s="692">
        <v>0.56576661193491162</v>
      </c>
      <c r="AJ350" s="313">
        <f t="shared" si="11"/>
        <v>5.6576661193491162</v>
      </c>
      <c r="AK350" s="313">
        <f t="shared" si="12"/>
        <v>0.56576661193491162</v>
      </c>
    </row>
    <row r="351" spans="12:37">
      <c r="L351" s="304"/>
      <c r="M351" s="236"/>
      <c r="P351" s="304"/>
      <c r="T351" s="304"/>
      <c r="AG351" s="697">
        <v>45</v>
      </c>
      <c r="AH351" s="317">
        <v>1.7965307456034256</v>
      </c>
      <c r="AI351" s="692">
        <v>0.56816344768324645</v>
      </c>
      <c r="AJ351" s="313">
        <f t="shared" si="11"/>
        <v>5.681634476832464</v>
      </c>
      <c r="AK351" s="313">
        <f t="shared" si="12"/>
        <v>0.56816344768324645</v>
      </c>
    </row>
    <row r="352" spans="12:37">
      <c r="AG352" s="697">
        <v>46</v>
      </c>
      <c r="AH352" s="317">
        <v>1.7742712355360541</v>
      </c>
      <c r="AI352" s="692">
        <v>0.59808424612383937</v>
      </c>
      <c r="AJ352" s="313">
        <f t="shared" si="11"/>
        <v>5.9808424612383941</v>
      </c>
      <c r="AK352" s="313">
        <f t="shared" si="12"/>
        <v>0.59808424612383937</v>
      </c>
    </row>
    <row r="353" spans="33:37">
      <c r="AG353" s="697">
        <v>47</v>
      </c>
      <c r="AH353" s="317">
        <v>1.7503448476143439</v>
      </c>
      <c r="AI353" s="692">
        <v>0.52868427880805724</v>
      </c>
      <c r="AJ353" s="313">
        <f t="shared" si="11"/>
        <v>5.2868427880805724</v>
      </c>
      <c r="AK353" s="313">
        <f t="shared" si="12"/>
        <v>0.52868427880805724</v>
      </c>
    </row>
    <row r="354" spans="33:37">
      <c r="AG354" s="697">
        <v>48</v>
      </c>
      <c r="AH354" s="317">
        <v>1.7278583466082462</v>
      </c>
      <c r="AI354" s="692">
        <v>0.34658347167495518</v>
      </c>
      <c r="AJ354" s="313">
        <f t="shared" si="11"/>
        <v>3.4658347167495518</v>
      </c>
      <c r="AK354" s="313">
        <f t="shared" si="12"/>
        <v>0.34658347167495518</v>
      </c>
    </row>
    <row r="355" spans="33:37">
      <c r="AG355" s="697">
        <v>49</v>
      </c>
      <c r="AH355" s="317">
        <v>1.7063139702099981</v>
      </c>
      <c r="AI355" s="692">
        <v>0.34718426852914019</v>
      </c>
      <c r="AJ355" s="313">
        <f t="shared" si="11"/>
        <v>3.4718426852914019</v>
      </c>
      <c r="AK355" s="313">
        <f t="shared" si="12"/>
        <v>0.34718426852914019</v>
      </c>
    </row>
    <row r="356" spans="33:37">
      <c r="AG356" s="697">
        <v>50</v>
      </c>
      <c r="AH356" s="317">
        <v>1.6838859452633741</v>
      </c>
      <c r="AI356" s="692">
        <v>-0.47807999999999984</v>
      </c>
      <c r="AJ356" s="313">
        <f t="shared" si="11"/>
        <v>-4.7807999999999984</v>
      </c>
      <c r="AK356" s="313">
        <f t="shared" si="12"/>
        <v>-0.47807999999999984</v>
      </c>
    </row>
    <row r="357" spans="33:37">
      <c r="AG357" s="697">
        <v>51</v>
      </c>
      <c r="AH357" s="317">
        <v>1.6634575198718646</v>
      </c>
      <c r="AI357" s="692">
        <v>-0.15983999999999998</v>
      </c>
      <c r="AJ357" s="313">
        <f t="shared" si="11"/>
        <v>-1.5983999999999998</v>
      </c>
      <c r="AK357" s="313">
        <f t="shared" si="12"/>
        <v>-0.15983999999999998</v>
      </c>
    </row>
    <row r="358" spans="33:37">
      <c r="AG358" s="697">
        <v>52</v>
      </c>
      <c r="AH358" s="317">
        <v>1.6420783796036555</v>
      </c>
      <c r="AI358" s="692">
        <v>-0.4104000000000001</v>
      </c>
      <c r="AJ358" s="313">
        <f t="shared" si="11"/>
        <v>-4.104000000000001</v>
      </c>
      <c r="AK358" s="313">
        <f t="shared" si="12"/>
        <v>-0.4104000000000001</v>
      </c>
    </row>
    <row r="359" spans="33:37">
      <c r="AG359" s="697">
        <v>53</v>
      </c>
      <c r="AH359" s="317">
        <v>1.6201814463819708</v>
      </c>
      <c r="AI359" s="692">
        <v>-0.24191999999999991</v>
      </c>
      <c r="AJ359" s="313">
        <f t="shared" si="11"/>
        <v>-2.4191999999999991</v>
      </c>
      <c r="AK359" s="313">
        <f t="shared" si="12"/>
        <v>-0.24191999999999991</v>
      </c>
    </row>
    <row r="360" spans="33:37">
      <c r="AG360" s="697">
        <v>54</v>
      </c>
      <c r="AH360" s="317">
        <v>1.5991260277020405</v>
      </c>
      <c r="AI360" s="692">
        <v>-0.23328000000000015</v>
      </c>
      <c r="AJ360" s="313">
        <f t="shared" si="11"/>
        <v>-2.3328000000000015</v>
      </c>
      <c r="AK360" s="313">
        <f t="shared" si="12"/>
        <v>-0.23328000000000015</v>
      </c>
    </row>
    <row r="361" spans="33:37">
      <c r="AG361" s="697">
        <v>55</v>
      </c>
      <c r="AH361" s="317">
        <v>1.5776430056676023</v>
      </c>
      <c r="AI361" s="692">
        <v>-7.185599999999992E-2</v>
      </c>
      <c r="AJ361" s="313">
        <f t="shared" si="11"/>
        <v>-0.7185599999999992</v>
      </c>
      <c r="AK361" s="313">
        <f t="shared" si="12"/>
        <v>-7.185599999999992E-2</v>
      </c>
    </row>
    <row r="362" spans="33:37">
      <c r="AG362" s="697">
        <v>56</v>
      </c>
      <c r="AH362" s="317">
        <v>1.5563562973899845</v>
      </c>
      <c r="AI362" s="692">
        <v>-0.14371199999999984</v>
      </c>
      <c r="AJ362" s="313">
        <f t="shared" si="11"/>
        <v>-1.4371199999999984</v>
      </c>
      <c r="AK362" s="313">
        <f t="shared" si="12"/>
        <v>-0.14371199999999984</v>
      </c>
    </row>
    <row r="363" spans="33:37">
      <c r="AG363" s="697">
        <v>57</v>
      </c>
      <c r="AH363" s="317">
        <v>1.5351661054413257</v>
      </c>
      <c r="AI363" s="692">
        <v>-6.3072000000000017E-2</v>
      </c>
      <c r="AJ363" s="313">
        <f t="shared" si="11"/>
        <v>-0.63072000000000017</v>
      </c>
      <c r="AK363" s="313">
        <f t="shared" si="12"/>
        <v>-6.3072000000000017E-2</v>
      </c>
    </row>
    <row r="364" spans="33:37">
      <c r="AG364" s="697">
        <v>58</v>
      </c>
      <c r="AH364" s="317">
        <v>1.5152657026467513</v>
      </c>
      <c r="AI364" s="692">
        <v>5.731200000000003E-2</v>
      </c>
      <c r="AJ364" s="313">
        <f t="shared" si="11"/>
        <v>0.5731200000000003</v>
      </c>
      <c r="AK364" s="313">
        <f t="shared" si="12"/>
        <v>5.731200000000003E-2</v>
      </c>
    </row>
    <row r="365" spans="33:37">
      <c r="AG365" s="697">
        <v>59</v>
      </c>
      <c r="AH365" s="317">
        <v>1.4951765329575299</v>
      </c>
      <c r="AI365" s="692">
        <v>0.11203200000000013</v>
      </c>
      <c r="AJ365" s="313">
        <f t="shared" si="11"/>
        <v>1.1203200000000013</v>
      </c>
      <c r="AK365" s="313">
        <f t="shared" si="12"/>
        <v>0.11203200000000013</v>
      </c>
    </row>
    <row r="366" spans="33:37">
      <c r="AG366" s="697">
        <v>60</v>
      </c>
      <c r="AH366" s="317">
        <v>1.4721573055512711</v>
      </c>
      <c r="AI366" s="692">
        <v>-0.7128000000000001</v>
      </c>
      <c r="AJ366" s="313">
        <f t="shared" si="11"/>
        <v>-7.128000000000001</v>
      </c>
      <c r="AK366" s="313">
        <f t="shared" si="12"/>
        <v>-0.7128000000000001</v>
      </c>
    </row>
    <row r="367" spans="33:37">
      <c r="AG367" s="697">
        <v>61</v>
      </c>
      <c r="AH367" s="317">
        <v>1.4525552539833169</v>
      </c>
      <c r="AI367" s="692">
        <v>-0.66528000000000009</v>
      </c>
      <c r="AJ367" s="313">
        <f t="shared" si="11"/>
        <v>-6.6528000000000009</v>
      </c>
      <c r="AK367" s="313">
        <f t="shared" si="12"/>
        <v>-0.66528000000000009</v>
      </c>
    </row>
    <row r="368" spans="33:37">
      <c r="AG368" s="697">
        <v>62</v>
      </c>
      <c r="AH368" s="317">
        <v>1.4321198800472623</v>
      </c>
      <c r="AI368" s="692">
        <v>-1.2369599999999998</v>
      </c>
      <c r="AJ368" s="313">
        <f t="shared" si="11"/>
        <v>-12.369599999999998</v>
      </c>
      <c r="AK368" s="313">
        <f t="shared" si="12"/>
        <v>-1.2369599999999998</v>
      </c>
    </row>
    <row r="369" spans="33:37">
      <c r="AG369" s="697">
        <v>63</v>
      </c>
      <c r="AH369" s="317">
        <v>1.4101740691962346</v>
      </c>
      <c r="AI369" s="692">
        <v>-1.0411200000000003</v>
      </c>
      <c r="AJ369" s="313">
        <f t="shared" si="11"/>
        <v>-10.411200000000003</v>
      </c>
      <c r="AK369" s="313">
        <f t="shared" si="12"/>
        <v>-1.0411200000000003</v>
      </c>
    </row>
    <row r="370" spans="33:37">
      <c r="AG370" s="697">
        <v>64</v>
      </c>
      <c r="AH370" s="317">
        <v>1.3890292876537189</v>
      </c>
      <c r="AI370" s="692">
        <v>-0.87695999999999996</v>
      </c>
      <c r="AJ370" s="313">
        <f t="shared" si="11"/>
        <v>-8.7696000000000005</v>
      </c>
      <c r="AK370" s="313">
        <f t="shared" si="12"/>
        <v>-0.87695999999999996</v>
      </c>
    </row>
    <row r="371" spans="33:37">
      <c r="AG371" s="697">
        <v>65</v>
      </c>
      <c r="AH371" s="317">
        <v>1.3675225346322315</v>
      </c>
      <c r="AI371" s="692">
        <v>-0.98351999999999995</v>
      </c>
      <c r="AJ371" s="313">
        <f t="shared" si="11"/>
        <v>-9.8352000000000004</v>
      </c>
      <c r="AK371" s="313">
        <f t="shared" si="12"/>
        <v>-0.98351999999999995</v>
      </c>
    </row>
    <row r="372" spans="33:37">
      <c r="AG372" s="697">
        <v>66</v>
      </c>
      <c r="AH372" s="317">
        <v>1.3459656861989058</v>
      </c>
      <c r="AI372" s="692">
        <v>-1.0526400000000002</v>
      </c>
      <c r="AJ372" s="313">
        <f t="shared" si="11"/>
        <v>-10.526400000000002</v>
      </c>
      <c r="AK372" s="313">
        <f t="shared" si="12"/>
        <v>-1.0526400000000002</v>
      </c>
    </row>
    <row r="373" spans="33:37">
      <c r="AG373" s="697">
        <v>67</v>
      </c>
      <c r="AH373" s="317">
        <v>1.3257501426861293</v>
      </c>
      <c r="AI373" s="692">
        <v>-0.98064000000000018</v>
      </c>
      <c r="AJ373" s="313">
        <f t="shared" si="11"/>
        <v>-9.8064000000000018</v>
      </c>
      <c r="AK373" s="313">
        <f t="shared" si="12"/>
        <v>-0.98064000000000018</v>
      </c>
    </row>
    <row r="374" spans="33:37">
      <c r="AG374" s="697">
        <v>68</v>
      </c>
      <c r="AH374" s="317">
        <v>1.3051910354133338</v>
      </c>
      <c r="AI374" s="692">
        <v>-8.524799999999999E-2</v>
      </c>
      <c r="AJ374" s="313">
        <f t="shared" si="11"/>
        <v>-0.8524799999999999</v>
      </c>
      <c r="AK374" s="313">
        <f t="shared" si="12"/>
        <v>-8.524799999999999E-2</v>
      </c>
    </row>
    <row r="375" spans="33:37">
      <c r="AG375" s="697">
        <v>69</v>
      </c>
      <c r="AH375" s="317">
        <v>1.2847067908970122</v>
      </c>
      <c r="AI375" s="692">
        <v>0.12196799999999985</v>
      </c>
      <c r="AJ375" s="313">
        <f t="shared" si="11"/>
        <v>1.2196799999999985</v>
      </c>
      <c r="AK375" s="313">
        <f t="shared" si="12"/>
        <v>0.12196799999999985</v>
      </c>
    </row>
    <row r="376" spans="33:37">
      <c r="AG376" s="697">
        <v>70</v>
      </c>
      <c r="AH376" s="317">
        <v>1.2617270452620954</v>
      </c>
      <c r="AI376" s="692">
        <v>0.74015999999999993</v>
      </c>
      <c r="AJ376" s="313">
        <f t="shared" si="11"/>
        <v>7.4015999999999993</v>
      </c>
      <c r="AK376" s="313">
        <f t="shared" si="12"/>
        <v>0.74015999999999993</v>
      </c>
    </row>
    <row r="377" spans="33:37">
      <c r="AG377" s="697">
        <v>71</v>
      </c>
      <c r="AH377" s="317">
        <v>1.2418932989521871</v>
      </c>
      <c r="AI377" s="692">
        <v>0.22320000000000007</v>
      </c>
      <c r="AJ377" s="313">
        <f t="shared" si="11"/>
        <v>2.2320000000000007</v>
      </c>
      <c r="AK377" s="313">
        <f t="shared" si="12"/>
        <v>0.22320000000000007</v>
      </c>
    </row>
    <row r="378" spans="33:37">
      <c r="AG378" s="697">
        <v>72</v>
      </c>
      <c r="AH378" s="317">
        <v>1.2223783631558125</v>
      </c>
      <c r="AI378" s="692">
        <v>0.19584000000000001</v>
      </c>
      <c r="AJ378" s="313">
        <f t="shared" si="11"/>
        <v>1.9584000000000001</v>
      </c>
      <c r="AK378" s="313">
        <f t="shared" si="12"/>
        <v>0.19584000000000001</v>
      </c>
    </row>
    <row r="379" spans="33:37">
      <c r="AG379" s="697">
        <v>73</v>
      </c>
      <c r="AH379" s="317">
        <v>1.2017894124865713</v>
      </c>
      <c r="AI379" s="692">
        <v>0.52127999999999997</v>
      </c>
      <c r="AJ379" s="313">
        <f t="shared" si="11"/>
        <v>5.2127999999999997</v>
      </c>
      <c r="AK379" s="313">
        <f t="shared" si="12"/>
        <v>0.52127999999999997</v>
      </c>
    </row>
    <row r="380" spans="33:37">
      <c r="AG380" s="697">
        <v>74</v>
      </c>
      <c r="AH380" s="317">
        <v>1.1800295043240081</v>
      </c>
      <c r="AI380" s="692">
        <v>7.6608000000000231E-3</v>
      </c>
      <c r="AJ380" s="313">
        <f t="shared" si="11"/>
        <v>7.6608000000000231E-2</v>
      </c>
      <c r="AK380" s="313">
        <f t="shared" si="12"/>
        <v>7.6608000000000231E-3</v>
      </c>
    </row>
    <row r="381" spans="33:37">
      <c r="AG381" s="697">
        <v>75</v>
      </c>
      <c r="AH381" s="317">
        <v>1.1658444354209991</v>
      </c>
      <c r="AI381" s="692">
        <v>-0.13852799999999998</v>
      </c>
      <c r="AJ381" s="313">
        <f t="shared" si="11"/>
        <v>-1.3852799999999998</v>
      </c>
      <c r="AK381" s="313">
        <f t="shared" si="12"/>
        <v>-0.13852799999999998</v>
      </c>
    </row>
    <row r="382" spans="33:37">
      <c r="AG382" s="466">
        <v>16</v>
      </c>
      <c r="AH382" s="471">
        <v>2.1447933107006487</v>
      </c>
      <c r="AI382" s="468">
        <v>5.4372652006950917</v>
      </c>
      <c r="AJ382" s="313">
        <f t="shared" si="11"/>
        <v>54.372652006950915</v>
      </c>
      <c r="AK382" s="313">
        <f t="shared" si="12"/>
        <v>0</v>
      </c>
    </row>
    <row r="383" spans="33:37">
      <c r="AG383" s="466">
        <v>17</v>
      </c>
      <c r="AH383" s="471">
        <v>2.076373885421638</v>
      </c>
      <c r="AI383" s="468">
        <v>4.9679999999999991</v>
      </c>
      <c r="AJ383" s="313">
        <f t="shared" si="11"/>
        <v>49.679999999999993</v>
      </c>
      <c r="AK383" s="313">
        <f t="shared" si="12"/>
        <v>0</v>
      </c>
    </row>
    <row r="384" spans="33:37">
      <c r="AG384" s="466">
        <v>18</v>
      </c>
      <c r="AH384" s="471">
        <v>2.0227156048852222</v>
      </c>
      <c r="AI384" s="468">
        <v>3.5424000000000002</v>
      </c>
      <c r="AJ384" s="313">
        <f t="shared" si="11"/>
        <v>35.423999999999999</v>
      </c>
      <c r="AK384" s="313">
        <f t="shared" si="12"/>
        <v>0</v>
      </c>
    </row>
    <row r="385" spans="33:37">
      <c r="AG385" s="466">
        <v>19</v>
      </c>
      <c r="AH385" s="471">
        <v>1.9766434202106367</v>
      </c>
      <c r="AI385" s="468">
        <v>2.3939984227144446</v>
      </c>
      <c r="AJ385" s="313">
        <f t="shared" si="11"/>
        <v>23.939984227144446</v>
      </c>
      <c r="AK385" s="313">
        <f t="shared" si="12"/>
        <v>0</v>
      </c>
    </row>
    <row r="386" spans="33:37">
      <c r="AG386" s="466">
        <v>20</v>
      </c>
      <c r="AH386" s="471">
        <v>1.9459010906809602</v>
      </c>
      <c r="AI386" s="468">
        <v>1.6847999999999999</v>
      </c>
      <c r="AJ386" s="313">
        <f t="shared" si="11"/>
        <v>16.847999999999999</v>
      </c>
      <c r="AK386" s="313">
        <f t="shared" si="12"/>
        <v>0</v>
      </c>
    </row>
    <row r="387" spans="33:37">
      <c r="AG387" s="466">
        <v>21</v>
      </c>
      <c r="AH387" s="471">
        <v>1.9260965847504816</v>
      </c>
      <c r="AI387" s="468">
        <v>0.91871999999999998</v>
      </c>
      <c r="AJ387" s="313">
        <f t="shared" si="11"/>
        <v>9.1872000000000007</v>
      </c>
      <c r="AK387" s="313">
        <f t="shared" si="12"/>
        <v>0.91871999999999998</v>
      </c>
    </row>
    <row r="388" spans="33:37">
      <c r="AG388" s="466">
        <v>22</v>
      </c>
      <c r="AH388" s="471">
        <v>1.9073867673003693</v>
      </c>
      <c r="AI388" s="468">
        <v>0.97055999999999998</v>
      </c>
      <c r="AJ388" s="313">
        <f t="shared" si="11"/>
        <v>9.7056000000000004</v>
      </c>
      <c r="AK388" s="313">
        <f t="shared" si="12"/>
        <v>0</v>
      </c>
    </row>
    <row r="389" spans="33:37">
      <c r="AG389" s="466">
        <v>23</v>
      </c>
      <c r="AH389" s="471">
        <v>1.8889540455995912</v>
      </c>
      <c r="AI389" s="468">
        <v>0.9979199999999997</v>
      </c>
      <c r="AJ389" s="313">
        <f t="shared" si="11"/>
        <v>9.979199999999997</v>
      </c>
      <c r="AK389" s="313">
        <f t="shared" si="12"/>
        <v>0</v>
      </c>
    </row>
    <row r="390" spans="33:37">
      <c r="AG390" s="466">
        <v>24</v>
      </c>
      <c r="AH390" s="471">
        <v>1.8552609988435225</v>
      </c>
      <c r="AI390" s="468">
        <v>3.528</v>
      </c>
      <c r="AJ390" s="313">
        <f t="shared" si="11"/>
        <v>35.28</v>
      </c>
      <c r="AK390" s="313">
        <f t="shared" si="12"/>
        <v>0</v>
      </c>
    </row>
    <row r="391" spans="33:37">
      <c r="AG391" s="466">
        <v>25</v>
      </c>
      <c r="AH391" s="471">
        <v>1.8162505713273176</v>
      </c>
      <c r="AI391" s="468">
        <v>2.8512</v>
      </c>
      <c r="AJ391" s="313">
        <f t="shared" ref="AJ391:AJ441" si="13">AI391*10</f>
        <v>28.512</v>
      </c>
      <c r="AK391" s="313">
        <f t="shared" ref="AK391:AK441" si="14">IF(AI391&lt;0.94,AI391,0)</f>
        <v>0</v>
      </c>
    </row>
    <row r="392" spans="33:37">
      <c r="AG392" s="466">
        <v>26</v>
      </c>
      <c r="AH392" s="471">
        <v>1.7785331858677984</v>
      </c>
      <c r="AI392" s="468">
        <v>2.4471695916804177</v>
      </c>
      <c r="AJ392" s="313">
        <f t="shared" si="13"/>
        <v>24.471695916804176</v>
      </c>
      <c r="AK392" s="313">
        <f t="shared" si="14"/>
        <v>0</v>
      </c>
    </row>
    <row r="393" spans="33:37">
      <c r="AG393" s="466">
        <v>27</v>
      </c>
      <c r="AH393" s="471">
        <v>1.744879811706745</v>
      </c>
      <c r="AI393" s="468">
        <v>1.7568000000000001</v>
      </c>
      <c r="AJ393" s="313">
        <f t="shared" si="13"/>
        <v>17.568000000000001</v>
      </c>
      <c r="AK393" s="313">
        <f t="shared" si="14"/>
        <v>0</v>
      </c>
    </row>
    <row r="394" spans="33:37">
      <c r="AG394" s="466">
        <v>28</v>
      </c>
      <c r="AH394" s="471">
        <v>1.7175538406777657</v>
      </c>
      <c r="AI394" s="468">
        <v>1.8863999999999999</v>
      </c>
      <c r="AJ394" s="313">
        <f t="shared" si="13"/>
        <v>18.863999999999997</v>
      </c>
      <c r="AK394" s="313">
        <f t="shared" si="14"/>
        <v>0</v>
      </c>
    </row>
    <row r="395" spans="33:37">
      <c r="AG395" s="466">
        <v>29</v>
      </c>
      <c r="AH395" s="471">
        <v>1.6927980098044944</v>
      </c>
      <c r="AI395" s="468">
        <v>1.4327999999999999</v>
      </c>
      <c r="AJ395" s="313">
        <f t="shared" si="13"/>
        <v>14.327999999999999</v>
      </c>
      <c r="AK395" s="313">
        <f t="shared" si="14"/>
        <v>0</v>
      </c>
    </row>
    <row r="396" spans="33:37">
      <c r="AG396" s="466">
        <v>30</v>
      </c>
      <c r="AH396" s="471">
        <v>1.6738853257985116</v>
      </c>
      <c r="AI396" s="468">
        <v>1.2312000000000001</v>
      </c>
      <c r="AJ396" s="313">
        <f t="shared" si="13"/>
        <v>12.312000000000001</v>
      </c>
      <c r="AK396" s="313">
        <f t="shared" si="14"/>
        <v>0</v>
      </c>
    </row>
    <row r="397" spans="33:37">
      <c r="AG397" s="466">
        <v>31</v>
      </c>
      <c r="AH397" s="471">
        <v>1.6540399177420588</v>
      </c>
      <c r="AI397" s="468">
        <v>0.7545599999999999</v>
      </c>
      <c r="AJ397" s="313">
        <f t="shared" si="13"/>
        <v>7.5455999999999985</v>
      </c>
      <c r="AK397" s="313">
        <f t="shared" si="14"/>
        <v>0.7545599999999999</v>
      </c>
    </row>
    <row r="398" spans="33:37">
      <c r="AG398" s="466">
        <v>32</v>
      </c>
      <c r="AH398" s="471">
        <v>1.6342223344097913</v>
      </c>
      <c r="AI398" s="468">
        <v>0.81496190140176283</v>
      </c>
      <c r="AJ398" s="313">
        <f t="shared" si="13"/>
        <v>8.1496190140176274</v>
      </c>
      <c r="AK398" s="313">
        <f t="shared" si="14"/>
        <v>0.81496190140176283</v>
      </c>
    </row>
    <row r="399" spans="33:37">
      <c r="AG399" s="466">
        <v>33</v>
      </c>
      <c r="AH399" s="471">
        <v>1.6170466778126253</v>
      </c>
      <c r="AI399" s="468">
        <v>-0.50834847130751692</v>
      </c>
      <c r="AJ399" s="313">
        <f t="shared" si="13"/>
        <v>-5.083484713075169</v>
      </c>
      <c r="AK399" s="313">
        <f t="shared" si="14"/>
        <v>-0.50834847130751692</v>
      </c>
    </row>
    <row r="400" spans="33:37">
      <c r="AG400" s="466">
        <v>34</v>
      </c>
      <c r="AH400" s="471">
        <v>1.6136663127128439</v>
      </c>
      <c r="AI400" s="468">
        <v>1.3881599999999998</v>
      </c>
      <c r="AJ400" s="313">
        <f t="shared" si="13"/>
        <v>13.881599999999999</v>
      </c>
      <c r="AK400" s="313">
        <f t="shared" si="14"/>
        <v>0</v>
      </c>
    </row>
    <row r="401" spans="33:37">
      <c r="AG401" s="466">
        <v>35</v>
      </c>
      <c r="AH401" s="471">
        <v>1.5972505666279342</v>
      </c>
      <c r="AI401" s="468">
        <v>0.98639999999999994</v>
      </c>
      <c r="AJ401" s="313">
        <f t="shared" si="13"/>
        <v>9.863999999999999</v>
      </c>
      <c r="AK401" s="313">
        <f t="shared" si="14"/>
        <v>0</v>
      </c>
    </row>
    <row r="402" spans="33:37">
      <c r="AG402" s="466">
        <v>36</v>
      </c>
      <c r="AH402" s="471">
        <v>1.5800470923556609</v>
      </c>
      <c r="AI402" s="468">
        <v>0.63648000000000005</v>
      </c>
      <c r="AJ402" s="313">
        <f t="shared" si="13"/>
        <v>6.3648000000000007</v>
      </c>
      <c r="AK402" s="313">
        <f t="shared" si="14"/>
        <v>0.63648000000000005</v>
      </c>
    </row>
    <row r="403" spans="33:37">
      <c r="AG403" s="466">
        <v>37</v>
      </c>
      <c r="AH403" s="471">
        <v>1.5642311436986165</v>
      </c>
      <c r="AI403" s="468">
        <v>0.58607999999999993</v>
      </c>
      <c r="AJ403" s="313">
        <f t="shared" si="13"/>
        <v>5.8607999999999993</v>
      </c>
      <c r="AK403" s="313">
        <f t="shared" si="14"/>
        <v>0.58607999999999993</v>
      </c>
    </row>
    <row r="404" spans="33:37">
      <c r="AG404" s="466">
        <v>38</v>
      </c>
      <c r="AH404" s="471">
        <v>1.5474288942579135</v>
      </c>
      <c r="AI404" s="468">
        <v>0.78336000000000006</v>
      </c>
      <c r="AJ404" s="313">
        <f t="shared" si="13"/>
        <v>7.8336000000000006</v>
      </c>
      <c r="AK404" s="313">
        <f t="shared" si="14"/>
        <v>0.78336000000000006</v>
      </c>
    </row>
    <row r="405" spans="33:37">
      <c r="AG405" s="698">
        <v>39</v>
      </c>
      <c r="AH405" s="471">
        <v>1.5286434131615603</v>
      </c>
      <c r="AI405" s="468">
        <v>0.62783999999999995</v>
      </c>
      <c r="AJ405" s="313">
        <f t="shared" si="13"/>
        <v>6.2783999999999995</v>
      </c>
      <c r="AK405" s="313">
        <f t="shared" si="14"/>
        <v>0.62783999999999995</v>
      </c>
    </row>
    <row r="406" spans="33:37">
      <c r="AG406" s="698">
        <v>40</v>
      </c>
      <c r="AH406" s="471">
        <v>1.5106092617073847</v>
      </c>
      <c r="AI406" s="468">
        <v>0.54143999999999992</v>
      </c>
      <c r="AJ406" s="313">
        <f t="shared" si="13"/>
        <v>5.4143999999999988</v>
      </c>
      <c r="AK406" s="313">
        <f t="shared" si="14"/>
        <v>0.54143999999999992</v>
      </c>
    </row>
    <row r="407" spans="33:37">
      <c r="AG407" s="698">
        <v>41</v>
      </c>
      <c r="AH407" s="471">
        <v>1.4923460747956052</v>
      </c>
      <c r="AI407" s="468">
        <v>0.64511999999999992</v>
      </c>
      <c r="AJ407" s="313">
        <f t="shared" si="13"/>
        <v>6.4511999999999992</v>
      </c>
      <c r="AK407" s="313">
        <f t="shared" si="14"/>
        <v>0.64511999999999992</v>
      </c>
    </row>
    <row r="408" spans="33:37">
      <c r="AG408" s="698">
        <v>42</v>
      </c>
      <c r="AH408" s="471">
        <v>1.4737438253549064</v>
      </c>
      <c r="AI408" s="468">
        <v>1.1059199999999998</v>
      </c>
      <c r="AJ408" s="313">
        <f t="shared" si="13"/>
        <v>11.059199999999997</v>
      </c>
      <c r="AK408" s="313">
        <f t="shared" si="14"/>
        <v>0</v>
      </c>
    </row>
    <row r="409" spans="33:37">
      <c r="AG409" s="698">
        <v>43</v>
      </c>
      <c r="AH409" s="471">
        <v>1.4548272572329988</v>
      </c>
      <c r="AI409" s="468">
        <v>0.93023999999999996</v>
      </c>
      <c r="AJ409" s="313">
        <f t="shared" si="13"/>
        <v>9.3023999999999987</v>
      </c>
      <c r="AK409" s="313">
        <f t="shared" si="14"/>
        <v>0.93023999999999996</v>
      </c>
    </row>
    <row r="410" spans="33:37">
      <c r="AG410" s="698">
        <v>44</v>
      </c>
      <c r="AH410" s="471">
        <v>1.434738718757099</v>
      </c>
      <c r="AI410" s="468">
        <v>0.70991999999999988</v>
      </c>
      <c r="AJ410" s="313">
        <f t="shared" si="13"/>
        <v>7.0991999999999988</v>
      </c>
      <c r="AK410" s="313">
        <f t="shared" si="14"/>
        <v>0.70991999999999988</v>
      </c>
    </row>
    <row r="411" spans="33:37">
      <c r="AG411" s="698">
        <v>45</v>
      </c>
      <c r="AH411" s="471">
        <v>1.4139307456034245</v>
      </c>
      <c r="AI411" s="468">
        <v>0.60624000000000011</v>
      </c>
      <c r="AJ411" s="313">
        <f t="shared" si="13"/>
        <v>6.0624000000000011</v>
      </c>
      <c r="AK411" s="313">
        <f t="shared" si="14"/>
        <v>0.60624000000000011</v>
      </c>
    </row>
    <row r="412" spans="33:37">
      <c r="AG412" s="698">
        <v>46</v>
      </c>
      <c r="AH412" s="471">
        <v>1.3935712355360539</v>
      </c>
      <c r="AI412" s="468">
        <v>0.48527999999999993</v>
      </c>
      <c r="AJ412" s="313">
        <f t="shared" si="13"/>
        <v>4.8527999999999993</v>
      </c>
      <c r="AK412" s="313">
        <f t="shared" si="14"/>
        <v>0.48527999999999993</v>
      </c>
    </row>
    <row r="413" spans="33:37">
      <c r="AG413" s="698">
        <v>47</v>
      </c>
      <c r="AH413" s="471">
        <v>1.3718448476143439</v>
      </c>
      <c r="AI413" s="468">
        <v>0.36143999999999998</v>
      </c>
      <c r="AJ413" s="313">
        <f t="shared" si="13"/>
        <v>3.6143999999999998</v>
      </c>
      <c r="AK413" s="313">
        <f t="shared" si="14"/>
        <v>0.36143999999999998</v>
      </c>
    </row>
    <row r="414" spans="33:37">
      <c r="AG414" s="698">
        <v>48</v>
      </c>
      <c r="AH414" s="471">
        <v>1.3499583466082465</v>
      </c>
      <c r="AI414" s="468">
        <v>0.42255134218871415</v>
      </c>
      <c r="AJ414" s="313">
        <f t="shared" si="13"/>
        <v>4.2255134218871415</v>
      </c>
      <c r="AK414" s="313">
        <f t="shared" si="14"/>
        <v>0.42255134218871415</v>
      </c>
    </row>
    <row r="415" spans="33:37">
      <c r="AG415" s="698">
        <v>49</v>
      </c>
      <c r="AH415" s="471">
        <v>1.3276139702099985</v>
      </c>
      <c r="AI415" s="468">
        <v>0.42623999999999995</v>
      </c>
      <c r="AJ415" s="313">
        <f t="shared" si="13"/>
        <v>4.2623999999999995</v>
      </c>
      <c r="AK415" s="313">
        <f t="shared" si="14"/>
        <v>0.42623999999999995</v>
      </c>
    </row>
    <row r="416" spans="33:37">
      <c r="AG416" s="698">
        <v>50</v>
      </c>
      <c r="AH416" s="471">
        <v>1.305385945263374</v>
      </c>
      <c r="AI416" s="468">
        <v>1.0396800000000002</v>
      </c>
      <c r="AJ416" s="313">
        <f t="shared" si="13"/>
        <v>10.396800000000002</v>
      </c>
      <c r="AK416" s="313">
        <f t="shared" si="14"/>
        <v>0</v>
      </c>
    </row>
    <row r="417" spans="33:37">
      <c r="AG417" s="698">
        <v>51</v>
      </c>
      <c r="AH417" s="471">
        <v>1.2829575198718639</v>
      </c>
      <c r="AI417" s="468">
        <v>-2.6784000000000141E-2</v>
      </c>
      <c r="AJ417" s="313">
        <f t="shared" si="13"/>
        <v>-0.26784000000000141</v>
      </c>
      <c r="AK417" s="313">
        <f t="shared" si="14"/>
        <v>-2.6784000000000141E-2</v>
      </c>
    </row>
    <row r="418" spans="33:37">
      <c r="AG418" s="698">
        <v>52</v>
      </c>
      <c r="AH418" s="471">
        <v>1.2593783796036564</v>
      </c>
      <c r="AI418" s="468">
        <v>-1.2830399999999909E-2</v>
      </c>
      <c r="AJ418" s="313">
        <f t="shared" si="13"/>
        <v>-0.12830399999999909</v>
      </c>
      <c r="AK418" s="313">
        <f t="shared" si="14"/>
        <v>-1.2830399999999909E-2</v>
      </c>
    </row>
    <row r="419" spans="33:37">
      <c r="AG419" s="698">
        <v>53</v>
      </c>
      <c r="AH419" s="471">
        <v>1.2354814463819692</v>
      </c>
      <c r="AI419" s="468">
        <v>9.6191999999999833E-2</v>
      </c>
      <c r="AJ419" s="313">
        <f t="shared" si="13"/>
        <v>0.96191999999999833</v>
      </c>
      <c r="AK419" s="313">
        <f t="shared" si="14"/>
        <v>9.6191999999999833E-2</v>
      </c>
    </row>
    <row r="420" spans="33:37">
      <c r="AG420" s="698">
        <v>54</v>
      </c>
      <c r="AH420" s="471">
        <v>1.2124260277020418</v>
      </c>
      <c r="AI420" s="468">
        <v>0.18432000000000004</v>
      </c>
      <c r="AJ420" s="313">
        <f t="shared" si="13"/>
        <v>1.8432000000000004</v>
      </c>
      <c r="AK420" s="313">
        <f t="shared" si="14"/>
        <v>0.18432000000000004</v>
      </c>
    </row>
    <row r="421" spans="33:37">
      <c r="AG421" s="698">
        <v>55</v>
      </c>
      <c r="AH421" s="471">
        <v>1.1877430056676022</v>
      </c>
      <c r="AI421" s="468">
        <v>-3.8736000000000104E-2</v>
      </c>
      <c r="AJ421" s="313">
        <f t="shared" si="13"/>
        <v>-0.38736000000000104</v>
      </c>
      <c r="AK421" s="313">
        <f t="shared" si="14"/>
        <v>-3.8736000000000104E-2</v>
      </c>
    </row>
    <row r="422" spans="33:37">
      <c r="AG422" s="698">
        <v>56</v>
      </c>
      <c r="AH422" s="471">
        <v>1.1624562973899848</v>
      </c>
      <c r="AI422" s="468">
        <v>0.11231999999999998</v>
      </c>
      <c r="AJ422" s="313">
        <f t="shared" si="13"/>
        <v>1.1231999999999998</v>
      </c>
      <c r="AK422" s="313">
        <f t="shared" si="14"/>
        <v>0.11231999999999998</v>
      </c>
    </row>
    <row r="423" spans="33:37">
      <c r="AG423" s="698">
        <v>57</v>
      </c>
      <c r="AH423" s="471">
        <v>1.1376661054413257</v>
      </c>
      <c r="AI423" s="468">
        <v>0.30527999999999977</v>
      </c>
      <c r="AJ423" s="313">
        <f t="shared" si="13"/>
        <v>3.0527999999999977</v>
      </c>
      <c r="AK423" s="313">
        <f t="shared" si="14"/>
        <v>0.30527999999999977</v>
      </c>
    </row>
    <row r="424" spans="33:37">
      <c r="AG424" s="698">
        <v>58</v>
      </c>
      <c r="AH424" s="471">
        <v>1.112165702646752</v>
      </c>
      <c r="AI424" s="468">
        <v>-0.17711999999999994</v>
      </c>
      <c r="AJ424" s="313">
        <f t="shared" si="13"/>
        <v>-1.7711999999999994</v>
      </c>
      <c r="AK424" s="313">
        <f t="shared" si="14"/>
        <v>-0.17711999999999994</v>
      </c>
    </row>
    <row r="425" spans="33:37">
      <c r="AG425" s="698">
        <v>59</v>
      </c>
      <c r="AH425" s="471">
        <v>1.08927653295753</v>
      </c>
      <c r="AI425" s="468">
        <v>-4.8528000000000127E-2</v>
      </c>
      <c r="AJ425" s="313">
        <f t="shared" si="13"/>
        <v>-0.48528000000000127</v>
      </c>
      <c r="AK425" s="313">
        <f t="shared" si="14"/>
        <v>-4.8528000000000127E-2</v>
      </c>
    </row>
    <row r="426" spans="33:37">
      <c r="AG426" s="698">
        <v>60</v>
      </c>
      <c r="AH426" s="471">
        <v>1.0646573055512696</v>
      </c>
      <c r="AI426" s="468">
        <v>0.12844800000000012</v>
      </c>
      <c r="AJ426" s="313">
        <f t="shared" si="13"/>
        <v>1.2844800000000012</v>
      </c>
      <c r="AK426" s="313">
        <f t="shared" si="14"/>
        <v>0.12844800000000012</v>
      </c>
    </row>
    <row r="427" spans="33:37">
      <c r="AG427" s="698">
        <v>61</v>
      </c>
      <c r="AH427" s="471">
        <v>1.0399552539833183</v>
      </c>
      <c r="AI427" s="468">
        <v>-0.22319999999999984</v>
      </c>
      <c r="AJ427" s="313">
        <f t="shared" si="13"/>
        <v>-2.2319999999999984</v>
      </c>
      <c r="AK427" s="313">
        <f t="shared" si="14"/>
        <v>-0.22319999999999984</v>
      </c>
    </row>
    <row r="428" spans="33:37">
      <c r="AG428" s="698">
        <v>62</v>
      </c>
      <c r="AH428" s="471">
        <v>1.0165198800472619</v>
      </c>
      <c r="AI428" s="468">
        <v>-0.97775999999999996</v>
      </c>
      <c r="AJ428" s="313">
        <f t="shared" si="13"/>
        <v>-9.7775999999999996</v>
      </c>
      <c r="AK428" s="313">
        <f t="shared" si="14"/>
        <v>-0.97775999999999996</v>
      </c>
    </row>
    <row r="429" spans="33:37">
      <c r="AG429" s="698">
        <v>63</v>
      </c>
      <c r="AH429" s="471">
        <v>0.99477406919623368</v>
      </c>
      <c r="AI429" s="468">
        <v>-0.54576000000000002</v>
      </c>
      <c r="AJ429" s="313">
        <f t="shared" si="13"/>
        <v>-5.4576000000000002</v>
      </c>
      <c r="AK429" s="313">
        <f t="shared" si="14"/>
        <v>-0.54576000000000002</v>
      </c>
    </row>
    <row r="430" spans="33:37">
      <c r="AG430" s="698">
        <v>64</v>
      </c>
      <c r="AH430" s="471">
        <v>0.97102928765371876</v>
      </c>
      <c r="AI430" s="468">
        <v>-0.30527999999999977</v>
      </c>
      <c r="AJ430" s="313">
        <f t="shared" si="13"/>
        <v>-3.0527999999999977</v>
      </c>
      <c r="AK430" s="313">
        <f t="shared" si="14"/>
        <v>-0.30527999999999977</v>
      </c>
    </row>
    <row r="431" spans="33:37">
      <c r="AG431" s="698">
        <v>65</v>
      </c>
      <c r="AH431" s="471">
        <v>0.94512253463223272</v>
      </c>
      <c r="AI431" s="468">
        <v>-0.45359999999999978</v>
      </c>
      <c r="AJ431" s="313">
        <f t="shared" si="13"/>
        <v>-4.5359999999999978</v>
      </c>
      <c r="AK431" s="313">
        <f t="shared" si="14"/>
        <v>-0.45359999999999978</v>
      </c>
    </row>
    <row r="432" spans="33:37">
      <c r="AG432" s="698">
        <v>66</v>
      </c>
      <c r="AH432" s="471">
        <v>0.92076568619890642</v>
      </c>
      <c r="AI432" s="468">
        <v>-0.6120000000000001</v>
      </c>
      <c r="AJ432" s="313">
        <f t="shared" si="13"/>
        <v>-6.120000000000001</v>
      </c>
      <c r="AK432" s="313">
        <f t="shared" si="14"/>
        <v>-0.6120000000000001</v>
      </c>
    </row>
    <row r="433" spans="33:37">
      <c r="AG433" s="698">
        <v>67</v>
      </c>
      <c r="AH433" s="471">
        <v>0.89365014268613008</v>
      </c>
      <c r="AI433" s="468">
        <v>-0.93455999999999984</v>
      </c>
      <c r="AJ433" s="313">
        <f t="shared" si="13"/>
        <v>-9.3455999999999975</v>
      </c>
      <c r="AK433" s="313">
        <f t="shared" si="14"/>
        <v>-0.93455999999999984</v>
      </c>
    </row>
    <row r="434" spans="33:37">
      <c r="AG434" s="698">
        <v>68</v>
      </c>
      <c r="AH434" s="471">
        <v>0.86809103541333377</v>
      </c>
      <c r="AI434" s="468">
        <v>-0.12124800000000002</v>
      </c>
      <c r="AJ434" s="313">
        <f t="shared" si="13"/>
        <v>-1.2124800000000002</v>
      </c>
      <c r="AK434" s="313">
        <f t="shared" si="14"/>
        <v>-0.12124800000000002</v>
      </c>
    </row>
    <row r="435" spans="33:37">
      <c r="AG435" s="698">
        <v>69</v>
      </c>
      <c r="AH435" s="471">
        <v>0.84340679089701309</v>
      </c>
      <c r="AI435" s="468">
        <v>0.30384000000000011</v>
      </c>
      <c r="AJ435" s="313">
        <f t="shared" si="13"/>
        <v>3.0384000000000011</v>
      </c>
      <c r="AK435" s="313">
        <f t="shared" si="14"/>
        <v>0.30384000000000011</v>
      </c>
    </row>
    <row r="436" spans="33:37">
      <c r="AG436" s="698">
        <v>70</v>
      </c>
      <c r="AH436" s="471">
        <v>0.81532704526209576</v>
      </c>
      <c r="AI436" s="468">
        <v>1.6992</v>
      </c>
      <c r="AJ436" s="313">
        <f t="shared" si="13"/>
        <v>16.992000000000001</v>
      </c>
      <c r="AK436" s="313">
        <f t="shared" si="14"/>
        <v>0</v>
      </c>
    </row>
    <row r="437" spans="33:37">
      <c r="AG437" s="698">
        <v>71</v>
      </c>
      <c r="AH437" s="471">
        <v>0.78949329895218723</v>
      </c>
      <c r="AI437" s="468">
        <v>-0.3024</v>
      </c>
      <c r="AJ437" s="313">
        <f t="shared" si="13"/>
        <v>-3.024</v>
      </c>
      <c r="AK437" s="313">
        <f t="shared" si="14"/>
        <v>-0.3024</v>
      </c>
    </row>
    <row r="438" spans="33:37">
      <c r="AG438" s="698">
        <v>72</v>
      </c>
      <c r="AH438" s="471">
        <v>0.76517836315581134</v>
      </c>
      <c r="AI438" s="468">
        <v>-0.26495999999999986</v>
      </c>
      <c r="AJ438" s="313">
        <f t="shared" si="13"/>
        <v>-2.6495999999999986</v>
      </c>
      <c r="AK438" s="313">
        <f t="shared" si="14"/>
        <v>-0.26495999999999986</v>
      </c>
    </row>
    <row r="439" spans="33:37">
      <c r="AG439" s="698">
        <v>73</v>
      </c>
      <c r="AH439" s="471">
        <v>0.74098941248656969</v>
      </c>
      <c r="AI439" s="468">
        <v>0.71711999999999998</v>
      </c>
      <c r="AJ439" s="313">
        <f t="shared" si="13"/>
        <v>7.1711999999999998</v>
      </c>
      <c r="AK439" s="313">
        <f t="shared" si="14"/>
        <v>0.71711999999999998</v>
      </c>
    </row>
    <row r="440" spans="33:37">
      <c r="AG440" s="698">
        <v>74</v>
      </c>
      <c r="AH440" s="471">
        <v>0.71552950432400797</v>
      </c>
      <c r="AI440" s="468">
        <v>0.28224000000000005</v>
      </c>
      <c r="AJ440" s="313">
        <f t="shared" si="13"/>
        <v>2.8224000000000005</v>
      </c>
      <c r="AK440" s="313">
        <f t="shared" si="14"/>
        <v>0.28224000000000005</v>
      </c>
    </row>
    <row r="441" spans="33:37">
      <c r="AG441" s="698">
        <v>75</v>
      </c>
      <c r="AH441" s="471">
        <v>0.69674443542099906</v>
      </c>
      <c r="AI441" s="468">
        <v>-1.1664000000000003</v>
      </c>
      <c r="AJ441" s="313">
        <f t="shared" si="13"/>
        <v>-11.664000000000003</v>
      </c>
      <c r="AK441" s="313">
        <f t="shared" si="14"/>
        <v>-1.1664000000000003</v>
      </c>
    </row>
  </sheetData>
  <sortState ref="X4:Z131">
    <sortCondition ref="X4:X131"/>
  </sortState>
  <pageMargins left="0.75" right="0.75" top="1" bottom="1" header="0.5" footer="0.5"/>
  <pageSetup orientation="portrait" horizontalDpi="4294967292" verticalDpi="429496729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231"/>
  <sheetViews>
    <sheetView tabSelected="1" zoomScale="59" zoomScaleNormal="125" zoomScalePageLayoutView="125" workbookViewId="0">
      <pane ySplit="340" activePane="bottomLeft"/>
      <selection activeCell="W1" sqref="W1:W1048576"/>
      <selection pane="bottomLeft" activeCell="E1" sqref="E1"/>
    </sheetView>
  </sheetViews>
  <sheetFormatPr baseColWidth="10" defaultRowHeight="16"/>
  <cols>
    <col min="1" max="1" width="10.7109375" style="5"/>
    <col min="2" max="2" width="15.85546875" style="5" customWidth="1"/>
    <col min="3" max="3" width="10.7109375" style="5"/>
    <col min="4" max="4" width="14.7109375" style="5" customWidth="1"/>
    <col min="5" max="8" width="10.7109375" style="10"/>
    <col min="9" max="9" width="10.7109375" style="41"/>
    <col min="10" max="10" width="14.7109375" style="14" customWidth="1"/>
    <col min="11" max="11" width="10.7109375" style="14"/>
    <col min="12" max="12" width="13.5703125" style="14" customWidth="1"/>
    <col min="13" max="13" width="10.7109375" style="14"/>
    <col min="14" max="14" width="12.7109375" style="14" customWidth="1"/>
    <col min="15" max="15" width="12.7109375" style="15" customWidth="1"/>
    <col min="16" max="16" width="12.7109375" style="42" customWidth="1"/>
    <col min="17" max="17" width="10.7109375" style="91"/>
    <col min="18" max="18" width="14.5703125" style="83" customWidth="1"/>
    <col min="19" max="19" width="10.7109375" style="83" customWidth="1"/>
    <col min="20" max="20" width="14.42578125" style="87" customWidth="1"/>
    <col min="21" max="21" width="10.7109375" style="84"/>
    <col min="22" max="22" width="12.7109375" style="84" customWidth="1"/>
    <col min="23" max="23" width="12.7109375" style="105" customWidth="1"/>
    <col min="24" max="24" width="12.7109375" style="106" customWidth="1"/>
    <col min="25" max="25" width="8.85546875" style="143" customWidth="1"/>
    <col min="26" max="26" width="14.5703125" style="139" customWidth="1"/>
    <col min="27" max="27" width="10.7109375" style="139" customWidth="1"/>
    <col min="28" max="32" width="14.42578125" style="139" customWidth="1"/>
    <col min="33" max="33" width="10.7109375" style="91"/>
    <col min="35" max="35" width="10.7109375" style="34"/>
    <col min="38" max="70" width="10.7109375" style="134"/>
  </cols>
  <sheetData>
    <row r="1" spans="1:70" s="16" customFormat="1">
      <c r="A1" s="55" t="s">
        <v>0</v>
      </c>
      <c r="B1" s="136" t="s">
        <v>13</v>
      </c>
      <c r="C1" s="136" t="s">
        <v>9</v>
      </c>
      <c r="D1" s="136" t="s">
        <v>14</v>
      </c>
      <c r="E1" s="137" t="s">
        <v>15</v>
      </c>
      <c r="F1" s="137" t="s">
        <v>10</v>
      </c>
      <c r="G1" s="136" t="s">
        <v>11</v>
      </c>
      <c r="H1" s="136" t="s">
        <v>12</v>
      </c>
      <c r="I1" s="59" t="s">
        <v>0</v>
      </c>
      <c r="J1" s="6" t="s">
        <v>28</v>
      </c>
      <c r="K1" s="6" t="s">
        <v>29</v>
      </c>
      <c r="L1" s="6" t="s">
        <v>30</v>
      </c>
      <c r="M1" s="6" t="s">
        <v>6</v>
      </c>
      <c r="N1" s="6" t="s">
        <v>27</v>
      </c>
      <c r="O1" s="6" t="s">
        <v>31</v>
      </c>
      <c r="P1" s="60" t="s">
        <v>32</v>
      </c>
      <c r="Q1" s="59" t="s">
        <v>0</v>
      </c>
      <c r="R1" s="96" t="s">
        <v>39</v>
      </c>
      <c r="S1" s="96" t="s">
        <v>40</v>
      </c>
      <c r="T1" s="6" t="s">
        <v>41</v>
      </c>
      <c r="U1" s="82" t="s">
        <v>7</v>
      </c>
      <c r="V1" s="82" t="s">
        <v>53</v>
      </c>
      <c r="W1" s="82" t="s">
        <v>54</v>
      </c>
      <c r="X1" s="103" t="s">
        <v>55</v>
      </c>
      <c r="Y1" s="164"/>
      <c r="Z1" s="165"/>
      <c r="AA1" s="165"/>
      <c r="AB1" s="165"/>
      <c r="AC1" s="165"/>
      <c r="AD1" s="165" t="s">
        <v>5</v>
      </c>
      <c r="AE1" s="165"/>
      <c r="AF1" s="165"/>
      <c r="AG1" s="59" t="s">
        <v>0</v>
      </c>
      <c r="AH1" s="6" t="s">
        <v>1</v>
      </c>
      <c r="AI1" s="96"/>
      <c r="AL1" s="134" t="s">
        <v>3</v>
      </c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</row>
    <row r="2" spans="1:70">
      <c r="A2" s="7">
        <v>41543</v>
      </c>
      <c r="B2" s="7"/>
      <c r="C2" s="7"/>
      <c r="D2" s="7"/>
      <c r="E2" s="48"/>
      <c r="F2" s="48"/>
      <c r="G2" s="48"/>
      <c r="H2" s="48"/>
      <c r="I2" s="67">
        <v>41543</v>
      </c>
      <c r="J2" s="68"/>
      <c r="K2" s="68"/>
      <c r="L2" s="68"/>
      <c r="M2" s="68"/>
      <c r="N2" s="68"/>
      <c r="O2" s="68"/>
      <c r="P2" s="68"/>
      <c r="Q2" s="88">
        <v>41543</v>
      </c>
      <c r="R2" s="99"/>
      <c r="S2" s="99"/>
      <c r="T2" s="99"/>
      <c r="U2" s="99"/>
      <c r="V2" s="99"/>
      <c r="W2" s="99"/>
      <c r="X2" s="99"/>
      <c r="Y2" s="141"/>
      <c r="Z2" s="166"/>
      <c r="AA2" s="166"/>
      <c r="AB2" s="166"/>
      <c r="AC2" s="166"/>
      <c r="AD2" s="166"/>
      <c r="AE2" s="166"/>
      <c r="AF2" s="166"/>
      <c r="AG2" s="88">
        <v>41543</v>
      </c>
      <c r="AH2" s="180"/>
      <c r="AI2" s="181"/>
      <c r="AL2" s="134" t="s">
        <v>4</v>
      </c>
    </row>
    <row r="3" spans="1:70">
      <c r="A3" s="7">
        <v>41544</v>
      </c>
      <c r="B3" s="7"/>
      <c r="C3" s="7"/>
      <c r="D3" s="7"/>
      <c r="E3" s="48"/>
      <c r="F3" s="48"/>
      <c r="G3" s="48"/>
      <c r="H3" s="48"/>
      <c r="I3" s="67">
        <v>41544</v>
      </c>
      <c r="J3" s="68"/>
      <c r="K3" s="68"/>
      <c r="L3" s="68"/>
      <c r="M3" s="68"/>
      <c r="N3" s="68"/>
      <c r="O3" s="68"/>
      <c r="P3" s="68"/>
      <c r="Q3" s="88">
        <v>41544</v>
      </c>
      <c r="R3" s="99"/>
      <c r="S3" s="99"/>
      <c r="T3" s="99"/>
      <c r="U3" s="99"/>
      <c r="V3" s="99"/>
      <c r="W3" s="99"/>
      <c r="X3" s="99"/>
      <c r="Y3" s="141"/>
      <c r="Z3" s="166"/>
      <c r="AA3" s="166"/>
      <c r="AB3" s="166"/>
      <c r="AC3" s="166"/>
      <c r="AD3" s="166"/>
      <c r="AE3" s="166"/>
      <c r="AF3" s="166"/>
      <c r="AG3" s="88">
        <v>41544</v>
      </c>
      <c r="AH3" s="180"/>
      <c r="AI3" s="181"/>
    </row>
    <row r="4" spans="1:70">
      <c r="A4" s="7">
        <v>41545</v>
      </c>
      <c r="B4" s="7"/>
      <c r="C4" s="7"/>
      <c r="D4" s="7"/>
      <c r="E4" s="48"/>
      <c r="F4" s="48"/>
      <c r="G4" s="48"/>
      <c r="H4" s="48"/>
      <c r="I4" s="67">
        <v>41545</v>
      </c>
      <c r="J4" s="68"/>
      <c r="K4" s="68"/>
      <c r="L4" s="68"/>
      <c r="M4" s="68"/>
      <c r="N4" s="68"/>
      <c r="O4" s="68"/>
      <c r="P4" s="68"/>
      <c r="Q4" s="88">
        <v>41545</v>
      </c>
      <c r="R4" s="99"/>
      <c r="S4" s="99"/>
      <c r="T4" s="99"/>
      <c r="U4" s="99"/>
      <c r="V4" s="99"/>
      <c r="W4" s="99"/>
      <c r="X4" s="99"/>
      <c r="Y4" s="141"/>
      <c r="Z4" s="166"/>
      <c r="AA4" s="166"/>
      <c r="AB4" s="166"/>
      <c r="AC4" s="166"/>
      <c r="AD4" s="166"/>
      <c r="AE4" s="166"/>
      <c r="AF4" s="166"/>
      <c r="AG4" s="88">
        <v>41545</v>
      </c>
      <c r="AH4" s="180"/>
      <c r="AI4" s="181"/>
    </row>
    <row r="5" spans="1:70">
      <c r="A5" s="7">
        <v>41546</v>
      </c>
      <c r="B5" s="7"/>
      <c r="C5" s="7"/>
      <c r="D5" s="7"/>
      <c r="E5" s="48"/>
      <c r="F5" s="48"/>
      <c r="G5" s="48"/>
      <c r="H5" s="48"/>
      <c r="I5" s="67">
        <v>41546</v>
      </c>
      <c r="J5" s="68"/>
      <c r="K5" s="68"/>
      <c r="L5" s="68"/>
      <c r="M5" s="68"/>
      <c r="N5" s="68"/>
      <c r="O5" s="68"/>
      <c r="P5" s="68"/>
      <c r="Q5" s="88">
        <v>41546</v>
      </c>
      <c r="R5" s="99"/>
      <c r="S5" s="99"/>
      <c r="T5" s="99"/>
      <c r="U5" s="99"/>
      <c r="V5" s="99"/>
      <c r="W5" s="99"/>
      <c r="X5" s="99"/>
      <c r="Y5" s="141"/>
      <c r="Z5" s="166"/>
      <c r="AA5" s="166"/>
      <c r="AB5" s="166"/>
      <c r="AC5" s="166"/>
      <c r="AD5" s="166"/>
      <c r="AE5" s="166"/>
      <c r="AF5" s="166"/>
      <c r="AG5" s="88">
        <v>41546</v>
      </c>
      <c r="AH5" s="180"/>
      <c r="AI5" s="181"/>
    </row>
    <row r="6" spans="1:70">
      <c r="A6" s="7">
        <v>41547</v>
      </c>
      <c r="B6" s="7"/>
      <c r="C6" s="7"/>
      <c r="D6" s="7"/>
      <c r="E6" s="48"/>
      <c r="F6" s="48"/>
      <c r="G6" s="48"/>
      <c r="H6" s="48"/>
      <c r="I6" s="67">
        <v>41547</v>
      </c>
      <c r="J6" s="68"/>
      <c r="K6" s="68"/>
      <c r="L6" s="68"/>
      <c r="M6" s="68"/>
      <c r="N6" s="68"/>
      <c r="O6" s="68"/>
      <c r="P6" s="68"/>
      <c r="Q6" s="88">
        <v>41547</v>
      </c>
      <c r="R6" s="99"/>
      <c r="S6" s="99"/>
      <c r="T6" s="99"/>
      <c r="U6" s="99"/>
      <c r="V6" s="99"/>
      <c r="W6" s="99"/>
      <c r="X6" s="99"/>
      <c r="Y6" s="141"/>
      <c r="Z6" s="166"/>
      <c r="AA6" s="166"/>
      <c r="AB6" s="166"/>
      <c r="AC6" s="166"/>
      <c r="AD6" s="166"/>
      <c r="AE6" s="166"/>
      <c r="AF6" s="166"/>
      <c r="AG6" s="88">
        <v>41547</v>
      </c>
      <c r="AH6" s="180"/>
      <c r="AI6" s="181"/>
    </row>
    <row r="7" spans="1:70">
      <c r="A7" s="7">
        <v>41548</v>
      </c>
      <c r="B7" s="7"/>
      <c r="C7" s="7"/>
      <c r="D7" s="7"/>
      <c r="E7" s="48"/>
      <c r="F7" s="48"/>
      <c r="G7" s="48"/>
      <c r="H7" s="48"/>
      <c r="I7" s="67">
        <v>41548</v>
      </c>
      <c r="J7" s="68"/>
      <c r="K7" s="68"/>
      <c r="L7" s="68"/>
      <c r="M7" s="68"/>
      <c r="N7" s="68"/>
      <c r="O7" s="68"/>
      <c r="P7" s="68"/>
      <c r="Q7" s="88">
        <v>41548</v>
      </c>
      <c r="R7" s="99"/>
      <c r="S7" s="99"/>
      <c r="T7" s="99"/>
      <c r="U7" s="99"/>
      <c r="V7" s="99"/>
      <c r="W7" s="99"/>
      <c r="X7" s="99"/>
      <c r="Y7" s="141"/>
      <c r="Z7" s="166"/>
      <c r="AA7" s="166"/>
      <c r="AB7" s="166"/>
      <c r="AC7" s="166"/>
      <c r="AD7" s="166"/>
      <c r="AE7" s="166"/>
      <c r="AF7" s="166"/>
      <c r="AG7" s="88">
        <v>41548</v>
      </c>
      <c r="AH7" s="180"/>
      <c r="AI7" s="181"/>
    </row>
    <row r="8" spans="1:70">
      <c r="A8" s="7">
        <v>41549</v>
      </c>
      <c r="B8" s="7"/>
      <c r="C8" s="7"/>
      <c r="D8" s="7"/>
      <c r="E8" s="48"/>
      <c r="F8" s="48"/>
      <c r="G8" s="48"/>
      <c r="H8" s="48"/>
      <c r="I8" s="67">
        <v>41549</v>
      </c>
      <c r="J8" s="68"/>
      <c r="K8" s="68"/>
      <c r="L8" s="68"/>
      <c r="M8" s="68"/>
      <c r="N8" s="68"/>
      <c r="O8" s="68"/>
      <c r="P8" s="68"/>
      <c r="Q8" s="88">
        <v>41549</v>
      </c>
      <c r="R8" s="99"/>
      <c r="S8" s="99"/>
      <c r="T8" s="99"/>
      <c r="U8" s="99"/>
      <c r="V8" s="99"/>
      <c r="W8" s="99"/>
      <c r="X8" s="99"/>
      <c r="Y8" s="141"/>
      <c r="Z8" s="166"/>
      <c r="AA8" s="166"/>
      <c r="AB8" s="166"/>
      <c r="AC8" s="166"/>
      <c r="AD8" s="166"/>
      <c r="AE8" s="166"/>
      <c r="AF8" s="166"/>
      <c r="AG8" s="88">
        <v>41549</v>
      </c>
      <c r="AH8" s="180"/>
      <c r="AI8" s="181"/>
    </row>
    <row r="9" spans="1:70">
      <c r="A9" s="7">
        <v>41550</v>
      </c>
      <c r="B9" s="7"/>
      <c r="C9" s="7"/>
      <c r="D9" s="7"/>
      <c r="E9" s="48"/>
      <c r="F9" s="48"/>
      <c r="G9" s="48"/>
      <c r="H9" s="48"/>
      <c r="I9" s="67">
        <v>41550</v>
      </c>
      <c r="J9" s="68"/>
      <c r="K9" s="68"/>
      <c r="L9" s="68"/>
      <c r="M9" s="68"/>
      <c r="N9" s="68"/>
      <c r="O9" s="68"/>
      <c r="P9" s="68"/>
      <c r="Q9" s="88">
        <v>41550</v>
      </c>
      <c r="R9" s="99"/>
      <c r="S9" s="99"/>
      <c r="T9" s="99"/>
      <c r="U9" s="99"/>
      <c r="V9" s="99"/>
      <c r="W9" s="99"/>
      <c r="X9" s="99"/>
      <c r="Y9" s="141"/>
      <c r="Z9" s="166"/>
      <c r="AA9" s="166"/>
      <c r="AB9" s="166"/>
      <c r="AC9" s="166"/>
      <c r="AD9" s="166"/>
      <c r="AE9" s="166"/>
      <c r="AF9" s="166"/>
      <c r="AG9" s="88">
        <v>41550</v>
      </c>
      <c r="AH9" s="180"/>
      <c r="AI9" s="181"/>
    </row>
    <row r="10" spans="1:70">
      <c r="A10" s="7">
        <v>41551</v>
      </c>
      <c r="B10" s="58"/>
      <c r="C10" s="58"/>
      <c r="D10" s="58"/>
      <c r="E10" s="48"/>
      <c r="F10" s="48"/>
      <c r="G10" s="48"/>
      <c r="H10" s="48"/>
      <c r="I10" s="67">
        <v>41551</v>
      </c>
      <c r="J10" s="68"/>
      <c r="K10" s="68"/>
      <c r="L10" s="68"/>
      <c r="M10" s="68"/>
      <c r="N10" s="68"/>
      <c r="O10" s="68"/>
      <c r="P10" s="68"/>
      <c r="Q10" s="88">
        <v>41551</v>
      </c>
      <c r="R10" s="99"/>
      <c r="S10" s="99"/>
      <c r="T10" s="99"/>
      <c r="U10" s="99"/>
      <c r="V10" s="99"/>
      <c r="W10" s="99"/>
      <c r="X10" s="99"/>
      <c r="Y10" s="141"/>
      <c r="Z10" s="166"/>
      <c r="AA10" s="166"/>
      <c r="AB10" s="166"/>
      <c r="AC10" s="166"/>
      <c r="AD10" s="166"/>
      <c r="AE10" s="166"/>
      <c r="AF10" s="166"/>
      <c r="AG10" s="88">
        <v>41551</v>
      </c>
      <c r="AH10" s="180"/>
      <c r="AI10" s="181"/>
    </row>
    <row r="11" spans="1:70">
      <c r="A11" s="7">
        <v>41552</v>
      </c>
      <c r="B11" s="58"/>
      <c r="C11" s="58"/>
      <c r="D11" s="58"/>
      <c r="E11" s="48"/>
      <c r="F11" s="48"/>
      <c r="G11" s="48"/>
      <c r="H11" s="48"/>
      <c r="I11" s="67">
        <v>41552</v>
      </c>
      <c r="J11" s="68"/>
      <c r="K11" s="68"/>
      <c r="L11" s="68"/>
      <c r="M11" s="68"/>
      <c r="N11" s="68"/>
      <c r="O11" s="68"/>
      <c r="P11" s="68"/>
      <c r="Q11" s="88">
        <v>41552</v>
      </c>
      <c r="R11" s="99"/>
      <c r="S11" s="99"/>
      <c r="T11" s="99"/>
      <c r="U11" s="99"/>
      <c r="V11" s="99"/>
      <c r="W11" s="99"/>
      <c r="X11" s="99"/>
      <c r="Y11" s="141"/>
      <c r="Z11" s="166"/>
      <c r="AA11" s="166"/>
      <c r="AB11" s="166"/>
      <c r="AC11" s="166"/>
      <c r="AD11" s="166"/>
      <c r="AE11" s="166"/>
      <c r="AF11" s="166"/>
      <c r="AG11" s="88">
        <v>41552</v>
      </c>
      <c r="AH11" s="180"/>
      <c r="AI11" s="181"/>
    </row>
    <row r="12" spans="1:70">
      <c r="A12" s="7">
        <v>41553</v>
      </c>
      <c r="B12" s="58"/>
      <c r="C12" s="58"/>
      <c r="D12" s="58"/>
      <c r="E12" s="48"/>
      <c r="F12" s="48"/>
      <c r="G12" s="48"/>
      <c r="H12" s="48"/>
      <c r="I12" s="67">
        <v>41553</v>
      </c>
      <c r="J12" s="68"/>
      <c r="K12" s="68"/>
      <c r="L12" s="68"/>
      <c r="M12" s="68"/>
      <c r="N12" s="68"/>
      <c r="O12" s="68"/>
      <c r="P12" s="68"/>
      <c r="Q12" s="88">
        <v>41553</v>
      </c>
      <c r="R12" s="99"/>
      <c r="S12" s="99"/>
      <c r="T12" s="99"/>
      <c r="U12" s="99"/>
      <c r="V12" s="99"/>
      <c r="W12" s="99"/>
      <c r="X12" s="99"/>
      <c r="Y12" s="141"/>
      <c r="Z12" s="166"/>
      <c r="AA12" s="166"/>
      <c r="AB12" s="166"/>
      <c r="AC12" s="166"/>
      <c r="AD12" s="166"/>
      <c r="AE12" s="166"/>
      <c r="AF12" s="166"/>
      <c r="AG12" s="88">
        <v>41553</v>
      </c>
      <c r="AH12" s="180"/>
      <c r="AI12" s="181"/>
    </row>
    <row r="13" spans="1:70">
      <c r="A13" s="7">
        <v>41554</v>
      </c>
      <c r="B13" s="58"/>
      <c r="C13" s="58"/>
      <c r="D13" s="58"/>
      <c r="E13" s="48"/>
      <c r="F13" s="48"/>
      <c r="G13" s="48"/>
      <c r="H13" s="48"/>
      <c r="I13" s="67">
        <v>41554</v>
      </c>
      <c r="J13" s="68"/>
      <c r="K13" s="68"/>
      <c r="L13" s="68"/>
      <c r="M13" s="68"/>
      <c r="N13" s="68"/>
      <c r="O13" s="68"/>
      <c r="P13" s="68"/>
      <c r="Q13" s="88">
        <v>41554</v>
      </c>
      <c r="R13" s="99"/>
      <c r="S13" s="99"/>
      <c r="T13" s="99"/>
      <c r="U13" s="99"/>
      <c r="V13" s="99"/>
      <c r="W13" s="99"/>
      <c r="X13" s="99"/>
      <c r="Y13" s="141"/>
      <c r="Z13" s="166"/>
      <c r="AA13" s="166"/>
      <c r="AB13" s="166"/>
      <c r="AC13" s="166"/>
      <c r="AD13" s="166"/>
      <c r="AE13" s="166"/>
      <c r="AF13" s="166"/>
      <c r="AG13" s="88">
        <v>41554</v>
      </c>
      <c r="AH13" s="180"/>
      <c r="AI13" s="181"/>
    </row>
    <row r="14" spans="1:70">
      <c r="A14" s="7">
        <v>41555</v>
      </c>
      <c r="B14" s="58"/>
      <c r="C14" s="58"/>
      <c r="D14" s="58"/>
      <c r="E14" s="48"/>
      <c r="F14" s="48"/>
      <c r="G14" s="48"/>
      <c r="H14" s="48"/>
      <c r="I14" s="67">
        <v>41555</v>
      </c>
      <c r="J14" s="68"/>
      <c r="K14" s="68"/>
      <c r="L14" s="68"/>
      <c r="M14" s="68"/>
      <c r="N14" s="68"/>
      <c r="O14" s="68"/>
      <c r="P14" s="68"/>
      <c r="Q14" s="88">
        <v>41555</v>
      </c>
      <c r="R14" s="99"/>
      <c r="S14" s="99"/>
      <c r="T14" s="99"/>
      <c r="U14" s="99"/>
      <c r="V14" s="99"/>
      <c r="W14" s="99"/>
      <c r="X14" s="99"/>
      <c r="Y14" s="141"/>
      <c r="Z14" s="166"/>
      <c r="AA14" s="166"/>
      <c r="AB14" s="166"/>
      <c r="AC14" s="166"/>
      <c r="AD14" s="166"/>
      <c r="AE14" s="166"/>
      <c r="AF14" s="166"/>
      <c r="AG14" s="88">
        <v>41555</v>
      </c>
      <c r="AH14" s="180"/>
      <c r="AI14" s="181"/>
    </row>
    <row r="15" spans="1:70">
      <c r="A15" s="7">
        <v>41556</v>
      </c>
      <c r="B15" s="58"/>
      <c r="C15" s="58"/>
      <c r="D15" s="58"/>
      <c r="E15" s="48"/>
      <c r="F15" s="47"/>
      <c r="G15" s="47"/>
      <c r="H15" s="48"/>
      <c r="I15" s="67">
        <v>41556</v>
      </c>
      <c r="J15" s="68"/>
      <c r="K15" s="68"/>
      <c r="L15" s="68"/>
      <c r="M15" s="68"/>
      <c r="N15" s="68"/>
      <c r="O15" s="68"/>
      <c r="P15" s="68"/>
      <c r="Q15" s="88">
        <v>41556</v>
      </c>
      <c r="R15" s="99"/>
      <c r="S15" s="99"/>
      <c r="T15" s="99"/>
      <c r="U15" s="99"/>
      <c r="V15" s="99"/>
      <c r="W15" s="99"/>
      <c r="X15" s="99"/>
      <c r="Y15" s="141"/>
      <c r="Z15" s="166"/>
      <c r="AA15" s="166"/>
      <c r="AB15" s="166"/>
      <c r="AC15" s="166"/>
      <c r="AD15" s="166"/>
      <c r="AE15" s="166"/>
      <c r="AF15" s="166"/>
      <c r="AG15" s="88">
        <v>41556</v>
      </c>
      <c r="AH15" s="180"/>
      <c r="AI15" s="181"/>
    </row>
    <row r="16" spans="1:70">
      <c r="A16" s="7">
        <v>41557</v>
      </c>
      <c r="B16" s="58"/>
      <c r="C16" s="58"/>
      <c r="D16" s="58"/>
      <c r="E16" s="48"/>
      <c r="F16" s="48"/>
      <c r="G16" s="47"/>
      <c r="H16" s="48"/>
      <c r="I16" s="67">
        <v>41557</v>
      </c>
      <c r="J16" s="68"/>
      <c r="K16" s="68"/>
      <c r="L16" s="68"/>
      <c r="M16" s="68"/>
      <c r="N16" s="68"/>
      <c r="O16" s="68"/>
      <c r="P16" s="68"/>
      <c r="Q16" s="88">
        <v>41557</v>
      </c>
      <c r="R16" s="99"/>
      <c r="S16" s="99"/>
      <c r="T16" s="99"/>
      <c r="U16" s="99"/>
      <c r="V16" s="99"/>
      <c r="W16" s="99"/>
      <c r="X16" s="99"/>
      <c r="Y16" s="141"/>
      <c r="Z16" s="166"/>
      <c r="AA16" s="166"/>
      <c r="AB16" s="166"/>
      <c r="AC16" s="166"/>
      <c r="AD16" s="166"/>
      <c r="AE16" s="166"/>
      <c r="AF16" s="166"/>
      <c r="AG16" s="88">
        <v>41557</v>
      </c>
      <c r="AH16" s="180"/>
      <c r="AI16" s="181"/>
    </row>
    <row r="17" spans="1:35">
      <c r="A17" s="7">
        <v>41558</v>
      </c>
      <c r="B17" s="58"/>
      <c r="C17" s="58"/>
      <c r="D17" s="58"/>
      <c r="E17" s="48"/>
      <c r="F17" s="48"/>
      <c r="G17" s="47"/>
      <c r="H17" s="48"/>
      <c r="I17" s="67">
        <v>41558</v>
      </c>
      <c r="J17" s="68"/>
      <c r="K17" s="68"/>
      <c r="L17" s="68"/>
      <c r="M17" s="68"/>
      <c r="N17" s="68"/>
      <c r="O17" s="68"/>
      <c r="P17" s="68"/>
      <c r="Q17" s="88">
        <v>41558</v>
      </c>
      <c r="R17" s="99"/>
      <c r="S17" s="99"/>
      <c r="T17" s="99"/>
      <c r="U17" s="99"/>
      <c r="V17" s="99"/>
      <c r="W17" s="99"/>
      <c r="X17" s="99"/>
      <c r="Y17" s="141"/>
      <c r="Z17" s="166"/>
      <c r="AA17" s="166"/>
      <c r="AB17" s="166"/>
      <c r="AC17" s="166"/>
      <c r="AD17" s="166"/>
      <c r="AE17" s="166"/>
      <c r="AF17" s="166"/>
      <c r="AG17" s="88">
        <v>41558</v>
      </c>
      <c r="AH17" s="180"/>
      <c r="AI17" s="181"/>
    </row>
    <row r="18" spans="1:35">
      <c r="A18" s="7">
        <v>41559</v>
      </c>
      <c r="B18" s="58"/>
      <c r="C18" s="58"/>
      <c r="D18" s="58"/>
      <c r="E18" s="48"/>
      <c r="F18" s="48"/>
      <c r="G18" s="48"/>
      <c r="H18" s="48"/>
      <c r="I18" s="67">
        <v>41559</v>
      </c>
      <c r="J18" s="68"/>
      <c r="K18" s="68"/>
      <c r="L18" s="68"/>
      <c r="M18" s="68"/>
      <c r="N18" s="68"/>
      <c r="O18" s="68"/>
      <c r="P18" s="68"/>
      <c r="Q18" s="88">
        <v>41559</v>
      </c>
      <c r="R18" s="99"/>
      <c r="S18" s="99"/>
      <c r="T18" s="99"/>
      <c r="U18" s="99"/>
      <c r="V18" s="99"/>
      <c r="W18" s="99"/>
      <c r="X18" s="99"/>
      <c r="Y18" s="141"/>
      <c r="Z18" s="166"/>
      <c r="AA18" s="166"/>
      <c r="AB18" s="166"/>
      <c r="AC18" s="166"/>
      <c r="AD18" s="166"/>
      <c r="AE18" s="166"/>
      <c r="AF18" s="166"/>
      <c r="AG18" s="88">
        <v>41559</v>
      </c>
      <c r="AH18" s="180"/>
      <c r="AI18" s="181"/>
    </row>
    <row r="19" spans="1:35">
      <c r="A19" s="7">
        <v>41560</v>
      </c>
      <c r="B19" s="58"/>
      <c r="C19" s="58"/>
      <c r="D19" s="58"/>
      <c r="E19" s="48"/>
      <c r="F19" s="48"/>
      <c r="G19" s="48"/>
      <c r="H19" s="48"/>
      <c r="I19" s="67">
        <v>41560</v>
      </c>
      <c r="J19" s="68"/>
      <c r="K19" s="68"/>
      <c r="L19" s="68"/>
      <c r="M19" s="68"/>
      <c r="N19" s="68"/>
      <c r="O19" s="68"/>
      <c r="P19" s="68"/>
      <c r="Q19" s="88">
        <v>41560</v>
      </c>
      <c r="R19" s="99"/>
      <c r="S19" s="99"/>
      <c r="T19" s="99"/>
      <c r="U19" s="99"/>
      <c r="V19" s="99"/>
      <c r="W19" s="99"/>
      <c r="X19" s="99"/>
      <c r="Y19" s="141"/>
      <c r="Z19" s="166"/>
      <c r="AA19" s="166"/>
      <c r="AB19" s="166"/>
      <c r="AC19" s="166"/>
      <c r="AD19" s="166"/>
      <c r="AE19" s="166"/>
      <c r="AF19" s="166"/>
      <c r="AG19" s="88">
        <v>41560</v>
      </c>
      <c r="AH19" s="180"/>
      <c r="AI19" s="181"/>
    </row>
    <row r="20" spans="1:35">
      <c r="A20" s="7">
        <v>41561</v>
      </c>
      <c r="B20" s="58"/>
      <c r="C20" s="58"/>
      <c r="D20" s="58"/>
      <c r="E20" s="48"/>
      <c r="F20" s="48"/>
      <c r="G20" s="48"/>
      <c r="H20" s="48"/>
      <c r="I20" s="67">
        <v>41561</v>
      </c>
      <c r="J20" s="68"/>
      <c r="K20" s="68"/>
      <c r="L20" s="68"/>
      <c r="M20" s="68"/>
      <c r="N20" s="68"/>
      <c r="O20" s="68"/>
      <c r="P20" s="68"/>
      <c r="Q20" s="88">
        <v>41561</v>
      </c>
      <c r="R20" s="99"/>
      <c r="S20" s="99"/>
      <c r="T20" s="99"/>
      <c r="U20" s="99"/>
      <c r="V20" s="99"/>
      <c r="W20" s="99"/>
      <c r="X20" s="99"/>
      <c r="Y20" s="141"/>
      <c r="Z20" s="166"/>
      <c r="AA20" s="166"/>
      <c r="AB20" s="166"/>
      <c r="AC20" s="166"/>
      <c r="AD20" s="166"/>
      <c r="AE20" s="166"/>
      <c r="AF20" s="166"/>
      <c r="AG20" s="88">
        <v>41561</v>
      </c>
      <c r="AH20" s="180"/>
      <c r="AI20" s="181"/>
    </row>
    <row r="21" spans="1:35">
      <c r="A21" s="7">
        <v>41562</v>
      </c>
      <c r="B21" s="7"/>
      <c r="C21" s="7"/>
      <c r="D21" s="48"/>
      <c r="E21" s="48"/>
      <c r="F21" s="48"/>
      <c r="G21" s="48"/>
      <c r="H21" s="48"/>
      <c r="I21" s="67">
        <v>41562</v>
      </c>
      <c r="J21" s="68"/>
      <c r="K21" s="68"/>
      <c r="L21" s="68"/>
      <c r="M21" s="68"/>
      <c r="N21" s="68"/>
      <c r="O21" s="68"/>
      <c r="P21" s="68"/>
      <c r="Q21" s="88">
        <v>41562</v>
      </c>
      <c r="R21" s="99"/>
      <c r="S21" s="99"/>
      <c r="T21" s="99"/>
      <c r="U21" s="99"/>
      <c r="V21" s="99"/>
      <c r="W21" s="99"/>
      <c r="X21" s="99"/>
      <c r="Y21" s="141"/>
      <c r="Z21" s="166"/>
      <c r="AA21" s="166"/>
      <c r="AB21" s="166"/>
      <c r="AC21" s="166"/>
      <c r="AD21" s="166"/>
      <c r="AE21" s="166"/>
      <c r="AF21" s="166"/>
      <c r="AG21" s="88">
        <v>41562</v>
      </c>
      <c r="AH21" s="180">
        <v>0</v>
      </c>
      <c r="AI21" s="181"/>
    </row>
    <row r="22" spans="1:35">
      <c r="A22" s="40">
        <v>41563</v>
      </c>
      <c r="B22" s="56" t="s">
        <v>13</v>
      </c>
      <c r="C22" s="56" t="s">
        <v>9</v>
      </c>
      <c r="D22" s="56" t="s">
        <v>14</v>
      </c>
      <c r="E22" s="57" t="s">
        <v>15</v>
      </c>
      <c r="F22" s="57" t="s">
        <v>10</v>
      </c>
      <c r="G22" s="56" t="s">
        <v>11</v>
      </c>
      <c r="H22" s="56" t="s">
        <v>12</v>
      </c>
      <c r="I22" s="67">
        <v>41563</v>
      </c>
      <c r="J22" s="81" t="s">
        <v>28</v>
      </c>
      <c r="K22" s="81" t="s">
        <v>29</v>
      </c>
      <c r="L22" s="81" t="s">
        <v>30</v>
      </c>
      <c r="M22" s="81" t="s">
        <v>6</v>
      </c>
      <c r="N22" s="81" t="s">
        <v>27</v>
      </c>
      <c r="O22" s="81" t="s">
        <v>31</v>
      </c>
      <c r="P22" s="81" t="s">
        <v>32</v>
      </c>
      <c r="Q22" s="88">
        <v>41563</v>
      </c>
      <c r="R22" s="85" t="s">
        <v>39</v>
      </c>
      <c r="S22" s="85" t="s">
        <v>40</v>
      </c>
      <c r="T22" s="85" t="s">
        <v>41</v>
      </c>
      <c r="U22" s="85" t="s">
        <v>7</v>
      </c>
      <c r="V22" s="85" t="s">
        <v>53</v>
      </c>
      <c r="W22" s="85" t="s">
        <v>54</v>
      </c>
      <c r="X22" s="85" t="s">
        <v>55</v>
      </c>
      <c r="Y22" s="140">
        <v>41563</v>
      </c>
      <c r="Z22" s="141" t="s">
        <v>57</v>
      </c>
      <c r="AA22" s="141" t="s">
        <v>58</v>
      </c>
      <c r="AB22" s="141" t="s">
        <v>59</v>
      </c>
      <c r="AC22" s="141" t="s">
        <v>8</v>
      </c>
      <c r="AD22" s="141" t="s">
        <v>5</v>
      </c>
      <c r="AE22" s="141" t="s">
        <v>60</v>
      </c>
      <c r="AF22" s="141" t="s">
        <v>61</v>
      </c>
      <c r="AG22" s="88">
        <v>41563</v>
      </c>
      <c r="AH22" s="180">
        <v>-2</v>
      </c>
      <c r="AI22" s="181"/>
    </row>
    <row r="23" spans="1:35">
      <c r="A23" s="4">
        <v>41564</v>
      </c>
      <c r="B23" s="49">
        <v>1.84E-4</v>
      </c>
      <c r="C23" s="50">
        <v>0.85699999999999998</v>
      </c>
      <c r="D23" s="49">
        <f>B23*1440</f>
        <v>0.26495999999999997</v>
      </c>
      <c r="E23" s="266">
        <v>3.001481022440164</v>
      </c>
      <c r="F23" s="51">
        <v>-2.6178428275757802E-2</v>
      </c>
      <c r="G23" s="51">
        <f t="shared" ref="G23:G86" si="0">-D23+F23</f>
        <v>-0.29113842827575775</v>
      </c>
      <c r="H23" s="297">
        <v>1.7711551975033282</v>
      </c>
      <c r="I23" s="69">
        <v>41564</v>
      </c>
      <c r="J23" s="70">
        <v>2.7399999999999999E-4</v>
      </c>
      <c r="K23" s="71">
        <v>0.97899999999999998</v>
      </c>
      <c r="L23" s="70">
        <f>J23*1440</f>
        <v>0.39455999999999997</v>
      </c>
      <c r="M23" s="70">
        <v>3.1793810224401646</v>
      </c>
      <c r="N23" s="61">
        <v>-6.9132068659071358E-3</v>
      </c>
      <c r="O23" s="62">
        <f t="shared" ref="O23:O86" si="1">-L23+N23</f>
        <v>-0.4014732068659071</v>
      </c>
      <c r="P23" s="297">
        <f t="shared" ref="P23:P26" si="2">0.78*O23-0.57</f>
        <v>-0.88314910135540747</v>
      </c>
      <c r="Q23" s="89">
        <v>41564</v>
      </c>
      <c r="R23" s="86">
        <v>5.4900000000000001E-4</v>
      </c>
      <c r="S23" s="90">
        <v>0.98499999999999999</v>
      </c>
      <c r="T23" s="86">
        <f>R23*1440</f>
        <v>0.79056000000000004</v>
      </c>
      <c r="U23" s="107">
        <v>3.402581022440164</v>
      </c>
      <c r="V23" s="108">
        <v>-9.173501461906609E-3</v>
      </c>
      <c r="W23" s="94">
        <f t="shared" ref="W23:W86" si="3">-T23+V23</f>
        <v>-0.79973350146190669</v>
      </c>
      <c r="X23" s="297">
        <f t="shared" ref="X23:X26" si="4">0.78*W23-0.57</f>
        <v>-1.1937921311402873</v>
      </c>
      <c r="Y23" s="142">
        <f>Y22+1</f>
        <v>41564</v>
      </c>
      <c r="Z23" s="138">
        <v>3.5399999999999999E-4</v>
      </c>
      <c r="AA23" s="144">
        <v>0.97099999999999997</v>
      </c>
      <c r="AB23" s="138">
        <f>Z23*1440</f>
        <v>0.50975999999999999</v>
      </c>
      <c r="AC23" s="138">
        <v>3.1435810224401641</v>
      </c>
      <c r="AD23" s="138">
        <v>-2.4631300553781193E-2</v>
      </c>
      <c r="AE23" s="138">
        <f>-AB23+AD23</f>
        <v>-0.53439130055378115</v>
      </c>
      <c r="AF23" s="297">
        <f t="shared" ref="AF23:AF26" si="5">0.78*AE23-0.57</f>
        <v>-0.98682521443194926</v>
      </c>
      <c r="AG23" s="89">
        <v>41564</v>
      </c>
      <c r="AH23" s="279">
        <v>-11.4</v>
      </c>
      <c r="AI23" s="182">
        <v>0</v>
      </c>
    </row>
    <row r="24" spans="1:35">
      <c r="A24" s="4">
        <v>41565</v>
      </c>
      <c r="B24" s="49">
        <v>-3.7100000000000001E-5</v>
      </c>
      <c r="C24" s="50">
        <v>0.81100000000000005</v>
      </c>
      <c r="D24" s="49">
        <f t="shared" ref="D24:D87" si="6">B24*1440</f>
        <v>-5.3423999999999999E-2</v>
      </c>
      <c r="E24" s="266">
        <v>3.0295143565567302</v>
      </c>
      <c r="F24" s="51">
        <v>-2.6257986308740808E-2</v>
      </c>
      <c r="G24" s="51">
        <f t="shared" si="0"/>
        <v>2.7166013691259192E-2</v>
      </c>
      <c r="H24" s="297">
        <v>1.7930211981142499</v>
      </c>
      <c r="I24" s="69">
        <v>41565</v>
      </c>
      <c r="J24" s="70">
        <v>-4.9999999999999998E-7</v>
      </c>
      <c r="K24" s="71">
        <v>2E-3</v>
      </c>
      <c r="L24" s="70">
        <f t="shared" ref="L24:L87" si="7">J24*1440</f>
        <v>-7.1999999999999994E-4</v>
      </c>
      <c r="M24" s="70">
        <v>3.2773143565567313</v>
      </c>
      <c r="N24" s="61">
        <v>-7.3356408989079646E-3</v>
      </c>
      <c r="O24" s="62">
        <f t="shared" si="1"/>
        <v>-6.6156408989079644E-3</v>
      </c>
      <c r="P24" s="297">
        <f t="shared" si="2"/>
        <v>-0.57516019990114819</v>
      </c>
      <c r="Q24" s="89">
        <v>41565</v>
      </c>
      <c r="R24" s="86">
        <v>-2.4600000000000002E-5</v>
      </c>
      <c r="S24" s="90">
        <v>0.97699999999999998</v>
      </c>
      <c r="T24" s="86">
        <f t="shared" ref="T24:T87" si="8">R24*1440</f>
        <v>-3.5424000000000004E-2</v>
      </c>
      <c r="U24" s="107">
        <v>3.5956143565567311</v>
      </c>
      <c r="V24" s="108">
        <v>-9.2465898722130981E-3</v>
      </c>
      <c r="W24" s="94">
        <f t="shared" si="3"/>
        <v>2.6177410127786904E-2</v>
      </c>
      <c r="X24" s="297">
        <f t="shared" si="4"/>
        <v>-0.54958162010032618</v>
      </c>
      <c r="Y24" s="142">
        <f t="shared" ref="Y24:Y87" si="9">Y23+1</f>
        <v>41565</v>
      </c>
      <c r="Z24" s="138">
        <v>-1.47E-5</v>
      </c>
      <c r="AA24" s="144">
        <v>0.86299999999999999</v>
      </c>
      <c r="AB24" s="138">
        <f t="shared" ref="AB24:AB87" si="10">Z24*1440</f>
        <v>-2.1167999999999999E-2</v>
      </c>
      <c r="AC24" s="138">
        <v>3.2043143565567305</v>
      </c>
      <c r="AD24" s="138">
        <v>-2.4482763718270767E-2</v>
      </c>
      <c r="AE24" s="138">
        <f t="shared" ref="AE24:AE87" si="11">-AB24+AD24</f>
        <v>-3.3147637182707676E-3</v>
      </c>
      <c r="AF24" s="297">
        <f t="shared" si="5"/>
        <v>-0.57258551570025118</v>
      </c>
      <c r="AG24" s="89">
        <v>41565</v>
      </c>
      <c r="AH24" s="279">
        <v>-24.05</v>
      </c>
      <c r="AI24" s="182">
        <v>0</v>
      </c>
    </row>
    <row r="25" spans="1:35">
      <c r="A25" s="4">
        <v>41566</v>
      </c>
      <c r="B25" s="49">
        <v>3.0000000000000001E-5</v>
      </c>
      <c r="C25" s="50">
        <v>0.71499999999999997</v>
      </c>
      <c r="D25" s="49">
        <f t="shared" si="6"/>
        <v>4.3200000000000002E-2</v>
      </c>
      <c r="E25" s="266">
        <v>3.1842159959313361</v>
      </c>
      <c r="F25" s="51">
        <v>-2.6665281303983004E-2</v>
      </c>
      <c r="G25" s="51">
        <f t="shared" si="0"/>
        <v>-6.9865281303983007E-2</v>
      </c>
      <c r="H25" s="297">
        <v>1.9136884768264424</v>
      </c>
      <c r="I25" s="69">
        <v>41566</v>
      </c>
      <c r="J25" s="70">
        <v>4.21E-5</v>
      </c>
      <c r="K25" s="71">
        <v>0.54400000000000004</v>
      </c>
      <c r="L25" s="70">
        <f t="shared" si="7"/>
        <v>6.0623999999999997E-2</v>
      </c>
      <c r="M25" s="70">
        <v>3.3345159959313371</v>
      </c>
      <c r="N25" s="61">
        <v>-7.5351097334902624E-3</v>
      </c>
      <c r="O25" s="62">
        <f t="shared" si="1"/>
        <v>-6.8159109733490264E-2</v>
      </c>
      <c r="P25" s="297">
        <f t="shared" si="2"/>
        <v>-0.62316410559212232</v>
      </c>
      <c r="Q25" s="89">
        <v>41566</v>
      </c>
      <c r="R25" s="86">
        <v>-2.52E-6</v>
      </c>
      <c r="S25" s="90">
        <v>0.185</v>
      </c>
      <c r="T25" s="86">
        <f t="shared" si="8"/>
        <v>-3.6288000000000002E-3</v>
      </c>
      <c r="U25" s="107">
        <v>3.7167159959313372</v>
      </c>
      <c r="V25" s="108">
        <v>-9.2675212943336676E-3</v>
      </c>
      <c r="W25" s="94">
        <f t="shared" si="3"/>
        <v>-5.6387212943336679E-3</v>
      </c>
      <c r="X25" s="297">
        <f t="shared" si="4"/>
        <v>-0.57439820260958019</v>
      </c>
      <c r="Y25" s="142">
        <f t="shared" si="9"/>
        <v>41566</v>
      </c>
      <c r="Z25" s="138">
        <v>-1.0399999999999999E-4</v>
      </c>
      <c r="AA25" s="144">
        <v>0.99299999999999999</v>
      </c>
      <c r="AB25" s="138">
        <f t="shared" si="10"/>
        <v>-0.14976</v>
      </c>
      <c r="AC25" s="138">
        <v>3.2750159959313367</v>
      </c>
      <c r="AD25" s="138">
        <v>-2.4257848569911266E-2</v>
      </c>
      <c r="AE25" s="138">
        <f t="shared" si="11"/>
        <v>0.12550215143008875</v>
      </c>
      <c r="AF25" s="297">
        <f t="shared" si="5"/>
        <v>-0.47210832188453072</v>
      </c>
      <c r="AG25" s="89">
        <v>41566</v>
      </c>
      <c r="AH25" s="279">
        <v>-25.749999999999901</v>
      </c>
      <c r="AI25" s="182">
        <v>1</v>
      </c>
    </row>
    <row r="26" spans="1:35">
      <c r="A26" s="4">
        <v>41567</v>
      </c>
      <c r="B26" s="49">
        <v>-2.0000000000000002E-5</v>
      </c>
      <c r="C26" s="50">
        <v>0.32900000000000001</v>
      </c>
      <c r="D26" s="49">
        <f t="shared" si="6"/>
        <v>-2.8800000000000003E-2</v>
      </c>
      <c r="E26" s="266">
        <v>3.1727063881024375</v>
      </c>
      <c r="F26" s="51">
        <v>-2.663672039305752E-2</v>
      </c>
      <c r="G26" s="51">
        <f t="shared" si="0"/>
        <v>2.163279606942483E-3</v>
      </c>
      <c r="H26" s="297">
        <v>0.91848402806157492</v>
      </c>
      <c r="I26" s="69">
        <v>41567</v>
      </c>
      <c r="J26" s="70">
        <v>5.2500000000000002E-5</v>
      </c>
      <c r="K26" s="71">
        <v>0.78200000000000003</v>
      </c>
      <c r="L26" s="70">
        <f t="shared" si="7"/>
        <v>7.5600000000000001E-2</v>
      </c>
      <c r="M26" s="70">
        <v>3.4026063881024378</v>
      </c>
      <c r="N26" s="61">
        <v>-7.7333781526270117E-3</v>
      </c>
      <c r="O26" s="62">
        <f t="shared" si="1"/>
        <v>-8.3333378152627008E-2</v>
      </c>
      <c r="P26" s="297">
        <f t="shared" si="2"/>
        <v>-0.635000034959049</v>
      </c>
      <c r="Q26" s="89">
        <v>41567</v>
      </c>
      <c r="R26" s="86">
        <v>3.9800000000000002E-4</v>
      </c>
      <c r="S26" s="90">
        <v>0.89900000000000002</v>
      </c>
      <c r="T26" s="86">
        <f t="shared" si="8"/>
        <v>0.57312000000000007</v>
      </c>
      <c r="U26" s="107">
        <v>3.9735063881024368</v>
      </c>
      <c r="V26" s="108">
        <v>-9.2637660593316538E-3</v>
      </c>
      <c r="W26" s="94">
        <f t="shared" si="3"/>
        <v>-0.58238376605933173</v>
      </c>
      <c r="X26" s="297">
        <f t="shared" si="4"/>
        <v>-1.0242593375262787</v>
      </c>
      <c r="Y26" s="142">
        <f t="shared" si="9"/>
        <v>41567</v>
      </c>
      <c r="Z26" s="138">
        <v>-3.57E-4</v>
      </c>
      <c r="AA26" s="144">
        <v>0.98299999999999998</v>
      </c>
      <c r="AB26" s="138">
        <f t="shared" si="10"/>
        <v>-0.51407999999999998</v>
      </c>
      <c r="AC26" s="138">
        <v>3.3996063881024372</v>
      </c>
      <c r="AD26" s="138">
        <v>-2.3755910145628431E-2</v>
      </c>
      <c r="AE26" s="138">
        <f t="shared" si="11"/>
        <v>0.49032408985437154</v>
      </c>
      <c r="AF26" s="297">
        <f t="shared" si="5"/>
        <v>-0.18754720991359014</v>
      </c>
      <c r="AG26" s="89">
        <v>41567</v>
      </c>
      <c r="AH26" s="279">
        <v>-2</v>
      </c>
      <c r="AI26" s="182">
        <v>0</v>
      </c>
    </row>
    <row r="27" spans="1:35">
      <c r="A27" s="4">
        <v>41568</v>
      </c>
      <c r="B27" s="49">
        <v>-4.2500000000000003E-5</v>
      </c>
      <c r="C27" s="50">
        <v>0.92100000000000004</v>
      </c>
      <c r="D27" s="49">
        <f t="shared" si="6"/>
        <v>-6.1200000000000004E-2</v>
      </c>
      <c r="E27" s="266">
        <v>3.1319503382091853</v>
      </c>
      <c r="F27" s="51">
        <v>-2.653341510609299E-2</v>
      </c>
      <c r="G27" s="51">
        <f t="shared" si="0"/>
        <v>3.4666584893907018E-2</v>
      </c>
      <c r="H27" s="297">
        <v>1.8729212638031649</v>
      </c>
      <c r="I27" s="69">
        <v>41568</v>
      </c>
      <c r="J27" s="70">
        <v>-9.9999999999999995E-7</v>
      </c>
      <c r="K27" s="71">
        <v>1.6E-2</v>
      </c>
      <c r="L27" s="70">
        <f t="shared" si="7"/>
        <v>-1.4399999999999999E-3</v>
      </c>
      <c r="M27" s="70">
        <v>3.4228503382091855</v>
      </c>
      <c r="N27" s="61">
        <v>-7.7848691881859727E-3</v>
      </c>
      <c r="O27" s="62">
        <f t="shared" si="1"/>
        <v>-6.3448691881859733E-3</v>
      </c>
      <c r="P27" s="297">
        <v>2.2377769851101101</v>
      </c>
      <c r="Q27" s="89">
        <v>41568</v>
      </c>
      <c r="R27" s="86">
        <v>-4.5200000000000001E-5</v>
      </c>
      <c r="S27" s="90">
        <v>0.96599999999999997</v>
      </c>
      <c r="T27" s="86">
        <f t="shared" si="8"/>
        <v>-6.5088000000000007E-2</v>
      </c>
      <c r="U27" s="107">
        <v>4.0705503382091868</v>
      </c>
      <c r="V27" s="108">
        <v>-9.2488366568884029E-3</v>
      </c>
      <c r="W27" s="94">
        <f t="shared" si="3"/>
        <v>5.5839163343111606E-2</v>
      </c>
      <c r="X27" s="297">
        <v>3.4651910869511395</v>
      </c>
      <c r="Y27" s="142">
        <f t="shared" si="9"/>
        <v>41568</v>
      </c>
      <c r="Z27" s="138">
        <v>-1.5999999999999999E-5</v>
      </c>
      <c r="AA27" s="144">
        <v>0.90400000000000003</v>
      </c>
      <c r="AB27" s="138">
        <f t="shared" si="10"/>
        <v>-2.3039999999999998E-2</v>
      </c>
      <c r="AC27" s="138">
        <v>3.2055503382091852</v>
      </c>
      <c r="AD27" s="138">
        <v>-2.4479282897542632E-2</v>
      </c>
      <c r="AE27" s="138">
        <f t="shared" si="11"/>
        <v>-1.439282897542634E-3</v>
      </c>
      <c r="AF27" s="297">
        <v>1.8775958161902748</v>
      </c>
      <c r="AG27" s="89">
        <v>41568</v>
      </c>
      <c r="AH27" s="279">
        <v>-10.466666666666701</v>
      </c>
      <c r="AI27" s="182">
        <v>0</v>
      </c>
    </row>
    <row r="28" spans="1:35">
      <c r="A28" s="4">
        <v>41569</v>
      </c>
      <c r="B28" s="49">
        <v>-4.1900000000000002E-5</v>
      </c>
      <c r="C28" s="50">
        <v>0.93</v>
      </c>
      <c r="D28" s="49">
        <f t="shared" si="6"/>
        <v>-6.0336000000000001E-2</v>
      </c>
      <c r="E28" s="266">
        <v>3.0868947052086626</v>
      </c>
      <c r="F28" s="51">
        <v>-2.6415136597447538E-2</v>
      </c>
      <c r="G28" s="51">
        <f t="shared" si="0"/>
        <v>3.3920863402552459E-2</v>
      </c>
      <c r="H28" s="291">
        <v>1.8377778700627569</v>
      </c>
      <c r="I28" s="69">
        <v>41569</v>
      </c>
      <c r="J28" s="70">
        <v>-1.26E-5</v>
      </c>
      <c r="K28" s="71">
        <v>0.51600000000000001</v>
      </c>
      <c r="L28" s="70">
        <f t="shared" si="7"/>
        <v>-1.8144E-2</v>
      </c>
      <c r="M28" s="70">
        <v>3.4088947052086631</v>
      </c>
      <c r="N28" s="61">
        <v>-7.7497208942863358E-3</v>
      </c>
      <c r="O28" s="62">
        <f t="shared" si="1"/>
        <v>1.0394279105713665E-2</v>
      </c>
      <c r="P28" s="291">
        <v>-0.7749720894286336</v>
      </c>
      <c r="Q28" s="89">
        <v>41569</v>
      </c>
      <c r="R28" s="86">
        <v>-4.18E-5</v>
      </c>
      <c r="S28" s="90">
        <v>0.96</v>
      </c>
      <c r="T28" s="86">
        <f t="shared" si="8"/>
        <v>-6.0192000000000002E-2</v>
      </c>
      <c r="U28" s="107">
        <v>4.0373947052086629</v>
      </c>
      <c r="V28" s="108">
        <v>-9.2546465504949656E-3</v>
      </c>
      <c r="W28" s="94">
        <f t="shared" si="3"/>
        <v>5.0937353449505035E-2</v>
      </c>
      <c r="X28" s="291">
        <v>-0.9254646550494966</v>
      </c>
      <c r="Y28" s="142">
        <f t="shared" si="9"/>
        <v>41569</v>
      </c>
      <c r="Z28" s="138">
        <v>-3.01E-5</v>
      </c>
      <c r="AA28" s="144">
        <v>0.93200000000000005</v>
      </c>
      <c r="AB28" s="138">
        <f t="shared" si="10"/>
        <v>-4.3344000000000001E-2</v>
      </c>
      <c r="AC28" s="138">
        <v>3.2147947052086621</v>
      </c>
      <c r="AD28" s="138">
        <v>-2.4452708789741553E-2</v>
      </c>
      <c r="AE28" s="138">
        <f t="shared" si="11"/>
        <v>1.8891291210258447E-2</v>
      </c>
      <c r="AF28" s="291">
        <v>-2.4452708789741555</v>
      </c>
      <c r="AG28" s="89">
        <v>41569</v>
      </c>
      <c r="AH28" s="279">
        <v>0</v>
      </c>
      <c r="AI28" s="182">
        <v>1</v>
      </c>
    </row>
    <row r="29" spans="1:35">
      <c r="A29" s="4">
        <v>41570</v>
      </c>
      <c r="B29" s="49">
        <v>-3.3300000000000003E-5</v>
      </c>
      <c r="C29" s="50">
        <v>0.79900000000000004</v>
      </c>
      <c r="D29" s="49">
        <f t="shared" si="6"/>
        <v>-4.7952000000000002E-2</v>
      </c>
      <c r="E29" s="266">
        <v>3.0421924557679625</v>
      </c>
      <c r="F29" s="51">
        <v>-2.6293357189730554E-2</v>
      </c>
      <c r="G29" s="51">
        <f t="shared" si="0"/>
        <v>2.1658642810269448E-2</v>
      </c>
      <c r="H29" s="291">
        <v>2.2701909498638466</v>
      </c>
      <c r="I29" s="69">
        <v>41570</v>
      </c>
      <c r="J29" s="70">
        <v>-1.34E-5</v>
      </c>
      <c r="K29" s="71">
        <v>0.44900000000000001</v>
      </c>
      <c r="L29" s="70">
        <f t="shared" si="7"/>
        <v>-1.9296000000000001E-2</v>
      </c>
      <c r="M29" s="70">
        <v>3.3914924557679615</v>
      </c>
      <c r="N29" s="61">
        <v>-7.7037106768128054E-3</v>
      </c>
      <c r="O29" s="62">
        <f t="shared" si="1"/>
        <v>1.1592289323187194E-2</v>
      </c>
      <c r="P29" s="291">
        <v>1.1592289323187195</v>
      </c>
      <c r="Q29" s="89">
        <v>41570</v>
      </c>
      <c r="R29" s="86">
        <v>-3.5500000000000002E-5</v>
      </c>
      <c r="S29" s="90">
        <v>0.91300000000000003</v>
      </c>
      <c r="T29" s="86">
        <f t="shared" si="8"/>
        <v>-5.1120000000000006E-2</v>
      </c>
      <c r="U29" s="107">
        <v>3.9870924557679617</v>
      </c>
      <c r="V29" s="108">
        <v>-9.2620649861139062E-3</v>
      </c>
      <c r="W29" s="94">
        <f t="shared" si="3"/>
        <v>4.1857935013886099E-2</v>
      </c>
      <c r="X29" s="291">
        <f>0.78*W29-0.57</f>
        <v>-0.53735081068916879</v>
      </c>
      <c r="Y29" s="142">
        <f t="shared" si="9"/>
        <v>41570</v>
      </c>
      <c r="Z29" s="138">
        <v>-1.1399999999999999E-5</v>
      </c>
      <c r="AA29" s="144">
        <v>0.50600000000000001</v>
      </c>
      <c r="AB29" s="138">
        <f t="shared" si="10"/>
        <v>-1.6416E-2</v>
      </c>
      <c r="AC29" s="138">
        <v>3.179992455767962</v>
      </c>
      <c r="AD29" s="138">
        <v>-2.454767587300671E-2</v>
      </c>
      <c r="AE29" s="138">
        <f t="shared" si="11"/>
        <v>-8.13167587300671E-3</v>
      </c>
      <c r="AF29" s="291">
        <v>-0.81316758730067096</v>
      </c>
      <c r="AG29" s="89">
        <v>41570</v>
      </c>
      <c r="AH29" s="279">
        <v>0</v>
      </c>
      <c r="AI29" s="182">
        <v>2</v>
      </c>
    </row>
    <row r="30" spans="1:35">
      <c r="A30" s="4">
        <v>41571</v>
      </c>
      <c r="B30" s="49">
        <v>-3.5299999999999997E-5</v>
      </c>
      <c r="C30" s="50">
        <v>0.755</v>
      </c>
      <c r="D30" s="49">
        <f t="shared" si="6"/>
        <v>-5.0831999999999995E-2</v>
      </c>
      <c r="E30" s="266">
        <v>2.9996337677375871</v>
      </c>
      <c r="F30" s="51">
        <v>-2.6173119630578848E-2</v>
      </c>
      <c r="G30" s="51">
        <f t="shared" si="0"/>
        <v>2.4658880369421148E-2</v>
      </c>
      <c r="H30" s="291">
        <v>2.5694279933329804</v>
      </c>
      <c r="I30" s="69">
        <v>41571</v>
      </c>
      <c r="J30" s="70">
        <v>-1.5299999999999999E-5</v>
      </c>
      <c r="K30" s="71">
        <v>0.45900000000000002</v>
      </c>
      <c r="L30" s="70">
        <f t="shared" si="7"/>
        <v>-2.2032E-2</v>
      </c>
      <c r="M30" s="70">
        <v>3.371833767737586</v>
      </c>
      <c r="N30" s="61">
        <v>-7.6487229749702445E-3</v>
      </c>
      <c r="O30" s="62">
        <f t="shared" si="1"/>
        <v>1.4383277025029756E-2</v>
      </c>
      <c r="P30" s="291">
        <v>1.4383277025029755</v>
      </c>
      <c r="Q30" s="89">
        <v>41571</v>
      </c>
      <c r="R30" s="86">
        <v>-4.49E-5</v>
      </c>
      <c r="S30" s="90">
        <v>0.879</v>
      </c>
      <c r="T30" s="86">
        <f t="shared" si="8"/>
        <v>-6.4656000000000005E-2</v>
      </c>
      <c r="U30" s="107">
        <v>3.9363337677375876</v>
      </c>
      <c r="V30" s="108">
        <v>-9.2677295732636559E-3</v>
      </c>
      <c r="W30" s="94">
        <f t="shared" si="3"/>
        <v>5.5388270426736351E-2</v>
      </c>
      <c r="X30" s="291">
        <f>0.78*W30-0.57</f>
        <v>-0.52679714906714559</v>
      </c>
      <c r="Y30" s="142">
        <f t="shared" si="9"/>
        <v>41571</v>
      </c>
      <c r="Z30" s="138">
        <v>-1.7499999999999998E-5</v>
      </c>
      <c r="AA30" s="144">
        <v>0.501</v>
      </c>
      <c r="AB30" s="138">
        <f t="shared" si="10"/>
        <v>-2.5199999999999997E-2</v>
      </c>
      <c r="AC30" s="138">
        <v>3.1485337677375855</v>
      </c>
      <c r="AD30" s="138">
        <v>-2.4620933437251885E-2</v>
      </c>
      <c r="AE30" s="138">
        <f t="shared" si="11"/>
        <v>5.7906656274811161E-4</v>
      </c>
      <c r="AF30" s="291">
        <v>5.7906656274811161E-2</v>
      </c>
      <c r="AG30" s="89">
        <v>41571</v>
      </c>
      <c r="AH30" s="279">
        <v>0</v>
      </c>
      <c r="AI30" s="182">
        <v>0</v>
      </c>
    </row>
    <row r="31" spans="1:35">
      <c r="A31" s="4">
        <v>41572</v>
      </c>
      <c r="B31" s="50">
        <f>-0.0000342</f>
        <v>-3.4199999999999998E-5</v>
      </c>
      <c r="C31" s="50">
        <v>0.91700000000000004</v>
      </c>
      <c r="D31" s="49">
        <f t="shared" si="6"/>
        <v>-4.9248E-2</v>
      </c>
      <c r="E31" s="266">
        <v>2.9609229280280371</v>
      </c>
      <c r="F31" s="51">
        <v>-2.6059942238105857E-2</v>
      </c>
      <c r="G31" s="51">
        <f t="shared" si="0"/>
        <v>2.3188057761894143E-2</v>
      </c>
      <c r="H31" s="291">
        <v>1.7395198838618691</v>
      </c>
      <c r="I31" s="69">
        <v>41572</v>
      </c>
      <c r="J31" s="70">
        <v>-1.7200000000000001E-5</v>
      </c>
      <c r="K31" s="71">
        <v>0.82199999999999995</v>
      </c>
      <c r="L31" s="70">
        <f t="shared" si="7"/>
        <v>-2.4768000000000002E-2</v>
      </c>
      <c r="M31" s="70">
        <v>3.3511229280280386</v>
      </c>
      <c r="N31" s="61">
        <v>-7.5872023986750334E-3</v>
      </c>
      <c r="O31" s="62">
        <f t="shared" si="1"/>
        <v>1.7180797601324967E-2</v>
      </c>
      <c r="P31" s="291">
        <v>-0.75872023986750337</v>
      </c>
      <c r="Q31" s="89">
        <v>41572</v>
      </c>
      <c r="R31" s="86">
        <v>-3.6600000000000002E-5</v>
      </c>
      <c r="S31" s="90">
        <v>0.97</v>
      </c>
      <c r="T31" s="86">
        <f t="shared" si="8"/>
        <v>-5.2704000000000001E-2</v>
      </c>
      <c r="U31" s="107">
        <v>3.8828229280280384</v>
      </c>
      <c r="V31" s="108">
        <v>-9.2715658550689729E-3</v>
      </c>
      <c r="W31" s="94">
        <f t="shared" si="3"/>
        <v>4.3432434144931031E-2</v>
      </c>
      <c r="X31" s="291">
        <v>-0.92715658550689728</v>
      </c>
      <c r="Y31" s="142">
        <f t="shared" si="9"/>
        <v>41572</v>
      </c>
      <c r="Z31" s="138">
        <v>-1.1600000000000001E-5</v>
      </c>
      <c r="AA31" s="144">
        <v>0.88500000000000001</v>
      </c>
      <c r="AB31" s="138">
        <f t="shared" si="10"/>
        <v>-1.6704E-2</v>
      </c>
      <c r="AC31" s="138">
        <v>3.1297229280280372</v>
      </c>
      <c r="AD31" s="138">
        <v>-2.4658539082898605E-2</v>
      </c>
      <c r="AE31" s="138">
        <f t="shared" si="11"/>
        <v>-7.9545390828986047E-3</v>
      </c>
      <c r="AF31" s="291">
        <v>-2.4658539082898603</v>
      </c>
      <c r="AG31" s="89">
        <v>41572</v>
      </c>
      <c r="AH31" s="279">
        <v>0</v>
      </c>
      <c r="AI31" s="182">
        <v>0</v>
      </c>
    </row>
    <row r="32" spans="1:35">
      <c r="A32" s="4">
        <v>41573</v>
      </c>
      <c r="B32" s="49">
        <v>-3.57E-5</v>
      </c>
      <c r="C32" s="50">
        <v>0.97299999999999998</v>
      </c>
      <c r="D32" s="49">
        <f t="shared" si="6"/>
        <v>-5.1408000000000002E-2</v>
      </c>
      <c r="E32" s="266">
        <v>2.9154341775812385</v>
      </c>
      <c r="F32" s="51">
        <v>-2.5922087661844628E-2</v>
      </c>
      <c r="G32" s="51">
        <f t="shared" si="0"/>
        <v>2.5485912338155375E-2</v>
      </c>
      <c r="H32" s="291">
        <v>2.6504932343162024</v>
      </c>
      <c r="I32" s="69">
        <v>41573</v>
      </c>
      <c r="J32" s="70">
        <v>-2.1699999999999999E-5</v>
      </c>
      <c r="K32" s="71">
        <v>0.88</v>
      </c>
      <c r="L32" s="70">
        <f t="shared" si="7"/>
        <v>-3.1247999999999998E-2</v>
      </c>
      <c r="M32" s="70">
        <v>3.3322341775812401</v>
      </c>
      <c r="N32" s="61">
        <v>-7.5277549287981792E-3</v>
      </c>
      <c r="O32" s="62">
        <f t="shared" si="1"/>
        <v>2.372024507120182E-2</v>
      </c>
      <c r="P32" s="291">
        <v>2.372024507120182</v>
      </c>
      <c r="Q32" s="89">
        <v>41573</v>
      </c>
      <c r="R32" s="86">
        <v>-4.1399999999999997E-5</v>
      </c>
      <c r="S32" s="90">
        <v>0.98699999999999999</v>
      </c>
      <c r="T32" s="86">
        <f t="shared" si="8"/>
        <v>-5.9615999999999995E-2</v>
      </c>
      <c r="U32" s="107">
        <v>3.8284341775812392</v>
      </c>
      <c r="V32" s="108">
        <v>-9.2730389326056064E-3</v>
      </c>
      <c r="W32" s="94">
        <f t="shared" si="3"/>
        <v>5.0342961067394387E-2</v>
      </c>
      <c r="X32" s="291">
        <f>0.78*W32-0.57</f>
        <v>-0.53073249036743231</v>
      </c>
      <c r="Y32" s="142">
        <f t="shared" si="9"/>
        <v>41573</v>
      </c>
      <c r="Z32" s="138">
        <v>-1.88E-5</v>
      </c>
      <c r="AA32" s="144">
        <v>0.85799999999999998</v>
      </c>
      <c r="AB32" s="138">
        <f t="shared" si="10"/>
        <v>-2.7071999999999999E-2</v>
      </c>
      <c r="AC32" s="138">
        <v>3.1196341775812395</v>
      </c>
      <c r="AD32" s="138">
        <v>-2.4676682919278534E-2</v>
      </c>
      <c r="AE32" s="138">
        <f t="shared" si="11"/>
        <v>2.3953170807214652E-3</v>
      </c>
      <c r="AF32" s="291">
        <v>0.23953170807214652</v>
      </c>
      <c r="AG32" s="89">
        <v>41573</v>
      </c>
      <c r="AH32" s="279">
        <v>0</v>
      </c>
      <c r="AI32" s="182">
        <v>0</v>
      </c>
    </row>
    <row r="33" spans="1:35">
      <c r="A33" s="4">
        <v>41574</v>
      </c>
      <c r="B33" s="49">
        <v>-2.37E-5</v>
      </c>
      <c r="C33" s="50">
        <v>0.95099999999999996</v>
      </c>
      <c r="D33" s="49">
        <f t="shared" si="6"/>
        <v>-3.4127999999999999E-2</v>
      </c>
      <c r="E33" s="266">
        <v>2.8776409376518033</v>
      </c>
      <c r="F33" s="52">
        <v>-2.5803374348860493E-2</v>
      </c>
      <c r="G33" s="51">
        <f t="shared" si="0"/>
        <v>8.3246256511395056E-3</v>
      </c>
      <c r="H33" s="291">
        <v>0.93359198423635414</v>
      </c>
      <c r="I33" s="69">
        <v>41574</v>
      </c>
      <c r="J33" s="70">
        <v>-8.9400000000000008E-6</v>
      </c>
      <c r="K33" s="71">
        <v>0.57699999999999996</v>
      </c>
      <c r="L33" s="70">
        <f t="shared" si="7"/>
        <v>-1.2873600000000001E-2</v>
      </c>
      <c r="M33" s="70">
        <v>3.3132409376518037</v>
      </c>
      <c r="N33" s="61">
        <v>-7.4646399837250826E-3</v>
      </c>
      <c r="O33" s="62">
        <f t="shared" si="1"/>
        <v>5.408960016274918E-3</v>
      </c>
      <c r="P33" s="291">
        <v>0.54089600162749185</v>
      </c>
      <c r="Q33" s="89">
        <v>41574</v>
      </c>
      <c r="R33" s="86">
        <v>3.3699999999999999E-5</v>
      </c>
      <c r="S33" s="90">
        <v>0.95199999999999996</v>
      </c>
      <c r="T33" s="86">
        <f t="shared" si="8"/>
        <v>4.8528000000000002E-2</v>
      </c>
      <c r="U33" s="107">
        <v>3.7887409376518049</v>
      </c>
      <c r="V33" s="108">
        <v>-9.2724554487408975E-3</v>
      </c>
      <c r="W33" s="94">
        <f t="shared" si="3"/>
        <v>-5.7800455448740899E-2</v>
      </c>
      <c r="X33" s="291">
        <v>3.9255544551259103</v>
      </c>
      <c r="Y33" s="142">
        <f t="shared" si="9"/>
        <v>41574</v>
      </c>
      <c r="Z33" s="138">
        <v>-1.7900000000000001E-5</v>
      </c>
      <c r="AA33" s="144">
        <v>0.82699999999999996</v>
      </c>
      <c r="AB33" s="138">
        <f t="shared" si="10"/>
        <v>-2.5776E-2</v>
      </c>
      <c r="AC33" s="138">
        <v>3.0979409376518041</v>
      </c>
      <c r="AD33" s="138">
        <v>-2.4710670363282398E-2</v>
      </c>
      <c r="AE33" s="138">
        <f t="shared" si="11"/>
        <v>1.0653296367176025E-3</v>
      </c>
      <c r="AF33" s="291">
        <v>0.10653296367176025</v>
      </c>
      <c r="AG33" s="89">
        <v>41574</v>
      </c>
      <c r="AH33" s="279">
        <v>0</v>
      </c>
      <c r="AI33" s="182">
        <v>1</v>
      </c>
    </row>
    <row r="34" spans="1:35">
      <c r="A34" s="4">
        <v>41575</v>
      </c>
      <c r="B34" s="49">
        <v>-3.4900000000000001E-5</v>
      </c>
      <c r="C34" s="50">
        <v>0.86</v>
      </c>
      <c r="D34" s="49">
        <f t="shared" si="6"/>
        <v>-5.0256000000000002E-2</v>
      </c>
      <c r="E34" s="266">
        <v>2.8401098576753268</v>
      </c>
      <c r="F34" s="52">
        <v>-2.5681555130518573E-2</v>
      </c>
      <c r="G34" s="51">
        <f t="shared" si="0"/>
        <v>2.4574444869481429E-2</v>
      </c>
      <c r="H34" s="291">
        <v>2.5577823743381316</v>
      </c>
      <c r="I34" s="69">
        <v>41575</v>
      </c>
      <c r="J34" s="70">
        <v>-8.9800000000000004E-6</v>
      </c>
      <c r="K34" s="71">
        <v>0.35</v>
      </c>
      <c r="L34" s="70">
        <f t="shared" si="7"/>
        <v>-1.29312E-2</v>
      </c>
      <c r="M34" s="70">
        <v>3.292209857675326</v>
      </c>
      <c r="N34" s="61">
        <v>-7.3906923378988815E-3</v>
      </c>
      <c r="O34" s="62">
        <f t="shared" si="1"/>
        <v>5.5405076621011188E-3</v>
      </c>
      <c r="P34" s="291">
        <v>0.55405076621011184</v>
      </c>
      <c r="Q34" s="89">
        <v>41575</v>
      </c>
      <c r="R34" s="86">
        <v>-3.01E-5</v>
      </c>
      <c r="S34" s="90">
        <v>0.97399999999999998</v>
      </c>
      <c r="T34" s="86">
        <f t="shared" si="8"/>
        <v>-4.3344000000000001E-2</v>
      </c>
      <c r="U34" s="107">
        <v>3.7360098576753265</v>
      </c>
      <c r="V34" s="108">
        <v>-9.2693554622877497E-3</v>
      </c>
      <c r="W34" s="94">
        <f t="shared" si="3"/>
        <v>3.4074644537712251E-2</v>
      </c>
      <c r="X34" s="291">
        <v>3.4074644537712251</v>
      </c>
      <c r="Y34" s="142">
        <f t="shared" si="9"/>
        <v>41575</v>
      </c>
      <c r="Z34" s="138">
        <v>-1.59E-5</v>
      </c>
      <c r="AA34" s="144">
        <v>0.56299999999999994</v>
      </c>
      <c r="AB34" s="138">
        <f t="shared" si="10"/>
        <v>-2.2896E-2</v>
      </c>
      <c r="AC34" s="138">
        <v>3.0740098576753261</v>
      </c>
      <c r="AD34" s="138">
        <v>-2.4739769928991819E-2</v>
      </c>
      <c r="AE34" s="138">
        <f t="shared" si="11"/>
        <v>-1.8437699289918195E-3</v>
      </c>
      <c r="AF34" s="291">
        <v>-0.18437699289918197</v>
      </c>
      <c r="AG34" s="89">
        <v>41575</v>
      </c>
      <c r="AH34" s="279">
        <v>0</v>
      </c>
      <c r="AI34" s="182">
        <v>2</v>
      </c>
    </row>
    <row r="35" spans="1:35">
      <c r="A35" s="4">
        <v>41576</v>
      </c>
      <c r="B35" s="49">
        <v>-2.3499999999999999E-5</v>
      </c>
      <c r="C35" s="50">
        <v>0.83799999999999997</v>
      </c>
      <c r="D35" s="49">
        <f t="shared" si="6"/>
        <v>-3.3839999999999995E-2</v>
      </c>
      <c r="E35" s="266">
        <v>2.7989624191981517</v>
      </c>
      <c r="F35" s="52">
        <v>-2.5543293148680327E-2</v>
      </c>
      <c r="G35" s="51">
        <f t="shared" si="0"/>
        <v>8.2967068513196685E-3</v>
      </c>
      <c r="H35" s="291">
        <v>0.92911168399625976</v>
      </c>
      <c r="I35" s="69">
        <v>41576</v>
      </c>
      <c r="J35" s="70">
        <v>-1.1199999999999999E-5</v>
      </c>
      <c r="K35" s="71">
        <v>0.47299999999999998</v>
      </c>
      <c r="L35" s="70">
        <f t="shared" si="7"/>
        <v>-1.6128E-2</v>
      </c>
      <c r="M35" s="70">
        <v>3.2727624191981519</v>
      </c>
      <c r="N35" s="61">
        <v>-7.3183627889845419E-3</v>
      </c>
      <c r="O35" s="62">
        <f t="shared" si="1"/>
        <v>8.8096372110154572E-3</v>
      </c>
      <c r="P35" s="291">
        <v>0.88096372110154575</v>
      </c>
      <c r="Q35" s="89">
        <v>41576</v>
      </c>
      <c r="R35" s="86">
        <v>-2.8399999999999999E-5</v>
      </c>
      <c r="S35" s="90">
        <v>0.97199999999999998</v>
      </c>
      <c r="T35" s="86">
        <f t="shared" si="8"/>
        <v>-4.0896000000000002E-2</v>
      </c>
      <c r="U35" s="107">
        <v>3.6890624191981507</v>
      </c>
      <c r="V35" s="108">
        <v>-9.2642060103326294E-3</v>
      </c>
      <c r="W35" s="94">
        <f t="shared" si="3"/>
        <v>3.1631793989667374E-2</v>
      </c>
      <c r="X35" s="291">
        <v>3.1631793989667374</v>
      </c>
      <c r="Y35" s="142">
        <f t="shared" si="9"/>
        <v>41576</v>
      </c>
      <c r="Z35" s="138">
        <v>-1.3900000000000001E-5</v>
      </c>
      <c r="AA35" s="144">
        <v>0.56899999999999995</v>
      </c>
      <c r="AB35" s="138">
        <f t="shared" si="10"/>
        <v>-2.0016000000000003E-2</v>
      </c>
      <c r="AC35" s="138">
        <v>3.0483624191981504</v>
      </c>
      <c r="AD35" s="138">
        <v>-2.4760498987802308E-2</v>
      </c>
      <c r="AE35" s="138">
        <f t="shared" si="11"/>
        <v>-4.744498987802305E-3</v>
      </c>
      <c r="AF35" s="291">
        <v>-0.47444989878023047</v>
      </c>
      <c r="AG35" s="89">
        <v>41576</v>
      </c>
      <c r="AH35" s="279">
        <v>0</v>
      </c>
      <c r="AI35" s="182">
        <v>3</v>
      </c>
    </row>
    <row r="36" spans="1:35">
      <c r="A36" s="4">
        <v>41577</v>
      </c>
      <c r="B36" s="49">
        <v>-1.77E-5</v>
      </c>
      <c r="C36" s="50">
        <v>0.63300000000000001</v>
      </c>
      <c r="D36" s="49">
        <f t="shared" si="6"/>
        <v>-2.5488E-2</v>
      </c>
      <c r="E36" s="266">
        <v>2.7607329762465871</v>
      </c>
      <c r="F36" s="52">
        <v>-2.5410222095426729E-2</v>
      </c>
      <c r="G36" s="51">
        <f t="shared" si="0"/>
        <v>7.777790457327155E-5</v>
      </c>
      <c r="H36" s="291">
        <v>0.10635699537308238</v>
      </c>
      <c r="I36" s="69">
        <v>41577</v>
      </c>
      <c r="J36" s="70">
        <v>-9.1200000000000008E-6</v>
      </c>
      <c r="K36" s="71">
        <v>0.34100000000000003</v>
      </c>
      <c r="L36" s="70">
        <f t="shared" si="7"/>
        <v>-1.3132800000000002E-2</v>
      </c>
      <c r="M36" s="70">
        <v>3.2534329762465877</v>
      </c>
      <c r="N36" s="61">
        <v>-7.2425588714509328E-3</v>
      </c>
      <c r="O36" s="62">
        <f t="shared" si="1"/>
        <v>5.890241128549069E-3</v>
      </c>
      <c r="P36" s="291">
        <v>0.58902411285490686</v>
      </c>
      <c r="Q36" s="89">
        <v>41577</v>
      </c>
      <c r="R36" s="86">
        <v>-3.2700000000000002E-5</v>
      </c>
      <c r="S36" s="90">
        <v>0.90800000000000003</v>
      </c>
      <c r="T36" s="86">
        <f t="shared" si="8"/>
        <v>-4.7088000000000005E-2</v>
      </c>
      <c r="U36" s="107">
        <v>3.661432976246588</v>
      </c>
      <c r="V36" s="108">
        <v>-9.260056019690403E-3</v>
      </c>
      <c r="W36" s="94">
        <f t="shared" si="3"/>
        <v>3.78279439803096E-2</v>
      </c>
      <c r="X36" s="291">
        <v>2.4579943980309591</v>
      </c>
      <c r="Y36" s="142">
        <f t="shared" si="9"/>
        <v>41577</v>
      </c>
      <c r="Z36" s="138">
        <v>-7.7000000000000008E-6</v>
      </c>
      <c r="AA36" s="144">
        <v>0.27500000000000002</v>
      </c>
      <c r="AB36" s="138">
        <f t="shared" si="10"/>
        <v>-1.1088000000000001E-2</v>
      </c>
      <c r="AC36" s="138">
        <v>3.0304329762465883</v>
      </c>
      <c r="AD36" s="138">
        <v>-2.4768144254648863E-2</v>
      </c>
      <c r="AE36" s="138">
        <f t="shared" si="11"/>
        <v>-1.3680144254648863E-2</v>
      </c>
      <c r="AF36" s="291">
        <v>-1.3680144254648863</v>
      </c>
      <c r="AG36" s="89">
        <v>41577</v>
      </c>
      <c r="AH36" s="279">
        <v>0</v>
      </c>
      <c r="AI36" s="182">
        <v>4</v>
      </c>
    </row>
    <row r="37" spans="1:35">
      <c r="A37" s="4">
        <v>41578</v>
      </c>
      <c r="B37" s="49">
        <v>-2.0400000000000001E-5</v>
      </c>
      <c r="C37" s="50">
        <v>0.754</v>
      </c>
      <c r="D37" s="49">
        <f t="shared" si="6"/>
        <v>-2.9376000000000003E-2</v>
      </c>
      <c r="E37" s="266">
        <v>2.7228466778126248</v>
      </c>
      <c r="F37" s="52">
        <v>-2.5273754508861011E-2</v>
      </c>
      <c r="G37" s="51">
        <f t="shared" si="0"/>
        <v>4.1022454911389915E-3</v>
      </c>
      <c r="H37" s="297">
        <v>0.74969166322419867</v>
      </c>
      <c r="I37" s="69">
        <v>41578</v>
      </c>
      <c r="J37" s="70">
        <v>-1.13E-5</v>
      </c>
      <c r="K37" s="71">
        <v>0.46600000000000003</v>
      </c>
      <c r="L37" s="70">
        <f t="shared" si="7"/>
        <v>-1.6272000000000002E-2</v>
      </c>
      <c r="M37" s="70">
        <v>3.2334466778126245</v>
      </c>
      <c r="N37" s="61">
        <v>-7.1599132223482609E-3</v>
      </c>
      <c r="O37" s="62">
        <f t="shared" si="1"/>
        <v>9.11208677765174E-3</v>
      </c>
      <c r="P37" s="297">
        <v>1.1504522115011855</v>
      </c>
      <c r="Q37" s="89">
        <v>41578</v>
      </c>
      <c r="R37" s="86">
        <v>-3.2700000000000002E-5</v>
      </c>
      <c r="S37" s="90">
        <v>0.94299999999999995</v>
      </c>
      <c r="T37" s="86">
        <f t="shared" si="8"/>
        <v>-4.7088000000000005E-2</v>
      </c>
      <c r="U37" s="107">
        <v>3.616246677812625</v>
      </c>
      <c r="V37" s="108">
        <v>-9.2513734284287597E-3</v>
      </c>
      <c r="W37" s="94">
        <f t="shared" si="3"/>
        <v>3.7836626571571247E-2</v>
      </c>
      <c r="X37" s="297">
        <v>4.0335201005823755</v>
      </c>
      <c r="Y37" s="142">
        <f t="shared" si="9"/>
        <v>41578</v>
      </c>
      <c r="Z37" s="138">
        <v>-1.0000000000000001E-5</v>
      </c>
      <c r="AA37" s="144">
        <v>0.56299999999999994</v>
      </c>
      <c r="AB37" s="138">
        <f t="shared" si="10"/>
        <v>-1.4400000000000001E-2</v>
      </c>
      <c r="AC37" s="138">
        <v>3.0117466778126238</v>
      </c>
      <c r="AD37" s="138">
        <v>-2.4769758377861033E-2</v>
      </c>
      <c r="AE37" s="138">
        <f t="shared" si="11"/>
        <v>-1.0369758377861032E-2</v>
      </c>
      <c r="AF37" s="297">
        <v>-0.26292365532306733</v>
      </c>
      <c r="AG37" s="89">
        <v>41578</v>
      </c>
      <c r="AH37" s="279">
        <v>-2.06</v>
      </c>
      <c r="AI37" s="182">
        <v>5</v>
      </c>
    </row>
    <row r="38" spans="1:35">
      <c r="A38" s="4">
        <v>41579</v>
      </c>
      <c r="B38" s="49">
        <v>-1.88E-5</v>
      </c>
      <c r="C38" s="50">
        <v>-0.85699999999999998</v>
      </c>
      <c r="D38" s="49">
        <f t="shared" si="6"/>
        <v>-2.7071999999999999E-2</v>
      </c>
      <c r="E38" s="266">
        <v>2.6960524038752909</v>
      </c>
      <c r="F38" s="52">
        <v>-2.5174366754685495E-2</v>
      </c>
      <c r="G38" s="51">
        <f t="shared" si="0"/>
        <v>1.8976332453145041E-3</v>
      </c>
      <c r="H38" s="297">
        <v>0.29869594916039588</v>
      </c>
      <c r="I38" s="69">
        <v>41579</v>
      </c>
      <c r="J38" s="70">
        <v>-8.8899999999999996E-6</v>
      </c>
      <c r="K38" s="71">
        <v>0.39100000000000001</v>
      </c>
      <c r="L38" s="70">
        <f t="shared" si="7"/>
        <v>-1.28016E-2</v>
      </c>
      <c r="M38" s="70">
        <v>3.2137524038752918</v>
      </c>
      <c r="N38" s="61">
        <v>-7.0740627091247805E-3</v>
      </c>
      <c r="O38" s="62">
        <f t="shared" si="1"/>
        <v>5.7275372908752193E-3</v>
      </c>
      <c r="P38" s="297">
        <v>0.5845375594932577</v>
      </c>
      <c r="Q38" s="89">
        <v>41579</v>
      </c>
      <c r="R38" s="86">
        <v>-3.9199999999999997E-5</v>
      </c>
      <c r="S38" s="90">
        <v>0.98399999999999999</v>
      </c>
      <c r="T38" s="86">
        <f t="shared" si="8"/>
        <v>-5.6447999999999998E-2</v>
      </c>
      <c r="U38" s="107">
        <v>3.5651524038752909</v>
      </c>
      <c r="V38" s="108">
        <v>-9.2385431624697721E-3</v>
      </c>
      <c r="W38" s="94">
        <f t="shared" si="3"/>
        <v>4.7209456837530223E-2</v>
      </c>
      <c r="X38" s="297">
        <f>0.78*W38-0.57</f>
        <v>-0.53317662366672636</v>
      </c>
      <c r="Y38" s="142">
        <f t="shared" si="9"/>
        <v>41579</v>
      </c>
      <c r="Z38" s="138">
        <v>-6.9999999999999999E-6</v>
      </c>
      <c r="AA38" s="144">
        <v>0.29199999999999998</v>
      </c>
      <c r="AB38" s="138">
        <f t="shared" si="10"/>
        <v>-1.008E-2</v>
      </c>
      <c r="AC38" s="138">
        <v>2.9937524038752907</v>
      </c>
      <c r="AD38" s="138">
        <v>-2.4764863639916125E-2</v>
      </c>
      <c r="AE38" s="138">
        <f t="shared" si="11"/>
        <v>-1.4684863639916125E-2</v>
      </c>
      <c r="AF38" s="297">
        <v>-1.4033359205361855</v>
      </c>
      <c r="AG38" s="89">
        <v>41579</v>
      </c>
      <c r="AH38" s="279">
        <v>-0.1</v>
      </c>
      <c r="AI38" s="182">
        <v>6</v>
      </c>
    </row>
    <row r="39" spans="1:35">
      <c r="A39" s="4">
        <v>41580</v>
      </c>
      <c r="B39" s="49">
        <v>-2.7100000000000001E-5</v>
      </c>
      <c r="C39" s="50">
        <v>0.94</v>
      </c>
      <c r="D39" s="49">
        <f t="shared" si="6"/>
        <v>-3.9024000000000003E-2</v>
      </c>
      <c r="E39" s="266">
        <v>2.6588710094669961</v>
      </c>
      <c r="F39" s="52">
        <v>-2.5032340752204608E-2</v>
      </c>
      <c r="G39" s="51">
        <f t="shared" si="0"/>
        <v>1.3991659247795395E-2</v>
      </c>
      <c r="H39" s="297">
        <v>-2.154938442393628</v>
      </c>
      <c r="I39" s="69">
        <v>41580</v>
      </c>
      <c r="J39" s="70">
        <v>-8.7199999999999995E-6</v>
      </c>
      <c r="K39" s="71">
        <v>0.59899999999999998</v>
      </c>
      <c r="L39" s="70">
        <f t="shared" si="7"/>
        <v>-1.25568E-2</v>
      </c>
      <c r="M39" s="70">
        <v>3.1945710094669977</v>
      </c>
      <c r="N39" s="61">
        <v>-6.9860689636154268E-3</v>
      </c>
      <c r="O39" s="62">
        <f t="shared" si="1"/>
        <v>5.5707310363845731E-3</v>
      </c>
      <c r="P39" s="297">
        <v>-0.44674844017861903</v>
      </c>
      <c r="Q39" s="89">
        <v>41580</v>
      </c>
      <c r="R39" s="86">
        <v>-2.3099999999999999E-5</v>
      </c>
      <c r="S39" s="90">
        <v>0.97</v>
      </c>
      <c r="T39" s="86">
        <f t="shared" si="8"/>
        <v>-3.3264000000000002E-2</v>
      </c>
      <c r="U39" s="107">
        <v>3.5144710094669973</v>
      </c>
      <c r="V39" s="108">
        <v>-9.2224204962452414E-3</v>
      </c>
      <c r="W39" s="94">
        <f t="shared" si="3"/>
        <v>2.4041579503754761E-2</v>
      </c>
      <c r="X39" s="297">
        <v>-0.65593879402388233</v>
      </c>
      <c r="Y39" s="142">
        <f t="shared" si="9"/>
        <v>41580</v>
      </c>
      <c r="Z39" s="138">
        <v>-1.0000000000000001E-5</v>
      </c>
      <c r="AA39" s="144">
        <v>0.57099999999999995</v>
      </c>
      <c r="AB39" s="138">
        <f t="shared" si="10"/>
        <v>-1.4400000000000001E-2</v>
      </c>
      <c r="AC39" s="138">
        <v>2.9733710094669976</v>
      </c>
      <c r="AD39" s="138">
        <v>-2.475126182484727E-2</v>
      </c>
      <c r="AE39" s="138">
        <f t="shared" si="11"/>
        <v>-1.0351261824847269E-2</v>
      </c>
      <c r="AF39" s="297">
        <v>-2.1593532157819788</v>
      </c>
      <c r="AG39" s="89">
        <v>41580</v>
      </c>
      <c r="AH39" s="279">
        <v>-2.1</v>
      </c>
      <c r="AI39" s="182">
        <v>0</v>
      </c>
    </row>
    <row r="40" spans="1:35">
      <c r="A40" s="4">
        <v>41581</v>
      </c>
      <c r="B40" s="49">
        <v>-2.6999999999999999E-5</v>
      </c>
      <c r="C40" s="50">
        <v>0.80900000000000005</v>
      </c>
      <c r="D40" s="49">
        <f t="shared" si="6"/>
        <v>-3.8879999999999998E-2</v>
      </c>
      <c r="E40" s="266">
        <v>2.6246802121516297</v>
      </c>
      <c r="F40" s="52">
        <v>-2.4897350734901423E-2</v>
      </c>
      <c r="G40" s="51">
        <f t="shared" si="0"/>
        <v>1.3982649265098575E-2</v>
      </c>
      <c r="H40" s="297">
        <v>1.5423033251960923</v>
      </c>
      <c r="I40" s="69">
        <v>41581</v>
      </c>
      <c r="J40" s="70">
        <v>-1.66E-5</v>
      </c>
      <c r="K40" s="71">
        <v>0.628</v>
      </c>
      <c r="L40" s="70">
        <f t="shared" si="7"/>
        <v>-2.3904000000000002E-2</v>
      </c>
      <c r="M40" s="70">
        <v>3.1776802121516301</v>
      </c>
      <c r="N40" s="61">
        <v>-6.9048693851587054E-3</v>
      </c>
      <c r="O40" s="62">
        <f t="shared" si="1"/>
        <v>1.6999130614841297E-2</v>
      </c>
      <c r="P40" s="297">
        <v>1.7487213921147433</v>
      </c>
      <c r="Q40" s="89">
        <v>41581</v>
      </c>
      <c r="R40" s="86">
        <v>-2.5999999999999998E-5</v>
      </c>
      <c r="S40" s="90">
        <v>0.95199999999999996</v>
      </c>
      <c r="T40" s="86">
        <f t="shared" si="8"/>
        <v>-3.7440000000000001E-2</v>
      </c>
      <c r="U40" s="107">
        <v>3.4816802121516313</v>
      </c>
      <c r="V40" s="108">
        <v>-9.2100633006795777E-3</v>
      </c>
      <c r="W40" s="94">
        <f t="shared" si="3"/>
        <v>2.8229936699320425E-2</v>
      </c>
      <c r="X40" s="297">
        <v>2.8750361763326175</v>
      </c>
      <c r="Y40" s="142">
        <f t="shared" si="9"/>
        <v>41581</v>
      </c>
      <c r="Z40" s="138">
        <v>-1.0000000000000001E-5</v>
      </c>
      <c r="AA40" s="144">
        <v>0.48199999999999998</v>
      </c>
      <c r="AB40" s="138">
        <f t="shared" si="10"/>
        <v>-1.4400000000000001E-2</v>
      </c>
      <c r="AC40" s="138">
        <v>2.9555802121516304</v>
      </c>
      <c r="AD40" s="138">
        <v>-2.4732019764012535E-2</v>
      </c>
      <c r="AE40" s="138">
        <f t="shared" si="11"/>
        <v>-1.0332019764012533E-2</v>
      </c>
      <c r="AF40" s="297">
        <v>-0.52532183695556334</v>
      </c>
      <c r="AG40" s="89">
        <v>41581</v>
      </c>
      <c r="AH40" s="279">
        <v>-0.4</v>
      </c>
      <c r="AI40" s="182">
        <v>1</v>
      </c>
    </row>
    <row r="41" spans="1:35">
      <c r="A41" s="4">
        <v>41582</v>
      </c>
      <c r="B41" s="49">
        <v>-2.7800000000000001E-5</v>
      </c>
      <c r="C41" s="50">
        <v>0.85399999999999998</v>
      </c>
      <c r="D41" s="49">
        <f t="shared" si="6"/>
        <v>-4.0032000000000005E-2</v>
      </c>
      <c r="E41" s="266">
        <v>2.5902771477230098</v>
      </c>
      <c r="F41" s="52">
        <v>-2.4757091103142115E-2</v>
      </c>
      <c r="G41" s="51">
        <f t="shared" si="0"/>
        <v>1.527490889685789E-2</v>
      </c>
      <c r="H41" s="297">
        <v>3.141594661762821</v>
      </c>
      <c r="I41" s="69">
        <v>41582</v>
      </c>
      <c r="J41" s="70">
        <v>-1.5400000000000002E-5</v>
      </c>
      <c r="K41" s="71">
        <v>0.47799999999999998</v>
      </c>
      <c r="L41" s="70">
        <f t="shared" si="7"/>
        <v>-2.2176000000000001E-2</v>
      </c>
      <c r="M41" s="70">
        <v>3.1596771477230092</v>
      </c>
      <c r="N41" s="61">
        <v>-6.8143523884425482E-3</v>
      </c>
      <c r="O41" s="62">
        <f t="shared" si="1"/>
        <v>1.5361647611557453E-2</v>
      </c>
      <c r="P41" s="297">
        <v>2.7876186765111797</v>
      </c>
      <c r="Q41" s="89">
        <v>41582</v>
      </c>
      <c r="R41" s="86">
        <v>-2.3900000000000002E-5</v>
      </c>
      <c r="S41" s="90">
        <v>0.98599999999999999</v>
      </c>
      <c r="T41" s="86">
        <f t="shared" si="8"/>
        <v>-3.4416000000000002E-2</v>
      </c>
      <c r="U41" s="107">
        <v>3.4474771477230091</v>
      </c>
      <c r="V41" s="108">
        <v>-9.1954648392301077E-3</v>
      </c>
      <c r="W41" s="94">
        <f t="shared" si="3"/>
        <v>2.5220535160769893E-2</v>
      </c>
      <c r="X41" s="297">
        <v>3.2549124248734582</v>
      </c>
      <c r="Y41" s="142">
        <f t="shared" si="9"/>
        <v>41582</v>
      </c>
      <c r="Z41" s="138">
        <v>-2.0000000000000002E-5</v>
      </c>
      <c r="AA41" s="144">
        <v>0.42699999999999999</v>
      </c>
      <c r="AB41" s="138">
        <f t="shared" si="10"/>
        <v>-2.8800000000000003E-2</v>
      </c>
      <c r="AC41" s="138">
        <v>2.9368771477230093</v>
      </c>
      <c r="AD41" s="138">
        <v>-2.4703986193876204E-2</v>
      </c>
      <c r="AE41" s="138">
        <f t="shared" si="11"/>
        <v>4.0960138061237987E-3</v>
      </c>
      <c r="AF41" s="297">
        <v>2.5276564337949594</v>
      </c>
      <c r="AG41" s="89">
        <v>41582</v>
      </c>
      <c r="AH41" s="279">
        <v>-22.5</v>
      </c>
      <c r="AI41" s="182">
        <v>0</v>
      </c>
    </row>
    <row r="42" spans="1:35">
      <c r="A42" s="4">
        <v>41583</v>
      </c>
      <c r="B42" s="49">
        <v>-2.0000000000000002E-5</v>
      </c>
      <c r="C42" s="50">
        <v>0.68</v>
      </c>
      <c r="D42" s="49">
        <f t="shared" si="6"/>
        <v>-2.8800000000000003E-2</v>
      </c>
      <c r="E42" s="266">
        <v>2.6102194843017643</v>
      </c>
      <c r="F42" s="52">
        <v>-2.4838947566768011E-2</v>
      </c>
      <c r="G42" s="51">
        <f t="shared" si="0"/>
        <v>3.9610524332319916E-3</v>
      </c>
      <c r="H42" s="297">
        <v>0.94624301992055493</v>
      </c>
      <c r="I42" s="69">
        <v>41583</v>
      </c>
      <c r="J42" s="70">
        <v>-8.0099999999999995E-6</v>
      </c>
      <c r="K42" s="71">
        <v>0.312</v>
      </c>
      <c r="L42" s="70">
        <f t="shared" si="7"/>
        <v>-1.15344E-2</v>
      </c>
      <c r="M42" s="70">
        <v>3.1680194843017642</v>
      </c>
      <c r="N42" s="61">
        <v>-6.8568150311010692E-3</v>
      </c>
      <c r="O42" s="62">
        <f t="shared" si="1"/>
        <v>4.677584968898931E-3</v>
      </c>
      <c r="P42" s="297">
        <v>0.59485447298956218</v>
      </c>
      <c r="Q42" s="89">
        <v>41583</v>
      </c>
      <c r="R42" s="86">
        <v>-2.3E-5</v>
      </c>
      <c r="S42" s="90">
        <v>0.98599999999999999</v>
      </c>
      <c r="T42" s="86">
        <f t="shared" si="8"/>
        <v>-3.3119999999999997E-2</v>
      </c>
      <c r="U42" s="107">
        <v>3.4445194843017637</v>
      </c>
      <c r="V42" s="108">
        <v>-9.1941175854233451E-3</v>
      </c>
      <c r="W42" s="94">
        <f t="shared" si="3"/>
        <v>2.3925882414576653E-2</v>
      </c>
      <c r="X42" s="297">
        <v>0.92107433639617486</v>
      </c>
      <c r="Y42" s="142">
        <f t="shared" si="9"/>
        <v>41583</v>
      </c>
      <c r="Z42" s="138">
        <v>-3.0000000000000001E-6</v>
      </c>
      <c r="AA42" s="144">
        <v>5.0999999999999997E-2</v>
      </c>
      <c r="AB42" s="138">
        <f t="shared" si="10"/>
        <v>-4.3200000000000001E-3</v>
      </c>
      <c r="AC42" s="138">
        <v>2.9495194843017631</v>
      </c>
      <c r="AD42" s="138">
        <v>-2.4723830948889264E-2</v>
      </c>
      <c r="AE42" s="138">
        <f t="shared" si="11"/>
        <v>-2.0403830948889264E-2</v>
      </c>
      <c r="AF42" s="297">
        <v>-0.23219958135409469</v>
      </c>
      <c r="AG42" s="89">
        <v>41583</v>
      </c>
      <c r="AH42" s="279">
        <v>-4.75</v>
      </c>
      <c r="AI42" s="182">
        <v>0</v>
      </c>
    </row>
    <row r="43" spans="1:35">
      <c r="A43" s="4">
        <v>41584</v>
      </c>
      <c r="B43" s="49">
        <v>-1.77E-5</v>
      </c>
      <c r="C43" s="50">
        <v>0.74399999999999999</v>
      </c>
      <c r="D43" s="49">
        <f t="shared" si="6"/>
        <v>-2.5488E-2</v>
      </c>
      <c r="E43" s="266">
        <v>2.6013288895585291</v>
      </c>
      <c r="F43" s="52">
        <v>-2.4802644808794475E-2</v>
      </c>
      <c r="G43" s="51">
        <f t="shared" si="0"/>
        <v>6.8535519120552571E-4</v>
      </c>
      <c r="H43" s="297">
        <v>-2.1767254810551031</v>
      </c>
      <c r="I43" s="69">
        <v>41584</v>
      </c>
      <c r="J43" s="70">
        <v>-4.9799999999999998E-6</v>
      </c>
      <c r="K43" s="71">
        <v>0.151</v>
      </c>
      <c r="L43" s="70">
        <f t="shared" si="7"/>
        <v>-7.1712E-3</v>
      </c>
      <c r="M43" s="70">
        <v>3.1691288895585306</v>
      </c>
      <c r="N43" s="61">
        <v>-6.8623940763702061E-3</v>
      </c>
      <c r="O43" s="62">
        <f t="shared" si="1"/>
        <v>3.0880592362979385E-4</v>
      </c>
      <c r="P43" s="297">
        <v>-0.60597602973553355</v>
      </c>
      <c r="Q43" s="89">
        <v>41584</v>
      </c>
      <c r="R43" s="86">
        <v>-2.27E-5</v>
      </c>
      <c r="S43" s="90">
        <v>0.98399999999999999</v>
      </c>
      <c r="T43" s="86">
        <f t="shared" si="8"/>
        <v>-3.2688000000000002E-2</v>
      </c>
      <c r="U43" s="107">
        <v>3.42052888955853</v>
      </c>
      <c r="V43" s="108">
        <v>-9.1826748716674744E-3</v>
      </c>
      <c r="W43" s="94">
        <f t="shared" si="3"/>
        <v>2.3505325128332526E-2</v>
      </c>
      <c r="X43" s="297">
        <v>-0.80184736719235794</v>
      </c>
      <c r="Y43" s="142">
        <f t="shared" si="9"/>
        <v>41584</v>
      </c>
      <c r="Z43" s="138">
        <v>-6.2600000000000002E-6</v>
      </c>
      <c r="AA43" s="144">
        <v>0.246</v>
      </c>
      <c r="AB43" s="138">
        <f t="shared" si="10"/>
        <v>-9.0144000000000005E-3</v>
      </c>
      <c r="AC43" s="138">
        <v>2.9404288895585302</v>
      </c>
      <c r="AD43" s="138">
        <v>-2.4709944001749744E-2</v>
      </c>
      <c r="AE43" s="138">
        <f t="shared" si="11"/>
        <v>-1.5695544001749745E-2</v>
      </c>
      <c r="AF43" s="297">
        <v>-2.3314457524622174</v>
      </c>
      <c r="AG43" s="89">
        <v>41584</v>
      </c>
      <c r="AH43" s="279">
        <v>-0.3</v>
      </c>
      <c r="AI43" s="182">
        <v>0</v>
      </c>
    </row>
    <row r="44" spans="1:35">
      <c r="A44" s="4">
        <v>41585</v>
      </c>
      <c r="B44" s="49">
        <v>-1.8870000000000001E-5</v>
      </c>
      <c r="C44" s="50">
        <v>0.81899999999999995</v>
      </c>
      <c r="D44" s="49">
        <f t="shared" si="6"/>
        <v>-2.71728E-2</v>
      </c>
      <c r="E44" s="266">
        <v>2.56585301864077</v>
      </c>
      <c r="F44" s="52">
        <v>-2.4654710539942188E-2</v>
      </c>
      <c r="G44" s="51">
        <f t="shared" si="0"/>
        <v>2.5180894600578124E-3</v>
      </c>
      <c r="H44" s="291">
        <v>0.34551898676532106</v>
      </c>
      <c r="I44" s="69">
        <v>41585</v>
      </c>
      <c r="J44" s="72">
        <v>-1.0000000000000001E-5</v>
      </c>
      <c r="K44" s="68">
        <v>0.56100000000000005</v>
      </c>
      <c r="L44" s="70">
        <f t="shared" si="7"/>
        <v>-1.4400000000000001E-2</v>
      </c>
      <c r="M44" s="70">
        <v>3.1474530186407694</v>
      </c>
      <c r="N44" s="61">
        <v>-6.7504807207950631E-3</v>
      </c>
      <c r="O44" s="62">
        <f t="shared" si="1"/>
        <v>7.6495192792049383E-3</v>
      </c>
      <c r="P44" s="291">
        <v>1.124951927920494</v>
      </c>
      <c r="Q44" s="89">
        <v>41585</v>
      </c>
      <c r="R44" s="86">
        <v>-2.3099999999999999E-5</v>
      </c>
      <c r="S44" s="90">
        <v>0.99</v>
      </c>
      <c r="T44" s="86">
        <f t="shared" si="8"/>
        <v>-3.3264000000000002E-2</v>
      </c>
      <c r="U44" s="107">
        <v>3.3864530186407693</v>
      </c>
      <c r="V44" s="108">
        <v>-9.1647975277614514E-3</v>
      </c>
      <c r="W44" s="94">
        <f t="shared" si="3"/>
        <v>2.409920247223855E-2</v>
      </c>
      <c r="X44" s="291">
        <v>2.4099202472238552</v>
      </c>
      <c r="Y44" s="142">
        <f t="shared" si="9"/>
        <v>41585</v>
      </c>
      <c r="Z44" s="138">
        <v>-6.9999999999999999E-6</v>
      </c>
      <c r="AA44" s="144">
        <v>0.25800000000000001</v>
      </c>
      <c r="AB44" s="138">
        <f t="shared" si="10"/>
        <v>-1.008E-2</v>
      </c>
      <c r="AC44" s="138">
        <v>2.9189530186407686</v>
      </c>
      <c r="AD44" s="138">
        <v>-2.4669227979861891E-2</v>
      </c>
      <c r="AE44" s="138">
        <f t="shared" si="11"/>
        <v>-1.4589227979861891E-2</v>
      </c>
      <c r="AF44" s="291">
        <v>-1.4934827979861893</v>
      </c>
      <c r="AG44" s="89">
        <v>41585</v>
      </c>
      <c r="AH44" s="279">
        <v>0</v>
      </c>
      <c r="AI44" s="182">
        <v>1</v>
      </c>
    </row>
    <row r="45" spans="1:35">
      <c r="A45" s="4">
        <v>41586</v>
      </c>
      <c r="B45" s="49">
        <v>-2.429E-5</v>
      </c>
      <c r="C45" s="50">
        <v>0.94299999999999995</v>
      </c>
      <c r="D45" s="49">
        <f t="shared" si="6"/>
        <v>-3.4977599999999998E-2</v>
      </c>
      <c r="E45" s="266">
        <v>2.531948719981806</v>
      </c>
      <c r="F45" s="52">
        <v>-2.4508577373704016E-2</v>
      </c>
      <c r="G45" s="51">
        <f t="shared" si="0"/>
        <v>1.0469022626295982E-2</v>
      </c>
      <c r="H45" s="291">
        <v>1.1396746723523268</v>
      </c>
      <c r="I45" s="69">
        <v>41586</v>
      </c>
      <c r="J45" s="72">
        <v>-1.0000000000000001E-5</v>
      </c>
      <c r="K45" s="68">
        <v>0.71899999999999997</v>
      </c>
      <c r="L45" s="70">
        <f t="shared" si="7"/>
        <v>-1.4400000000000001E-2</v>
      </c>
      <c r="M45" s="70">
        <v>3.1306487199818065</v>
      </c>
      <c r="N45" s="61">
        <v>-6.6593930214891989E-3</v>
      </c>
      <c r="O45" s="62">
        <f t="shared" si="1"/>
        <v>7.7406069785108025E-3</v>
      </c>
      <c r="P45" s="291">
        <v>1.3068606978510799</v>
      </c>
      <c r="Q45" s="89">
        <v>41586</v>
      </c>
      <c r="R45" s="86">
        <v>-2.4300000000000001E-5</v>
      </c>
      <c r="S45" s="90">
        <v>0.98699999999999999</v>
      </c>
      <c r="T45" s="86">
        <f t="shared" si="8"/>
        <v>-3.4992000000000002E-2</v>
      </c>
      <c r="U45" s="107">
        <v>3.3481487199818067</v>
      </c>
      <c r="V45" s="108">
        <v>-9.1423128598491898E-3</v>
      </c>
      <c r="W45" s="94">
        <f t="shared" si="3"/>
        <v>2.5849687140150811E-2</v>
      </c>
      <c r="X45" s="291">
        <v>2.5849687140150812</v>
      </c>
      <c r="Y45" s="142">
        <f t="shared" si="9"/>
        <v>41586</v>
      </c>
      <c r="Z45" s="138">
        <v>-1.33E-6</v>
      </c>
      <c r="AA45" s="144">
        <v>0.76600000000000001</v>
      </c>
      <c r="AB45" s="138">
        <f t="shared" si="10"/>
        <v>-1.9151999999999999E-3</v>
      </c>
      <c r="AC45" s="138">
        <v>2.8968487199818074</v>
      </c>
      <c r="AD45" s="138">
        <v>-2.4615138135866559E-2</v>
      </c>
      <c r="AE45" s="138">
        <f t="shared" si="11"/>
        <v>-2.269993813586656E-2</v>
      </c>
      <c r="AF45" s="291">
        <v>-0.54631381358665609</v>
      </c>
      <c r="AG45" s="89">
        <v>41586</v>
      </c>
      <c r="AH45" s="279">
        <v>0</v>
      </c>
      <c r="AI45" s="182">
        <v>2</v>
      </c>
    </row>
    <row r="46" spans="1:35">
      <c r="A46" s="4">
        <v>41587</v>
      </c>
      <c r="B46" s="49">
        <v>-2.5700000000000001E-5</v>
      </c>
      <c r="C46" s="50">
        <v>0.97099999999999997</v>
      </c>
      <c r="D46" s="49">
        <f t="shared" si="6"/>
        <v>-3.7007999999999999E-2</v>
      </c>
      <c r="E46" s="266">
        <v>2.4993953411213714</v>
      </c>
      <c r="F46" s="52">
        <v>-2.4363702442214752E-2</v>
      </c>
      <c r="G46" s="51">
        <f t="shared" si="0"/>
        <v>1.2644297557785247E-2</v>
      </c>
      <c r="H46" s="291">
        <v>1.3562738121871754</v>
      </c>
      <c r="I46" s="69">
        <v>41587</v>
      </c>
      <c r="J46" s="72">
        <v>-1.0900000000000001E-5</v>
      </c>
      <c r="K46" s="68">
        <v>0.77200000000000002</v>
      </c>
      <c r="L46" s="70">
        <f t="shared" si="7"/>
        <v>-1.5696000000000002E-2</v>
      </c>
      <c r="M46" s="70">
        <v>3.1099953411213708</v>
      </c>
      <c r="N46" s="61">
        <v>-6.5420546750457271E-3</v>
      </c>
      <c r="O46" s="62">
        <f t="shared" si="1"/>
        <v>9.1539453249542754E-3</v>
      </c>
      <c r="P46" s="291">
        <v>0.91539453249542757</v>
      </c>
      <c r="Q46" s="89">
        <v>41587</v>
      </c>
      <c r="R46" s="86">
        <v>-2.27E-5</v>
      </c>
      <c r="S46" s="90">
        <v>0.98299999999999998</v>
      </c>
      <c r="T46" s="86">
        <f t="shared" si="8"/>
        <v>-3.2688000000000002E-2</v>
      </c>
      <c r="U46" s="107">
        <v>3.3074953411213714</v>
      </c>
      <c r="V46" s="108">
        <v>-9.1155211046433735E-3</v>
      </c>
      <c r="W46" s="94">
        <f t="shared" si="3"/>
        <v>2.357247889535663E-2</v>
      </c>
      <c r="X46" s="291">
        <v>2.357247889535663</v>
      </c>
      <c r="Y46" s="142">
        <f t="shared" si="9"/>
        <v>41587</v>
      </c>
      <c r="Z46" s="138">
        <v>-1.66E-5</v>
      </c>
      <c r="AA46" s="144">
        <v>0.81499999999999995</v>
      </c>
      <c r="AB46" s="138">
        <f t="shared" si="10"/>
        <v>-2.3904000000000002E-2</v>
      </c>
      <c r="AC46" s="138">
        <v>2.8724953411213714</v>
      </c>
      <c r="AD46" s="138">
        <v>-2.4540318508776752E-2</v>
      </c>
      <c r="AE46" s="138">
        <f t="shared" si="11"/>
        <v>-6.363185087767502E-4</v>
      </c>
      <c r="AF46" s="291">
        <v>-6.363185087767502E-2</v>
      </c>
      <c r="AG46" s="89">
        <v>41587</v>
      </c>
      <c r="AH46" s="279">
        <v>0</v>
      </c>
      <c r="AI46" s="182">
        <v>3</v>
      </c>
    </row>
    <row r="47" spans="1:35">
      <c r="A47" s="4">
        <v>41588</v>
      </c>
      <c r="B47" s="49">
        <v>-2.7100000000000001E-5</v>
      </c>
      <c r="C47" s="50">
        <v>0.98099999999999998</v>
      </c>
      <c r="D47" s="49">
        <f t="shared" si="6"/>
        <v>-3.9024000000000003E-2</v>
      </c>
      <c r="E47" s="266">
        <v>2.4632184455944803</v>
      </c>
      <c r="F47" s="52">
        <v>-2.4197218172405995E-2</v>
      </c>
      <c r="G47" s="51">
        <f t="shared" si="0"/>
        <v>1.4826781827594008E-2</v>
      </c>
      <c r="H47" s="291">
        <v>1.5734568335988315</v>
      </c>
      <c r="I47" s="69">
        <v>41588</v>
      </c>
      <c r="J47" s="72">
        <v>-1.43E-5</v>
      </c>
      <c r="K47" s="68">
        <v>0.76</v>
      </c>
      <c r="L47" s="70">
        <f t="shared" si="7"/>
        <v>-2.0591999999999999E-2</v>
      </c>
      <c r="M47" s="70">
        <v>3.0919184455944819</v>
      </c>
      <c r="N47" s="61">
        <v>-6.4342926528800455E-3</v>
      </c>
      <c r="O47" s="62">
        <f t="shared" si="1"/>
        <v>1.4157707347119953E-2</v>
      </c>
      <c r="P47" s="291">
        <v>1.4157707347119952</v>
      </c>
      <c r="Q47" s="89">
        <v>41588</v>
      </c>
      <c r="R47" s="86">
        <v>-2.3099999999999999E-5</v>
      </c>
      <c r="S47" s="90">
        <v>0.98599999999999999</v>
      </c>
      <c r="T47" s="86">
        <f t="shared" si="8"/>
        <v>-3.3264000000000002E-2</v>
      </c>
      <c r="U47" s="107">
        <v>3.2686184455944813</v>
      </c>
      <c r="V47" s="108">
        <v>-9.0869060936184555E-3</v>
      </c>
      <c r="W47" s="94">
        <f t="shared" si="3"/>
        <v>2.4177093906381546E-2</v>
      </c>
      <c r="X47" s="291">
        <v>2.4177093906381546</v>
      </c>
      <c r="Y47" s="142">
        <f t="shared" si="9"/>
        <v>41588</v>
      </c>
      <c r="Z47" s="138">
        <v>-2.1999999999999999E-5</v>
      </c>
      <c r="AA47" s="144">
        <v>0.93200000000000005</v>
      </c>
      <c r="AB47" s="138">
        <f t="shared" si="10"/>
        <v>-3.168E-2</v>
      </c>
      <c r="AC47" s="138">
        <v>2.8491184455944807</v>
      </c>
      <c r="AD47" s="138">
        <v>-2.4452494142038164E-2</v>
      </c>
      <c r="AE47" s="138">
        <f t="shared" si="11"/>
        <v>7.2275058579618356E-3</v>
      </c>
      <c r="AF47" s="291">
        <v>0.72275058579618356</v>
      </c>
      <c r="AG47" s="89">
        <v>41588</v>
      </c>
      <c r="AH47" s="279">
        <v>0</v>
      </c>
      <c r="AI47" s="182">
        <v>4</v>
      </c>
    </row>
    <row r="48" spans="1:35">
      <c r="A48" s="4">
        <v>41589</v>
      </c>
      <c r="B48" s="49">
        <v>-2.3600000000000001E-5</v>
      </c>
      <c r="C48" s="50">
        <v>0.97599999999999998</v>
      </c>
      <c r="D48" s="49">
        <f t="shared" si="6"/>
        <v>-3.3984E-2</v>
      </c>
      <c r="E48" s="266">
        <v>2.4248004524185611</v>
      </c>
      <c r="F48" s="52">
        <v>-2.4013797612745358E-2</v>
      </c>
      <c r="G48" s="51">
        <f t="shared" si="0"/>
        <v>9.9702023872546425E-3</v>
      </c>
      <c r="H48" s="291">
        <v>1.0866267822689588</v>
      </c>
      <c r="I48" s="69">
        <v>41589</v>
      </c>
      <c r="J48" s="72">
        <v>-1.0000000000000001E-5</v>
      </c>
      <c r="K48" s="68">
        <v>0.64600000000000002</v>
      </c>
      <c r="L48" s="70">
        <f t="shared" si="7"/>
        <v>-1.4400000000000001E-2</v>
      </c>
      <c r="M48" s="70">
        <v>3.0709004524185612</v>
      </c>
      <c r="N48" s="61">
        <v>-6.3028118145419601E-3</v>
      </c>
      <c r="O48" s="62">
        <f t="shared" si="1"/>
        <v>8.0971881854580412E-3</v>
      </c>
      <c r="P48" s="291">
        <v>1.0833188185458038</v>
      </c>
      <c r="Q48" s="89">
        <v>41589</v>
      </c>
      <c r="R48" s="86">
        <v>-2.3499999999999999E-5</v>
      </c>
      <c r="S48" s="90">
        <v>0.98599999999999999</v>
      </c>
      <c r="T48" s="86">
        <f t="shared" si="8"/>
        <v>-3.3839999999999995E-2</v>
      </c>
      <c r="U48" s="107">
        <v>3.2278004524185606</v>
      </c>
      <c r="V48" s="108">
        <v>-9.0535132579829484E-3</v>
      </c>
      <c r="W48" s="94">
        <f t="shared" si="3"/>
        <v>2.4786486742017048E-2</v>
      </c>
      <c r="X48" s="291">
        <v>2.4786486742017049</v>
      </c>
      <c r="Y48" s="142">
        <f t="shared" si="9"/>
        <v>41589</v>
      </c>
      <c r="Z48" s="138">
        <v>-1.98E-5</v>
      </c>
      <c r="AA48" s="144">
        <v>0.86199999999999999</v>
      </c>
      <c r="AB48" s="138">
        <f t="shared" si="10"/>
        <v>-2.8511999999999999E-2</v>
      </c>
      <c r="AC48" s="138">
        <v>2.8217004524185607</v>
      </c>
      <c r="AD48" s="138">
        <v>-2.4328094531156485E-2</v>
      </c>
      <c r="AE48" s="138">
        <f t="shared" si="11"/>
        <v>4.1839054688435143E-3</v>
      </c>
      <c r="AF48" s="291">
        <v>0.4183905468843514</v>
      </c>
      <c r="AG48" s="89">
        <v>41589</v>
      </c>
      <c r="AH48" s="279">
        <v>0</v>
      </c>
      <c r="AI48" s="182">
        <v>5</v>
      </c>
    </row>
    <row r="49" spans="1:60">
      <c r="A49" s="4">
        <v>41590</v>
      </c>
      <c r="B49" s="49">
        <v>-2.3900000000000002E-5</v>
      </c>
      <c r="C49" s="50">
        <v>0.97499999999999998</v>
      </c>
      <c r="D49" s="49">
        <f t="shared" si="6"/>
        <v>-3.4416000000000002E-2</v>
      </c>
      <c r="E49" s="266">
        <v>2.3878161938040869</v>
      </c>
      <c r="F49" s="52">
        <v>-2.383045094847918E-2</v>
      </c>
      <c r="G49" s="51">
        <f t="shared" si="0"/>
        <v>1.0585549051520822E-2</v>
      </c>
      <c r="H49" s="291">
        <v>1.1469914943837571</v>
      </c>
      <c r="I49" s="69">
        <v>41590</v>
      </c>
      <c r="J49" s="72">
        <v>-1.0000000000000001E-5</v>
      </c>
      <c r="K49" s="68">
        <v>0.79400000000000004</v>
      </c>
      <c r="L49" s="70">
        <f t="shared" si="7"/>
        <v>-1.4400000000000001E-2</v>
      </c>
      <c r="M49" s="70">
        <v>3.0501161938040884</v>
      </c>
      <c r="N49" s="61">
        <v>-6.1659802958990784E-3</v>
      </c>
      <c r="O49" s="62">
        <f t="shared" si="1"/>
        <v>8.2340197041009221E-3</v>
      </c>
      <c r="P49" s="291">
        <v>1.5434019704100923</v>
      </c>
      <c r="Q49" s="89">
        <v>41590</v>
      </c>
      <c r="R49" s="86">
        <v>-2.3900000000000002E-5</v>
      </c>
      <c r="S49" s="90">
        <v>0.98599999999999999</v>
      </c>
      <c r="T49" s="86">
        <f t="shared" si="8"/>
        <v>-3.4416000000000002E-2</v>
      </c>
      <c r="U49" s="107">
        <v>3.1861161938040867</v>
      </c>
      <c r="V49" s="108">
        <v>-9.0156439071119344E-3</v>
      </c>
      <c r="W49" s="94">
        <f t="shared" si="3"/>
        <v>2.5400356092888068E-2</v>
      </c>
      <c r="X49" s="291">
        <v>2.5400356092888066</v>
      </c>
      <c r="Y49" s="142">
        <f t="shared" si="9"/>
        <v>41590</v>
      </c>
      <c r="Z49" s="138">
        <v>-2.4000000000000001E-5</v>
      </c>
      <c r="AA49" s="144">
        <v>0.95399999999999996</v>
      </c>
      <c r="AB49" s="138">
        <f t="shared" si="10"/>
        <v>-3.456E-2</v>
      </c>
      <c r="AC49" s="138">
        <v>2.7828161938040874</v>
      </c>
      <c r="AD49" s="138">
        <v>-2.4108690289370575E-2</v>
      </c>
      <c r="AE49" s="138">
        <f t="shared" si="11"/>
        <v>1.0451309710629426E-2</v>
      </c>
      <c r="AF49" s="291">
        <v>1.0451309710629426</v>
      </c>
      <c r="AG49" s="89">
        <v>41590</v>
      </c>
      <c r="AH49" s="280">
        <v>0</v>
      </c>
      <c r="AI49" s="182">
        <v>6</v>
      </c>
    </row>
    <row r="50" spans="1:60">
      <c r="A50" s="4">
        <v>41591</v>
      </c>
      <c r="B50" s="49">
        <v>-5.9999999999999997E-7</v>
      </c>
      <c r="C50" s="50">
        <v>1E-3</v>
      </c>
      <c r="D50" s="49">
        <f t="shared" si="6"/>
        <v>-8.6399999999999997E-4</v>
      </c>
      <c r="E50" s="266">
        <v>2.3528955413438131</v>
      </c>
      <c r="F50" s="52">
        <v>-2.3650927870812556E-2</v>
      </c>
      <c r="G50" s="51">
        <f t="shared" si="0"/>
        <v>-2.2786927870812556E-2</v>
      </c>
      <c r="H50" s="297">
        <v>-1.7289241514120932</v>
      </c>
      <c r="I50" s="69">
        <v>41591</v>
      </c>
      <c r="J50" s="72">
        <v>-2.0000000000000002E-5</v>
      </c>
      <c r="K50" s="68">
        <v>0.495</v>
      </c>
      <c r="L50" s="70">
        <f t="shared" si="7"/>
        <v>-2.8800000000000003E-2</v>
      </c>
      <c r="M50" s="70">
        <v>3.0268955413438121</v>
      </c>
      <c r="N50" s="61">
        <v>-6.0047328439775333E-3</v>
      </c>
      <c r="O50" s="62">
        <f t="shared" si="1"/>
        <v>2.279526715602247E-2</v>
      </c>
      <c r="P50" s="297">
        <v>2.1172788453851186</v>
      </c>
      <c r="Q50" s="89">
        <v>41591</v>
      </c>
      <c r="R50" s="86">
        <v>-7.9999999999999996E-6</v>
      </c>
      <c r="S50" s="90">
        <v>0.32100000000000001</v>
      </c>
      <c r="T50" s="86">
        <f t="shared" si="8"/>
        <v>-1.1519999999999999E-2</v>
      </c>
      <c r="U50" s="107">
        <v>3.1516955413438135</v>
      </c>
      <c r="V50" s="108">
        <v>-8.981325351694441E-3</v>
      </c>
      <c r="W50" s="94">
        <f t="shared" si="3"/>
        <v>2.538674648305558E-3</v>
      </c>
      <c r="X50" s="297">
        <v>0.90020159063837024</v>
      </c>
      <c r="Y50" s="142">
        <f t="shared" si="9"/>
        <v>41591</v>
      </c>
      <c r="Z50" s="138">
        <v>1.9999999999999999E-6</v>
      </c>
      <c r="AA50" s="144">
        <v>5.8000000000000003E-2</v>
      </c>
      <c r="AB50" s="138">
        <f t="shared" si="10"/>
        <v>2.8799999999999997E-3</v>
      </c>
      <c r="AC50" s="138">
        <v>2.7604955413438126</v>
      </c>
      <c r="AD50" s="138">
        <v>-2.395806394691467E-2</v>
      </c>
      <c r="AE50" s="138">
        <f t="shared" si="11"/>
        <v>-2.683806394691467E-2</v>
      </c>
      <c r="AF50" s="297">
        <v>-1.6354295593622028</v>
      </c>
      <c r="AG50" s="89">
        <v>41591</v>
      </c>
      <c r="AH50" s="279">
        <v>-4</v>
      </c>
      <c r="AI50" s="182">
        <v>7</v>
      </c>
    </row>
    <row r="51" spans="1:60">
      <c r="A51" s="4">
        <v>41592</v>
      </c>
      <c r="B51" s="49">
        <v>-2.4700000000000001E-5</v>
      </c>
      <c r="C51" s="50">
        <v>0.95899999999999996</v>
      </c>
      <c r="D51" s="49">
        <f t="shared" si="6"/>
        <v>-3.5568000000000002E-2</v>
      </c>
      <c r="E51" s="266">
        <v>2.3232748912332295</v>
      </c>
      <c r="F51" s="52">
        <v>-2.3493543056581894E-2</v>
      </c>
      <c r="G51" s="51">
        <f t="shared" si="0"/>
        <v>1.2074456943418108E-2</v>
      </c>
      <c r="H51" s="291">
        <v>1.293736566702564</v>
      </c>
      <c r="I51" s="69">
        <v>41592</v>
      </c>
      <c r="J51" s="72">
        <v>-2.0000000000000002E-5</v>
      </c>
      <c r="K51" s="68">
        <v>0.54400000000000004</v>
      </c>
      <c r="L51" s="70">
        <f t="shared" si="7"/>
        <v>-2.8800000000000003E-2</v>
      </c>
      <c r="M51" s="70">
        <v>3.0064748912332302</v>
      </c>
      <c r="N51" s="61">
        <v>-5.8552943704104094E-3</v>
      </c>
      <c r="O51" s="62">
        <f t="shared" si="1"/>
        <v>2.2944705629589592E-2</v>
      </c>
      <c r="P51" s="291">
        <v>1.8192705629589592</v>
      </c>
      <c r="Q51" s="89">
        <v>41592</v>
      </c>
      <c r="R51" s="86">
        <v>-2.3799999999999999E-5</v>
      </c>
      <c r="S51" s="90">
        <v>0.98799999999999999</v>
      </c>
      <c r="T51" s="86">
        <f t="shared" si="8"/>
        <v>-3.4271999999999997E-2</v>
      </c>
      <c r="U51" s="107">
        <v>3.1205748912332298</v>
      </c>
      <c r="V51" s="108">
        <v>-8.9477883074473366E-3</v>
      </c>
      <c r="W51" s="94">
        <f t="shared" si="3"/>
        <v>2.532421169255266E-2</v>
      </c>
      <c r="X51" s="291">
        <v>2.5324211692552661</v>
      </c>
      <c r="Y51" s="142">
        <f t="shared" si="9"/>
        <v>41592</v>
      </c>
      <c r="Z51" s="138">
        <v>-1.95E-5</v>
      </c>
      <c r="AA51" s="144">
        <v>0.96</v>
      </c>
      <c r="AB51" s="138">
        <f t="shared" si="10"/>
        <v>-2.8080000000000001E-2</v>
      </c>
      <c r="AC51" s="138">
        <v>2.7414748912332292</v>
      </c>
      <c r="AD51" s="138">
        <v>-2.3814431782710234E-2</v>
      </c>
      <c r="AE51" s="138">
        <f t="shared" si="11"/>
        <v>4.2655682172897669E-3</v>
      </c>
      <c r="AF51" s="291">
        <v>0.42655682172897669</v>
      </c>
      <c r="AG51" s="89">
        <v>41592</v>
      </c>
      <c r="AH51" s="279">
        <v>0</v>
      </c>
      <c r="AI51" s="182">
        <v>8</v>
      </c>
    </row>
    <row r="52" spans="1:60">
      <c r="A52" s="4">
        <v>41593</v>
      </c>
      <c r="B52" s="49">
        <v>-2.72E-5</v>
      </c>
      <c r="C52" s="50">
        <v>0.97399999999999998</v>
      </c>
      <c r="D52" s="49">
        <f t="shared" si="6"/>
        <v>-3.9168000000000001E-2</v>
      </c>
      <c r="E52" s="266">
        <v>2.2819939113679717</v>
      </c>
      <c r="F52" s="52">
        <v>-2.3265989516253881E-2</v>
      </c>
      <c r="G52" s="51">
        <f t="shared" si="0"/>
        <v>1.5902010483746121E-2</v>
      </c>
      <c r="H52" s="297">
        <v>1.675045510786445</v>
      </c>
      <c r="I52" s="69">
        <v>41593</v>
      </c>
      <c r="J52" s="72">
        <v>-3.9999999999999998E-6</v>
      </c>
      <c r="K52" s="68">
        <v>0.17899999999999999</v>
      </c>
      <c r="L52" s="70">
        <f t="shared" si="7"/>
        <v>-5.7599999999999995E-3</v>
      </c>
      <c r="M52" s="70">
        <v>2.9805939113679738</v>
      </c>
      <c r="N52" s="61">
        <v>-5.655128715296694E-3</v>
      </c>
      <c r="O52" s="62">
        <f t="shared" si="1"/>
        <v>1.0487128470330551E-4</v>
      </c>
      <c r="P52" s="297">
        <v>-6.792871529669349E-3</v>
      </c>
      <c r="Q52" s="89">
        <v>41593</v>
      </c>
      <c r="R52" s="86">
        <v>-2.3600000000000001E-5</v>
      </c>
      <c r="S52" s="90">
        <v>0.98799999999999999</v>
      </c>
      <c r="T52" s="86">
        <f t="shared" si="8"/>
        <v>-3.3984E-2</v>
      </c>
      <c r="U52" s="107">
        <v>3.0834939113679729</v>
      </c>
      <c r="V52" s="108">
        <v>-8.9045466722954079E-3</v>
      </c>
      <c r="W52" s="94">
        <f t="shared" si="3"/>
        <v>2.5079453327704594E-2</v>
      </c>
      <c r="X52" s="297">
        <v>2.5079453327704595</v>
      </c>
      <c r="Y52" s="142">
        <f t="shared" si="9"/>
        <v>41593</v>
      </c>
      <c r="Z52" s="138">
        <v>-1.7399999999999999E-5</v>
      </c>
      <c r="AA52" s="144">
        <v>0.95799999999999996</v>
      </c>
      <c r="AB52" s="138">
        <f t="shared" si="10"/>
        <v>-2.5055999999999998E-2</v>
      </c>
      <c r="AC52" s="138">
        <v>2.7170939113679728</v>
      </c>
      <c r="AD52" s="138">
        <v>-2.3608501811843659E-2</v>
      </c>
      <c r="AE52" s="138">
        <f t="shared" si="11"/>
        <v>1.4474981881563397E-3</v>
      </c>
      <c r="AF52" s="297">
        <v>0.14474981881563398</v>
      </c>
      <c r="AG52" s="89">
        <v>41593</v>
      </c>
      <c r="AH52" s="279">
        <v>0</v>
      </c>
      <c r="AI52" s="182">
        <v>9</v>
      </c>
    </row>
    <row r="53" spans="1:60">
      <c r="A53" s="4">
        <v>41594</v>
      </c>
      <c r="B53" s="49">
        <v>-2.8399999999999999E-5</v>
      </c>
      <c r="C53" s="50">
        <v>0.98699999999999999</v>
      </c>
      <c r="D53" s="49">
        <f t="shared" si="6"/>
        <v>-4.0896000000000002E-2</v>
      </c>
      <c r="E53" s="266">
        <v>2.2373266236699831</v>
      </c>
      <c r="F53" s="52">
        <v>-2.3008394843550366E-2</v>
      </c>
      <c r="G53" s="51">
        <f t="shared" si="0"/>
        <v>1.7887605156449635E-2</v>
      </c>
      <c r="H53" s="297">
        <v>-2.2104182908647521</v>
      </c>
      <c r="I53" s="69">
        <v>41594</v>
      </c>
      <c r="J53" s="72">
        <v>-6.9999999999999999E-6</v>
      </c>
      <c r="K53" s="68">
        <v>0.30499999999999999</v>
      </c>
      <c r="L53" s="70">
        <f t="shared" si="7"/>
        <v>-1.008E-2</v>
      </c>
      <c r="M53" s="70">
        <v>2.9560266236699828</v>
      </c>
      <c r="N53" s="61">
        <v>-5.4534275615394194E-3</v>
      </c>
      <c r="O53" s="62">
        <f t="shared" si="1"/>
        <v>4.626572438460581E-3</v>
      </c>
      <c r="P53" s="297">
        <v>-0.53789157038311841</v>
      </c>
      <c r="Q53" s="89">
        <v>41594</v>
      </c>
      <c r="R53" s="86">
        <v>-2.3E-5</v>
      </c>
      <c r="S53" s="90">
        <v>0.98399999999999999</v>
      </c>
      <c r="T53" s="86">
        <f t="shared" si="8"/>
        <v>-3.3119999999999997E-2</v>
      </c>
      <c r="U53" s="107">
        <v>3.0417266236699829</v>
      </c>
      <c r="V53" s="108">
        <v>-8.8513129414218399E-3</v>
      </c>
      <c r="W53" s="94">
        <f t="shared" si="3"/>
        <v>2.4268687058578157E-2</v>
      </c>
      <c r="X53" s="297">
        <v>-0.87690759898252901</v>
      </c>
      <c r="Y53" s="142">
        <f t="shared" si="9"/>
        <v>41594</v>
      </c>
      <c r="Z53" s="138">
        <v>-1.73E-5</v>
      </c>
      <c r="AA53" s="144">
        <v>0.93400000000000005</v>
      </c>
      <c r="AB53" s="138">
        <f t="shared" si="10"/>
        <v>-2.4912E-2</v>
      </c>
      <c r="AC53" s="138">
        <v>2.681026623669982</v>
      </c>
      <c r="AD53" s="138">
        <v>-2.3255532055041963E-2</v>
      </c>
      <c r="AE53" s="138">
        <f t="shared" si="11"/>
        <v>1.6564679449580372E-3</v>
      </c>
      <c r="AF53" s="297">
        <v>-2.3152909280970708</v>
      </c>
      <c r="AG53" s="89">
        <v>41594</v>
      </c>
      <c r="AH53" s="279">
        <v>-0.05</v>
      </c>
      <c r="AI53" s="182">
        <v>0</v>
      </c>
      <c r="BH53" s="134">
        <f>2.79/(1-BF55)</f>
        <v>3.1</v>
      </c>
    </row>
    <row r="54" spans="1:60">
      <c r="A54" s="4">
        <v>41595</v>
      </c>
      <c r="B54" s="49">
        <v>2.2699999999999999E-4</v>
      </c>
      <c r="C54" s="50">
        <v>0.96</v>
      </c>
      <c r="D54" s="49">
        <f t="shared" si="6"/>
        <v>0.32688</v>
      </c>
      <c r="E54" s="266">
        <v>2.1916783584564272</v>
      </c>
      <c r="F54" s="52">
        <v>-2.2732135174346239E-2</v>
      </c>
      <c r="G54" s="51">
        <f t="shared" si="0"/>
        <v>-0.34961213517434625</v>
      </c>
      <c r="H54" s="297">
        <v>1.1395091195960134</v>
      </c>
      <c r="I54" s="69">
        <v>41595</v>
      </c>
      <c r="J54" s="72">
        <v>6.5700000000000003E-4</v>
      </c>
      <c r="K54" s="68">
        <v>0.94399999999999995</v>
      </c>
      <c r="L54" s="70">
        <f t="shared" si="7"/>
        <v>0.94608000000000003</v>
      </c>
      <c r="M54" s="70">
        <v>2.928978358456428</v>
      </c>
      <c r="N54" s="61">
        <v>-5.2174556268515032E-3</v>
      </c>
      <c r="O54" s="62">
        <f t="shared" si="1"/>
        <v>-0.95129745562685153</v>
      </c>
      <c r="P54" s="297">
        <f>0.78*O54-0.57</f>
        <v>-1.3120120153889441</v>
      </c>
      <c r="Q54" s="89">
        <v>41595</v>
      </c>
      <c r="R54" s="86">
        <v>6.7199999999999996E-4</v>
      </c>
      <c r="S54" s="90">
        <v>0.81200000000000006</v>
      </c>
      <c r="T54" s="86">
        <f t="shared" si="8"/>
        <v>0.96767999999999998</v>
      </c>
      <c r="U54" s="107">
        <v>3.0008783584564283</v>
      </c>
      <c r="V54" s="108">
        <v>-8.7943086412421885E-3</v>
      </c>
      <c r="W54" s="94">
        <f t="shared" si="3"/>
        <v>-0.97647430864124218</v>
      </c>
      <c r="X54" s="297">
        <f>0.78*W54-0.57</f>
        <v>-1.3316499607401688</v>
      </c>
      <c r="Y54" s="142">
        <f t="shared" si="9"/>
        <v>41595</v>
      </c>
      <c r="Z54" s="138">
        <v>5.9999999999999995E-4</v>
      </c>
      <c r="AA54" s="144">
        <v>0.71799999999999997</v>
      </c>
      <c r="AB54" s="138">
        <f t="shared" si="10"/>
        <v>0.86399999999999988</v>
      </c>
      <c r="AC54" s="138">
        <v>2.6427783584564284</v>
      </c>
      <c r="AD54" s="138">
        <v>-2.2812273147463296E-2</v>
      </c>
      <c r="AE54" s="138">
        <f t="shared" si="11"/>
        <v>-0.88681227314746314</v>
      </c>
      <c r="AF54" s="297">
        <f>0.78*AE54-0.57</f>
        <v>-1.2617135730550211</v>
      </c>
      <c r="AG54" s="89">
        <v>41595</v>
      </c>
      <c r="AH54" s="279">
        <v>-63.6</v>
      </c>
      <c r="AI54" s="182">
        <v>1</v>
      </c>
      <c r="BF54" s="134" t="s">
        <v>96</v>
      </c>
      <c r="BG54" s="134" t="s">
        <v>97</v>
      </c>
    </row>
    <row r="55" spans="1:60">
      <c r="A55" s="4">
        <v>41596</v>
      </c>
      <c r="B55" s="49">
        <v>-2.6400000000000001E-5</v>
      </c>
      <c r="C55" s="50">
        <v>0.97499999999999998</v>
      </c>
      <c r="D55" s="49">
        <f t="shared" si="6"/>
        <v>-3.8016000000000001E-2</v>
      </c>
      <c r="E55" s="266">
        <v>2.2556730516361818</v>
      </c>
      <c r="F55" s="52">
        <v>-2.3115675074988025E-2</v>
      </c>
      <c r="G55" s="51">
        <f t="shared" si="0"/>
        <v>1.4900324925011976E-2</v>
      </c>
      <c r="H55" s="291">
        <v>-2.2276773077970455</v>
      </c>
      <c r="I55" s="69">
        <v>41596</v>
      </c>
      <c r="J55" s="72">
        <v>-1.0000000000000001E-5</v>
      </c>
      <c r="K55" s="68">
        <v>0.64600000000000002</v>
      </c>
      <c r="L55" s="70">
        <f t="shared" si="7"/>
        <v>-1.4400000000000001E-2</v>
      </c>
      <c r="M55" s="70">
        <v>3.230673051636181</v>
      </c>
      <c r="N55" s="61">
        <v>-7.1480915507476511E-3</v>
      </c>
      <c r="O55" s="62">
        <f t="shared" si="1"/>
        <v>7.2519084492523502E-3</v>
      </c>
      <c r="P55" s="291">
        <v>-0.71480915507476506</v>
      </c>
      <c r="Q55" s="89">
        <v>41596</v>
      </c>
      <c r="R55" s="86">
        <v>2.0000000000000002E-5</v>
      </c>
      <c r="S55" s="90">
        <v>0.93500000000000005</v>
      </c>
      <c r="T55" s="86">
        <f t="shared" si="8"/>
        <v>2.8800000000000003E-2</v>
      </c>
      <c r="U55" s="107">
        <v>3.7856730516361816</v>
      </c>
      <c r="V55" s="108">
        <v>-9.2723492855062879E-3</v>
      </c>
      <c r="W55" s="94">
        <f t="shared" si="3"/>
        <v>-3.8072349285506291E-2</v>
      </c>
      <c r="X55" s="291">
        <v>-0.92723492855062883</v>
      </c>
      <c r="Y55" s="142">
        <f t="shared" si="9"/>
        <v>41596</v>
      </c>
      <c r="Z55" s="138">
        <v>-6.0000000000000002E-6</v>
      </c>
      <c r="AA55" s="144">
        <v>0.65400000000000003</v>
      </c>
      <c r="AB55" s="138">
        <f t="shared" si="10"/>
        <v>-8.6400000000000001E-3</v>
      </c>
      <c r="AC55" s="138">
        <v>3.1592730516361818</v>
      </c>
      <c r="AD55" s="138">
        <v>-2.4597342214388914E-2</v>
      </c>
      <c r="AE55" s="138">
        <f t="shared" si="11"/>
        <v>-1.5957342214388916E-2</v>
      </c>
      <c r="AF55" s="291">
        <v>-2.4597342214388913</v>
      </c>
      <c r="AG55" s="89">
        <v>41596</v>
      </c>
      <c r="AH55" s="279">
        <v>0</v>
      </c>
      <c r="AI55" s="183">
        <v>0</v>
      </c>
      <c r="BF55" s="134">
        <v>0.1</v>
      </c>
      <c r="BG55" s="134">
        <f>0.3*(1-BF55)+($BH$53*(1-BF55)*BF55)</f>
        <v>0.54900000000000004</v>
      </c>
    </row>
    <row r="56" spans="1:60">
      <c r="A56" s="4">
        <v>41597</v>
      </c>
      <c r="B56" s="49">
        <v>-2.73E-5</v>
      </c>
      <c r="C56" s="50">
        <v>0.97099999999999997</v>
      </c>
      <c r="D56" s="49">
        <f t="shared" si="6"/>
        <v>-3.9312E-2</v>
      </c>
      <c r="E56" s="266">
        <v>2.2130814440322788</v>
      </c>
      <c r="F56" s="52">
        <v>-2.2863357160484491E-2</v>
      </c>
      <c r="G56" s="51">
        <f t="shared" si="0"/>
        <v>1.6448642839515509E-2</v>
      </c>
      <c r="H56" s="291">
        <v>1.7271546831429982</v>
      </c>
      <c r="I56" s="69">
        <v>41597</v>
      </c>
      <c r="J56" s="72">
        <v>6.0000000000000002E-6</v>
      </c>
      <c r="K56" s="68">
        <v>0.214</v>
      </c>
      <c r="L56" s="70">
        <f t="shared" si="7"/>
        <v>8.6400000000000001E-3</v>
      </c>
      <c r="M56" s="70">
        <v>3.2119814440322791</v>
      </c>
      <c r="N56" s="61">
        <v>-7.0661221762332062E-3</v>
      </c>
      <c r="O56" s="62">
        <f t="shared" si="1"/>
        <v>-1.5706122176233205E-2</v>
      </c>
      <c r="P56" s="291">
        <v>-1.5706122176233204</v>
      </c>
      <c r="Q56" s="89">
        <v>41597</v>
      </c>
      <c r="R56" s="86">
        <v>-1.77E-5</v>
      </c>
      <c r="S56" s="90">
        <v>0.93899999999999995</v>
      </c>
      <c r="T56" s="86">
        <f t="shared" si="8"/>
        <v>-2.5488E-2</v>
      </c>
      <c r="U56" s="107">
        <v>3.7786814440322791</v>
      </c>
      <c r="V56" s="108">
        <v>-9.2720738044848039E-3</v>
      </c>
      <c r="W56" s="94">
        <f t="shared" si="3"/>
        <v>1.6215926195515196E-2</v>
      </c>
      <c r="X56" s="291">
        <v>1.6215926195515196</v>
      </c>
      <c r="Y56" s="142">
        <f t="shared" si="9"/>
        <v>41597</v>
      </c>
      <c r="Z56" s="138">
        <v>-1.15E-5</v>
      </c>
      <c r="AA56" s="144">
        <v>0.89400000000000002</v>
      </c>
      <c r="AB56" s="138">
        <f t="shared" si="10"/>
        <v>-1.6559999999999998E-2</v>
      </c>
      <c r="AC56" s="138">
        <v>3.1414814440322778</v>
      </c>
      <c r="AD56" s="138">
        <v>-2.4635596041080506E-2</v>
      </c>
      <c r="AE56" s="138">
        <f t="shared" si="11"/>
        <v>-8.0755960410805079E-3</v>
      </c>
      <c r="AF56" s="291">
        <v>-0.80755960410805083</v>
      </c>
      <c r="AG56" s="89">
        <v>41597</v>
      </c>
      <c r="AH56" s="279">
        <v>0</v>
      </c>
      <c r="AI56" s="183">
        <v>0</v>
      </c>
      <c r="BF56" s="134">
        <f>BF55+0.1</f>
        <v>0.2</v>
      </c>
      <c r="BG56" s="134">
        <f t="shared" ref="BG56:BG64" si="12">0.3*(1-BF56)+($BH$53*(1-BF56)*BF56)</f>
        <v>0.7360000000000001</v>
      </c>
    </row>
    <row r="57" spans="1:60">
      <c r="A57" s="4">
        <v>41598</v>
      </c>
      <c r="B57" s="49">
        <v>-2.8500000000000002E-5</v>
      </c>
      <c r="C57" s="50">
        <v>0.97899999999999998</v>
      </c>
      <c r="D57" s="49">
        <f t="shared" si="6"/>
        <v>-4.104E-2</v>
      </c>
      <c r="E57" s="266">
        <v>2.1686401297129607</v>
      </c>
      <c r="F57" s="52">
        <v>-2.2587435358620688E-2</v>
      </c>
      <c r="G57" s="51">
        <f t="shared" si="0"/>
        <v>1.8452564641379312E-2</v>
      </c>
      <c r="H57" s="291">
        <v>1.9258001675288745</v>
      </c>
      <c r="I57" s="69">
        <v>41598</v>
      </c>
      <c r="J57" s="72">
        <v>-1.0000000000000001E-5</v>
      </c>
      <c r="K57" s="68">
        <v>0.51300000000000001</v>
      </c>
      <c r="L57" s="70">
        <f t="shared" si="7"/>
        <v>-1.4400000000000001E-2</v>
      </c>
      <c r="M57" s="70">
        <v>3.1923401297129619</v>
      </c>
      <c r="N57" s="61">
        <v>-6.9755466044798663E-3</v>
      </c>
      <c r="O57" s="62">
        <f t="shared" si="1"/>
        <v>7.424453395520135E-3</v>
      </c>
      <c r="P57" s="291">
        <v>1.3040453395520135</v>
      </c>
      <c r="Q57" s="89">
        <v>41598</v>
      </c>
      <c r="R57" s="86">
        <v>-3.0800000000000003E-5</v>
      </c>
      <c r="S57" s="90">
        <v>0.98799999999999999</v>
      </c>
      <c r="T57" s="86">
        <f t="shared" si="8"/>
        <v>-4.4352000000000003E-2</v>
      </c>
      <c r="U57" s="107">
        <v>3.7410401297129612</v>
      </c>
      <c r="V57" s="108">
        <v>-9.2697706000214406E-3</v>
      </c>
      <c r="W57" s="94">
        <f t="shared" si="3"/>
        <v>3.5082229399978564E-2</v>
      </c>
      <c r="X57" s="291">
        <v>3.5082229399978564</v>
      </c>
      <c r="Y57" s="142">
        <f t="shared" si="9"/>
        <v>41598</v>
      </c>
      <c r="Z57" s="138">
        <v>-1.45E-5</v>
      </c>
      <c r="AA57" s="144">
        <v>0.95899999999999996</v>
      </c>
      <c r="AB57" s="138">
        <f t="shared" si="10"/>
        <v>-2.0879999999999999E-2</v>
      </c>
      <c r="AC57" s="138">
        <v>3.1183401297129616</v>
      </c>
      <c r="AD57" s="138">
        <v>-2.4678904867642765E-2</v>
      </c>
      <c r="AE57" s="138">
        <f t="shared" si="11"/>
        <v>-3.7989048676427654E-3</v>
      </c>
      <c r="AF57" s="291">
        <v>-0.37989048676427656</v>
      </c>
      <c r="AG57" s="89">
        <v>41598</v>
      </c>
      <c r="AH57" s="279">
        <v>0</v>
      </c>
      <c r="AI57" s="182">
        <v>1</v>
      </c>
      <c r="BF57" s="134">
        <f t="shared" ref="BF57:BF62" si="13">BF56+0.1</f>
        <v>0.30000000000000004</v>
      </c>
      <c r="BG57" s="134">
        <f t="shared" si="12"/>
        <v>0.86099999999999999</v>
      </c>
    </row>
    <row r="58" spans="1:60">
      <c r="A58" s="4">
        <v>41599</v>
      </c>
      <c r="B58" s="49">
        <v>-2.58E-5</v>
      </c>
      <c r="C58" s="50">
        <v>0.97899999999999998</v>
      </c>
      <c r="D58" s="49">
        <f t="shared" si="6"/>
        <v>-3.7151999999999998E-2</v>
      </c>
      <c r="E58" s="266">
        <v>2.1246155743392241</v>
      </c>
      <c r="F58" s="52">
        <v>-2.2300519919524149E-2</v>
      </c>
      <c r="G58" s="51">
        <f t="shared" si="0"/>
        <v>1.4851480080475848E-2</v>
      </c>
      <c r="H58" s="291">
        <v>1.563878308276037</v>
      </c>
      <c r="I58" s="69">
        <v>41599</v>
      </c>
      <c r="J58" s="72">
        <v>-1.59E-5</v>
      </c>
      <c r="K58" s="68">
        <v>0.91200000000000003</v>
      </c>
      <c r="L58" s="70">
        <f t="shared" si="7"/>
        <v>-2.2896E-2</v>
      </c>
      <c r="M58" s="70">
        <v>3.1712155743392252</v>
      </c>
      <c r="N58" s="61">
        <v>-6.8728449059230427E-3</v>
      </c>
      <c r="O58" s="62">
        <f t="shared" si="1"/>
        <v>1.6023155094076959E-2</v>
      </c>
      <c r="P58" s="291">
        <v>1.602315509407696</v>
      </c>
      <c r="Q58" s="89">
        <v>41599</v>
      </c>
      <c r="R58" s="86">
        <v>-2.5400000000000001E-5</v>
      </c>
      <c r="S58" s="90">
        <v>0.97099999999999997</v>
      </c>
      <c r="T58" s="86">
        <f t="shared" si="8"/>
        <v>-3.6576000000000004E-2</v>
      </c>
      <c r="U58" s="107">
        <v>3.7009155743392244</v>
      </c>
      <c r="V58" s="108">
        <v>-9.2657277663913424E-3</v>
      </c>
      <c r="W58" s="94">
        <f t="shared" si="3"/>
        <v>2.7310272233608664E-2</v>
      </c>
      <c r="X58" s="291">
        <v>2.7310272233608663</v>
      </c>
      <c r="Y58" s="142">
        <f t="shared" si="9"/>
        <v>41599</v>
      </c>
      <c r="Z58" s="138">
        <v>-1.6500000000000001E-5</v>
      </c>
      <c r="AA58" s="144">
        <v>0.95599999999999996</v>
      </c>
      <c r="AB58" s="138">
        <f t="shared" si="10"/>
        <v>-2.3760000000000003E-2</v>
      </c>
      <c r="AC58" s="138">
        <v>3.0934155743392249</v>
      </c>
      <c r="AD58" s="138">
        <v>-2.4716865049337029E-2</v>
      </c>
      <c r="AE58" s="138">
        <f t="shared" si="11"/>
        <v>-9.5686504933702524E-4</v>
      </c>
      <c r="AF58" s="291">
        <v>-9.5686504933702524E-2</v>
      </c>
      <c r="AG58" s="89">
        <v>41599</v>
      </c>
      <c r="AH58" s="279">
        <v>0</v>
      </c>
      <c r="AI58" s="182">
        <v>2</v>
      </c>
      <c r="BF58" s="134">
        <f t="shared" si="13"/>
        <v>0.4</v>
      </c>
      <c r="BG58" s="134">
        <f t="shared" si="12"/>
        <v>0.92399999999999993</v>
      </c>
    </row>
    <row r="59" spans="1:60">
      <c r="A59" s="4">
        <v>41600</v>
      </c>
      <c r="B59" s="49">
        <v>-3.9799999999999998E-5</v>
      </c>
      <c r="C59" s="50">
        <v>0.98799999999999999</v>
      </c>
      <c r="D59" s="49">
        <f t="shared" si="6"/>
        <v>-5.7311999999999995E-2</v>
      </c>
      <c r="E59" s="266">
        <v>2.0702272337360754</v>
      </c>
      <c r="F59" s="52">
        <v>-2.1926008384204391E-2</v>
      </c>
      <c r="G59" s="51">
        <f t="shared" si="0"/>
        <v>3.5385991615795601E-2</v>
      </c>
      <c r="H59" s="291">
        <v>3.614966570962816</v>
      </c>
      <c r="I59" s="69">
        <v>41600</v>
      </c>
      <c r="J59" s="72">
        <v>-1.5400000000000002E-5</v>
      </c>
      <c r="K59" s="68">
        <v>0.88800000000000001</v>
      </c>
      <c r="L59" s="70">
        <f t="shared" si="7"/>
        <v>-2.2176000000000001E-2</v>
      </c>
      <c r="M59" s="70">
        <v>3.1489272337360763</v>
      </c>
      <c r="N59" s="61">
        <v>-6.7582889583512103E-3</v>
      </c>
      <c r="O59" s="62">
        <f t="shared" si="1"/>
        <v>1.5417711041648791E-2</v>
      </c>
      <c r="P59" s="291">
        <v>1.5417711041648792</v>
      </c>
      <c r="Q59" s="89">
        <v>41600</v>
      </c>
      <c r="R59" s="86">
        <v>-2.37E-5</v>
      </c>
      <c r="S59" s="90">
        <v>0.94899999999999995</v>
      </c>
      <c r="T59" s="86">
        <f t="shared" si="8"/>
        <v>-3.4127999999999999E-2</v>
      </c>
      <c r="U59" s="107">
        <v>3.660127233736076</v>
      </c>
      <c r="V59" s="108">
        <v>-9.2598385962620808E-3</v>
      </c>
      <c r="W59" s="94">
        <f t="shared" si="3"/>
        <v>2.4868161403737918E-2</v>
      </c>
      <c r="X59" s="291">
        <v>2.4868161403737918</v>
      </c>
      <c r="Y59" s="142">
        <f t="shared" si="9"/>
        <v>41600</v>
      </c>
      <c r="Z59" s="138">
        <v>-1.5E-5</v>
      </c>
      <c r="AA59" s="144">
        <v>0.93700000000000006</v>
      </c>
      <c r="AB59" s="138">
        <f t="shared" si="10"/>
        <v>-2.1600000000000001E-2</v>
      </c>
      <c r="AC59" s="138">
        <v>3.0679272337360763</v>
      </c>
      <c r="AD59" s="138">
        <v>-2.474569259093002E-2</v>
      </c>
      <c r="AE59" s="138">
        <f t="shared" si="11"/>
        <v>-3.1456925909300187E-3</v>
      </c>
      <c r="AF59" s="291">
        <v>-0.31456925909300187</v>
      </c>
      <c r="AG59" s="89">
        <v>41600</v>
      </c>
      <c r="AH59" s="279">
        <v>0</v>
      </c>
      <c r="AI59" s="182">
        <v>3</v>
      </c>
      <c r="BF59" s="134">
        <f t="shared" si="13"/>
        <v>0.5</v>
      </c>
      <c r="BG59" s="134">
        <f t="shared" si="12"/>
        <v>0.92500000000000004</v>
      </c>
    </row>
    <row r="60" spans="1:60">
      <c r="A60" s="4">
        <v>41601</v>
      </c>
      <c r="B60" s="49">
        <v>-2.7800000000000001E-5</v>
      </c>
      <c r="C60" s="50">
        <v>0.97</v>
      </c>
      <c r="D60" s="49">
        <f t="shared" si="6"/>
        <v>-4.0032000000000005E-2</v>
      </c>
      <c r="E60" s="266">
        <v>2.0150720246773575</v>
      </c>
      <c r="F60" s="52">
        <v>-2.1521721261645824E-2</v>
      </c>
      <c r="G60" s="51">
        <f t="shared" si="0"/>
        <v>1.8510278738354181E-2</v>
      </c>
      <c r="H60" s="291">
        <v>1.9248494432963237</v>
      </c>
      <c r="I60" s="69">
        <v>41601</v>
      </c>
      <c r="J60" s="72">
        <v>-1.5800000000000001E-5</v>
      </c>
      <c r="K60" s="68">
        <v>0.88</v>
      </c>
      <c r="L60" s="70">
        <f t="shared" si="7"/>
        <v>-2.2752000000000001E-2</v>
      </c>
      <c r="M60" s="70">
        <v>3.125172024677358</v>
      </c>
      <c r="N60" s="61">
        <v>-6.6288656635644476E-3</v>
      </c>
      <c r="O60" s="62">
        <f t="shared" si="1"/>
        <v>1.6123134336435554E-2</v>
      </c>
      <c r="P60" s="291">
        <v>1.6123134336435554</v>
      </c>
      <c r="Q60" s="89">
        <v>41601</v>
      </c>
      <c r="R60" s="86">
        <v>-2.3900000000000002E-5</v>
      </c>
      <c r="S60" s="90">
        <v>0.96</v>
      </c>
      <c r="T60" s="86">
        <f t="shared" si="8"/>
        <v>-3.4416000000000002E-2</v>
      </c>
      <c r="U60" s="107">
        <v>3.6221720246773588</v>
      </c>
      <c r="V60" s="108">
        <v>-9.2526504641205539E-3</v>
      </c>
      <c r="W60" s="94">
        <f t="shared" si="3"/>
        <v>2.5163349535879447E-2</v>
      </c>
      <c r="X60" s="291">
        <v>2.5163349535879447</v>
      </c>
      <c r="Y60" s="142">
        <f t="shared" si="9"/>
        <v>41601</v>
      </c>
      <c r="Z60" s="138">
        <v>-1.5099999999999999E-5</v>
      </c>
      <c r="AA60" s="144">
        <v>0.95599999999999996</v>
      </c>
      <c r="AB60" s="138">
        <f t="shared" si="10"/>
        <v>-2.1743999999999999E-2</v>
      </c>
      <c r="AC60" s="138">
        <v>3.0416720246773585</v>
      </c>
      <c r="AD60" s="138">
        <v>-2.4764030762041107E-2</v>
      </c>
      <c r="AE60" s="138">
        <f t="shared" si="11"/>
        <v>-3.0200307620411072E-3</v>
      </c>
      <c r="AF60" s="291">
        <v>-0.30200307620411071</v>
      </c>
      <c r="AG60" s="89">
        <v>41601</v>
      </c>
      <c r="AH60" s="279">
        <v>0</v>
      </c>
      <c r="AI60" s="182">
        <v>4</v>
      </c>
      <c r="BF60" s="134">
        <f t="shared" si="13"/>
        <v>0.6</v>
      </c>
      <c r="BG60" s="134">
        <f t="shared" si="12"/>
        <v>0.8640000000000001</v>
      </c>
    </row>
    <row r="61" spans="1:60">
      <c r="A61" s="4">
        <v>41602</v>
      </c>
      <c r="B61" s="49">
        <v>-2.8500000000000002E-5</v>
      </c>
      <c r="C61" s="53">
        <v>0.97499999999999998</v>
      </c>
      <c r="D61" s="49">
        <f t="shared" si="6"/>
        <v>-4.104E-2</v>
      </c>
      <c r="E61" s="266">
        <v>1.9673231540970932</v>
      </c>
      <c r="F61" s="52">
        <v>-2.1150087955920598E-2</v>
      </c>
      <c r="G61" s="51">
        <f t="shared" si="0"/>
        <v>1.9889912044079402E-2</v>
      </c>
      <c r="H61" s="291">
        <v>-2.0435232615105754</v>
      </c>
      <c r="I61" s="69">
        <v>41602</v>
      </c>
      <c r="J61" s="72">
        <v>-2.1399999999999998E-5</v>
      </c>
      <c r="K61" s="68">
        <v>0.91</v>
      </c>
      <c r="L61" s="70">
        <f t="shared" si="7"/>
        <v>-3.0815999999999996E-2</v>
      </c>
      <c r="M61" s="70">
        <v>3.1047231540970941</v>
      </c>
      <c r="N61" s="61">
        <v>-6.5111221661760567E-3</v>
      </c>
      <c r="O61" s="62">
        <f t="shared" si="1"/>
        <v>2.4304877833823939E-2</v>
      </c>
      <c r="P61" s="291">
        <v>-0.65111221661760565</v>
      </c>
      <c r="Q61" s="89">
        <v>41602</v>
      </c>
      <c r="R61" s="86">
        <v>-2.6400000000000001E-5</v>
      </c>
      <c r="S61" s="90">
        <v>0.95199999999999996</v>
      </c>
      <c r="T61" s="86">
        <f t="shared" si="8"/>
        <v>-3.8016000000000001E-2</v>
      </c>
      <c r="U61" s="107">
        <v>3.5806231540970943</v>
      </c>
      <c r="V61" s="108">
        <v>-9.2427790934625515E-3</v>
      </c>
      <c r="W61" s="94">
        <f t="shared" si="3"/>
        <v>2.8773220906537451E-2</v>
      </c>
      <c r="X61" s="291">
        <v>-0.9242779093462552</v>
      </c>
      <c r="Y61" s="142">
        <f t="shared" si="9"/>
        <v>41602</v>
      </c>
      <c r="Z61" s="138">
        <v>-1.33E-5</v>
      </c>
      <c r="AA61" s="144">
        <v>0.94099999999999995</v>
      </c>
      <c r="AB61" s="138">
        <f t="shared" si="10"/>
        <v>-1.9151999999999999E-2</v>
      </c>
      <c r="AC61" s="138">
        <v>3.0159231540970928</v>
      </c>
      <c r="AD61" s="138">
        <v>-2.4769977553148709E-2</v>
      </c>
      <c r="AE61" s="138">
        <f t="shared" si="11"/>
        <v>-5.6179775531487106E-3</v>
      </c>
      <c r="AF61" s="291">
        <v>-2.476997755314871</v>
      </c>
      <c r="AG61" s="89">
        <v>41602</v>
      </c>
      <c r="AH61" s="279">
        <v>0</v>
      </c>
      <c r="AI61" s="182">
        <v>0</v>
      </c>
      <c r="BF61" s="134">
        <f t="shared" si="13"/>
        <v>0.7</v>
      </c>
      <c r="BG61" s="134">
        <f t="shared" si="12"/>
        <v>0.74099999999999999</v>
      </c>
    </row>
    <row r="62" spans="1:60">
      <c r="A62" s="4">
        <v>41603</v>
      </c>
      <c r="B62" s="49">
        <v>-3.1099999999999997E-5</v>
      </c>
      <c r="C62" s="50">
        <v>0.98099999999999998</v>
      </c>
      <c r="D62" s="49">
        <f t="shared" si="6"/>
        <v>-4.4783999999999997E-2</v>
      </c>
      <c r="E62" s="266">
        <v>1.919013953762152</v>
      </c>
      <c r="F62" s="52">
        <v>-2.0751930566253806E-2</v>
      </c>
      <c r="G62" s="51">
        <f t="shared" si="0"/>
        <v>2.4032069433746191E-2</v>
      </c>
      <c r="H62" s="291">
        <v>2.4721938495631433</v>
      </c>
      <c r="I62" s="69">
        <v>41603</v>
      </c>
      <c r="J62" s="72">
        <v>-1.8099999999999999E-5</v>
      </c>
      <c r="K62" s="68">
        <v>0.8</v>
      </c>
      <c r="L62" s="70">
        <f t="shared" si="7"/>
        <v>-2.6064E-2</v>
      </c>
      <c r="M62" s="70">
        <v>3.081513953762153</v>
      </c>
      <c r="N62" s="61">
        <v>-6.3700534786858172E-3</v>
      </c>
      <c r="O62" s="62">
        <f t="shared" si="1"/>
        <v>1.9693946521314183E-2</v>
      </c>
      <c r="P62" s="291">
        <v>1.9693946521314183</v>
      </c>
      <c r="Q62" s="89">
        <v>41603</v>
      </c>
      <c r="R62" s="86">
        <v>-2.37E-5</v>
      </c>
      <c r="S62" s="90">
        <v>0.92</v>
      </c>
      <c r="T62" s="86">
        <f t="shared" si="8"/>
        <v>-3.4127999999999999E-2</v>
      </c>
      <c r="U62" s="107">
        <v>3.5398139537621534</v>
      </c>
      <c r="V62" s="108">
        <v>-9.2309214450888109E-3</v>
      </c>
      <c r="W62" s="94">
        <f t="shared" si="3"/>
        <v>2.4897078554911189E-2</v>
      </c>
      <c r="X62" s="291">
        <v>2.4897078554911189</v>
      </c>
      <c r="Y62" s="142">
        <f t="shared" si="9"/>
        <v>41603</v>
      </c>
      <c r="Z62" s="138">
        <v>-1.31E-5</v>
      </c>
      <c r="AA62" s="144">
        <v>0.95799999999999996</v>
      </c>
      <c r="AB62" s="138">
        <f t="shared" si="10"/>
        <v>-1.8863999999999999E-2</v>
      </c>
      <c r="AC62" s="138">
        <v>2.9912139537621534</v>
      </c>
      <c r="AD62" s="138">
        <v>-2.4763645064745651E-2</v>
      </c>
      <c r="AE62" s="138">
        <f t="shared" si="11"/>
        <v>-5.8996450647456518E-3</v>
      </c>
      <c r="AF62" s="291">
        <v>-0.58996450647456522</v>
      </c>
      <c r="AG62" s="89">
        <v>41603</v>
      </c>
      <c r="AH62" s="279">
        <v>0</v>
      </c>
      <c r="AI62" s="182">
        <v>1</v>
      </c>
      <c r="BF62" s="134">
        <f t="shared" si="13"/>
        <v>0.79999999999999993</v>
      </c>
      <c r="BG62" s="134">
        <f t="shared" si="12"/>
        <v>0.55600000000000016</v>
      </c>
    </row>
    <row r="63" spans="1:60">
      <c r="A63" s="4">
        <v>41604</v>
      </c>
      <c r="B63" s="49">
        <v>-2.16E-5</v>
      </c>
      <c r="C63" s="50">
        <v>0.97</v>
      </c>
      <c r="D63" s="49">
        <f t="shared" si="6"/>
        <v>-3.1104E-2</v>
      </c>
      <c r="E63" s="266">
        <v>1.8739722295991847</v>
      </c>
      <c r="F63" s="52">
        <v>-2.0358998039093017E-2</v>
      </c>
      <c r="G63" s="51">
        <f t="shared" si="0"/>
        <v>1.0745001960906983E-2</v>
      </c>
      <c r="H63" s="291">
        <v>1.1410251786160983</v>
      </c>
      <c r="I63" s="69">
        <v>41604</v>
      </c>
      <c r="J63" s="72">
        <v>-1.52E-5</v>
      </c>
      <c r="K63" s="68">
        <v>0.68700000000000006</v>
      </c>
      <c r="L63" s="70">
        <f t="shared" si="7"/>
        <v>-2.1888000000000001E-2</v>
      </c>
      <c r="M63" s="70">
        <v>3.0538722295991843</v>
      </c>
      <c r="N63" s="61">
        <v>-6.1912225033859134E-3</v>
      </c>
      <c r="O63" s="62">
        <f t="shared" si="1"/>
        <v>1.5696777496614089E-2</v>
      </c>
      <c r="P63" s="291">
        <v>1.5696777496614089</v>
      </c>
      <c r="Q63" s="89">
        <v>41604</v>
      </c>
      <c r="R63" s="86">
        <v>-1.8600000000000001E-5</v>
      </c>
      <c r="S63" s="90">
        <v>0.85799999999999998</v>
      </c>
      <c r="T63" s="86">
        <f t="shared" si="8"/>
        <v>-2.6784000000000002E-2</v>
      </c>
      <c r="U63" s="107">
        <v>3.5004722295991852</v>
      </c>
      <c r="V63" s="108">
        <v>-9.2173361380894388E-3</v>
      </c>
      <c r="W63" s="94">
        <f t="shared" si="3"/>
        <v>1.7566663861910563E-2</v>
      </c>
      <c r="X63" s="291">
        <v>1.7566663861910563</v>
      </c>
      <c r="Y63" s="142">
        <f t="shared" si="9"/>
        <v>41604</v>
      </c>
      <c r="Z63" s="138">
        <v>-1.47E-5</v>
      </c>
      <c r="AA63" s="144">
        <v>0.95</v>
      </c>
      <c r="AB63" s="138">
        <f t="shared" si="10"/>
        <v>-2.1167999999999999E-2</v>
      </c>
      <c r="AC63" s="138">
        <v>2.9665722295991848</v>
      </c>
      <c r="AD63" s="138">
        <v>-2.4744739813702992E-2</v>
      </c>
      <c r="AE63" s="138">
        <f t="shared" si="11"/>
        <v>-3.5767398137029928E-3</v>
      </c>
      <c r="AF63" s="291">
        <v>-0.35767398137029927</v>
      </c>
      <c r="AG63" s="89">
        <v>41604</v>
      </c>
      <c r="AH63" s="279">
        <v>0</v>
      </c>
      <c r="AI63" s="182">
        <v>2</v>
      </c>
      <c r="BF63" s="134">
        <f>BF62+0.1</f>
        <v>0.89999999999999991</v>
      </c>
      <c r="BG63" s="134">
        <f t="shared" si="12"/>
        <v>0.30900000000000027</v>
      </c>
    </row>
    <row r="64" spans="1:60">
      <c r="A64" s="4">
        <v>41605</v>
      </c>
      <c r="B64" s="49">
        <v>-2.3300000000000001E-5</v>
      </c>
      <c r="C64" s="50">
        <v>0.97</v>
      </c>
      <c r="D64" s="49">
        <f t="shared" si="6"/>
        <v>-3.3551999999999998E-2</v>
      </c>
      <c r="E64" s="266">
        <v>1.8367587306052831</v>
      </c>
      <c r="F64" s="52">
        <v>-2.0017350899875722E-2</v>
      </c>
      <c r="G64" s="51">
        <f t="shared" si="0"/>
        <v>1.3534649100124276E-2</v>
      </c>
      <c r="H64" s="291">
        <v>1.417852263018432</v>
      </c>
      <c r="I64" s="69">
        <v>41605</v>
      </c>
      <c r="J64" s="72">
        <v>-2.2399999999999999E-5</v>
      </c>
      <c r="K64" s="68">
        <v>0.95899999999999996</v>
      </c>
      <c r="L64" s="70">
        <f t="shared" si="7"/>
        <v>-3.2256E-2</v>
      </c>
      <c r="M64" s="70">
        <v>3.0250587306052825</v>
      </c>
      <c r="N64" s="61">
        <v>-5.9915885102689876E-3</v>
      </c>
      <c r="O64" s="62">
        <f t="shared" si="1"/>
        <v>2.6264411489731014E-2</v>
      </c>
      <c r="P64" s="291">
        <v>2.6264411489731012</v>
      </c>
      <c r="Q64" s="89">
        <v>41605</v>
      </c>
      <c r="R64" s="86">
        <v>-2.2500000000000001E-5</v>
      </c>
      <c r="S64" s="90">
        <v>0.92700000000000005</v>
      </c>
      <c r="T64" s="86">
        <f t="shared" si="8"/>
        <v>-3.2400000000000005E-2</v>
      </c>
      <c r="U64" s="107">
        <v>3.4643587306052828</v>
      </c>
      <c r="V64" s="108">
        <v>-9.2028937654903362E-3</v>
      </c>
      <c r="W64" s="94">
        <f t="shared" si="3"/>
        <v>2.3197106234509671E-2</v>
      </c>
      <c r="X64" s="291">
        <v>2.319710623450967</v>
      </c>
      <c r="Y64" s="142">
        <f t="shared" si="9"/>
        <v>41605</v>
      </c>
      <c r="Z64" s="138">
        <v>-1.4E-5</v>
      </c>
      <c r="AA64" s="144">
        <v>0.95799999999999996</v>
      </c>
      <c r="AB64" s="138">
        <f t="shared" si="10"/>
        <v>-2.0160000000000001E-2</v>
      </c>
      <c r="AC64" s="138">
        <v>2.9412587306052838</v>
      </c>
      <c r="AD64" s="138">
        <v>-2.4711292589086269E-2</v>
      </c>
      <c r="AE64" s="138">
        <f t="shared" si="11"/>
        <v>-4.5512925890862678E-3</v>
      </c>
      <c r="AF64" s="291">
        <v>-0.45512925890862677</v>
      </c>
      <c r="AG64" s="89">
        <v>41605</v>
      </c>
      <c r="AH64" s="279">
        <v>0</v>
      </c>
      <c r="AI64" s="182">
        <v>3</v>
      </c>
      <c r="BF64" s="134">
        <f>BF63+0.1</f>
        <v>0.99999999999999989</v>
      </c>
      <c r="BG64" s="134">
        <f t="shared" si="12"/>
        <v>3.7747582837255316E-16</v>
      </c>
    </row>
    <row r="65" spans="1:35">
      <c r="A65" s="4">
        <v>41606</v>
      </c>
      <c r="B65" s="49">
        <v>-1.88E-5</v>
      </c>
      <c r="C65" s="50">
        <v>0.93700000000000006</v>
      </c>
      <c r="D65" s="49">
        <f t="shared" si="6"/>
        <v>-2.7071999999999999E-2</v>
      </c>
      <c r="E65" s="266">
        <v>1.7994634391078965</v>
      </c>
      <c r="F65" s="52">
        <v>-1.9658415508258562E-2</v>
      </c>
      <c r="G65" s="51">
        <f t="shared" si="0"/>
        <v>7.4135844917414366E-3</v>
      </c>
      <c r="H65" s="291">
        <v>0.80350280149195752</v>
      </c>
      <c r="I65" s="69">
        <v>41606</v>
      </c>
      <c r="J65" s="72">
        <v>-2.0000000000000002E-5</v>
      </c>
      <c r="K65" s="68">
        <v>0.72899999999999998</v>
      </c>
      <c r="L65" s="70">
        <f t="shared" si="7"/>
        <v>-2.8800000000000003E-2</v>
      </c>
      <c r="M65" s="70">
        <v>2.9966634391078966</v>
      </c>
      <c r="N65" s="61">
        <v>-5.7808582106220804E-3</v>
      </c>
      <c r="O65" s="62">
        <f t="shared" si="1"/>
        <v>2.3019141789377924E-2</v>
      </c>
      <c r="P65" s="291">
        <v>1.7403141789377914</v>
      </c>
      <c r="Q65" s="89">
        <v>41606</v>
      </c>
      <c r="R65" s="86">
        <v>-2.2900000000000001E-5</v>
      </c>
      <c r="S65" s="90">
        <v>0.878</v>
      </c>
      <c r="T65" s="86">
        <f t="shared" si="8"/>
        <v>-3.2975999999999998E-2</v>
      </c>
      <c r="U65" s="107">
        <v>3.4180634391078977</v>
      </c>
      <c r="V65" s="108">
        <v>-9.1814462374319242E-3</v>
      </c>
      <c r="W65" s="94">
        <f t="shared" si="3"/>
        <v>2.3794553762568074E-2</v>
      </c>
      <c r="X65" s="291">
        <v>2.3794553762568076</v>
      </c>
      <c r="Y65" s="142">
        <f t="shared" si="9"/>
        <v>41606</v>
      </c>
      <c r="Z65" s="138">
        <v>-1.45E-5</v>
      </c>
      <c r="AA65" s="144">
        <v>0.94799999999999995</v>
      </c>
      <c r="AB65" s="138">
        <f t="shared" si="10"/>
        <v>-2.0879999999999999E-2</v>
      </c>
      <c r="AC65" s="138">
        <v>2.9136634391078959</v>
      </c>
      <c r="AD65" s="138">
        <v>-2.465743670119214E-2</v>
      </c>
      <c r="AE65" s="138">
        <f t="shared" si="11"/>
        <v>-3.7774367011921411E-3</v>
      </c>
      <c r="AF65" s="291">
        <v>-0.37774367011921411</v>
      </c>
      <c r="AG65" s="89">
        <v>41606</v>
      </c>
      <c r="AH65" s="279">
        <v>0</v>
      </c>
      <c r="AI65" s="182">
        <v>4</v>
      </c>
    </row>
    <row r="66" spans="1:35">
      <c r="A66" s="4">
        <v>41607</v>
      </c>
      <c r="B66" s="49">
        <v>-2.02E-5</v>
      </c>
      <c r="C66" s="50">
        <v>0.95299999999999996</v>
      </c>
      <c r="D66" s="49">
        <f t="shared" si="6"/>
        <v>-2.9087999999999999E-2</v>
      </c>
      <c r="E66" s="266">
        <v>1.7632726488416055</v>
      </c>
      <c r="F66" s="52">
        <v>-1.929321893795715E-2</v>
      </c>
      <c r="G66" s="51">
        <f t="shared" si="0"/>
        <v>9.794781062042849E-3</v>
      </c>
      <c r="H66" s="291">
        <v>1.0393431137677618</v>
      </c>
      <c r="I66" s="69">
        <v>41607</v>
      </c>
      <c r="J66" s="72">
        <v>-1.7499999999999998E-5</v>
      </c>
      <c r="K66" s="68">
        <v>0.83099999999999996</v>
      </c>
      <c r="L66" s="70">
        <f t="shared" si="7"/>
        <v>-2.5199999999999997E-2</v>
      </c>
      <c r="M66" s="70">
        <v>2.9721726488416049</v>
      </c>
      <c r="N66" s="61">
        <v>-5.5873025602301233E-3</v>
      </c>
      <c r="O66" s="62">
        <f t="shared" si="1"/>
        <v>1.9612697439769872E-2</v>
      </c>
      <c r="P66" s="291">
        <v>1.9612697439769873</v>
      </c>
      <c r="Q66" s="89">
        <v>41607</v>
      </c>
      <c r="R66" s="86">
        <v>-1.88E-5</v>
      </c>
      <c r="S66" s="90">
        <v>0.88600000000000001</v>
      </c>
      <c r="T66" s="86">
        <f t="shared" si="8"/>
        <v>-2.7071999999999999E-2</v>
      </c>
      <c r="U66" s="107">
        <v>3.3739726488416055</v>
      </c>
      <c r="V66" s="108">
        <v>-9.157755775441789E-3</v>
      </c>
      <c r="W66" s="94">
        <f t="shared" si="3"/>
        <v>1.7914244224558208E-2</v>
      </c>
      <c r="X66" s="291">
        <v>1.7914244224558209</v>
      </c>
      <c r="Y66" s="142">
        <f t="shared" si="9"/>
        <v>41607</v>
      </c>
      <c r="Z66" s="138">
        <v>-1.63E-5</v>
      </c>
      <c r="AA66" s="144">
        <v>0.95299999999999996</v>
      </c>
      <c r="AB66" s="138">
        <f t="shared" si="10"/>
        <v>-2.3472E-2</v>
      </c>
      <c r="AC66" s="138">
        <v>2.8870726488416056</v>
      </c>
      <c r="AD66" s="138">
        <v>-2.4587077677420091E-2</v>
      </c>
      <c r="AE66" s="138">
        <f t="shared" si="11"/>
        <v>-1.1150776774200913E-3</v>
      </c>
      <c r="AF66" s="291">
        <v>-0.11150776774200913</v>
      </c>
      <c r="AG66" s="89">
        <v>41607</v>
      </c>
      <c r="AH66" s="279">
        <v>0</v>
      </c>
      <c r="AI66" s="182">
        <v>5</v>
      </c>
    </row>
    <row r="67" spans="1:35">
      <c r="A67" s="4">
        <v>41608</v>
      </c>
      <c r="B67" s="49">
        <v>-2.69E-5</v>
      </c>
      <c r="C67" s="50">
        <v>0.98399999999999999</v>
      </c>
      <c r="D67" s="49">
        <f t="shared" si="6"/>
        <v>-3.8736E-2</v>
      </c>
      <c r="E67" s="266">
        <v>1.7149452480592271</v>
      </c>
      <c r="F67" s="52">
        <v>-1.8777639984443477E-2</v>
      </c>
      <c r="G67" s="51">
        <f t="shared" si="0"/>
        <v>1.9958360015556523E-2</v>
      </c>
      <c r="H67" s="297">
        <v>2.1578132536715544</v>
      </c>
      <c r="I67" s="69">
        <v>41608</v>
      </c>
      <c r="J67" s="72">
        <v>-1.6500000000000001E-5</v>
      </c>
      <c r="K67" s="68">
        <v>0.89900000000000002</v>
      </c>
      <c r="L67" s="70">
        <f t="shared" si="7"/>
        <v>-2.3760000000000003E-2</v>
      </c>
      <c r="M67" s="70">
        <v>2.9501452480592274</v>
      </c>
      <c r="N67" s="63">
        <v>-5.403383692516037E-3</v>
      </c>
      <c r="O67" s="62">
        <f t="shared" si="1"/>
        <v>1.8356616307483968E-2</v>
      </c>
      <c r="P67" s="297">
        <v>1.9182961022535756</v>
      </c>
      <c r="Q67" s="89">
        <v>41608</v>
      </c>
      <c r="R67" s="86">
        <v>-1.7799999999999999E-5</v>
      </c>
      <c r="S67" s="90">
        <v>0.94799999999999995</v>
      </c>
      <c r="T67" s="86">
        <f t="shared" si="8"/>
        <v>-2.5631999999999999E-2</v>
      </c>
      <c r="U67" s="107">
        <v>3.339745248059228</v>
      </c>
      <c r="V67" s="108">
        <v>-9.137027805213525E-3</v>
      </c>
      <c r="W67" s="94">
        <f t="shared" si="3"/>
        <v>1.6494972194786475E-2</v>
      </c>
      <c r="X67" s="297">
        <v>1.7264823717806985</v>
      </c>
      <c r="Y67" s="142">
        <f t="shared" si="9"/>
        <v>41608</v>
      </c>
      <c r="Z67" s="138">
        <v>-1.5400000000000002E-5</v>
      </c>
      <c r="AA67" s="144">
        <v>0.95899999999999996</v>
      </c>
      <c r="AB67" s="138">
        <f t="shared" si="10"/>
        <v>-2.2176000000000001E-2</v>
      </c>
      <c r="AC67" s="138">
        <v>2.8603452480592284</v>
      </c>
      <c r="AD67" s="138">
        <v>-2.4496694247457103E-2</v>
      </c>
      <c r="AE67" s="138">
        <f t="shared" si="11"/>
        <v>-2.3206942474571016E-3</v>
      </c>
      <c r="AF67" s="297">
        <v>-0.13915567292868863</v>
      </c>
      <c r="AG67" s="89">
        <v>41608</v>
      </c>
      <c r="AH67" s="279">
        <v>0.55000000000000004</v>
      </c>
      <c r="AI67" s="182">
        <v>6</v>
      </c>
    </row>
    <row r="68" spans="1:35">
      <c r="A68" s="4">
        <v>41609</v>
      </c>
      <c r="B68" s="49">
        <v>-1.0000000000000001E-5</v>
      </c>
      <c r="C68" s="50">
        <v>0.50873000000000002</v>
      </c>
      <c r="D68" s="49">
        <f t="shared" si="6"/>
        <v>-1.4400000000000001E-2</v>
      </c>
      <c r="E68" s="266">
        <v>1.6719742858665225</v>
      </c>
      <c r="F68" s="52">
        <v>-1.8290209318831251E-2</v>
      </c>
      <c r="G68" s="51">
        <f t="shared" si="0"/>
        <v>-3.89020931883125E-3</v>
      </c>
      <c r="H68" s="297">
        <v>0.50832981460289406</v>
      </c>
      <c r="I68" s="69">
        <v>41609</v>
      </c>
      <c r="J68" s="72">
        <v>-9.9999999999999995E-7</v>
      </c>
      <c r="K68" s="68">
        <v>1.7999999999999999E-2</v>
      </c>
      <c r="L68" s="70">
        <f t="shared" si="7"/>
        <v>-1.4399999999999999E-3</v>
      </c>
      <c r="M68" s="70">
        <v>2.9242742858665238</v>
      </c>
      <c r="N68" s="63">
        <v>-5.1748703267908442E-3</v>
      </c>
      <c r="O68" s="62">
        <f t="shared" si="1"/>
        <v>-3.7348703267908443E-3</v>
      </c>
      <c r="P68" s="297">
        <v>5.4432920212540703E-2</v>
      </c>
      <c r="Q68" s="89">
        <v>41609</v>
      </c>
      <c r="R68" s="86">
        <v>-1.26E-5</v>
      </c>
      <c r="S68" s="90">
        <v>0.85299999999999998</v>
      </c>
      <c r="T68" s="86">
        <f t="shared" si="8"/>
        <v>-1.8144E-2</v>
      </c>
      <c r="U68" s="107">
        <v>3.3122742858665228</v>
      </c>
      <c r="V68" s="108">
        <v>-9.1188329088064766E-3</v>
      </c>
      <c r="W68" s="94">
        <f t="shared" si="3"/>
        <v>9.0251670911935238E-3</v>
      </c>
      <c r="X68" s="297">
        <v>1.2517731344668657</v>
      </c>
      <c r="Y68" s="142">
        <f t="shared" si="9"/>
        <v>41609</v>
      </c>
      <c r="Z68" s="138">
        <v>-6.0000000000000002E-6</v>
      </c>
      <c r="AA68" s="144">
        <v>0.434</v>
      </c>
      <c r="AB68" s="138">
        <f t="shared" si="10"/>
        <v>-8.6400000000000001E-3</v>
      </c>
      <c r="AC68" s="138">
        <v>2.8344742858665231</v>
      </c>
      <c r="AD68" s="138">
        <v>-2.4389025158820306E-2</v>
      </c>
      <c r="AE68" s="138">
        <f t="shared" si="11"/>
        <v>-1.5749025158820304E-2</v>
      </c>
      <c r="AF68" s="297">
        <v>-1.180156444785271</v>
      </c>
      <c r="AG68" s="89">
        <v>41609</v>
      </c>
      <c r="AH68" s="279">
        <v>-2.4500000000000002</v>
      </c>
      <c r="AI68" s="182">
        <v>0</v>
      </c>
    </row>
    <row r="69" spans="1:35">
      <c r="A69" s="4">
        <v>41610</v>
      </c>
      <c r="B69" s="49">
        <v>-1.0000000000000001E-5</v>
      </c>
      <c r="C69" s="50">
        <v>0.6</v>
      </c>
      <c r="D69" s="49">
        <f t="shared" si="6"/>
        <v>-1.4400000000000001E-2</v>
      </c>
      <c r="E69" s="266">
        <v>1.638650769200066</v>
      </c>
      <c r="F69" s="52">
        <v>-1.7891894406017041E-2</v>
      </c>
      <c r="G69" s="51">
        <f t="shared" si="0"/>
        <v>-3.49189440601704E-3</v>
      </c>
      <c r="H69" s="297">
        <v>0.7081475999760517</v>
      </c>
      <c r="I69" s="69">
        <v>41610</v>
      </c>
      <c r="J69" s="72">
        <v>6.0000000000000002E-6</v>
      </c>
      <c r="K69" s="68">
        <v>0.184</v>
      </c>
      <c r="L69" s="70">
        <f t="shared" si="7"/>
        <v>8.6400000000000001E-3</v>
      </c>
      <c r="M69" s="70">
        <v>2.9012507692000664</v>
      </c>
      <c r="N69" s="63">
        <v>-4.959574728302398E-3</v>
      </c>
      <c r="O69" s="62">
        <f t="shared" si="1"/>
        <v>-1.3599574728302397E-2</v>
      </c>
      <c r="P69" s="297">
        <v>2.6562571377535624</v>
      </c>
      <c r="Q69" s="89">
        <v>41610</v>
      </c>
      <c r="R69" s="86">
        <v>1.0000000000000001E-5</v>
      </c>
      <c r="S69" s="90">
        <v>0.33</v>
      </c>
      <c r="T69" s="86">
        <f t="shared" si="8"/>
        <v>1.4400000000000001E-2</v>
      </c>
      <c r="U69" s="107">
        <v>3.2755507692000672</v>
      </c>
      <c r="V69" s="108">
        <v>-9.0922310240528024E-3</v>
      </c>
      <c r="W69" s="94">
        <f t="shared" si="3"/>
        <v>-2.3492231024052804E-2</v>
      </c>
      <c r="X69" s="297">
        <v>2.4471284727742457</v>
      </c>
      <c r="Y69" s="142">
        <f t="shared" si="9"/>
        <v>41610</v>
      </c>
      <c r="Z69" s="138">
        <v>-7.9999999999999996E-6</v>
      </c>
      <c r="AA69" s="144">
        <v>0.29599999999999999</v>
      </c>
      <c r="AB69" s="138">
        <f t="shared" si="10"/>
        <v>-1.1519999999999999E-2</v>
      </c>
      <c r="AC69" s="138">
        <v>2.808250769200066</v>
      </c>
      <c r="AD69" s="138">
        <v>-2.425812093000387E-2</v>
      </c>
      <c r="AE69" s="138">
        <f t="shared" si="11"/>
        <v>-1.2738120930003871E-2</v>
      </c>
      <c r="AF69" s="297">
        <v>1.7870903920482992</v>
      </c>
      <c r="AG69" s="89">
        <v>41610</v>
      </c>
      <c r="AH69" s="279">
        <v>-15.1</v>
      </c>
      <c r="AI69" s="182">
        <v>0</v>
      </c>
    </row>
    <row r="70" spans="1:35">
      <c r="A70" s="4">
        <v>41611</v>
      </c>
      <c r="B70" s="49">
        <v>-1.77E-5</v>
      </c>
      <c r="C70" s="50">
        <v>0.91</v>
      </c>
      <c r="D70" s="49">
        <f t="shared" si="6"/>
        <v>-2.5488E-2</v>
      </c>
      <c r="E70" s="266">
        <v>1.6298924910133441</v>
      </c>
      <c r="F70" s="52">
        <v>-1.7784097684175701E-2</v>
      </c>
      <c r="G70" s="51">
        <f t="shared" si="0"/>
        <v>7.7039023158242993E-3</v>
      </c>
      <c r="H70" s="297">
        <v>0.53709930060946731</v>
      </c>
      <c r="I70" s="69">
        <v>41611</v>
      </c>
      <c r="J70" s="72">
        <v>-3.0000000000000001E-6</v>
      </c>
      <c r="K70" s="68">
        <v>0.152</v>
      </c>
      <c r="L70" s="70">
        <f t="shared" si="7"/>
        <v>-4.3200000000000001E-3</v>
      </c>
      <c r="M70" s="70">
        <v>2.8964924910133441</v>
      </c>
      <c r="N70" s="63">
        <v>-4.9136248411722769E-3</v>
      </c>
      <c r="O70" s="62">
        <f t="shared" si="1"/>
        <v>-5.9362484117227686E-4</v>
      </c>
      <c r="P70" s="297">
        <v>0.18097591520841705</v>
      </c>
      <c r="Q70" s="89">
        <v>41611</v>
      </c>
      <c r="R70" s="86">
        <v>3.0000000000000001E-6</v>
      </c>
      <c r="S70" s="90">
        <v>8.1000000000000003E-2</v>
      </c>
      <c r="T70" s="86">
        <f t="shared" si="8"/>
        <v>4.3200000000000001E-3</v>
      </c>
      <c r="U70" s="107">
        <v>3.2615924910133449</v>
      </c>
      <c r="V70" s="108">
        <v>-9.0814084029848512E-3</v>
      </c>
      <c r="W70" s="94">
        <f t="shared" si="3"/>
        <v>-1.340140840298485E-2</v>
      </c>
      <c r="X70" s="297">
        <v>-8.0046435156153395E-2</v>
      </c>
      <c r="Y70" s="142">
        <f t="shared" si="9"/>
        <v>41611</v>
      </c>
      <c r="Z70" s="138">
        <v>-6.0000000000000002E-6</v>
      </c>
      <c r="AA70" s="144">
        <v>0.55300000000000005</v>
      </c>
      <c r="AB70" s="138">
        <f t="shared" si="10"/>
        <v>-8.6400000000000001E-3</v>
      </c>
      <c r="AC70" s="138">
        <v>2.797992491013344</v>
      </c>
      <c r="AD70" s="138">
        <v>-2.4200603187421579E-2</v>
      </c>
      <c r="AE70" s="138">
        <f t="shared" si="11"/>
        <v>-1.5560603187421579E-2</v>
      </c>
      <c r="AF70" s="297">
        <v>-1.3582876873768961</v>
      </c>
      <c r="AG70" s="89">
        <v>41611</v>
      </c>
      <c r="AH70" s="279">
        <v>-1.95</v>
      </c>
      <c r="AI70" s="182">
        <v>0</v>
      </c>
    </row>
    <row r="71" spans="1:35">
      <c r="A71" s="4">
        <v>41612</v>
      </c>
      <c r="B71" s="49">
        <v>-1.8E-5</v>
      </c>
      <c r="C71" s="50">
        <v>0.88500000000000001</v>
      </c>
      <c r="D71" s="49">
        <f t="shared" si="6"/>
        <v>-2.5920000000000002E-2</v>
      </c>
      <c r="E71" s="266">
        <v>1.5979663033140761</v>
      </c>
      <c r="F71" s="52">
        <v>-1.7379651917401265E-2</v>
      </c>
      <c r="G71" s="51">
        <f t="shared" si="0"/>
        <v>8.5403480825987366E-3</v>
      </c>
      <c r="H71" s="291">
        <v>-1.6900031936350302</v>
      </c>
      <c r="I71" s="69">
        <v>41612</v>
      </c>
      <c r="J71" s="72">
        <v>-1.26E-5</v>
      </c>
      <c r="K71" s="68">
        <v>0.91600000000000004</v>
      </c>
      <c r="L71" s="70">
        <f t="shared" si="7"/>
        <v>-1.8144E-2</v>
      </c>
      <c r="M71" s="70">
        <v>2.8756663033140768</v>
      </c>
      <c r="N71" s="63">
        <v>-4.7064432690479994E-3</v>
      </c>
      <c r="O71" s="62">
        <f t="shared" si="1"/>
        <v>1.3437556730952E-2</v>
      </c>
      <c r="P71" s="291">
        <v>-0.47064432690479996</v>
      </c>
      <c r="Q71" s="89">
        <v>41612</v>
      </c>
      <c r="R71" s="86">
        <v>-1.0000000000000001E-5</v>
      </c>
      <c r="S71" s="90">
        <v>0.51</v>
      </c>
      <c r="T71" s="86">
        <f t="shared" si="8"/>
        <v>-1.4400000000000001E-2</v>
      </c>
      <c r="U71" s="107">
        <v>3.2337663033140762</v>
      </c>
      <c r="V71" s="108">
        <v>-9.0586161081764333E-3</v>
      </c>
      <c r="W71" s="94">
        <f t="shared" si="3"/>
        <v>5.341383891823568E-3</v>
      </c>
      <c r="X71" s="291">
        <v>-0.90586161081764338</v>
      </c>
      <c r="Y71" s="142">
        <f t="shared" si="9"/>
        <v>41612</v>
      </c>
      <c r="Z71" s="138">
        <v>-1.7E-5</v>
      </c>
      <c r="AA71" s="144">
        <v>0.91400000000000003</v>
      </c>
      <c r="AB71" s="138">
        <f t="shared" si="10"/>
        <v>-2.4479999999999998E-2</v>
      </c>
      <c r="AC71" s="138">
        <v>2.7761663033140755</v>
      </c>
      <c r="AD71" s="138">
        <v>-2.4065776094920867E-2</v>
      </c>
      <c r="AE71" s="138">
        <f t="shared" si="11"/>
        <v>4.1422390507913145E-4</v>
      </c>
      <c r="AF71" s="291">
        <v>-2.4065776094920865</v>
      </c>
      <c r="AG71" s="89">
        <v>41612</v>
      </c>
      <c r="AH71" s="279">
        <v>0</v>
      </c>
      <c r="AI71" s="182">
        <v>0</v>
      </c>
    </row>
    <row r="72" spans="1:35">
      <c r="A72" s="4">
        <v>41613</v>
      </c>
      <c r="B72" s="49">
        <v>-1.88E-5</v>
      </c>
      <c r="C72" s="50">
        <v>0.94199999999999995</v>
      </c>
      <c r="D72" s="49">
        <f t="shared" si="6"/>
        <v>-2.7071999999999999E-2</v>
      </c>
      <c r="E72" s="266">
        <v>1.567169367742697</v>
      </c>
      <c r="F72" s="52">
        <v>-1.697157979407167E-2</v>
      </c>
      <c r="G72" s="51">
        <f t="shared" si="0"/>
        <v>1.0100420205928329E-2</v>
      </c>
      <c r="H72" s="291">
        <v>1.0554734185815755</v>
      </c>
      <c r="I72" s="69">
        <v>41613</v>
      </c>
      <c r="J72" s="72">
        <v>-1.6200000000000001E-5</v>
      </c>
      <c r="K72" s="68">
        <v>0.94099999999999995</v>
      </c>
      <c r="L72" s="70">
        <f t="shared" si="7"/>
        <v>-2.3328000000000002E-2</v>
      </c>
      <c r="M72" s="70">
        <v>2.8481693677426971</v>
      </c>
      <c r="N72" s="63">
        <v>-4.4171931079289078E-3</v>
      </c>
      <c r="O72" s="62">
        <f t="shared" si="1"/>
        <v>1.8910806892071093E-2</v>
      </c>
      <c r="P72" s="291">
        <v>1.8910806892071093</v>
      </c>
      <c r="Q72" s="89">
        <v>41613</v>
      </c>
      <c r="R72" s="86">
        <v>-1.4100000000000001E-5</v>
      </c>
      <c r="S72" s="90">
        <v>0.91400000000000003</v>
      </c>
      <c r="T72" s="86">
        <f t="shared" si="8"/>
        <v>-2.0303999999999999E-2</v>
      </c>
      <c r="U72" s="107">
        <v>3.2027693677426976</v>
      </c>
      <c r="V72" s="108">
        <v>-9.0312453038928712E-3</v>
      </c>
      <c r="W72" s="94">
        <f t="shared" si="3"/>
        <v>1.1272754696107128E-2</v>
      </c>
      <c r="X72" s="291">
        <v>1.1272754696107128</v>
      </c>
      <c r="Y72" s="142">
        <f t="shared" si="9"/>
        <v>41613</v>
      </c>
      <c r="Z72" s="138">
        <v>-1.2999999999999999E-5</v>
      </c>
      <c r="AA72" s="144">
        <v>0.94099999999999995</v>
      </c>
      <c r="AB72" s="138">
        <f t="shared" si="10"/>
        <v>-1.8720000000000001E-2</v>
      </c>
      <c r="AC72" s="138">
        <v>2.7505693677426968</v>
      </c>
      <c r="AD72" s="138">
        <v>-2.38849129679547E-2</v>
      </c>
      <c r="AE72" s="138">
        <f t="shared" si="11"/>
        <v>-5.1649129679546997E-3</v>
      </c>
      <c r="AF72" s="291">
        <v>-0.51649129679547001</v>
      </c>
      <c r="AG72" s="89">
        <v>41613</v>
      </c>
      <c r="AH72" s="279">
        <v>0</v>
      </c>
      <c r="AI72" s="182">
        <v>1</v>
      </c>
    </row>
    <row r="73" spans="1:35">
      <c r="A73" s="4">
        <v>41614</v>
      </c>
      <c r="B73" s="49">
        <v>-1.59E-5</v>
      </c>
      <c r="C73" s="50">
        <v>0.95699999999999996</v>
      </c>
      <c r="D73" s="49">
        <f t="shared" si="6"/>
        <v>-2.2896E-2</v>
      </c>
      <c r="E73" s="266">
        <v>1.5350550443621054</v>
      </c>
      <c r="F73" s="52">
        <v>-1.6526062237984286E-2</v>
      </c>
      <c r="G73" s="51">
        <f t="shared" si="0"/>
        <v>6.3699377620157135E-3</v>
      </c>
      <c r="H73" s="291">
        <v>0.6796651099452381</v>
      </c>
      <c r="I73" s="69">
        <v>41614</v>
      </c>
      <c r="J73" s="72">
        <v>-1.5299999999999999E-5</v>
      </c>
      <c r="K73" s="68">
        <v>0.96599999999999997</v>
      </c>
      <c r="L73" s="70">
        <f t="shared" si="7"/>
        <v>-2.2032E-2</v>
      </c>
      <c r="M73" s="70">
        <v>2.8178550443621067</v>
      </c>
      <c r="N73" s="63">
        <v>-4.0764026002900024E-3</v>
      </c>
      <c r="O73" s="62">
        <f t="shared" si="1"/>
        <v>1.7955597399709998E-2</v>
      </c>
      <c r="P73" s="291">
        <v>1.7955597399709997</v>
      </c>
      <c r="Q73" s="89">
        <v>41614</v>
      </c>
      <c r="R73" s="86">
        <v>-1.6900000000000001E-5</v>
      </c>
      <c r="S73" s="90">
        <v>0.93300000000000005</v>
      </c>
      <c r="T73" s="86">
        <f t="shared" si="8"/>
        <v>-2.4336E-2</v>
      </c>
      <c r="U73" s="107">
        <v>3.1658550443621065</v>
      </c>
      <c r="V73" s="108">
        <v>-8.9957874556789458E-3</v>
      </c>
      <c r="W73" s="94">
        <f t="shared" si="3"/>
        <v>1.5340212544321054E-2</v>
      </c>
      <c r="X73" s="291">
        <v>1.5340212544321055</v>
      </c>
      <c r="Y73" s="142">
        <f t="shared" si="9"/>
        <v>41614</v>
      </c>
      <c r="Z73" s="138">
        <v>-2.0800000000000001E-5</v>
      </c>
      <c r="AA73" s="144">
        <v>0.97799999999999998</v>
      </c>
      <c r="AB73" s="138">
        <f t="shared" si="10"/>
        <v>-2.9951999999999999E-2</v>
      </c>
      <c r="AC73" s="138">
        <v>2.7202550443621063</v>
      </c>
      <c r="AD73" s="138">
        <v>-2.3636636184015351E-2</v>
      </c>
      <c r="AE73" s="138">
        <f t="shared" si="11"/>
        <v>6.3153638159846488E-3</v>
      </c>
      <c r="AF73" s="291">
        <v>0.63153638159846492</v>
      </c>
      <c r="AG73" s="89">
        <v>41614</v>
      </c>
      <c r="AH73" s="279">
        <v>0</v>
      </c>
      <c r="AI73" s="182">
        <v>2</v>
      </c>
    </row>
    <row r="74" spans="1:35">
      <c r="A74" s="4">
        <v>41615</v>
      </c>
      <c r="B74" s="49">
        <v>-1.2500000000000001E-5</v>
      </c>
      <c r="C74" s="50">
        <v>0.91500000000000004</v>
      </c>
      <c r="D74" s="49">
        <f t="shared" si="6"/>
        <v>-1.8000000000000002E-2</v>
      </c>
      <c r="E74" s="266">
        <v>1.5037257992832953</v>
      </c>
      <c r="F74" s="52">
        <v>-1.6070457875798052E-2</v>
      </c>
      <c r="G74" s="51">
        <f t="shared" si="0"/>
        <v>1.9295421242019502E-3</v>
      </c>
      <c r="H74" s="291">
        <v>0.23280580405790169</v>
      </c>
      <c r="I74" s="69">
        <v>41615</v>
      </c>
      <c r="J74" s="72">
        <v>-1.7200000000000001E-5</v>
      </c>
      <c r="K74" s="68">
        <v>0.96799999999999997</v>
      </c>
      <c r="L74" s="70">
        <f t="shared" si="7"/>
        <v>-2.4768000000000002E-2</v>
      </c>
      <c r="M74" s="70">
        <v>2.7797257992832947</v>
      </c>
      <c r="N74" s="63">
        <v>-3.6128326141423683E-3</v>
      </c>
      <c r="O74" s="62">
        <f t="shared" si="1"/>
        <v>2.1155167385857633E-2</v>
      </c>
      <c r="P74" s="291">
        <v>2.1155167385857632</v>
      </c>
      <c r="Q74" s="89">
        <v>41615</v>
      </c>
      <c r="R74" s="86">
        <v>-2.1100000000000001E-5</v>
      </c>
      <c r="S74" s="90">
        <v>0.91300000000000003</v>
      </c>
      <c r="T74" s="86">
        <f t="shared" si="8"/>
        <v>-3.0384000000000001E-2</v>
      </c>
      <c r="U74" s="107">
        <v>3.1260257992832949</v>
      </c>
      <c r="V74" s="108">
        <v>-8.9538399910019904E-3</v>
      </c>
      <c r="W74" s="94">
        <f t="shared" si="3"/>
        <v>2.1430160008998011E-2</v>
      </c>
      <c r="X74" s="291">
        <v>2.1430160008998009</v>
      </c>
      <c r="Y74" s="142">
        <f t="shared" si="9"/>
        <v>41615</v>
      </c>
      <c r="Z74" s="138">
        <v>-2.27E-5</v>
      </c>
      <c r="AA74" s="144">
        <v>0.96599999999999997</v>
      </c>
      <c r="AB74" s="138">
        <f t="shared" si="10"/>
        <v>-3.2688000000000002E-2</v>
      </c>
      <c r="AC74" s="138">
        <v>2.6826257992832949</v>
      </c>
      <c r="AD74" s="138">
        <v>-2.3272470917886083E-2</v>
      </c>
      <c r="AE74" s="138">
        <f t="shared" si="11"/>
        <v>9.4155290821139187E-3</v>
      </c>
      <c r="AF74" s="291">
        <v>0.94155290821139181</v>
      </c>
      <c r="AG74" s="89">
        <v>41615</v>
      </c>
      <c r="AH74" s="279">
        <v>0</v>
      </c>
      <c r="AI74" s="182">
        <v>3</v>
      </c>
    </row>
    <row r="75" spans="1:35">
      <c r="A75" s="4">
        <v>41616</v>
      </c>
      <c r="B75" s="49">
        <v>-1.5099999999999999E-5</v>
      </c>
      <c r="C75" s="50">
        <v>0.90400000000000003</v>
      </c>
      <c r="D75" s="49">
        <f t="shared" si="6"/>
        <v>-2.1743999999999999E-2</v>
      </c>
      <c r="E75" s="266">
        <v>1.4761350043176198</v>
      </c>
      <c r="F75" s="52">
        <v>-1.5650936395939039E-2</v>
      </c>
      <c r="G75" s="51">
        <f t="shared" si="0"/>
        <v>6.0930636040609602E-3</v>
      </c>
      <c r="H75" s="297">
        <v>1.0229842819484782</v>
      </c>
      <c r="I75" s="69">
        <v>41616</v>
      </c>
      <c r="J75" s="72">
        <v>-1.8099999999999999E-5</v>
      </c>
      <c r="K75" s="68">
        <v>0.95399999999999996</v>
      </c>
      <c r="L75" s="70">
        <f t="shared" si="7"/>
        <v>-2.6064E-2</v>
      </c>
      <c r="M75" s="70">
        <v>2.7452350043176192</v>
      </c>
      <c r="N75" s="63">
        <v>-3.1574114683453947E-3</v>
      </c>
      <c r="O75" s="62">
        <f t="shared" si="1"/>
        <v>2.2906588531654604E-2</v>
      </c>
      <c r="P75" s="297">
        <v>2.591343904873546</v>
      </c>
      <c r="Q75" s="89">
        <v>41616</v>
      </c>
      <c r="R75" s="86">
        <v>-2.1299999999999999E-5</v>
      </c>
      <c r="S75" s="90">
        <v>0.98299999999999998</v>
      </c>
      <c r="T75" s="86">
        <f t="shared" si="8"/>
        <v>-3.0671999999999998E-2</v>
      </c>
      <c r="U75" s="107">
        <v>3.0964350043176188</v>
      </c>
      <c r="V75" s="108">
        <v>-8.9200549733784076E-3</v>
      </c>
      <c r="W75" s="94">
        <f t="shared" si="3"/>
        <v>2.1751945026621589E-2</v>
      </c>
      <c r="X75" s="297">
        <v>2.4399965208552561</v>
      </c>
      <c r="Y75" s="142">
        <f t="shared" si="9"/>
        <v>41616</v>
      </c>
      <c r="Z75" s="138">
        <v>-2.1800000000000001E-5</v>
      </c>
      <c r="AA75" s="144">
        <v>0.95599999999999996</v>
      </c>
      <c r="AB75" s="138">
        <f t="shared" si="10"/>
        <v>-3.1392000000000003E-2</v>
      </c>
      <c r="AC75" s="138">
        <v>2.6472350043176198</v>
      </c>
      <c r="AD75" s="138">
        <v>-2.2867811302829315E-2</v>
      </c>
      <c r="AE75" s="138">
        <f t="shared" si="11"/>
        <v>8.5241886971706878E-3</v>
      </c>
      <c r="AF75" s="297">
        <v>1.2052346005942227</v>
      </c>
      <c r="AG75" s="89">
        <v>41616</v>
      </c>
      <c r="AH75" s="279">
        <v>-1.65</v>
      </c>
      <c r="AI75" s="182">
        <v>4</v>
      </c>
    </row>
    <row r="76" spans="1:35">
      <c r="A76" s="4">
        <v>41617</v>
      </c>
      <c r="B76" s="49">
        <v>-1.26E-5</v>
      </c>
      <c r="C76" s="50">
        <v>0.89500000000000002</v>
      </c>
      <c r="D76" s="49">
        <f t="shared" si="6"/>
        <v>-1.8144E-2</v>
      </c>
      <c r="E76" s="266">
        <v>1.4483703853027508</v>
      </c>
      <c r="F76" s="52">
        <v>-1.5210386406662254E-2</v>
      </c>
      <c r="G76" s="51">
        <f t="shared" si="0"/>
        <v>2.9336135933377468E-3</v>
      </c>
      <c r="H76" s="297">
        <v>0.35117972705717326</v>
      </c>
      <c r="I76" s="69">
        <v>41617</v>
      </c>
      <c r="J76" s="72">
        <v>-1.9300000000000002E-5</v>
      </c>
      <c r="K76" s="68">
        <v>0.97599999999999998</v>
      </c>
      <c r="L76" s="70">
        <f t="shared" si="7"/>
        <v>-2.7792000000000001E-2</v>
      </c>
      <c r="M76" s="70">
        <v>2.7107703853027498</v>
      </c>
      <c r="N76" s="63">
        <v>-2.665346807613927E-3</v>
      </c>
      <c r="O76" s="62">
        <f t="shared" si="1"/>
        <v>2.5126653192386075E-2</v>
      </c>
      <c r="P76" s="297">
        <v>2.5315566899617452</v>
      </c>
      <c r="Q76" s="89">
        <v>41617</v>
      </c>
      <c r="R76" s="86">
        <v>-1.9899999999999999E-5</v>
      </c>
      <c r="S76" s="90">
        <v>0.97799999999999998</v>
      </c>
      <c r="T76" s="86">
        <f t="shared" si="8"/>
        <v>-2.8655999999999997E-2</v>
      </c>
      <c r="U76" s="107">
        <v>3.0696703853027509</v>
      </c>
      <c r="V76" s="108">
        <v>-8.8874734560310843E-3</v>
      </c>
      <c r="W76" s="94">
        <f t="shared" si="3"/>
        <v>1.9768526543968913E-2</v>
      </c>
      <c r="X76" s="297">
        <v>1.9931770880777431</v>
      </c>
      <c r="Y76" s="142">
        <f t="shared" si="9"/>
        <v>41617</v>
      </c>
      <c r="Z76" s="138">
        <v>-2.0100000000000001E-5</v>
      </c>
      <c r="AA76" s="144">
        <v>0.97299999999999998</v>
      </c>
      <c r="AB76" s="138">
        <f t="shared" si="10"/>
        <v>-2.8944000000000001E-2</v>
      </c>
      <c r="AC76" s="138">
        <v>2.6114703853027499</v>
      </c>
      <c r="AD76" s="138">
        <v>-2.2391303400716555E-2</v>
      </c>
      <c r="AE76" s="138">
        <f t="shared" si="11"/>
        <v>6.552696599283446E-3</v>
      </c>
      <c r="AF76" s="297">
        <v>0.67758327403646434</v>
      </c>
      <c r="AG76" s="89">
        <v>41617</v>
      </c>
      <c r="AH76" s="279">
        <v>-0.1</v>
      </c>
      <c r="AI76" s="182">
        <v>5</v>
      </c>
    </row>
    <row r="77" spans="1:35">
      <c r="A77" s="4">
        <v>41618</v>
      </c>
      <c r="B77" s="49">
        <v>-1.2099999999999999E-5</v>
      </c>
      <c r="C77" s="50">
        <v>0.86799999999999999</v>
      </c>
      <c r="D77" s="49">
        <f t="shared" si="6"/>
        <v>-1.7423999999999999E-2</v>
      </c>
      <c r="E77" s="266">
        <v>1.4215358193055381</v>
      </c>
      <c r="F77" s="52">
        <v>-1.476599013026521E-2</v>
      </c>
      <c r="G77" s="51">
        <f t="shared" si="0"/>
        <v>2.6580098697347888E-3</v>
      </c>
      <c r="H77" s="297">
        <v>0.52344322039709068</v>
      </c>
      <c r="I77" s="69">
        <v>41618</v>
      </c>
      <c r="J77" s="72">
        <v>-1.6099999999999998E-5</v>
      </c>
      <c r="K77" s="68">
        <v>0.91200000000000003</v>
      </c>
      <c r="L77" s="70">
        <f t="shared" si="7"/>
        <v>-2.3183999999999996E-2</v>
      </c>
      <c r="M77" s="70">
        <v>2.6747358193055391</v>
      </c>
      <c r="N77" s="63">
        <v>-2.1081877822585996E-3</v>
      </c>
      <c r="O77" s="62">
        <f t="shared" si="1"/>
        <v>2.1075812217741397E-2</v>
      </c>
      <c r="P77" s="297">
        <v>2.2937077389417553</v>
      </c>
      <c r="Q77" s="89">
        <v>41618</v>
      </c>
      <c r="R77" s="86">
        <v>-1.9400000000000001E-5</v>
      </c>
      <c r="S77" s="90">
        <v>0.98099999999999998</v>
      </c>
      <c r="T77" s="86">
        <f t="shared" si="8"/>
        <v>-2.7936000000000002E-2</v>
      </c>
      <c r="U77" s="107">
        <v>3.0310358193055391</v>
      </c>
      <c r="V77" s="108">
        <v>-8.8368790957634186E-3</v>
      </c>
      <c r="W77" s="94">
        <f t="shared" si="3"/>
        <v>1.9099120904236586E-2</v>
      </c>
      <c r="X77" s="297">
        <v>2.0674252486948252</v>
      </c>
      <c r="Y77" s="142">
        <f t="shared" si="9"/>
        <v>41618</v>
      </c>
      <c r="Z77" s="138">
        <v>-2.0000000000000002E-5</v>
      </c>
      <c r="AA77" s="144">
        <v>0.96799999999999997</v>
      </c>
      <c r="AB77" s="138">
        <f t="shared" si="10"/>
        <v>-2.8800000000000003E-2</v>
      </c>
      <c r="AC77" s="138">
        <v>2.5763358193055388</v>
      </c>
      <c r="AD77" s="138">
        <v>-2.1850316505784336E-2</v>
      </c>
      <c r="AE77" s="138">
        <f t="shared" si="11"/>
        <v>6.9496834942156666E-3</v>
      </c>
      <c r="AF77" s="297">
        <v>0.91640422321728754</v>
      </c>
      <c r="AG77" s="89">
        <v>41618</v>
      </c>
      <c r="AH77" s="279">
        <v>-0.95</v>
      </c>
      <c r="AI77" s="182">
        <v>6</v>
      </c>
    </row>
    <row r="78" spans="1:35">
      <c r="A78" s="4">
        <v>41619</v>
      </c>
      <c r="B78" s="49">
        <v>-1.5E-5</v>
      </c>
      <c r="C78" s="50">
        <v>0.92100000000000004</v>
      </c>
      <c r="D78" s="49">
        <f t="shared" si="6"/>
        <v>-2.1600000000000001E-2</v>
      </c>
      <c r="E78" s="266">
        <v>1.394499628031872</v>
      </c>
      <c r="F78" s="52">
        <v>-1.4298611500082459E-2</v>
      </c>
      <c r="G78" s="51">
        <f t="shared" si="0"/>
        <v>7.3013884999175421E-3</v>
      </c>
      <c r="H78" s="291">
        <v>0.75904884507735049</v>
      </c>
      <c r="I78" s="69">
        <v>41619</v>
      </c>
      <c r="J78" s="72">
        <v>-2.09E-5</v>
      </c>
      <c r="K78" s="68">
        <v>0.96599999999999997</v>
      </c>
      <c r="L78" s="70">
        <f t="shared" si="7"/>
        <v>-3.0096000000000001E-2</v>
      </c>
      <c r="M78" s="70">
        <v>2.6353996280318732</v>
      </c>
      <c r="N78" s="63">
        <v>-1.4459856932844163E-3</v>
      </c>
      <c r="O78" s="62">
        <f t="shared" si="1"/>
        <v>2.8650014306715585E-2</v>
      </c>
      <c r="P78" s="291">
        <v>2.8650014306715583</v>
      </c>
      <c r="Q78" s="89">
        <v>41619</v>
      </c>
      <c r="R78" s="86">
        <v>-2.1100000000000001E-5</v>
      </c>
      <c r="S78" s="90">
        <v>0.91300000000000003</v>
      </c>
      <c r="T78" s="86">
        <v>0.99099999999999999</v>
      </c>
      <c r="U78" s="107">
        <v>2.9960996280318719</v>
      </c>
      <c r="V78" s="108">
        <v>-8.7873054763962614E-3</v>
      </c>
      <c r="W78" s="94">
        <f t="shared" si="3"/>
        <v>-0.99978730547639627</v>
      </c>
      <c r="X78" s="291">
        <v>2.1596694523603741</v>
      </c>
      <c r="Y78" s="142">
        <f t="shared" si="9"/>
        <v>41619</v>
      </c>
      <c r="Z78" s="138">
        <v>-2.7100000000000001E-5</v>
      </c>
      <c r="AA78" s="144">
        <v>0.96199999999999997</v>
      </c>
      <c r="AB78" s="138">
        <f t="shared" si="10"/>
        <v>-3.9024000000000003E-2</v>
      </c>
      <c r="AC78" s="138">
        <v>2.539699628031872</v>
      </c>
      <c r="AD78" s="138">
        <v>-2.1201339216117734E-2</v>
      </c>
      <c r="AE78" s="138">
        <f t="shared" si="11"/>
        <v>1.7822660783882269E-2</v>
      </c>
      <c r="AF78" s="291">
        <v>1.7822660783882269</v>
      </c>
      <c r="AG78" s="89">
        <v>41619</v>
      </c>
      <c r="AH78" s="279">
        <v>0</v>
      </c>
      <c r="AI78" s="182">
        <v>7</v>
      </c>
    </row>
    <row r="79" spans="1:35">
      <c r="A79" s="4">
        <v>41620</v>
      </c>
      <c r="B79" s="49">
        <v>-9.7799999999999995E-6</v>
      </c>
      <c r="C79" s="50">
        <v>0.82899999999999996</v>
      </c>
      <c r="D79" s="49">
        <f t="shared" si="6"/>
        <v>-1.4083199999999999E-2</v>
      </c>
      <c r="E79" s="266">
        <v>1.3708202734430697</v>
      </c>
      <c r="F79" s="52">
        <v>-1.3872093669721634E-2</v>
      </c>
      <c r="G79" s="51">
        <f t="shared" si="0"/>
        <v>2.1110633027836452E-4</v>
      </c>
      <c r="H79" s="291">
        <v>4.7392024050065332E-2</v>
      </c>
      <c r="I79" s="69">
        <v>41620</v>
      </c>
      <c r="J79" s="72">
        <v>-2.73E-5</v>
      </c>
      <c r="K79" s="68">
        <v>0.97499999999999998</v>
      </c>
      <c r="L79" s="70">
        <f t="shared" si="7"/>
        <v>-3.9312E-2</v>
      </c>
      <c r="M79" s="70">
        <v>2.5918202734430693</v>
      </c>
      <c r="N79" s="63">
        <v>-7.5930492003119167E-4</v>
      </c>
      <c r="O79" s="62">
        <f t="shared" si="1"/>
        <v>3.8552695079968807E-2</v>
      </c>
      <c r="P79" s="291">
        <v>3.8552695079968808</v>
      </c>
      <c r="Q79" s="89">
        <v>41620</v>
      </c>
      <c r="R79" s="86">
        <v>-2.1299999999999999E-5</v>
      </c>
      <c r="S79" s="90">
        <v>0.98299999999999998</v>
      </c>
      <c r="T79" s="86">
        <f t="shared" si="8"/>
        <v>-3.0671999999999998E-2</v>
      </c>
      <c r="U79" s="107">
        <v>2.9535202734430692</v>
      </c>
      <c r="V79" s="108">
        <v>-8.7216643255130753E-3</v>
      </c>
      <c r="W79" s="94">
        <f t="shared" si="3"/>
        <v>2.1950335674486923E-2</v>
      </c>
      <c r="X79" s="291">
        <v>2.195033567448692</v>
      </c>
      <c r="Y79" s="142">
        <f t="shared" si="9"/>
        <v>41620</v>
      </c>
      <c r="Z79" s="138">
        <v>-2.1100000000000001E-5</v>
      </c>
      <c r="AA79" s="144">
        <v>0.96699999999999997</v>
      </c>
      <c r="AB79" s="138">
        <f t="shared" si="10"/>
        <v>-3.0384000000000001E-2</v>
      </c>
      <c r="AC79" s="138">
        <v>2.5019202734430688</v>
      </c>
      <c r="AD79" s="138">
        <v>-2.0431771408564895E-2</v>
      </c>
      <c r="AE79" s="138">
        <f t="shared" si="11"/>
        <v>9.9522285914351062E-3</v>
      </c>
      <c r="AF79" s="291">
        <v>0.99522285914351061</v>
      </c>
      <c r="AG79" s="89">
        <v>41620</v>
      </c>
      <c r="AH79" s="279">
        <v>0</v>
      </c>
      <c r="AI79" s="182">
        <v>8</v>
      </c>
    </row>
    <row r="80" spans="1:35">
      <c r="A80" s="4">
        <v>41621</v>
      </c>
      <c r="B80" s="49">
        <v>-1.03E-5</v>
      </c>
      <c r="C80" s="50">
        <v>0.20699999999999999</v>
      </c>
      <c r="D80" s="49">
        <f t="shared" si="6"/>
        <v>-1.4832E-2</v>
      </c>
      <c r="E80" s="266">
        <v>1.3670572820543492</v>
      </c>
      <c r="F80" s="52">
        <v>-1.3802775069150437E-2</v>
      </c>
      <c r="G80" s="51">
        <f t="shared" si="0"/>
        <v>1.0292249308495628E-3</v>
      </c>
      <c r="H80" s="291">
        <v>-1.3544231449485595</v>
      </c>
      <c r="I80" s="69">
        <v>41621</v>
      </c>
      <c r="J80" s="72">
        <v>2.62E-5</v>
      </c>
      <c r="K80" s="68">
        <v>0.79800000000000004</v>
      </c>
      <c r="L80" s="70">
        <f t="shared" si="7"/>
        <v>3.7727999999999998E-2</v>
      </c>
      <c r="M80" s="70">
        <v>2.588757282054349</v>
      </c>
      <c r="N80" s="63">
        <v>-7.5916511839244918E-4</v>
      </c>
      <c r="O80" s="62">
        <f t="shared" si="1"/>
        <v>-3.8487165118392445E-2</v>
      </c>
      <c r="P80" s="291">
        <v>-7.5916511839244916E-2</v>
      </c>
      <c r="Q80" s="89">
        <v>41621</v>
      </c>
      <c r="R80" s="86">
        <v>-6.0000000000000002E-6</v>
      </c>
      <c r="S80" s="90">
        <v>0.16900000000000001</v>
      </c>
      <c r="T80" s="86">
        <f t="shared" si="8"/>
        <v>-8.6400000000000001E-3</v>
      </c>
      <c r="U80" s="107">
        <v>2.9459572820543505</v>
      </c>
      <c r="V80" s="108">
        <v>-8.7093771878579366E-3</v>
      </c>
      <c r="W80" s="94">
        <f t="shared" si="3"/>
        <v>-6.9377187857936479E-5</v>
      </c>
      <c r="X80" s="291">
        <v>-0.87093771878579362</v>
      </c>
      <c r="Y80" s="142">
        <f t="shared" si="9"/>
        <v>41621</v>
      </c>
      <c r="Z80" s="138">
        <v>1.11E-5</v>
      </c>
      <c r="AA80" s="144">
        <v>0.44</v>
      </c>
      <c r="AB80" s="138">
        <f t="shared" si="10"/>
        <v>1.5984000000000002E-2</v>
      </c>
      <c r="AC80" s="138">
        <v>2.4986572820543489</v>
      </c>
      <c r="AD80" s="138">
        <v>-2.0360173030996388E-2</v>
      </c>
      <c r="AE80" s="138">
        <f t="shared" si="11"/>
        <v>-3.6344173030996393E-2</v>
      </c>
      <c r="AF80" s="291">
        <v>-2.0360173030996389</v>
      </c>
      <c r="AG80" s="89">
        <v>41621</v>
      </c>
      <c r="AH80" s="279">
        <v>0</v>
      </c>
      <c r="AI80" s="182">
        <v>0</v>
      </c>
    </row>
    <row r="81" spans="1:58">
      <c r="A81" s="4">
        <v>41622</v>
      </c>
      <c r="B81" s="49">
        <v>-1.31E-5</v>
      </c>
      <c r="C81" s="50">
        <v>0.93</v>
      </c>
      <c r="D81" s="49">
        <f t="shared" si="6"/>
        <v>-1.8863999999999999E-2</v>
      </c>
      <c r="E81" s="266">
        <v>1.3745521919043875</v>
      </c>
      <c r="F81" s="52">
        <v>-1.3940416677820325E-2</v>
      </c>
      <c r="G81" s="51">
        <f t="shared" si="0"/>
        <v>4.923583322179674E-3</v>
      </c>
      <c r="H81" s="297">
        <v>0.64572383353403107</v>
      </c>
      <c r="I81" s="69">
        <v>41622</v>
      </c>
      <c r="J81" s="72">
        <v>-1.31E-5</v>
      </c>
      <c r="K81" s="68">
        <v>0.876</v>
      </c>
      <c r="L81" s="70">
        <f t="shared" si="7"/>
        <v>-1.8863999999999999E-2</v>
      </c>
      <c r="M81" s="70">
        <v>2.6219521919043878</v>
      </c>
      <c r="N81" s="63">
        <v>-1.2058056972454173E-3</v>
      </c>
      <c r="O81" s="62">
        <f t="shared" si="1"/>
        <v>1.765819430275458E-2</v>
      </c>
      <c r="P81" s="297">
        <v>1.8776933058828862</v>
      </c>
      <c r="Q81" s="89">
        <v>41622</v>
      </c>
      <c r="R81" s="86">
        <v>-9.9999999999999995E-7</v>
      </c>
      <c r="S81" s="90">
        <v>7.3999999999999996E-2</v>
      </c>
      <c r="T81" s="86">
        <f t="shared" si="8"/>
        <v>-1.4399999999999999E-3</v>
      </c>
      <c r="U81" s="107">
        <v>2.9589521919043884</v>
      </c>
      <c r="V81" s="108">
        <v>-8.7303700252423788E-3</v>
      </c>
      <c r="W81" s="94">
        <f t="shared" si="3"/>
        <v>-7.2903700252423785E-3</v>
      </c>
      <c r="X81" s="297">
        <v>-0.59803434481955664</v>
      </c>
      <c r="Y81" s="142">
        <f t="shared" si="9"/>
        <v>41622</v>
      </c>
      <c r="Z81" s="138">
        <v>-8.5299999999999996E-6</v>
      </c>
      <c r="AA81" s="144">
        <v>0.871</v>
      </c>
      <c r="AB81" s="138">
        <f t="shared" si="10"/>
        <v>-1.2283199999999999E-2</v>
      </c>
      <c r="AC81" s="138">
        <v>2.5224521919043883</v>
      </c>
      <c r="AD81" s="138">
        <v>-2.0863280111500584E-2</v>
      </c>
      <c r="AE81" s="138">
        <f t="shared" si="11"/>
        <v>-8.5800801115005852E-3</v>
      </c>
      <c r="AF81" s="297">
        <v>-0.72372216629408659</v>
      </c>
      <c r="AG81" s="89">
        <v>41622</v>
      </c>
      <c r="AH81" s="279">
        <v>-0.5</v>
      </c>
      <c r="AI81" s="182">
        <v>0</v>
      </c>
    </row>
    <row r="82" spans="1:58">
      <c r="A82" s="4">
        <v>41623</v>
      </c>
      <c r="B82" s="49">
        <v>-1.52E-5</v>
      </c>
      <c r="C82" s="50">
        <v>0.95299999999999996</v>
      </c>
      <c r="D82" s="49">
        <f t="shared" si="6"/>
        <v>-2.1888000000000001E-2</v>
      </c>
      <c r="E82" s="266">
        <v>1.3461162032028562</v>
      </c>
      <c r="F82" s="52">
        <v>-1.3409014024245509E-2</v>
      </c>
      <c r="G82" s="51">
        <f t="shared" si="0"/>
        <v>8.4789859757544925E-3</v>
      </c>
      <c r="H82" s="291">
        <v>0.87132815394478991</v>
      </c>
      <c r="I82" s="69">
        <v>41623</v>
      </c>
      <c r="J82" s="72">
        <v>-9.6299999999999993E-6</v>
      </c>
      <c r="K82" s="68">
        <v>0.874</v>
      </c>
      <c r="L82" s="70">
        <f t="shared" si="7"/>
        <v>-1.38672E-2</v>
      </c>
      <c r="M82" s="70">
        <v>2.5973162032028565</v>
      </c>
      <c r="N82" s="63">
        <v>-7.5953903561067244E-4</v>
      </c>
      <c r="O82" s="62">
        <f t="shared" si="1"/>
        <v>1.3107660964389327E-2</v>
      </c>
      <c r="P82" s="291">
        <v>1.3107660964389327</v>
      </c>
      <c r="Q82" s="89">
        <v>41623</v>
      </c>
      <c r="R82" s="86">
        <v>-1.1399999999999999E-5</v>
      </c>
      <c r="S82" s="90">
        <v>0.83199999999999996</v>
      </c>
      <c r="T82" s="86">
        <f t="shared" si="8"/>
        <v>-1.6416E-2</v>
      </c>
      <c r="U82" s="107">
        <v>2.9403162032028556</v>
      </c>
      <c r="V82" s="108">
        <v>-8.7000854006441929E-3</v>
      </c>
      <c r="W82" s="94">
        <f t="shared" si="3"/>
        <v>7.7159145993558071E-3</v>
      </c>
      <c r="X82" s="291">
        <v>0.77159145993558076</v>
      </c>
      <c r="Y82" s="142">
        <f t="shared" si="9"/>
        <v>41623</v>
      </c>
      <c r="Z82" s="138">
        <v>-1.2300000000000001E-5</v>
      </c>
      <c r="AA82" s="144">
        <v>0.93600000000000005</v>
      </c>
      <c r="AB82" s="138">
        <f t="shared" si="10"/>
        <v>-1.7712000000000002E-2</v>
      </c>
      <c r="AC82" s="138">
        <v>2.500216203202855</v>
      </c>
      <c r="AD82" s="138">
        <v>-2.039448526949654E-2</v>
      </c>
      <c r="AE82" s="138">
        <f t="shared" si="11"/>
        <v>-2.682485269496538E-3</v>
      </c>
      <c r="AF82" s="291">
        <v>-0.26824852694965379</v>
      </c>
      <c r="AG82" s="89">
        <v>41623</v>
      </c>
      <c r="AH82" s="279">
        <v>0</v>
      </c>
      <c r="AI82" s="182">
        <v>1</v>
      </c>
    </row>
    <row r="83" spans="1:58">
      <c r="A83" s="4">
        <v>41624</v>
      </c>
      <c r="B83" s="49">
        <v>-1.5E-5</v>
      </c>
      <c r="C83" s="50">
        <v>0.95</v>
      </c>
      <c r="D83" s="49">
        <f t="shared" si="6"/>
        <v>-2.1600000000000001E-2</v>
      </c>
      <c r="E83" s="266">
        <v>1.3168452457095339</v>
      </c>
      <c r="F83" s="52">
        <v>-1.2834900757888634E-2</v>
      </c>
      <c r="G83" s="51">
        <f t="shared" si="0"/>
        <v>8.7650992421113676E-3</v>
      </c>
      <c r="H83" s="291">
        <v>0.89640674203299264</v>
      </c>
      <c r="I83" s="69">
        <v>41624</v>
      </c>
      <c r="J83" s="70">
        <v>-6.9999999999999999E-6</v>
      </c>
      <c r="K83" s="71">
        <v>0.69099999999999995</v>
      </c>
      <c r="L83" s="70">
        <f t="shared" si="7"/>
        <v>-1.008E-2</v>
      </c>
      <c r="M83" s="70">
        <v>2.5751452457095354</v>
      </c>
      <c r="N83" s="63">
        <v>-7.5846135640285231E-4</v>
      </c>
      <c r="O83" s="62">
        <f t="shared" si="1"/>
        <v>9.3215386435971485E-3</v>
      </c>
      <c r="P83" s="291">
        <v>0.9307138643597147</v>
      </c>
      <c r="Q83" s="89">
        <v>41624</v>
      </c>
      <c r="R83" s="86">
        <v>-1.6500000000000001E-5</v>
      </c>
      <c r="S83" s="90">
        <v>0.92500000000000004</v>
      </c>
      <c r="T83" s="86">
        <f t="shared" si="8"/>
        <v>-2.3760000000000003E-2</v>
      </c>
      <c r="U83" s="107">
        <v>2.9093452457095355</v>
      </c>
      <c r="V83" s="108">
        <v>-8.6470898717784343E-3</v>
      </c>
      <c r="W83" s="94">
        <f t="shared" si="3"/>
        <v>1.5112910128221569E-2</v>
      </c>
      <c r="X83" s="291">
        <v>1.5112910128221568</v>
      </c>
      <c r="Y83" s="142">
        <f t="shared" si="9"/>
        <v>41624</v>
      </c>
      <c r="Z83" s="138">
        <v>-1.5400000000000002E-5</v>
      </c>
      <c r="AA83" s="144">
        <v>0.92300000000000004</v>
      </c>
      <c r="AB83" s="138">
        <f t="shared" si="10"/>
        <v>-2.2176000000000001E-2</v>
      </c>
      <c r="AC83" s="138">
        <v>2.4751452457095353</v>
      </c>
      <c r="AD83" s="138">
        <v>-1.9818663109586316E-2</v>
      </c>
      <c r="AE83" s="138">
        <f t="shared" si="11"/>
        <v>2.3573368904136853E-3</v>
      </c>
      <c r="AF83" s="291">
        <v>0.23573368904136854</v>
      </c>
      <c r="AG83" s="89">
        <v>41624</v>
      </c>
      <c r="AH83" s="279">
        <v>0</v>
      </c>
      <c r="AI83" s="182">
        <v>2</v>
      </c>
    </row>
    <row r="84" spans="1:58">
      <c r="A84" s="4">
        <v>41625</v>
      </c>
      <c r="B84" s="49">
        <v>-1.33E-5</v>
      </c>
      <c r="C84" s="50">
        <v>0.89100000000000001</v>
      </c>
      <c r="D84" s="49">
        <f t="shared" si="6"/>
        <v>-1.9151999999999999E-2</v>
      </c>
      <c r="E84" s="266">
        <v>1.2877566978348676</v>
      </c>
      <c r="F84" s="52">
        <v>-1.2235175820944301E-2</v>
      </c>
      <c r="G84" s="51">
        <f t="shared" si="0"/>
        <v>6.9168241790556976E-3</v>
      </c>
      <c r="H84" s="291">
        <v>0.70789213415719776</v>
      </c>
      <c r="I84" s="69">
        <v>41625</v>
      </c>
      <c r="J84" s="70">
        <v>-9.02E-6</v>
      </c>
      <c r="K84" s="71">
        <v>0.88300000000000001</v>
      </c>
      <c r="L84" s="70">
        <f t="shared" si="7"/>
        <v>-1.29888E-2</v>
      </c>
      <c r="M84" s="70">
        <v>2.5535566978348676</v>
      </c>
      <c r="N84" s="63">
        <v>-7.5705864838152654E-4</v>
      </c>
      <c r="O84" s="62">
        <f t="shared" si="1"/>
        <v>1.2231741351618473E-2</v>
      </c>
      <c r="P84" s="291">
        <v>1.2231741351618473</v>
      </c>
      <c r="Q84" s="89">
        <v>41625</v>
      </c>
      <c r="R84" s="86">
        <v>-1.6900000000000001E-5</v>
      </c>
      <c r="S84" s="90">
        <v>0.94499999999999995</v>
      </c>
      <c r="T84" s="86">
        <f t="shared" si="8"/>
        <v>-2.4336E-2</v>
      </c>
      <c r="U84" s="107">
        <v>2.8816566978348677</v>
      </c>
      <c r="V84" s="108">
        <v>-8.5967720021060488E-3</v>
      </c>
      <c r="W84" s="94">
        <f t="shared" si="3"/>
        <v>1.5739227997893949E-2</v>
      </c>
      <c r="X84" s="291">
        <v>1.573922799789395</v>
      </c>
      <c r="Y84" s="142">
        <f t="shared" si="9"/>
        <v>41625</v>
      </c>
      <c r="Z84" s="138">
        <v>-1.3900000000000001E-5</v>
      </c>
      <c r="AA84" s="144">
        <v>0.95199999999999996</v>
      </c>
      <c r="AB84" s="138">
        <f t="shared" si="10"/>
        <v>-2.0016000000000003E-2</v>
      </c>
      <c r="AC84" s="138">
        <v>2.4447566978348667</v>
      </c>
      <c r="AD84" s="138">
        <v>-1.9048539826576096E-2</v>
      </c>
      <c r="AE84" s="138">
        <f t="shared" si="11"/>
        <v>9.6746017342390703E-4</v>
      </c>
      <c r="AF84" s="291">
        <v>9.6746017342390703E-2</v>
      </c>
      <c r="AG84" s="89">
        <v>41625</v>
      </c>
      <c r="AH84" s="279">
        <v>0</v>
      </c>
      <c r="AI84" s="182">
        <v>3</v>
      </c>
      <c r="BF84" s="134">
        <f>0.9*0.3</f>
        <v>0.27</v>
      </c>
    </row>
    <row r="85" spans="1:58">
      <c r="A85" s="4">
        <v>41626</v>
      </c>
      <c r="B85" s="49">
        <v>-1.38E-5</v>
      </c>
      <c r="C85" s="50">
        <v>0.94399999999999995</v>
      </c>
      <c r="D85" s="49">
        <f t="shared" si="6"/>
        <v>-1.9872000000000001E-2</v>
      </c>
      <c r="E85" s="266">
        <v>1.2599575104730953</v>
      </c>
      <c r="F85" s="52">
        <v>-1.1632871530592571E-2</v>
      </c>
      <c r="G85" s="51">
        <f t="shared" si="0"/>
        <v>8.2391284694074297E-3</v>
      </c>
      <c r="H85" s="291">
        <v>0.83642274920172555</v>
      </c>
      <c r="I85" s="69">
        <v>41626</v>
      </c>
      <c r="J85" s="70">
        <v>-1.2300000000000001E-5</v>
      </c>
      <c r="K85" s="71">
        <v>0.93799999999999994</v>
      </c>
      <c r="L85" s="70">
        <f t="shared" si="7"/>
        <v>-1.7712000000000002E-2</v>
      </c>
      <c r="M85" s="70">
        <v>2.5267575104730966</v>
      </c>
      <c r="N85" s="63">
        <v>-7.5479827251059817E-4</v>
      </c>
      <c r="O85" s="62">
        <f t="shared" si="1"/>
        <v>1.6957201727489404E-2</v>
      </c>
      <c r="P85" s="291">
        <v>1.6957201727489404</v>
      </c>
      <c r="Q85" s="89">
        <v>41626</v>
      </c>
      <c r="R85" s="86">
        <v>-1.7099999999999999E-5</v>
      </c>
      <c r="S85" s="90">
        <v>-0.94499999999999995</v>
      </c>
      <c r="T85" s="86">
        <f t="shared" si="8"/>
        <v>-2.4624E-2</v>
      </c>
      <c r="U85" s="107">
        <v>2.8446575104730956</v>
      </c>
      <c r="V85" s="108">
        <v>-8.5249710287702597E-3</v>
      </c>
      <c r="W85" s="94">
        <f t="shared" si="3"/>
        <v>1.609902897122974E-2</v>
      </c>
      <c r="X85" s="291">
        <v>1.6099028971229741</v>
      </c>
      <c r="Y85" s="142">
        <f t="shared" si="9"/>
        <v>41626</v>
      </c>
      <c r="Z85" s="138">
        <v>-2.0599999999999999E-5</v>
      </c>
      <c r="AA85" s="144">
        <v>0.97799999999999998</v>
      </c>
      <c r="AB85" s="138">
        <f t="shared" si="10"/>
        <v>-2.9663999999999999E-2</v>
      </c>
      <c r="AC85" s="138">
        <v>2.4068575104730967</v>
      </c>
      <c r="AD85" s="138">
        <v>-1.7967181110306017E-2</v>
      </c>
      <c r="AE85" s="138">
        <f t="shared" si="11"/>
        <v>1.1696818889693983E-2</v>
      </c>
      <c r="AF85" s="291">
        <v>1.1696818889693983</v>
      </c>
      <c r="AG85" s="89">
        <v>41626</v>
      </c>
      <c r="AH85" s="279">
        <v>0</v>
      </c>
      <c r="AI85" s="182">
        <v>4</v>
      </c>
      <c r="BF85" s="134">
        <f>2.79*0.1</f>
        <v>0.27900000000000003</v>
      </c>
    </row>
    <row r="86" spans="1:58">
      <c r="A86" s="4">
        <v>41627</v>
      </c>
      <c r="B86" s="49">
        <v>-1.17E-5</v>
      </c>
      <c r="C86" s="50">
        <v>0.90800000000000003</v>
      </c>
      <c r="D86" s="49">
        <f t="shared" si="6"/>
        <v>-1.6847999999999998E-2</v>
      </c>
      <c r="E86" s="266">
        <v>1.2310082253497936</v>
      </c>
      <c r="F86" s="52">
        <v>-1.0973117212504897E-2</v>
      </c>
      <c r="G86" s="51">
        <f t="shared" si="0"/>
        <v>5.8748827874951018E-3</v>
      </c>
      <c r="H86" s="291">
        <v>0.5959488818825418</v>
      </c>
      <c r="I86" s="69">
        <v>41627</v>
      </c>
      <c r="J86" s="70">
        <v>-3.6000000000000001E-5</v>
      </c>
      <c r="K86" s="71">
        <v>0.99099999999999999</v>
      </c>
      <c r="L86" s="70">
        <f t="shared" si="7"/>
        <v>-5.1840000000000004E-2</v>
      </c>
      <c r="M86" s="70">
        <v>2.4946082253497934</v>
      </c>
      <c r="N86" s="63">
        <v>-7.5126682703474277E-4</v>
      </c>
      <c r="O86" s="62">
        <f t="shared" si="1"/>
        <v>5.1088733172965264E-2</v>
      </c>
      <c r="P86" s="291">
        <f>0.78*O86-0.57</f>
        <v>-0.53015078812508709</v>
      </c>
      <c r="Q86" s="89">
        <v>41627</v>
      </c>
      <c r="R86" s="86">
        <v>-1.8300000000000001E-5</v>
      </c>
      <c r="S86" s="90">
        <v>0.94599999999999995</v>
      </c>
      <c r="T86" s="86">
        <f t="shared" si="8"/>
        <v>-2.6352E-2</v>
      </c>
      <c r="U86" s="107">
        <v>2.8065082253497939</v>
      </c>
      <c r="V86" s="108">
        <v>-8.4451542279765073E-3</v>
      </c>
      <c r="W86" s="94">
        <f t="shared" si="3"/>
        <v>1.7906845772023491E-2</v>
      </c>
      <c r="X86" s="291">
        <v>1.7906845772023492</v>
      </c>
      <c r="Y86" s="142">
        <f t="shared" si="9"/>
        <v>41627</v>
      </c>
      <c r="Z86" s="138">
        <v>-2.2500000000000001E-5</v>
      </c>
      <c r="AA86" s="144">
        <v>0.98299999999999998</v>
      </c>
      <c r="AB86" s="138">
        <f t="shared" si="10"/>
        <v>-3.2400000000000005E-2</v>
      </c>
      <c r="AC86" s="138">
        <v>2.3701082253497936</v>
      </c>
      <c r="AD86" s="138">
        <v>-1.6777256467638862E-2</v>
      </c>
      <c r="AE86" s="138">
        <f t="shared" si="11"/>
        <v>1.5622743532361143E-2</v>
      </c>
      <c r="AF86" s="291">
        <v>1.5622743532361143</v>
      </c>
      <c r="AG86" s="89">
        <v>41627</v>
      </c>
      <c r="AH86" s="279">
        <v>0</v>
      </c>
      <c r="AI86" s="182">
        <v>5</v>
      </c>
      <c r="BF86" s="134">
        <f>SUM(BF84:BF85)</f>
        <v>0.54900000000000004</v>
      </c>
    </row>
    <row r="87" spans="1:58">
      <c r="A87" s="4">
        <v>41628</v>
      </c>
      <c r="B87" s="49">
        <v>-1.11E-5</v>
      </c>
      <c r="C87" s="50">
        <v>0.89600000000000002</v>
      </c>
      <c r="D87" s="49">
        <f t="shared" si="6"/>
        <v>-1.5984000000000002E-2</v>
      </c>
      <c r="E87" s="266">
        <v>1.2057875728895202</v>
      </c>
      <c r="F87" s="52">
        <v>-1.0369338029213838E-2</v>
      </c>
      <c r="G87" s="51">
        <f t="shared" ref="G87:G117" si="14">-D87+F87</f>
        <v>5.6146619707861632E-3</v>
      </c>
      <c r="H87" s="291">
        <v>0.56622401522079313</v>
      </c>
      <c r="I87" s="69">
        <v>41628</v>
      </c>
      <c r="J87" s="70">
        <v>-1.49E-5</v>
      </c>
      <c r="K87" s="71">
        <v>0.96899999999999997</v>
      </c>
      <c r="L87" s="70">
        <f t="shared" si="7"/>
        <v>-2.1455999999999999E-2</v>
      </c>
      <c r="M87" s="70">
        <v>2.456787572889521</v>
      </c>
      <c r="N87" s="63">
        <v>-7.4585601516913801E-4</v>
      </c>
      <c r="O87" s="62">
        <f t="shared" ref="O87:O111" si="15">-L87+N87</f>
        <v>2.0710143984830863E-2</v>
      </c>
      <c r="P87" s="291">
        <v>2.0710143984830864</v>
      </c>
      <c r="Q87" s="89">
        <v>41628</v>
      </c>
      <c r="R87" s="86">
        <v>-1.9700000000000001E-5</v>
      </c>
      <c r="S87" s="90">
        <v>0.94599999999999995</v>
      </c>
      <c r="T87" s="86">
        <f t="shared" si="8"/>
        <v>-2.8368000000000001E-2</v>
      </c>
      <c r="U87" s="107">
        <v>2.7656875728895214</v>
      </c>
      <c r="V87" s="108">
        <v>-8.3528129703264141E-3</v>
      </c>
      <c r="W87" s="94">
        <f t="shared" ref="W87:W150" si="16">-T87+V87</f>
        <v>2.0015187029673587E-2</v>
      </c>
      <c r="X87" s="291">
        <v>2.0015187029673589</v>
      </c>
      <c r="Y87" s="142">
        <f t="shared" si="9"/>
        <v>41628</v>
      </c>
      <c r="Z87" s="138">
        <v>-6.1500000000000004E-5</v>
      </c>
      <c r="AA87" s="144">
        <v>0.997</v>
      </c>
      <c r="AB87" s="138">
        <f t="shared" si="10"/>
        <v>-8.856E-2</v>
      </c>
      <c r="AC87" s="138">
        <v>2.3149875728895206</v>
      </c>
      <c r="AD87" s="138">
        <v>-1.4697483604611743E-2</v>
      </c>
      <c r="AE87" s="138">
        <f t="shared" si="11"/>
        <v>7.3862516395388253E-2</v>
      </c>
      <c r="AF87" s="291">
        <f t="shared" ref="AF87:AF90" si="17">0.78*AE87-0.57</f>
        <v>-0.51238723721159707</v>
      </c>
      <c r="AG87" s="89">
        <v>41628</v>
      </c>
      <c r="AH87" s="279">
        <v>0</v>
      </c>
      <c r="AI87" s="182">
        <v>6</v>
      </c>
    </row>
    <row r="88" spans="1:58">
      <c r="A88" s="4">
        <v>41629</v>
      </c>
      <c r="B88" s="49">
        <v>-1.1E-5</v>
      </c>
      <c r="C88" s="50">
        <v>0.879</v>
      </c>
      <c r="D88" s="49">
        <f t="shared" ref="D88:D117" si="18">B88*1440</f>
        <v>-1.584E-2</v>
      </c>
      <c r="E88" s="266">
        <v>1.1813288895585292</v>
      </c>
      <c r="F88" s="52">
        <v>-9.756191522268573E-3</v>
      </c>
      <c r="G88" s="51">
        <f t="shared" si="14"/>
        <v>6.0838084777314269E-3</v>
      </c>
      <c r="H88" s="291">
        <v>0.60938117859142304</v>
      </c>
      <c r="I88" s="69">
        <v>41629</v>
      </c>
      <c r="J88" s="72">
        <v>-1.6900000000000001E-5</v>
      </c>
      <c r="K88" s="71">
        <v>0.96599999999999997</v>
      </c>
      <c r="L88" s="70">
        <f t="shared" ref="L88:L111" si="19">J88*1440</f>
        <v>-2.4336E-2</v>
      </c>
      <c r="M88" s="70">
        <v>2.42622888955853</v>
      </c>
      <c r="N88" s="63">
        <v>-7.4039175108095618E-4</v>
      </c>
      <c r="O88" s="62">
        <f t="shared" si="15"/>
        <v>2.3595608248919042E-2</v>
      </c>
      <c r="P88" s="291">
        <v>2.3595608248919042</v>
      </c>
      <c r="Q88" s="89">
        <v>41629</v>
      </c>
      <c r="R88" s="86">
        <v>-2.5999999999999998E-5</v>
      </c>
      <c r="S88" s="90">
        <v>0.98</v>
      </c>
      <c r="T88" s="86">
        <f t="shared" ref="T88:T150" si="20">R88*1440</f>
        <v>-3.7440000000000001E-2</v>
      </c>
      <c r="U88" s="107">
        <v>2.7222288895585303</v>
      </c>
      <c r="V88" s="108">
        <v>-8.246065639794008E-3</v>
      </c>
      <c r="W88" s="94">
        <f t="shared" si="16"/>
        <v>2.9193934360205995E-2</v>
      </c>
      <c r="X88" s="291">
        <v>2.9193934360205995</v>
      </c>
      <c r="Y88" s="142">
        <f t="shared" ref="Y88:Y150" si="21">Y87+1</f>
        <v>41629</v>
      </c>
      <c r="Z88" s="138">
        <v>-6.1699999999999995E-5</v>
      </c>
      <c r="AA88" s="144">
        <v>0.997</v>
      </c>
      <c r="AB88" s="138">
        <f t="shared" ref="AB88:AB150" si="22">Z88*1440</f>
        <v>-8.8847999999999996E-2</v>
      </c>
      <c r="AC88" s="138">
        <v>2.2296288895585294</v>
      </c>
      <c r="AD88" s="138">
        <v>-1.0648479452855636E-2</v>
      </c>
      <c r="AE88" s="138">
        <f t="shared" ref="AE88:AE150" si="23">-AB88+AD88</f>
        <v>7.8199520547144366E-2</v>
      </c>
      <c r="AF88" s="291">
        <f t="shared" si="17"/>
        <v>-0.50900437397322729</v>
      </c>
      <c r="AG88" s="89">
        <v>41629</v>
      </c>
      <c r="AH88" s="279">
        <v>0</v>
      </c>
      <c r="AI88" s="182">
        <v>7</v>
      </c>
    </row>
    <row r="89" spans="1:58">
      <c r="A89" s="4">
        <v>41630</v>
      </c>
      <c r="B89" s="49">
        <v>-1.4100000000000001E-5</v>
      </c>
      <c r="C89" s="50">
        <v>0.94099999999999995</v>
      </c>
      <c r="D89" s="49">
        <f t="shared" si="18"/>
        <v>-2.0303999999999999E-2</v>
      </c>
      <c r="E89" s="266">
        <v>1.1558933107006486</v>
      </c>
      <c r="F89" s="52">
        <v>-9.2888243115744652E-3</v>
      </c>
      <c r="G89" s="51">
        <f t="shared" si="14"/>
        <v>1.1015175688425534E-2</v>
      </c>
      <c r="H89" s="291">
        <v>1.1015175688425534</v>
      </c>
      <c r="I89" s="69">
        <v>41630</v>
      </c>
      <c r="J89" s="72">
        <v>-3.3300000000000003E-5</v>
      </c>
      <c r="K89" s="70">
        <v>0.97699999999999998</v>
      </c>
      <c r="L89" s="70">
        <f t="shared" si="19"/>
        <v>-4.7952000000000002E-2</v>
      </c>
      <c r="M89" s="70">
        <v>2.3935933107006484</v>
      </c>
      <c r="N89" s="63">
        <v>-7.3336845239881327E-4</v>
      </c>
      <c r="O89" s="62">
        <f t="shared" si="15"/>
        <v>4.7218631547601191E-2</v>
      </c>
      <c r="P89" s="291">
        <v>4.7218631547601193</v>
      </c>
      <c r="Q89" s="89">
        <v>41630</v>
      </c>
      <c r="R89" s="86">
        <v>-1.66E-5</v>
      </c>
      <c r="S89" s="90">
        <v>0.94199999999999995</v>
      </c>
      <c r="T89" s="86">
        <f t="shared" si="20"/>
        <v>-2.3904000000000002E-2</v>
      </c>
      <c r="U89" s="107">
        <v>2.677693310700648</v>
      </c>
      <c r="V89" s="108">
        <v>-8.1269629446972785E-3</v>
      </c>
      <c r="W89" s="94">
        <f t="shared" si="16"/>
        <v>1.5777037055302721E-2</v>
      </c>
      <c r="X89" s="291">
        <v>1.5777037055302721</v>
      </c>
      <c r="Y89" s="142">
        <f t="shared" si="21"/>
        <v>41630</v>
      </c>
      <c r="Z89" s="138">
        <v>-5.3499999999999999E-5</v>
      </c>
      <c r="AA89" s="144">
        <v>0.996</v>
      </c>
      <c r="AB89" s="138">
        <f t="shared" si="22"/>
        <v>-7.7039999999999997E-2</v>
      </c>
      <c r="AC89" s="138">
        <v>2.1447933107006487</v>
      </c>
      <c r="AD89" s="138">
        <v>-5.3828997546796209E-3</v>
      </c>
      <c r="AE89" s="138">
        <f t="shared" si="23"/>
        <v>7.1657100245320376E-2</v>
      </c>
      <c r="AF89" s="291">
        <f t="shared" si="17"/>
        <v>-0.51410746180865008</v>
      </c>
      <c r="AG89" s="89">
        <v>41630</v>
      </c>
      <c r="AH89" s="279">
        <v>0</v>
      </c>
      <c r="AI89" s="182">
        <v>8</v>
      </c>
    </row>
    <row r="90" spans="1:58" ht="18">
      <c r="A90" s="4">
        <v>41631</v>
      </c>
      <c r="B90" s="54">
        <v>-1.01E-5</v>
      </c>
      <c r="C90" s="50">
        <v>0.89300000000000002</v>
      </c>
      <c r="D90" s="49">
        <f t="shared" si="18"/>
        <v>-1.4544E-2</v>
      </c>
      <c r="E90" s="266">
        <v>1.1294738854216377</v>
      </c>
      <c r="F90" s="52">
        <v>-8.8492555041352616E-3</v>
      </c>
      <c r="G90" s="51">
        <f t="shared" si="14"/>
        <v>5.694744495864738E-3</v>
      </c>
      <c r="H90" s="291">
        <v>0.56947444958647375</v>
      </c>
      <c r="I90" s="69">
        <v>41631</v>
      </c>
      <c r="J90" s="62">
        <v>-1.88E-5</v>
      </c>
      <c r="K90" s="62">
        <v>0.96799999999999997</v>
      </c>
      <c r="L90" s="70">
        <f t="shared" si="19"/>
        <v>-2.7071999999999999E-2</v>
      </c>
      <c r="M90" s="62">
        <v>2.3505738854216389</v>
      </c>
      <c r="N90" s="63">
        <v>-7.2203449834137216E-4</v>
      </c>
      <c r="O90" s="62">
        <f t="shared" si="15"/>
        <v>2.6349965501658627E-2</v>
      </c>
      <c r="P90" s="291">
        <v>2.6349965501658628</v>
      </c>
      <c r="Q90" s="89">
        <v>41631</v>
      </c>
      <c r="R90" s="86">
        <v>-1.59E-5</v>
      </c>
      <c r="S90" s="90">
        <v>0.88300000000000001</v>
      </c>
      <c r="T90" s="86">
        <f t="shared" si="20"/>
        <v>-2.2896E-2</v>
      </c>
      <c r="U90" s="107">
        <v>2.6445738854216385</v>
      </c>
      <c r="V90" s="108">
        <v>-8.0315632726529335E-3</v>
      </c>
      <c r="W90" s="94">
        <f t="shared" si="16"/>
        <v>1.4864436727347066E-2</v>
      </c>
      <c r="X90" s="291">
        <v>1.4864436727347066</v>
      </c>
      <c r="Y90" s="142">
        <f t="shared" si="21"/>
        <v>41631</v>
      </c>
      <c r="Z90" s="138">
        <v>-3.4499999999999998E-5</v>
      </c>
      <c r="AA90" s="144">
        <v>0.99099999999999999</v>
      </c>
      <c r="AB90" s="138">
        <f t="shared" si="22"/>
        <v>-4.9679999999999995E-2</v>
      </c>
      <c r="AC90" s="138">
        <v>2.076373885421638</v>
      </c>
      <c r="AD90" s="138">
        <v>0</v>
      </c>
      <c r="AE90" s="138">
        <f t="shared" si="23"/>
        <v>4.9679999999999995E-2</v>
      </c>
      <c r="AF90" s="291">
        <f t="shared" si="17"/>
        <v>-0.53124959999999999</v>
      </c>
      <c r="AG90" s="89">
        <v>41631</v>
      </c>
      <c r="AH90" s="279">
        <v>0</v>
      </c>
      <c r="AI90" s="182">
        <v>9</v>
      </c>
    </row>
    <row r="91" spans="1:58" ht="18">
      <c r="A91" s="4">
        <v>41632</v>
      </c>
      <c r="B91" s="54">
        <v>-8.5499999999999995E-6</v>
      </c>
      <c r="C91" s="50">
        <v>0.8</v>
      </c>
      <c r="D91" s="49">
        <f t="shared" si="18"/>
        <v>-1.2312E-2</v>
      </c>
      <c r="E91" s="266">
        <v>1.1028156048852229</v>
      </c>
      <c r="F91" s="52">
        <v>-8.3816400787774005E-3</v>
      </c>
      <c r="G91" s="51">
        <f t="shared" si="14"/>
        <v>3.9303599212225995E-3</v>
      </c>
      <c r="H91" s="291">
        <v>0.39303599212225993</v>
      </c>
      <c r="I91" s="69">
        <v>41632</v>
      </c>
      <c r="J91" s="62">
        <v>-1.4800000000000001E-5</v>
      </c>
      <c r="K91" s="62">
        <v>0.94899999999999995</v>
      </c>
      <c r="L91" s="70">
        <f t="shared" si="19"/>
        <v>-2.1312000000000001E-2</v>
      </c>
      <c r="M91" s="62">
        <v>2.3118156048852239</v>
      </c>
      <c r="N91" s="63">
        <v>-7.095659373483464E-4</v>
      </c>
      <c r="O91" s="62">
        <f t="shared" si="15"/>
        <v>2.0602434062651654E-2</v>
      </c>
      <c r="P91" s="291">
        <v>2.0602434062651653</v>
      </c>
      <c r="Q91" s="89">
        <v>41632</v>
      </c>
      <c r="R91" s="86">
        <v>-1.5299999999999999E-5</v>
      </c>
      <c r="S91" s="90">
        <v>0.91600000000000004</v>
      </c>
      <c r="T91" s="86">
        <f t="shared" si="20"/>
        <v>-2.2032E-2</v>
      </c>
      <c r="U91" s="107">
        <v>2.6126156048852236</v>
      </c>
      <c r="V91" s="108">
        <v>-7.9336282326570185E-3</v>
      </c>
      <c r="W91" s="94">
        <f t="shared" si="16"/>
        <v>1.4098371767342981E-2</v>
      </c>
      <c r="X91" s="291">
        <v>1.4098371767342981</v>
      </c>
      <c r="Y91" s="142">
        <f t="shared" si="21"/>
        <v>41632</v>
      </c>
      <c r="Z91" s="138">
        <v>-2.4600000000000002E-5</v>
      </c>
      <c r="AA91" s="144">
        <v>0.98499999999999999</v>
      </c>
      <c r="AB91" s="138">
        <f t="shared" si="22"/>
        <v>-3.5424000000000004E-2</v>
      </c>
      <c r="AC91" s="138">
        <v>2.0227156048852222</v>
      </c>
      <c r="AD91" s="138">
        <v>0</v>
      </c>
      <c r="AE91" s="138">
        <f t="shared" si="23"/>
        <v>3.5424000000000004E-2</v>
      </c>
      <c r="AF91" s="291">
        <v>3.5424000000000002</v>
      </c>
      <c r="AG91" s="89">
        <v>41632</v>
      </c>
      <c r="AH91" s="279">
        <v>0</v>
      </c>
      <c r="AI91" s="182">
        <v>10</v>
      </c>
    </row>
    <row r="92" spans="1:58">
      <c r="A92" s="4">
        <v>41633</v>
      </c>
      <c r="B92" s="49">
        <v>-9.02E-6</v>
      </c>
      <c r="C92" s="50">
        <v>0.78900000000000003</v>
      </c>
      <c r="D92" s="49">
        <f t="shared" si="18"/>
        <v>-1.29888E-2</v>
      </c>
      <c r="E92" s="266">
        <v>1.0784434202106383</v>
      </c>
      <c r="F92" s="52">
        <v>-7.9313563643456046E-3</v>
      </c>
      <c r="G92" s="51">
        <f t="shared" si="14"/>
        <v>5.0574436356543954E-3</v>
      </c>
      <c r="H92" s="291">
        <v>0.5057443635654395</v>
      </c>
      <c r="I92" s="69">
        <v>41633</v>
      </c>
      <c r="J92" s="62">
        <v>-2.0299999999999999E-5</v>
      </c>
      <c r="K92" s="62">
        <v>0.98099999999999998</v>
      </c>
      <c r="L92" s="70">
        <f t="shared" si="19"/>
        <v>-2.9231999999999998E-2</v>
      </c>
      <c r="M92" s="62">
        <v>2.2767434202106376</v>
      </c>
      <c r="N92" s="63">
        <v>-6.9621957618253916E-4</v>
      </c>
      <c r="O92" s="62">
        <f t="shared" si="15"/>
        <v>2.8535780423817457E-2</v>
      </c>
      <c r="P92" s="291">
        <v>2.8535780423817458</v>
      </c>
      <c r="Q92" s="89">
        <v>41633</v>
      </c>
      <c r="R92" s="86">
        <v>-1.5800000000000001E-5</v>
      </c>
      <c r="S92" s="90">
        <v>0.93300000000000005</v>
      </c>
      <c r="T92" s="86">
        <f t="shared" si="20"/>
        <v>-2.2752000000000001E-2</v>
      </c>
      <c r="U92" s="107">
        <v>2.5780434202106379</v>
      </c>
      <c r="V92" s="108">
        <v>-7.8207923085348192E-3</v>
      </c>
      <c r="W92" s="94">
        <f t="shared" si="16"/>
        <v>1.4931207691465182E-2</v>
      </c>
      <c r="X92" s="291">
        <v>1.4931207691465183</v>
      </c>
      <c r="Y92" s="142">
        <f t="shared" si="21"/>
        <v>41633</v>
      </c>
      <c r="Z92" s="138">
        <v>-2.3900000000000002E-5</v>
      </c>
      <c r="AA92" s="144">
        <v>0.97899999999999998</v>
      </c>
      <c r="AB92" s="138">
        <f t="shared" si="22"/>
        <v>-3.4416000000000002E-2</v>
      </c>
      <c r="AC92" s="138">
        <v>1.9766434202106367</v>
      </c>
      <c r="AD92" s="138">
        <v>0</v>
      </c>
      <c r="AE92" s="138">
        <f t="shared" si="23"/>
        <v>3.4416000000000002E-2</v>
      </c>
      <c r="AF92" s="291">
        <v>3.4416000000000002</v>
      </c>
      <c r="AG92" s="89">
        <v>41633</v>
      </c>
      <c r="AH92" s="279">
        <v>0</v>
      </c>
      <c r="AI92" s="182">
        <v>11</v>
      </c>
    </row>
    <row r="93" spans="1:58">
      <c r="A93" s="4">
        <v>41634</v>
      </c>
      <c r="B93" s="49">
        <v>-1.6500000000000001E-5</v>
      </c>
      <c r="C93" s="50">
        <v>0.96699999999999997</v>
      </c>
      <c r="D93" s="49">
        <f t="shared" si="18"/>
        <v>-2.3760000000000003E-2</v>
      </c>
      <c r="E93" s="266">
        <v>1.0514010906809603</v>
      </c>
      <c r="F93" s="52">
        <v>-7.4042862813273524E-3</v>
      </c>
      <c r="G93" s="51">
        <f t="shared" si="14"/>
        <v>1.635571371867265E-2</v>
      </c>
      <c r="H93" s="291">
        <v>1.6355713718672651</v>
      </c>
      <c r="I93" s="69">
        <v>41634</v>
      </c>
      <c r="J93" s="62">
        <v>-1.59E-5</v>
      </c>
      <c r="K93" s="62">
        <v>0.96299999999999997</v>
      </c>
      <c r="L93" s="70">
        <f t="shared" si="19"/>
        <v>-2.2896E-2</v>
      </c>
      <c r="M93" s="62">
        <v>2.2421010906809613</v>
      </c>
      <c r="N93" s="63">
        <v>-6.8089920525141732E-4</v>
      </c>
      <c r="O93" s="62">
        <f t="shared" si="15"/>
        <v>2.2215100794748581E-2</v>
      </c>
      <c r="P93" s="291">
        <v>2.2215100794748581</v>
      </c>
      <c r="Q93" s="89">
        <v>41634</v>
      </c>
      <c r="R93" s="86">
        <v>-1.3499999999999999E-5</v>
      </c>
      <c r="S93" s="90">
        <v>0.878</v>
      </c>
      <c r="T93" s="86">
        <f t="shared" si="20"/>
        <v>-1.9439999999999999E-2</v>
      </c>
      <c r="U93" s="107">
        <v>2.5453010906809608</v>
      </c>
      <c r="V93" s="108">
        <v>-7.7069300846023701E-3</v>
      </c>
      <c r="W93" s="94">
        <f t="shared" si="16"/>
        <v>1.1733069915397628E-2</v>
      </c>
      <c r="X93" s="291">
        <v>1.1733069915397627</v>
      </c>
      <c r="Y93" s="142">
        <f t="shared" si="21"/>
        <v>41634</v>
      </c>
      <c r="Z93" s="138">
        <v>-1.17E-5</v>
      </c>
      <c r="AA93" s="144">
        <v>0.93400000000000005</v>
      </c>
      <c r="AB93" s="138">
        <f t="shared" si="22"/>
        <v>-1.6847999999999998E-2</v>
      </c>
      <c r="AC93" s="138">
        <v>1.9459010906809602</v>
      </c>
      <c r="AD93" s="138">
        <v>0</v>
      </c>
      <c r="AE93" s="138">
        <f t="shared" si="23"/>
        <v>1.6847999999999998E-2</v>
      </c>
      <c r="AF93" s="291">
        <v>1.6847999999999999</v>
      </c>
      <c r="AG93" s="89">
        <v>41634</v>
      </c>
      <c r="AH93" s="279">
        <v>0</v>
      </c>
      <c r="AI93" s="182">
        <v>12</v>
      </c>
    </row>
    <row r="94" spans="1:58">
      <c r="A94" s="4">
        <v>41635</v>
      </c>
      <c r="B94" s="49">
        <v>-1.08E-5</v>
      </c>
      <c r="C94" s="50">
        <v>0.90200000000000002</v>
      </c>
      <c r="D94" s="49">
        <f t="shared" si="18"/>
        <v>-1.5552E-2</v>
      </c>
      <c r="E94" s="266">
        <v>1.0209965847504816</v>
      </c>
      <c r="F94" s="52">
        <v>-6.7742707133195239E-3</v>
      </c>
      <c r="G94" s="51">
        <f t="shared" si="14"/>
        <v>8.777729286680476E-3</v>
      </c>
      <c r="H94" s="291">
        <v>0.87777292866804757</v>
      </c>
      <c r="I94" s="69">
        <v>41635</v>
      </c>
      <c r="J94" s="62">
        <v>-1.33E-5</v>
      </c>
      <c r="K94" s="62">
        <v>0.94099999999999995</v>
      </c>
      <c r="L94" s="70">
        <f t="shared" si="19"/>
        <v>-1.9151999999999999E-2</v>
      </c>
      <c r="M94" s="62">
        <v>2.2058965847504819</v>
      </c>
      <c r="N94" s="63">
        <v>-6.6237133647092234E-4</v>
      </c>
      <c r="O94" s="62">
        <f t="shared" si="15"/>
        <v>1.8489628663529076E-2</v>
      </c>
      <c r="P94" s="291">
        <v>1.8489628663529076</v>
      </c>
      <c r="Q94" s="89">
        <v>41635</v>
      </c>
      <c r="R94" s="86">
        <v>-1.49E-5</v>
      </c>
      <c r="S94" s="90">
        <v>0.92</v>
      </c>
      <c r="T94" s="86">
        <f t="shared" si="20"/>
        <v>-2.1455999999999999E-2</v>
      </c>
      <c r="U94" s="107">
        <v>2.5081965847504817</v>
      </c>
      <c r="V94" s="108">
        <v>-7.5691443259936243E-3</v>
      </c>
      <c r="W94" s="94">
        <f t="shared" si="16"/>
        <v>1.3886855674006375E-2</v>
      </c>
      <c r="X94" s="291">
        <v>1.3886855674006375</v>
      </c>
      <c r="Y94" s="142">
        <f t="shared" si="21"/>
        <v>41635</v>
      </c>
      <c r="Z94" s="138">
        <v>-6.3799999999999999E-6</v>
      </c>
      <c r="AA94" s="144">
        <v>0.82199999999999995</v>
      </c>
      <c r="AB94" s="138">
        <f t="shared" si="22"/>
        <v>-9.1871999999999995E-3</v>
      </c>
      <c r="AC94" s="138">
        <v>1.9260965847504816</v>
      </c>
      <c r="AD94" s="138">
        <v>0</v>
      </c>
      <c r="AE94" s="138">
        <f t="shared" si="23"/>
        <v>9.1871999999999995E-3</v>
      </c>
      <c r="AF94" s="291">
        <v>0.91871999999999998</v>
      </c>
      <c r="AG94" s="89">
        <v>41635</v>
      </c>
      <c r="AH94" s="279">
        <v>0</v>
      </c>
      <c r="AI94" s="182">
        <v>13</v>
      </c>
    </row>
    <row r="95" spans="1:58">
      <c r="A95" s="4">
        <v>41636</v>
      </c>
      <c r="B95" s="49">
        <v>-9.5999999999999996E-6</v>
      </c>
      <c r="C95" s="50">
        <v>0.86399999999999999</v>
      </c>
      <c r="D95" s="49">
        <f t="shared" si="18"/>
        <v>-1.3823999999999999E-2</v>
      </c>
      <c r="E95" s="266">
        <v>0.99228676730036958</v>
      </c>
      <c r="F95" s="51">
        <v>-6.1396771683662216E-3</v>
      </c>
      <c r="G95" s="51">
        <f t="shared" si="14"/>
        <v>7.6843228316337778E-3</v>
      </c>
      <c r="H95" s="291">
        <v>0.76843228316337775</v>
      </c>
      <c r="I95" s="69">
        <v>41636</v>
      </c>
      <c r="J95" s="62">
        <v>-1.2E-5</v>
      </c>
      <c r="K95" s="62">
        <v>0.92200000000000004</v>
      </c>
      <c r="L95" s="70">
        <f t="shared" si="19"/>
        <v>-1.728E-2</v>
      </c>
      <c r="M95" s="62">
        <v>2.1696867673003695</v>
      </c>
      <c r="N95" s="63">
        <v>-6.4098416532081752E-4</v>
      </c>
      <c r="O95" s="62">
        <f t="shared" si="15"/>
        <v>1.6639015834679183E-2</v>
      </c>
      <c r="P95" s="291">
        <v>1.6639015834679183</v>
      </c>
      <c r="Q95" s="89">
        <v>41636</v>
      </c>
      <c r="R95" s="86">
        <v>-1.91E-5</v>
      </c>
      <c r="S95" s="90">
        <v>0.96199999999999997</v>
      </c>
      <c r="T95" s="86">
        <f t="shared" si="20"/>
        <v>-2.7504000000000001E-2</v>
      </c>
      <c r="U95" s="107">
        <v>2.4690867673003689</v>
      </c>
      <c r="V95" s="108">
        <v>-7.4131655521623924E-3</v>
      </c>
      <c r="W95" s="94">
        <f t="shared" si="16"/>
        <v>2.0090834447837609E-2</v>
      </c>
      <c r="X95" s="291">
        <v>2.0090834447837609</v>
      </c>
      <c r="Y95" s="142">
        <f t="shared" si="21"/>
        <v>41636</v>
      </c>
      <c r="Z95" s="138">
        <v>-6.7399999999999998E-6</v>
      </c>
      <c r="AA95" s="144">
        <v>0.79200000000000004</v>
      </c>
      <c r="AB95" s="138">
        <f t="shared" si="22"/>
        <v>-9.7056E-3</v>
      </c>
      <c r="AC95" s="138">
        <v>1.9073867673003693</v>
      </c>
      <c r="AD95" s="138">
        <v>0</v>
      </c>
      <c r="AE95" s="138">
        <f t="shared" si="23"/>
        <v>9.7056E-3</v>
      </c>
      <c r="AF95" s="291">
        <v>0.97055999999999998</v>
      </c>
      <c r="AG95" s="89">
        <v>41636</v>
      </c>
      <c r="AH95" s="279">
        <v>0</v>
      </c>
      <c r="AI95" s="182">
        <v>14</v>
      </c>
    </row>
    <row r="96" spans="1:58">
      <c r="A96" s="4">
        <v>41637</v>
      </c>
      <c r="B96" s="49">
        <v>-4.9599999999999999E-6</v>
      </c>
      <c r="C96" s="50">
        <v>0.55300000000000005</v>
      </c>
      <c r="D96" s="49">
        <f t="shared" si="18"/>
        <v>-7.1424000000000001E-3</v>
      </c>
      <c r="E96" s="266">
        <v>0.96585404559959065</v>
      </c>
      <c r="F96" s="51">
        <v>-5.5181340159914747E-3</v>
      </c>
      <c r="G96" s="51">
        <f t="shared" si="14"/>
        <v>1.6242659840085254E-3</v>
      </c>
      <c r="H96" s="291">
        <v>0.16242659840085255</v>
      </c>
      <c r="I96" s="69">
        <v>41637</v>
      </c>
      <c r="J96" s="62">
        <v>-2.4600000000000002E-5</v>
      </c>
      <c r="K96" s="62">
        <v>0.94799999999999995</v>
      </c>
      <c r="L96" s="70">
        <f t="shared" si="19"/>
        <v>-3.5424000000000004E-2</v>
      </c>
      <c r="M96" s="62">
        <v>2.1281540455995902</v>
      </c>
      <c r="N96" s="63">
        <v>-6.1251780647577779E-4</v>
      </c>
      <c r="O96" s="62">
        <f t="shared" si="15"/>
        <v>3.4811482193524229E-2</v>
      </c>
      <c r="P96" s="291">
        <v>3.481148219352423</v>
      </c>
      <c r="Q96" s="89">
        <v>41637</v>
      </c>
      <c r="R96" s="86">
        <v>-1.1800000000000001E-5</v>
      </c>
      <c r="S96" s="90">
        <v>0.86599999999999999</v>
      </c>
      <c r="T96" s="86">
        <f t="shared" si="20"/>
        <v>-1.6992E-2</v>
      </c>
      <c r="U96" s="107">
        <v>2.4298540455995914</v>
      </c>
      <c r="V96" s="108">
        <v>-7.2448147270066793E-3</v>
      </c>
      <c r="W96" s="94">
        <f t="shared" si="16"/>
        <v>9.7471852729933209E-3</v>
      </c>
      <c r="X96" s="291">
        <v>0.97471852729933206</v>
      </c>
      <c r="Y96" s="142">
        <f t="shared" si="21"/>
        <v>41637</v>
      </c>
      <c r="Z96" s="138">
        <v>-6.9299999999999997E-6</v>
      </c>
      <c r="AA96" s="144">
        <v>0.82</v>
      </c>
      <c r="AB96" s="138">
        <f t="shared" si="22"/>
        <v>-9.9791999999999988E-3</v>
      </c>
      <c r="AC96" s="138">
        <v>1.8889540455995912</v>
      </c>
      <c r="AD96" s="138">
        <v>0</v>
      </c>
      <c r="AE96" s="138">
        <f t="shared" si="23"/>
        <v>9.9791999999999988E-3</v>
      </c>
      <c r="AF96" s="291">
        <v>0.99791999999999992</v>
      </c>
      <c r="AG96" s="89">
        <v>41637</v>
      </c>
      <c r="AH96" s="279">
        <v>0</v>
      </c>
      <c r="AI96" s="182">
        <v>15</v>
      </c>
    </row>
    <row r="97" spans="1:35">
      <c r="A97" s="4">
        <v>41638</v>
      </c>
      <c r="B97" s="49">
        <v>-5.3900000000000001E-6</v>
      </c>
      <c r="C97" s="50">
        <v>0.65900000000000003</v>
      </c>
      <c r="D97" s="49">
        <f t="shared" si="18"/>
        <v>-7.7616000000000004E-3</v>
      </c>
      <c r="E97" s="266">
        <v>0.94686099884352315</v>
      </c>
      <c r="F97" s="51">
        <v>-5.0476356201059258E-3</v>
      </c>
      <c r="G97" s="51">
        <f t="shared" si="14"/>
        <v>2.7139643798940747E-3</v>
      </c>
      <c r="H97" s="291">
        <v>0.27139643798940749</v>
      </c>
      <c r="I97" s="69">
        <v>41638</v>
      </c>
      <c r="J97" s="62">
        <v>-6.6800000000000004E-6</v>
      </c>
      <c r="K97" s="62">
        <v>0.81599999999999995</v>
      </c>
      <c r="L97" s="70">
        <f t="shared" si="19"/>
        <v>-9.6192000000000014E-3</v>
      </c>
      <c r="M97" s="62">
        <v>2.0889609988435236</v>
      </c>
      <c r="N97" s="63">
        <v>-5.8132523556365229E-4</v>
      </c>
      <c r="O97" s="62">
        <f t="shared" si="15"/>
        <v>9.0378747644363489E-3</v>
      </c>
      <c r="P97" s="291">
        <v>0.90378747644363489</v>
      </c>
      <c r="Q97" s="89">
        <v>41638</v>
      </c>
      <c r="R97" s="86">
        <v>-1.9199999999999999E-5</v>
      </c>
      <c r="S97" s="90">
        <v>0.94699999999999995</v>
      </c>
      <c r="T97" s="86">
        <f t="shared" si="20"/>
        <v>-2.7647999999999999E-2</v>
      </c>
      <c r="U97" s="107">
        <v>2.3931609988435225</v>
      </c>
      <c r="V97" s="108">
        <v>-7.0758080701970039E-3</v>
      </c>
      <c r="W97" s="94">
        <f t="shared" si="16"/>
        <v>2.0572191929802995E-2</v>
      </c>
      <c r="X97" s="291">
        <v>2.0572191929802996</v>
      </c>
      <c r="Y97" s="142">
        <f t="shared" si="21"/>
        <v>41638</v>
      </c>
      <c r="Z97" s="138">
        <v>-2.4499999999999999E-5</v>
      </c>
      <c r="AA97" s="144">
        <v>0.98399999999999999</v>
      </c>
      <c r="AB97" s="138">
        <f t="shared" si="22"/>
        <v>-3.5279999999999999E-2</v>
      </c>
      <c r="AC97" s="138">
        <v>1.8552609988435225</v>
      </c>
      <c r="AD97" s="138">
        <v>0</v>
      </c>
      <c r="AE97" s="138">
        <f t="shared" si="23"/>
        <v>3.5279999999999999E-2</v>
      </c>
      <c r="AF97" s="291">
        <v>3.528</v>
      </c>
      <c r="AG97" s="89">
        <v>41638</v>
      </c>
      <c r="AH97" s="279">
        <v>0</v>
      </c>
      <c r="AI97" s="182">
        <v>16</v>
      </c>
    </row>
    <row r="98" spans="1:35">
      <c r="A98" s="4">
        <v>41639</v>
      </c>
      <c r="B98" s="49">
        <v>-1.15E-6</v>
      </c>
      <c r="C98" s="50">
        <v>0.11600000000000001</v>
      </c>
      <c r="D98" s="49">
        <f t="shared" si="18"/>
        <v>-1.6559999999999999E-3</v>
      </c>
      <c r="E98" s="266">
        <v>0.92725057132731747</v>
      </c>
      <c r="F98" s="51">
        <v>-4.5393269867627034E-3</v>
      </c>
      <c r="G98" s="51">
        <f t="shared" si="14"/>
        <v>-2.8833269867627035E-3</v>
      </c>
      <c r="H98" s="291">
        <v>-0.28833269867627037</v>
      </c>
      <c r="I98" s="69">
        <v>41639</v>
      </c>
      <c r="J98" s="62">
        <v>-1.13E-5</v>
      </c>
      <c r="K98" s="62">
        <v>-0.92200000000000004</v>
      </c>
      <c r="L98" s="70">
        <f t="shared" si="19"/>
        <v>-1.6272000000000002E-2</v>
      </c>
      <c r="M98" s="62">
        <v>2.0485505713273184</v>
      </c>
      <c r="N98" s="63">
        <v>-5.4419585998453555E-4</v>
      </c>
      <c r="O98" s="62">
        <f t="shared" si="15"/>
        <v>1.5727804140015466E-2</v>
      </c>
      <c r="P98" s="291">
        <v>1.5727804140015467</v>
      </c>
      <c r="Q98" s="89">
        <v>41639</v>
      </c>
      <c r="R98" s="86">
        <v>-2.0699999999999998E-5</v>
      </c>
      <c r="S98" s="90">
        <v>0.96499999999999997</v>
      </c>
      <c r="T98" s="86">
        <f t="shared" si="20"/>
        <v>-2.9807999999999998E-2</v>
      </c>
      <c r="U98" s="107">
        <v>2.3502505713273179</v>
      </c>
      <c r="V98" s="108">
        <v>-6.8629176162739681E-3</v>
      </c>
      <c r="W98" s="94">
        <f t="shared" si="16"/>
        <v>2.2945082383726029E-2</v>
      </c>
      <c r="X98" s="291">
        <v>2.294508238372603</v>
      </c>
      <c r="Y98" s="142">
        <f t="shared" si="21"/>
        <v>41639</v>
      </c>
      <c r="Z98" s="138">
        <v>-1.98E-5</v>
      </c>
      <c r="AA98" s="144">
        <v>0.97899999999999998</v>
      </c>
      <c r="AB98" s="138">
        <f t="shared" si="22"/>
        <v>-2.8511999999999999E-2</v>
      </c>
      <c r="AC98" s="138">
        <v>1.8162505713273176</v>
      </c>
      <c r="AD98" s="138">
        <v>0</v>
      </c>
      <c r="AE98" s="138">
        <f t="shared" si="23"/>
        <v>2.8511999999999999E-2</v>
      </c>
      <c r="AF98" s="291">
        <v>2.8512</v>
      </c>
      <c r="AG98" s="89">
        <v>41639</v>
      </c>
      <c r="AH98" s="279">
        <v>0</v>
      </c>
      <c r="AI98" s="182">
        <v>17</v>
      </c>
    </row>
    <row r="99" spans="1:35">
      <c r="A99" s="4">
        <v>41640</v>
      </c>
      <c r="B99" s="49">
        <v>-4.82E-7</v>
      </c>
      <c r="C99" s="50">
        <v>1.2E-2</v>
      </c>
      <c r="D99" s="49">
        <f t="shared" si="18"/>
        <v>-6.9408000000000002E-4</v>
      </c>
      <c r="E99" s="266">
        <v>0.90683318586779882</v>
      </c>
      <c r="F99" s="51">
        <v>-3.9841250010002986E-3</v>
      </c>
      <c r="G99" s="51">
        <f t="shared" si="14"/>
        <v>-3.2900450010002985E-3</v>
      </c>
      <c r="H99" s="297">
        <v>-0.21255647110296877</v>
      </c>
      <c r="I99" s="69">
        <v>41640</v>
      </c>
      <c r="J99" s="62">
        <v>-1.4E-5</v>
      </c>
      <c r="K99" s="62">
        <v>0.92600000000000005</v>
      </c>
      <c r="L99" s="70">
        <f t="shared" si="19"/>
        <v>-2.0160000000000001E-2</v>
      </c>
      <c r="M99" s="62">
        <v>2.0045331858677997</v>
      </c>
      <c r="N99" s="63">
        <v>-4.9725082553273741E-4</v>
      </c>
      <c r="O99" s="62">
        <f t="shared" si="15"/>
        <v>1.9662749174467264E-2</v>
      </c>
      <c r="P99" s="297">
        <v>2.0980921728077071</v>
      </c>
      <c r="Q99" s="89">
        <v>41640</v>
      </c>
      <c r="R99" s="86">
        <v>-2.7100000000000001E-5</v>
      </c>
      <c r="S99" s="90">
        <v>0.96299999999999997</v>
      </c>
      <c r="T99" s="86">
        <f t="shared" si="20"/>
        <v>-3.9024000000000003E-2</v>
      </c>
      <c r="U99" s="107">
        <v>2.3023331858677993</v>
      </c>
      <c r="V99" s="108">
        <v>-6.6041409450189924E-3</v>
      </c>
      <c r="W99" s="94">
        <f t="shared" si="16"/>
        <v>3.2419859054981008E-2</v>
      </c>
      <c r="X99" s="297">
        <v>3.3222481895557006</v>
      </c>
      <c r="Y99" s="142">
        <f t="shared" si="21"/>
        <v>41640</v>
      </c>
      <c r="Z99" s="138">
        <v>-1.7900000000000001E-5</v>
      </c>
      <c r="AA99" s="144">
        <v>0.94899999999999995</v>
      </c>
      <c r="AB99" s="138">
        <f t="shared" si="22"/>
        <v>-2.5776E-2</v>
      </c>
      <c r="AC99" s="138">
        <v>1.7785331858677984</v>
      </c>
      <c r="AD99" s="138">
        <v>0</v>
      </c>
      <c r="AE99" s="138">
        <f t="shared" si="23"/>
        <v>2.5776E-2</v>
      </c>
      <c r="AF99" s="297">
        <v>2.8018186958116629</v>
      </c>
      <c r="AG99" s="89">
        <v>41640</v>
      </c>
      <c r="AH99" s="279">
        <v>-0.3</v>
      </c>
      <c r="AI99" s="182">
        <v>18</v>
      </c>
    </row>
    <row r="100" spans="1:35">
      <c r="A100" s="4">
        <v>41641</v>
      </c>
      <c r="B100" s="49">
        <v>1.04E-6</v>
      </c>
      <c r="C100" s="50">
        <v>5.2299999999999999E-2</v>
      </c>
      <c r="D100" s="49">
        <f t="shared" si="18"/>
        <v>1.4976E-3</v>
      </c>
      <c r="E100" s="266">
        <v>0.88597981170674578</v>
      </c>
      <c r="F100" s="51">
        <v>-3.3877298888598164E-3</v>
      </c>
      <c r="G100" s="51">
        <f t="shared" si="14"/>
        <v>-4.8853298888598164E-3</v>
      </c>
      <c r="H100" s="291">
        <v>-0.48853298888598162</v>
      </c>
      <c r="I100" s="69">
        <v>41641</v>
      </c>
      <c r="J100" s="62">
        <v>-7.2200000000000003E-6</v>
      </c>
      <c r="K100" s="62">
        <v>0.78900000000000003</v>
      </c>
      <c r="L100" s="70">
        <f t="shared" si="19"/>
        <v>-1.0396800000000001E-2</v>
      </c>
      <c r="M100" s="62">
        <v>1.9808798117067459</v>
      </c>
      <c r="N100" s="63">
        <v>-4.6890022590097958E-4</v>
      </c>
      <c r="O100" s="62">
        <f t="shared" si="15"/>
        <v>9.9278997740990214E-3</v>
      </c>
      <c r="P100" s="291">
        <v>0.99278997740990216</v>
      </c>
      <c r="Q100" s="89">
        <v>41641</v>
      </c>
      <c r="R100" s="86">
        <v>-1.01E-5</v>
      </c>
      <c r="S100" s="90">
        <v>0.80900000000000005</v>
      </c>
      <c r="T100" s="86">
        <f t="shared" si="20"/>
        <v>-1.4544E-2</v>
      </c>
      <c r="U100" s="107">
        <v>2.2695798117067456</v>
      </c>
      <c r="V100" s="108">
        <v>-6.413439793056923E-3</v>
      </c>
      <c r="W100" s="94">
        <f t="shared" si="16"/>
        <v>8.1305602069430757E-3</v>
      </c>
      <c r="X100" s="291">
        <v>0.8130560206943076</v>
      </c>
      <c r="Y100" s="142">
        <f t="shared" si="21"/>
        <v>41641</v>
      </c>
      <c r="Z100" s="138">
        <v>-1.22E-5</v>
      </c>
      <c r="AA100" s="144">
        <v>0.92400000000000004</v>
      </c>
      <c r="AB100" s="138">
        <f t="shared" si="22"/>
        <v>-1.7568E-2</v>
      </c>
      <c r="AC100" s="138">
        <v>1.744879811706745</v>
      </c>
      <c r="AD100" s="138">
        <v>0</v>
      </c>
      <c r="AE100" s="138">
        <f t="shared" si="23"/>
        <v>1.7568E-2</v>
      </c>
      <c r="AF100" s="291">
        <v>1.7568000000000001</v>
      </c>
      <c r="AG100" s="89">
        <v>41641</v>
      </c>
      <c r="AH100" s="279">
        <v>0</v>
      </c>
      <c r="AI100" s="182">
        <v>19</v>
      </c>
    </row>
    <row r="101" spans="1:35">
      <c r="A101" s="4">
        <v>41642</v>
      </c>
      <c r="B101" s="49">
        <v>-1.68E-6</v>
      </c>
      <c r="C101" s="50">
        <v>0.21299999999999999</v>
      </c>
      <c r="D101" s="49">
        <f t="shared" si="18"/>
        <v>-2.4191999999999998E-3</v>
      </c>
      <c r="E101" s="266">
        <v>0.85625384067776678</v>
      </c>
      <c r="F101" s="51">
        <v>-2.4818500903339203E-3</v>
      </c>
      <c r="G101" s="51">
        <f t="shared" si="14"/>
        <v>-6.2650090333920497E-5</v>
      </c>
      <c r="H101" s="291">
        <v>-6.2650090333920497E-3</v>
      </c>
      <c r="I101" s="69">
        <v>41642</v>
      </c>
      <c r="J101" s="62">
        <v>-3.9999999999999998E-6</v>
      </c>
      <c r="K101" s="62">
        <v>0.59</v>
      </c>
      <c r="L101" s="70">
        <f t="shared" si="19"/>
        <v>-5.7599999999999995E-3</v>
      </c>
      <c r="M101" s="62">
        <v>1.9578538406777672</v>
      </c>
      <c r="N101" s="63">
        <v>-4.3900057213444452E-4</v>
      </c>
      <c r="O101" s="62">
        <f t="shared" si="15"/>
        <v>5.3209994278655554E-3</v>
      </c>
      <c r="P101" s="291">
        <v>0.50041994278655555</v>
      </c>
      <c r="Q101" s="89">
        <v>41642</v>
      </c>
      <c r="R101" s="86">
        <v>-1.03E-5</v>
      </c>
      <c r="S101" s="90">
        <v>0.92300000000000004</v>
      </c>
      <c r="T101" s="86">
        <f t="shared" si="20"/>
        <v>-1.4832E-2</v>
      </c>
      <c r="U101" s="107">
        <v>2.2397538406777668</v>
      </c>
      <c r="V101" s="108">
        <v>-6.2293060032076073E-3</v>
      </c>
      <c r="W101" s="94">
        <f t="shared" si="16"/>
        <v>8.6026939967923932E-3</v>
      </c>
      <c r="X101" s="291">
        <v>0.86026939967923932</v>
      </c>
      <c r="Y101" s="142">
        <f t="shared" si="21"/>
        <v>41642</v>
      </c>
      <c r="Z101" s="138">
        <v>-1.31E-5</v>
      </c>
      <c r="AA101" s="144">
        <v>0.94399999999999995</v>
      </c>
      <c r="AB101" s="138">
        <f t="shared" si="22"/>
        <v>-1.8863999999999999E-2</v>
      </c>
      <c r="AC101" s="138">
        <v>1.7175538406777657</v>
      </c>
      <c r="AD101" s="138">
        <v>0</v>
      </c>
      <c r="AE101" s="138">
        <f t="shared" si="23"/>
        <v>1.8863999999999999E-2</v>
      </c>
      <c r="AF101" s="291">
        <v>1.8863999999999999</v>
      </c>
      <c r="AG101" s="89">
        <v>41642</v>
      </c>
      <c r="AH101" s="279">
        <v>0</v>
      </c>
      <c r="AI101" s="182">
        <v>20</v>
      </c>
    </row>
    <row r="102" spans="1:35">
      <c r="A102" s="4">
        <v>41643</v>
      </c>
      <c r="B102" s="49">
        <v>-2.88E-6</v>
      </c>
      <c r="C102" s="50">
        <v>0.40100000000000002</v>
      </c>
      <c r="D102" s="49">
        <f t="shared" si="18"/>
        <v>-4.1472000000000002E-3</v>
      </c>
      <c r="E102" s="266">
        <v>0.82819800980449421</v>
      </c>
      <c r="F102" s="51">
        <v>-1.5607597728126822E-3</v>
      </c>
      <c r="G102" s="51">
        <f t="shared" si="14"/>
        <v>2.5864402271873182E-3</v>
      </c>
      <c r="H102" s="291">
        <v>0.25864402271873183</v>
      </c>
      <c r="I102" s="69">
        <v>41643</v>
      </c>
      <c r="J102" s="62">
        <v>-6.9299999999999997E-6</v>
      </c>
      <c r="K102" s="62">
        <v>0.80400000000000005</v>
      </c>
      <c r="L102" s="70">
        <f t="shared" si="19"/>
        <v>-9.9791999999999988E-3</v>
      </c>
      <c r="M102" s="62">
        <v>1.9360980098044942</v>
      </c>
      <c r="N102" s="63">
        <v>-4.0851175894375243E-4</v>
      </c>
      <c r="O102" s="62">
        <f t="shared" si="15"/>
        <v>9.570688241056247E-3</v>
      </c>
      <c r="P102" s="291">
        <v>0.95706882410562466</v>
      </c>
      <c r="Q102" s="89">
        <v>41643</v>
      </c>
      <c r="R102" s="86">
        <v>-1.1800000000000001E-5</v>
      </c>
      <c r="S102" s="90">
        <v>0.879</v>
      </c>
      <c r="T102" s="86">
        <f t="shared" si="20"/>
        <v>-1.6992E-2</v>
      </c>
      <c r="U102" s="107">
        <v>2.2115980098044945</v>
      </c>
      <c r="V102" s="108">
        <v>-6.0457627020447094E-3</v>
      </c>
      <c r="W102" s="94">
        <f t="shared" si="16"/>
        <v>1.094623729795529E-2</v>
      </c>
      <c r="X102" s="291">
        <v>1.094623729795529</v>
      </c>
      <c r="Y102" s="142">
        <f t="shared" si="21"/>
        <v>41643</v>
      </c>
      <c r="Z102" s="138">
        <v>-9.9499999999999996E-6</v>
      </c>
      <c r="AA102" s="144">
        <v>0.88800000000000001</v>
      </c>
      <c r="AB102" s="138">
        <f t="shared" si="22"/>
        <v>-1.4327999999999999E-2</v>
      </c>
      <c r="AC102" s="138">
        <v>1.6927980098044944</v>
      </c>
      <c r="AD102" s="138">
        <v>0</v>
      </c>
      <c r="AE102" s="138">
        <f t="shared" si="23"/>
        <v>1.4327999999999999E-2</v>
      </c>
      <c r="AF102" s="291">
        <v>1.4327999999999999</v>
      </c>
      <c r="AG102" s="89">
        <v>41643</v>
      </c>
      <c r="AH102" s="279">
        <v>0</v>
      </c>
      <c r="AI102" s="182">
        <v>21</v>
      </c>
    </row>
    <row r="103" spans="1:35">
      <c r="A103" s="4">
        <v>41644</v>
      </c>
      <c r="B103" s="49">
        <v>-6.0000000000000002E-6</v>
      </c>
      <c r="C103" s="50">
        <v>0.433</v>
      </c>
      <c r="D103" s="49">
        <f t="shared" si="18"/>
        <v>-8.6400000000000001E-3</v>
      </c>
      <c r="E103" s="266">
        <v>0.79448532579851039</v>
      </c>
      <c r="F103" s="51">
        <v>-3.5872783423791392E-4</v>
      </c>
      <c r="G103" s="51">
        <f t="shared" si="14"/>
        <v>8.2812721657620856E-3</v>
      </c>
      <c r="H103" s="291">
        <v>0.79932721657620853</v>
      </c>
      <c r="I103" s="69">
        <v>41644</v>
      </c>
      <c r="J103" s="62">
        <v>-7.2599999999999999E-6</v>
      </c>
      <c r="K103" s="62">
        <v>0.75700000000000001</v>
      </c>
      <c r="L103" s="70">
        <f t="shared" si="19"/>
        <v>-1.0454399999999999E-2</v>
      </c>
      <c r="M103" s="62">
        <v>1.9113853257985107</v>
      </c>
      <c r="N103" s="63">
        <v>-3.7104287600240845E-4</v>
      </c>
      <c r="O103" s="62">
        <f t="shared" si="15"/>
        <v>1.0083357123997591E-2</v>
      </c>
      <c r="P103" s="291">
        <v>1.0083357123997592</v>
      </c>
      <c r="Q103" s="89">
        <v>41644</v>
      </c>
      <c r="R103" s="86">
        <v>-1.3499999999999999E-5</v>
      </c>
      <c r="S103" s="90">
        <v>0.89400000000000002</v>
      </c>
      <c r="T103" s="86">
        <f t="shared" si="20"/>
        <v>-1.9439999999999999E-2</v>
      </c>
      <c r="U103" s="107">
        <v>2.1831853257985108</v>
      </c>
      <c r="V103" s="108">
        <v>-5.8504162202115623E-3</v>
      </c>
      <c r="W103" s="94">
        <f t="shared" si="16"/>
        <v>1.3589583779788438E-2</v>
      </c>
      <c r="X103" s="291">
        <v>1.3589583779788437</v>
      </c>
      <c r="Y103" s="142">
        <f t="shared" si="21"/>
        <v>41644</v>
      </c>
      <c r="Z103" s="138">
        <v>-5.5000000000000003E-7</v>
      </c>
      <c r="AA103" s="144">
        <v>0.79100000000000004</v>
      </c>
      <c r="AB103" s="138">
        <f t="shared" si="22"/>
        <v>-7.9200000000000006E-4</v>
      </c>
      <c r="AC103" s="138">
        <v>1.6738853257985116</v>
      </c>
      <c r="AD103" s="138">
        <v>0</v>
      </c>
      <c r="AE103" s="138">
        <f t="shared" si="23"/>
        <v>7.9200000000000006E-4</v>
      </c>
      <c r="AF103" s="291">
        <v>1.2312000000000001</v>
      </c>
      <c r="AG103" s="89">
        <v>41644</v>
      </c>
      <c r="AH103" s="279">
        <v>0</v>
      </c>
      <c r="AI103" s="182">
        <v>22</v>
      </c>
    </row>
    <row r="104" spans="1:35">
      <c r="A104" s="4">
        <v>41645</v>
      </c>
      <c r="B104" s="49">
        <v>-9.2799999999999992E-6</v>
      </c>
      <c r="C104" s="50">
        <v>0.51300000000000001</v>
      </c>
      <c r="D104" s="49">
        <f t="shared" si="18"/>
        <v>-1.3363199999999999E-2</v>
      </c>
      <c r="E104" s="266">
        <v>0.76523991774205824</v>
      </c>
      <c r="F104" s="51">
        <v>0</v>
      </c>
      <c r="G104" s="51">
        <f t="shared" si="14"/>
        <v>1.3363199999999999E-2</v>
      </c>
      <c r="H104" s="291">
        <v>1.33632</v>
      </c>
      <c r="I104" s="69">
        <v>41645</v>
      </c>
      <c r="J104" s="62">
        <v>9.9999999999999995E-7</v>
      </c>
      <c r="K104" s="62">
        <v>4.8000000000000001E-2</v>
      </c>
      <c r="L104" s="70">
        <f t="shared" si="19"/>
        <v>1.4399999999999999E-3</v>
      </c>
      <c r="M104" s="62">
        <v>1.887739917742058</v>
      </c>
      <c r="N104" s="63">
        <v>-3.3215271288057114E-4</v>
      </c>
      <c r="O104" s="62">
        <f t="shared" si="15"/>
        <v>-1.7721527128805709E-3</v>
      </c>
      <c r="P104" s="291">
        <v>-3.3215271288057117E-2</v>
      </c>
      <c r="Q104" s="89">
        <v>41645</v>
      </c>
      <c r="R104" s="86">
        <v>-1.24E-5</v>
      </c>
      <c r="S104" s="90">
        <v>0.88700000000000001</v>
      </c>
      <c r="T104" s="86">
        <f t="shared" si="20"/>
        <v>-1.7856E-2</v>
      </c>
      <c r="U104" s="107">
        <v>2.1525399177420583</v>
      </c>
      <c r="V104" s="108">
        <v>-5.6276331799615074E-3</v>
      </c>
      <c r="W104" s="94">
        <f t="shared" si="16"/>
        <v>1.2228366820038493E-2</v>
      </c>
      <c r="X104" s="291">
        <v>1.2228366820038492</v>
      </c>
      <c r="Y104" s="142">
        <f t="shared" si="21"/>
        <v>41645</v>
      </c>
      <c r="Z104" s="138">
        <v>-5.2399999999999998E-6</v>
      </c>
      <c r="AA104" s="144">
        <v>0.61099999999999999</v>
      </c>
      <c r="AB104" s="138">
        <f t="shared" si="22"/>
        <v>-7.5455999999999995E-3</v>
      </c>
      <c r="AC104" s="138">
        <v>1.6540399177420588</v>
      </c>
      <c r="AD104" s="138">
        <v>0</v>
      </c>
      <c r="AE104" s="138">
        <f t="shared" si="23"/>
        <v>7.5455999999999995E-3</v>
      </c>
      <c r="AF104" s="291">
        <v>0.7545599999999999</v>
      </c>
      <c r="AG104" s="89">
        <v>41645</v>
      </c>
      <c r="AH104" s="279">
        <v>0</v>
      </c>
      <c r="AI104" s="182">
        <v>23</v>
      </c>
    </row>
    <row r="105" spans="1:35">
      <c r="A105" s="4">
        <v>41646</v>
      </c>
      <c r="B105" s="49">
        <v>-7.5700000000000002E-7</v>
      </c>
      <c r="C105" s="50">
        <v>1.2200000000000001E-2</v>
      </c>
      <c r="D105" s="49">
        <f t="shared" si="18"/>
        <v>-1.09008E-3</v>
      </c>
      <c r="E105" s="266">
        <v>0.74332233440979012</v>
      </c>
      <c r="F105" s="51">
        <v>0</v>
      </c>
      <c r="G105" s="51">
        <f t="shared" si="14"/>
        <v>1.09008E-3</v>
      </c>
      <c r="H105" s="291">
        <v>0.10900799999999999</v>
      </c>
      <c r="I105" s="69">
        <v>41646</v>
      </c>
      <c r="J105" s="62">
        <v>-4.9999999999999998E-8</v>
      </c>
      <c r="K105" s="62">
        <v>1.9000000000000001E-4</v>
      </c>
      <c r="L105" s="70">
        <f t="shared" si="19"/>
        <v>-7.2000000000000002E-5</v>
      </c>
      <c r="M105" s="62">
        <v>1.8694223344097904</v>
      </c>
      <c r="N105" s="63">
        <v>-2.9983356034582806E-4</v>
      </c>
      <c r="O105" s="62">
        <f t="shared" si="15"/>
        <v>-2.2783356034582805E-4</v>
      </c>
      <c r="P105" s="291">
        <v>-2.2394556034582805E-2</v>
      </c>
      <c r="Q105" s="89">
        <v>41646</v>
      </c>
      <c r="R105" s="86">
        <v>-1.1399999999999999E-5</v>
      </c>
      <c r="S105" s="90">
        <v>0.84599999999999997</v>
      </c>
      <c r="T105" s="86">
        <f t="shared" si="20"/>
        <v>-1.6416E-2</v>
      </c>
      <c r="U105" s="107">
        <v>2.1216223344097918</v>
      </c>
      <c r="V105" s="108">
        <v>-5.3893695671435446E-3</v>
      </c>
      <c r="W105" s="94">
        <f t="shared" si="16"/>
        <v>1.1026630432856455E-2</v>
      </c>
      <c r="X105" s="291">
        <v>1.1026630432856455</v>
      </c>
      <c r="Y105" s="142">
        <f t="shared" si="21"/>
        <v>41646</v>
      </c>
      <c r="Z105" s="138">
        <v>-6.9099999999999999E-6</v>
      </c>
      <c r="AA105" s="144">
        <v>0.77500000000000002</v>
      </c>
      <c r="AB105" s="138">
        <f t="shared" si="22"/>
        <v>-9.9503999999999999E-3</v>
      </c>
      <c r="AC105" s="138">
        <v>1.6342223344097913</v>
      </c>
      <c r="AD105" s="138">
        <v>0</v>
      </c>
      <c r="AE105" s="138">
        <f t="shared" si="23"/>
        <v>9.9503999999999999E-3</v>
      </c>
      <c r="AF105" s="291">
        <v>0.99504000000000004</v>
      </c>
      <c r="AG105" s="89">
        <v>41646</v>
      </c>
      <c r="AH105" s="279">
        <v>0</v>
      </c>
      <c r="AI105" s="182">
        <v>24</v>
      </c>
    </row>
    <row r="106" spans="1:35">
      <c r="A106" s="4">
        <v>41647</v>
      </c>
      <c r="B106" s="49">
        <v>3.9999999999999998E-6</v>
      </c>
      <c r="C106" s="50">
        <v>0.26900000000000002</v>
      </c>
      <c r="D106" s="49">
        <f t="shared" si="18"/>
        <v>5.7599999999999995E-3</v>
      </c>
      <c r="E106" s="266">
        <v>0.72644667781262529</v>
      </c>
      <c r="F106" s="51">
        <v>0</v>
      </c>
      <c r="G106" s="51">
        <f t="shared" si="14"/>
        <v>-5.7599999999999995E-3</v>
      </c>
      <c r="H106" s="291">
        <v>-0.61199999999999999</v>
      </c>
      <c r="I106" s="69">
        <v>41647</v>
      </c>
      <c r="J106" s="65">
        <v>1.9799999999999999E-4</v>
      </c>
      <c r="K106" s="65">
        <v>0.997</v>
      </c>
      <c r="L106" s="70">
        <f t="shared" si="19"/>
        <v>0.28511999999999998</v>
      </c>
      <c r="M106" s="65">
        <v>1.6491466778126254</v>
      </c>
      <c r="N106" s="63">
        <v>0</v>
      </c>
      <c r="O106" s="62">
        <f t="shared" si="15"/>
        <v>-0.28511999999999998</v>
      </c>
      <c r="P106" s="291">
        <v>0</v>
      </c>
      <c r="Q106" s="89">
        <v>41647</v>
      </c>
      <c r="R106" s="86">
        <v>7.2600000000000002E-7</v>
      </c>
      <c r="S106" s="90">
        <v>0.86199999999999999</v>
      </c>
      <c r="T106" s="86">
        <f t="shared" si="20"/>
        <v>1.0454400000000001E-3</v>
      </c>
      <c r="U106" s="107">
        <v>2.0977466778126255</v>
      </c>
      <c r="V106" s="108">
        <v>-5.1955407888486585E-3</v>
      </c>
      <c r="W106" s="94">
        <f t="shared" si="16"/>
        <v>-6.2409807888486584E-3</v>
      </c>
      <c r="X106" s="291">
        <v>-0.62409807888486579</v>
      </c>
      <c r="Y106" s="142">
        <f t="shared" si="21"/>
        <v>41647</v>
      </c>
      <c r="Z106" s="138">
        <v>8.4600000000000003E-6</v>
      </c>
      <c r="AA106" s="144">
        <v>0.62</v>
      </c>
      <c r="AB106" s="138">
        <f t="shared" si="22"/>
        <v>1.2182400000000001E-2</v>
      </c>
      <c r="AC106" s="138">
        <v>1.6170466778126253</v>
      </c>
      <c r="AD106" s="138">
        <v>0</v>
      </c>
      <c r="AE106" s="138">
        <f t="shared" si="23"/>
        <v>-1.2182400000000001E-2</v>
      </c>
      <c r="AF106" s="291">
        <v>-1.2182400000000002</v>
      </c>
      <c r="AG106" s="89">
        <v>41647</v>
      </c>
      <c r="AH106" s="279">
        <v>0</v>
      </c>
      <c r="AI106" s="182">
        <v>25</v>
      </c>
    </row>
    <row r="107" spans="1:35">
      <c r="A107" s="4">
        <v>41648</v>
      </c>
      <c r="B107" s="49">
        <v>-9.3400000000000004E-6</v>
      </c>
      <c r="C107" s="50">
        <v>0.85099999999999998</v>
      </c>
      <c r="D107" s="49">
        <f t="shared" si="18"/>
        <v>-1.3449600000000001E-2</v>
      </c>
      <c r="E107" s="266">
        <v>0.72156631271284555</v>
      </c>
      <c r="F107" s="51">
        <v>0</v>
      </c>
      <c r="G107" s="51">
        <f t="shared" si="14"/>
        <v>1.3449600000000001E-2</v>
      </c>
      <c r="H107" s="291">
        <v>1.3449600000000002</v>
      </c>
      <c r="I107" s="69">
        <v>41648</v>
      </c>
      <c r="J107" s="62">
        <v>1.5299999999999999E-5</v>
      </c>
      <c r="K107" s="62">
        <v>0.85099999999999998</v>
      </c>
      <c r="L107" s="70">
        <f t="shared" si="19"/>
        <v>2.2032E-2</v>
      </c>
      <c r="M107" s="62">
        <v>1.8071663127128443</v>
      </c>
      <c r="N107" s="63">
        <v>-1.7398826946063729E-4</v>
      </c>
      <c r="O107" s="62">
        <f t="shared" si="15"/>
        <v>-2.2205988269460637E-2</v>
      </c>
      <c r="P107" s="291">
        <v>-2.2205988269460639</v>
      </c>
      <c r="Q107" s="89">
        <v>41648</v>
      </c>
      <c r="R107" s="86">
        <v>-1.2799999999999999E-5</v>
      </c>
      <c r="S107" s="90">
        <v>0.85099999999999998</v>
      </c>
      <c r="T107" s="86">
        <f t="shared" si="20"/>
        <v>-1.8432E-2</v>
      </c>
      <c r="U107" s="107">
        <v>2.0814663127128457</v>
      </c>
      <c r="V107" s="108">
        <v>-5.0582142202398898E-3</v>
      </c>
      <c r="W107" s="94">
        <f t="shared" si="16"/>
        <v>1.337378577976011E-2</v>
      </c>
      <c r="X107" s="291">
        <v>1.337378577976011</v>
      </c>
      <c r="Y107" s="142">
        <f t="shared" si="21"/>
        <v>41648</v>
      </c>
      <c r="Z107" s="138">
        <v>-9.6399999999999992E-6</v>
      </c>
      <c r="AA107" s="144">
        <v>0.89400000000000002</v>
      </c>
      <c r="AB107" s="138">
        <f t="shared" si="22"/>
        <v>-1.3881599999999999E-2</v>
      </c>
      <c r="AC107" s="138">
        <v>1.6136663127128439</v>
      </c>
      <c r="AD107" s="138">
        <v>0</v>
      </c>
      <c r="AE107" s="138">
        <f t="shared" si="23"/>
        <v>1.3881599999999999E-2</v>
      </c>
      <c r="AF107" s="291">
        <v>1.3881599999999998</v>
      </c>
      <c r="AG107" s="89">
        <v>41648</v>
      </c>
      <c r="AH107" s="279">
        <v>0</v>
      </c>
      <c r="AI107" s="182">
        <v>26</v>
      </c>
    </row>
    <row r="108" spans="1:35">
      <c r="A108" s="4">
        <v>41649</v>
      </c>
      <c r="B108" s="49">
        <v>-9.1700000000000003E-6</v>
      </c>
      <c r="C108" s="50">
        <v>0.85099999999999998</v>
      </c>
      <c r="D108" s="49">
        <f t="shared" si="18"/>
        <v>-1.3204800000000001E-2</v>
      </c>
      <c r="E108" s="266">
        <v>0.70435056662793416</v>
      </c>
      <c r="F108" s="51">
        <v>0</v>
      </c>
      <c r="G108" s="51">
        <f t="shared" si="14"/>
        <v>1.3204800000000001E-2</v>
      </c>
      <c r="H108" s="291">
        <v>1.3204800000000001</v>
      </c>
      <c r="I108" s="69">
        <v>41649</v>
      </c>
      <c r="J108" s="62">
        <v>-1.0499999999999999E-5</v>
      </c>
      <c r="K108" s="62">
        <v>0.92</v>
      </c>
      <c r="L108" s="70">
        <f t="shared" si="19"/>
        <v>-1.512E-2</v>
      </c>
      <c r="M108" s="62">
        <v>1.8004505666279333</v>
      </c>
      <c r="N108" s="63">
        <v>-1.5879035442680625E-4</v>
      </c>
      <c r="O108" s="62">
        <f t="shared" si="15"/>
        <v>1.4961209645573193E-2</v>
      </c>
      <c r="P108" s="291">
        <v>1.4961209645573192</v>
      </c>
      <c r="Q108" s="89">
        <v>41649</v>
      </c>
      <c r="R108" s="86">
        <v>-1.2E-5</v>
      </c>
      <c r="S108" s="90">
        <v>0.86399999999999999</v>
      </c>
      <c r="T108" s="86">
        <f t="shared" si="20"/>
        <v>-1.728E-2</v>
      </c>
      <c r="U108" s="107">
        <v>2.055550566627935</v>
      </c>
      <c r="V108" s="108">
        <v>-4.8305804694672872E-3</v>
      </c>
      <c r="W108" s="94">
        <f t="shared" si="16"/>
        <v>1.2449419530532713E-2</v>
      </c>
      <c r="X108" s="291">
        <v>1.2449419530532713</v>
      </c>
      <c r="Y108" s="142">
        <f t="shared" si="21"/>
        <v>41649</v>
      </c>
      <c r="Z108" s="138">
        <v>-6.8499999999999996E-6</v>
      </c>
      <c r="AA108" s="144">
        <v>0.82799999999999996</v>
      </c>
      <c r="AB108" s="138">
        <f t="shared" si="22"/>
        <v>-9.8639999999999995E-3</v>
      </c>
      <c r="AC108" s="138">
        <v>1.5972505666279342</v>
      </c>
      <c r="AD108" s="138">
        <v>0</v>
      </c>
      <c r="AE108" s="138">
        <f t="shared" si="23"/>
        <v>9.8639999999999995E-3</v>
      </c>
      <c r="AF108" s="291">
        <v>0.98639999999999994</v>
      </c>
      <c r="AG108" s="89">
        <v>41649</v>
      </c>
      <c r="AH108" s="279">
        <v>0</v>
      </c>
      <c r="AI108" s="182">
        <v>27</v>
      </c>
    </row>
    <row r="109" spans="1:35">
      <c r="A109" s="4">
        <v>41650</v>
      </c>
      <c r="B109" s="49">
        <v>-3.9999999999999998E-6</v>
      </c>
      <c r="C109" s="50">
        <v>0.34499999999999997</v>
      </c>
      <c r="D109" s="49">
        <f t="shared" si="18"/>
        <v>-5.7599999999999995E-3</v>
      </c>
      <c r="E109" s="266">
        <v>0.681747092355661</v>
      </c>
      <c r="F109" s="51">
        <v>0</v>
      </c>
      <c r="G109" s="51">
        <f t="shared" si="14"/>
        <v>5.7599999999999995E-3</v>
      </c>
      <c r="H109" s="291">
        <v>0.51407999999999998</v>
      </c>
      <c r="I109" s="69">
        <v>41650</v>
      </c>
      <c r="J109" s="62">
        <v>-6.0000000000000002E-6</v>
      </c>
      <c r="K109" s="62">
        <v>0.54600000000000004</v>
      </c>
      <c r="L109" s="70">
        <f t="shared" si="19"/>
        <v>-8.6400000000000001E-3</v>
      </c>
      <c r="M109" s="62">
        <v>1.7729470923556627</v>
      </c>
      <c r="N109" s="63">
        <v>-9.2891549813177708E-5</v>
      </c>
      <c r="O109" s="62">
        <f t="shared" si="15"/>
        <v>8.547108450186823E-3</v>
      </c>
      <c r="P109" s="291">
        <v>0.80287084501868222</v>
      </c>
      <c r="Q109" s="89">
        <v>41650</v>
      </c>
      <c r="R109" s="86">
        <v>-1.04E-5</v>
      </c>
      <c r="S109" s="90">
        <v>0.76300000000000001</v>
      </c>
      <c r="T109" s="86">
        <f t="shared" si="20"/>
        <v>-1.4976E-2</v>
      </c>
      <c r="U109" s="107">
        <v>2.0289470923556623</v>
      </c>
      <c r="V109" s="108">
        <v>-4.5847980658407263E-3</v>
      </c>
      <c r="W109" s="94">
        <f t="shared" si="16"/>
        <v>1.0391201934159273E-2</v>
      </c>
      <c r="X109" s="291">
        <v>1.0391201934159273</v>
      </c>
      <c r="Y109" s="142">
        <f t="shared" si="21"/>
        <v>41650</v>
      </c>
      <c r="Z109" s="138">
        <v>-4.42E-6</v>
      </c>
      <c r="AA109" s="144">
        <v>0.63400000000000001</v>
      </c>
      <c r="AB109" s="138">
        <f t="shared" si="22"/>
        <v>-6.3648000000000003E-3</v>
      </c>
      <c r="AC109" s="138">
        <v>1.5800470923556609</v>
      </c>
      <c r="AD109" s="138">
        <v>0</v>
      </c>
      <c r="AE109" s="138">
        <f t="shared" si="23"/>
        <v>6.3648000000000003E-3</v>
      </c>
      <c r="AF109" s="291">
        <v>0.63648000000000005</v>
      </c>
      <c r="AG109" s="89">
        <v>41650</v>
      </c>
      <c r="AH109" s="279">
        <v>0</v>
      </c>
      <c r="AI109" s="182">
        <v>28</v>
      </c>
    </row>
    <row r="110" spans="1:35">
      <c r="A110" s="4">
        <v>41651</v>
      </c>
      <c r="B110" s="49">
        <v>-1.9999999999999999E-6</v>
      </c>
      <c r="C110" s="50">
        <v>0.2</v>
      </c>
      <c r="D110" s="49">
        <f t="shared" si="18"/>
        <v>-2.8799999999999997E-3</v>
      </c>
      <c r="E110" s="266">
        <v>0.65773114369861618</v>
      </c>
      <c r="F110" s="51">
        <v>0</v>
      </c>
      <c r="G110" s="51">
        <f t="shared" si="14"/>
        <v>2.8799999999999997E-3</v>
      </c>
      <c r="H110" s="291">
        <v>0.3024</v>
      </c>
      <c r="I110" s="69">
        <v>41651</v>
      </c>
      <c r="J110" s="66">
        <v>-1.33E-5</v>
      </c>
      <c r="K110" s="66">
        <v>0.93200000000000005</v>
      </c>
      <c r="L110" s="70">
        <f t="shared" si="19"/>
        <v>-1.9151999999999999E-2</v>
      </c>
      <c r="M110" s="66">
        <v>1.1646311436986172</v>
      </c>
      <c r="N110" s="63">
        <v>-1.0763342100723841E-4</v>
      </c>
      <c r="O110" s="62">
        <f t="shared" si="15"/>
        <v>1.904436657899276E-2</v>
      </c>
      <c r="P110" s="291">
        <v>1.9151999999999998</v>
      </c>
      <c r="Q110" s="89">
        <v>41651</v>
      </c>
      <c r="R110" s="94">
        <v>-1.0200000000000001E-5</v>
      </c>
      <c r="S110" s="95">
        <v>0.83199999999999996</v>
      </c>
      <c r="T110" s="94">
        <f t="shared" si="20"/>
        <v>-1.4688000000000001E-2</v>
      </c>
      <c r="U110" s="107">
        <v>2.0001311436986162</v>
      </c>
      <c r="V110" s="108">
        <v>-4.3039197883014014E-3</v>
      </c>
      <c r="W110" s="94">
        <f t="shared" si="16"/>
        <v>1.03840802116986E-2</v>
      </c>
      <c r="X110" s="291">
        <v>1.0384080211698601</v>
      </c>
      <c r="Y110" s="142">
        <f t="shared" si="21"/>
        <v>41651</v>
      </c>
      <c r="Z110" s="138">
        <v>-4.07E-6</v>
      </c>
      <c r="AA110" s="144">
        <v>0.61</v>
      </c>
      <c r="AB110" s="138">
        <f t="shared" si="22"/>
        <v>-5.8608000000000002E-3</v>
      </c>
      <c r="AC110" s="138">
        <v>1.5642311436986165</v>
      </c>
      <c r="AD110" s="138">
        <v>0</v>
      </c>
      <c r="AE110" s="138">
        <f t="shared" si="23"/>
        <v>5.8608000000000002E-3</v>
      </c>
      <c r="AF110" s="291">
        <v>0.58608000000000005</v>
      </c>
      <c r="AG110" s="89">
        <v>41651</v>
      </c>
      <c r="AH110" s="279">
        <v>0</v>
      </c>
      <c r="AI110" s="182">
        <v>29</v>
      </c>
    </row>
    <row r="111" spans="1:35">
      <c r="A111" s="4">
        <v>41652</v>
      </c>
      <c r="B111" s="49">
        <v>-2.69E-5</v>
      </c>
      <c r="C111" s="50">
        <v>0.94499999999999995</v>
      </c>
      <c r="D111" s="49">
        <f t="shared" si="18"/>
        <v>-3.8736E-2</v>
      </c>
      <c r="E111" s="266">
        <v>0.61232889425791415</v>
      </c>
      <c r="F111" s="51">
        <v>0</v>
      </c>
      <c r="G111" s="51">
        <f t="shared" si="14"/>
        <v>3.8736E-2</v>
      </c>
      <c r="H111" s="291">
        <v>3.8736000000000002</v>
      </c>
      <c r="I111" s="74">
        <v>41652</v>
      </c>
      <c r="J111" s="75">
        <v>-2.1999999999999999E-5</v>
      </c>
      <c r="K111" s="75">
        <v>0.97099999999999997</v>
      </c>
      <c r="L111" s="76">
        <f t="shared" si="19"/>
        <v>-3.168E-2</v>
      </c>
      <c r="M111" s="75">
        <v>1.1184288942579135</v>
      </c>
      <c r="N111" s="77">
        <v>-1.0763342100723841E-4</v>
      </c>
      <c r="O111" s="64">
        <f t="shared" si="15"/>
        <v>3.1572366578992761E-2</v>
      </c>
      <c r="P111" s="291">
        <v>3.1680000000000001</v>
      </c>
      <c r="Q111" s="89">
        <v>41652</v>
      </c>
      <c r="R111" s="94">
        <v>-7.7999999999999999E-6</v>
      </c>
      <c r="S111" s="95">
        <v>0.496</v>
      </c>
      <c r="T111" s="94">
        <f t="shared" si="20"/>
        <v>-1.1231999999999999E-2</v>
      </c>
      <c r="U111" s="107">
        <v>1.9718288942579132</v>
      </c>
      <c r="V111" s="108">
        <v>-4.0123016535240173E-3</v>
      </c>
      <c r="W111" s="94">
        <f t="shared" si="16"/>
        <v>7.2196983464759817E-3</v>
      </c>
      <c r="X111" s="291">
        <v>0.72196983464759812</v>
      </c>
      <c r="Y111" s="142">
        <f t="shared" si="21"/>
        <v>41652</v>
      </c>
      <c r="Z111" s="138">
        <v>-5.4399999999999996E-6</v>
      </c>
      <c r="AA111" s="144">
        <v>0.61899999999999999</v>
      </c>
      <c r="AB111" s="138">
        <f t="shared" si="22"/>
        <v>-7.8335999999999996E-3</v>
      </c>
      <c r="AC111" s="138">
        <v>1.5474288942579135</v>
      </c>
      <c r="AD111" s="138">
        <v>0</v>
      </c>
      <c r="AE111" s="138">
        <f t="shared" si="23"/>
        <v>7.8335999999999996E-3</v>
      </c>
      <c r="AF111" s="291">
        <v>0.78335999999999995</v>
      </c>
      <c r="AG111" s="89">
        <v>41652</v>
      </c>
      <c r="AH111" s="279">
        <v>0</v>
      </c>
      <c r="AI111" s="182">
        <v>30</v>
      </c>
    </row>
    <row r="112" spans="1:35">
      <c r="A112" s="4">
        <v>41653</v>
      </c>
      <c r="B112" s="49">
        <v>-2.97E-5</v>
      </c>
      <c r="C112" s="50">
        <v>0.95</v>
      </c>
      <c r="D112" s="49">
        <f t="shared" si="18"/>
        <v>-4.2768E-2</v>
      </c>
      <c r="E112" s="266">
        <v>0.53664341316156028</v>
      </c>
      <c r="F112" s="51">
        <v>0</v>
      </c>
      <c r="G112" s="51">
        <f t="shared" si="14"/>
        <v>4.2768E-2</v>
      </c>
      <c r="H112" s="291">
        <v>-0.15141813773398294</v>
      </c>
      <c r="I112" s="43"/>
      <c r="J112" s="78"/>
      <c r="K112" s="78"/>
      <c r="L112" s="78"/>
      <c r="M112" s="78"/>
      <c r="N112" s="79"/>
      <c r="O112" s="80"/>
      <c r="P112" s="80"/>
      <c r="Q112" s="89">
        <f>Q111+1</f>
        <v>41653</v>
      </c>
      <c r="R112" s="97">
        <v>-1.19E-5</v>
      </c>
      <c r="S112" s="98">
        <v>0.84899999999999998</v>
      </c>
      <c r="T112" s="94">
        <f t="shared" si="20"/>
        <v>-1.7135999999999998E-2</v>
      </c>
      <c r="U112" s="107">
        <v>1.94464341316156</v>
      </c>
      <c r="V112" s="108">
        <v>-3.7165768115557042E-3</v>
      </c>
      <c r="W112" s="94">
        <f t="shared" si="16"/>
        <v>1.3419423188444295E-2</v>
      </c>
      <c r="X112" s="291">
        <v>1.3419423188444295</v>
      </c>
      <c r="Y112" s="142">
        <f t="shared" si="21"/>
        <v>41653</v>
      </c>
      <c r="Z112" s="138">
        <v>-4.3599999999999998E-6</v>
      </c>
      <c r="AA112" s="144">
        <v>0.67800000000000005</v>
      </c>
      <c r="AB112" s="138">
        <f t="shared" si="22"/>
        <v>-6.2784E-3</v>
      </c>
      <c r="AC112" s="138">
        <v>1.5286434131615603</v>
      </c>
      <c r="AD112" s="138">
        <v>0</v>
      </c>
      <c r="AE112" s="138">
        <f t="shared" si="23"/>
        <v>6.2784E-3</v>
      </c>
      <c r="AF112" s="291">
        <v>0.62783999999999995</v>
      </c>
      <c r="AG112" s="89">
        <f>AG111+1</f>
        <v>41653</v>
      </c>
      <c r="AH112" s="279">
        <v>0</v>
      </c>
      <c r="AI112" s="182">
        <v>31</v>
      </c>
    </row>
    <row r="113" spans="1:35">
      <c r="A113" s="4">
        <v>41654</v>
      </c>
      <c r="B113" s="49">
        <v>5.0000000000000004E-6</v>
      </c>
      <c r="C113" s="50">
        <v>0.42699999999999999</v>
      </c>
      <c r="D113" s="49">
        <f t="shared" si="18"/>
        <v>7.2000000000000007E-3</v>
      </c>
      <c r="E113" s="266">
        <v>0.45490926170738405</v>
      </c>
      <c r="F113" s="51">
        <v>0</v>
      </c>
      <c r="G113" s="51">
        <f t="shared" si="14"/>
        <v>-7.2000000000000007E-3</v>
      </c>
      <c r="H113" s="291">
        <v>-0.68332176</v>
      </c>
      <c r="I113" s="43"/>
      <c r="J113" s="78"/>
      <c r="K113" s="78"/>
      <c r="L113" s="78"/>
      <c r="M113" s="78"/>
      <c r="N113" s="79"/>
      <c r="O113" s="80"/>
      <c r="P113" s="80"/>
      <c r="Q113" s="89">
        <f t="shared" ref="Q113:Q150" si="24">Q112+1</f>
        <v>41654</v>
      </c>
      <c r="R113" s="97">
        <v>-1.1600000000000001E-5</v>
      </c>
      <c r="S113" s="98">
        <v>0.87</v>
      </c>
      <c r="T113" s="94">
        <f t="shared" si="20"/>
        <v>-1.6704E-2</v>
      </c>
      <c r="U113" s="107">
        <v>1.9197092617073845</v>
      </c>
      <c r="V113" s="108">
        <v>-3.4310795297455292E-3</v>
      </c>
      <c r="W113" s="94">
        <f t="shared" si="16"/>
        <v>1.3272920470254471E-2</v>
      </c>
      <c r="X113" s="291">
        <v>1.3272920470254472</v>
      </c>
      <c r="Y113" s="142">
        <f t="shared" si="21"/>
        <v>41654</v>
      </c>
      <c r="Z113" s="138">
        <v>-3.76E-6</v>
      </c>
      <c r="AA113" s="144">
        <v>0.56899999999999995</v>
      </c>
      <c r="AB113" s="138">
        <f t="shared" si="22"/>
        <v>-5.4143999999999998E-3</v>
      </c>
      <c r="AC113" s="138">
        <v>1.5106092617073847</v>
      </c>
      <c r="AD113" s="138">
        <v>0</v>
      </c>
      <c r="AE113" s="138">
        <f t="shared" si="23"/>
        <v>5.4143999999999998E-3</v>
      </c>
      <c r="AF113" s="291">
        <v>0.54143999999999992</v>
      </c>
      <c r="AG113" s="89">
        <f t="shared" ref="AG113:AG150" si="25">AG112+1</f>
        <v>41654</v>
      </c>
      <c r="AH113" s="279">
        <v>0</v>
      </c>
      <c r="AI113" s="182">
        <v>32</v>
      </c>
    </row>
    <row r="114" spans="1:35">
      <c r="A114" s="4">
        <v>41655</v>
      </c>
      <c r="B114" s="49">
        <v>-4.4499999999999997E-5</v>
      </c>
      <c r="C114" s="50">
        <v>0.99199999999999999</v>
      </c>
      <c r="D114" s="49">
        <f t="shared" si="18"/>
        <v>-6.4079999999999998E-2</v>
      </c>
      <c r="E114" s="268">
        <v>0.40644607479560563</v>
      </c>
      <c r="F114" s="51">
        <v>0</v>
      </c>
      <c r="G114" s="51">
        <f t="shared" si="14"/>
        <v>6.4079999999999998E-2</v>
      </c>
      <c r="H114" s="73"/>
      <c r="I114" s="43"/>
      <c r="J114" s="78"/>
      <c r="K114" s="78"/>
      <c r="L114" s="78"/>
      <c r="M114" s="78"/>
      <c r="N114" s="79"/>
      <c r="O114" s="80"/>
      <c r="P114" s="80"/>
      <c r="Q114" s="89">
        <f t="shared" si="24"/>
        <v>41655</v>
      </c>
      <c r="R114" s="97">
        <v>-9.1600000000000004E-6</v>
      </c>
      <c r="S114" s="98">
        <v>0.74</v>
      </c>
      <c r="T114" s="94">
        <f t="shared" si="20"/>
        <v>-1.3190400000000001E-2</v>
      </c>
      <c r="U114" s="107">
        <v>1.8912460747956057</v>
      </c>
      <c r="V114" s="108">
        <v>-3.0874732854177501E-3</v>
      </c>
      <c r="W114" s="94">
        <f t="shared" si="16"/>
        <v>1.0102926714582251E-2</v>
      </c>
      <c r="X114" s="291">
        <v>1.010292671458225</v>
      </c>
      <c r="Y114" s="142">
        <f t="shared" si="21"/>
        <v>41655</v>
      </c>
      <c r="Z114" s="138">
        <v>-4.4800000000000003E-6</v>
      </c>
      <c r="AA114" s="144">
        <v>0.71</v>
      </c>
      <c r="AB114" s="138">
        <f t="shared" si="22"/>
        <v>-6.4512000000000007E-3</v>
      </c>
      <c r="AC114" s="138">
        <v>1.4923460747956052</v>
      </c>
      <c r="AD114" s="138">
        <v>0</v>
      </c>
      <c r="AE114" s="138">
        <f t="shared" si="23"/>
        <v>6.4512000000000007E-3</v>
      </c>
      <c r="AF114" s="291">
        <v>0.64512000000000003</v>
      </c>
      <c r="AG114" s="89">
        <f t="shared" si="25"/>
        <v>41655</v>
      </c>
      <c r="AH114" s="279">
        <v>0</v>
      </c>
      <c r="AI114" s="182">
        <v>33</v>
      </c>
    </row>
    <row r="115" spans="1:35">
      <c r="A115" s="4">
        <v>41656</v>
      </c>
      <c r="B115" s="49">
        <v>-5.66E-5</v>
      </c>
      <c r="C115" s="50">
        <v>0.99299999999999999</v>
      </c>
      <c r="D115" s="49">
        <f t="shared" si="18"/>
        <v>-8.1504000000000007E-2</v>
      </c>
      <c r="E115" s="268">
        <v>0.30954382535490638</v>
      </c>
      <c r="F115" s="51">
        <v>0</v>
      </c>
      <c r="G115" s="51">
        <f t="shared" si="14"/>
        <v>8.1504000000000007E-2</v>
      </c>
      <c r="H115" s="73"/>
      <c r="I115" s="43"/>
      <c r="J115" s="78"/>
      <c r="K115" s="78"/>
      <c r="L115" s="78"/>
      <c r="M115" s="78"/>
      <c r="N115" s="79"/>
      <c r="O115" s="80"/>
      <c r="P115" s="80"/>
      <c r="Q115" s="89">
        <f t="shared" si="24"/>
        <v>41656</v>
      </c>
      <c r="R115" s="97">
        <v>-9.0000000000000002E-6</v>
      </c>
      <c r="S115" s="98">
        <v>0.752</v>
      </c>
      <c r="T115" s="94">
        <f t="shared" si="20"/>
        <v>-1.2960000000000001E-2</v>
      </c>
      <c r="U115" s="107">
        <v>1.8654438253549059</v>
      </c>
      <c r="V115" s="108">
        <v>-2.7586901037324092E-3</v>
      </c>
      <c r="W115" s="94">
        <f t="shared" si="16"/>
        <v>1.0201309896267592E-2</v>
      </c>
      <c r="X115" s="291">
        <v>1.0201309896267592</v>
      </c>
      <c r="Y115" s="142">
        <f t="shared" si="21"/>
        <v>41656</v>
      </c>
      <c r="Z115" s="138">
        <v>-7.6799999999999993E-6</v>
      </c>
      <c r="AA115" s="144">
        <v>0.874</v>
      </c>
      <c r="AB115" s="138">
        <f t="shared" si="22"/>
        <v>-1.1059199999999998E-2</v>
      </c>
      <c r="AC115" s="138">
        <v>1.4737438253549064</v>
      </c>
      <c r="AD115" s="138">
        <v>0</v>
      </c>
      <c r="AE115" s="138">
        <f t="shared" si="23"/>
        <v>1.1059199999999998E-2</v>
      </c>
      <c r="AF115" s="291">
        <v>1.1059199999999998</v>
      </c>
      <c r="AG115" s="89">
        <f t="shared" si="25"/>
        <v>41656</v>
      </c>
      <c r="AH115" s="279">
        <v>0</v>
      </c>
      <c r="AI115" s="182">
        <v>34</v>
      </c>
    </row>
    <row r="116" spans="1:35">
      <c r="A116" s="4">
        <v>41657</v>
      </c>
      <c r="B116" s="49">
        <v>2.0000000000000002E-5</v>
      </c>
      <c r="C116" s="50">
        <v>0.94899999999999995</v>
      </c>
      <c r="D116" s="49">
        <f t="shared" si="18"/>
        <v>2.8800000000000003E-2</v>
      </c>
      <c r="E116" s="268">
        <v>0.21282725723299883</v>
      </c>
      <c r="F116" s="51">
        <v>0</v>
      </c>
      <c r="G116" s="51">
        <f t="shared" si="14"/>
        <v>-2.8800000000000003E-2</v>
      </c>
      <c r="H116" s="73"/>
      <c r="I116" s="43"/>
      <c r="J116" s="78"/>
      <c r="K116" s="78"/>
      <c r="L116" s="78"/>
      <c r="M116" s="78"/>
      <c r="N116" s="79"/>
      <c r="O116" s="80"/>
      <c r="P116" s="80"/>
      <c r="Q116" s="89">
        <f t="shared" si="24"/>
        <v>41657</v>
      </c>
      <c r="R116" s="97">
        <v>-6.8800000000000002E-6</v>
      </c>
      <c r="S116" s="98">
        <v>0.66100000000000003</v>
      </c>
      <c r="T116" s="94">
        <f t="shared" si="20"/>
        <v>-9.9071999999999997E-3</v>
      </c>
      <c r="U116" s="107">
        <v>1.8430272572329993</v>
      </c>
      <c r="V116" s="108">
        <v>-2.4588995975732852E-3</v>
      </c>
      <c r="W116" s="94">
        <f t="shared" si="16"/>
        <v>7.4483004024267149E-3</v>
      </c>
      <c r="X116" s="291">
        <v>0.74483004024267152</v>
      </c>
      <c r="Y116" s="142">
        <f t="shared" si="21"/>
        <v>41657</v>
      </c>
      <c r="Z116" s="138">
        <v>-6.46E-6</v>
      </c>
      <c r="AA116" s="144">
        <v>0.81299999999999994</v>
      </c>
      <c r="AB116" s="138">
        <f t="shared" si="22"/>
        <v>-9.3024000000000006E-3</v>
      </c>
      <c r="AC116" s="138">
        <v>1.4548272572329988</v>
      </c>
      <c r="AD116" s="138">
        <v>0</v>
      </c>
      <c r="AE116" s="138">
        <f t="shared" si="23"/>
        <v>9.3024000000000006E-3</v>
      </c>
      <c r="AF116" s="291">
        <v>0.93024000000000007</v>
      </c>
      <c r="AG116" s="89">
        <f t="shared" si="25"/>
        <v>41657</v>
      </c>
      <c r="AH116" s="279">
        <v>0</v>
      </c>
      <c r="AI116" s="182">
        <v>35</v>
      </c>
    </row>
    <row r="117" spans="1:35">
      <c r="A117" s="4">
        <v>41658</v>
      </c>
      <c r="B117" s="49">
        <v>2.0000000000000002E-5</v>
      </c>
      <c r="C117" s="50">
        <v>0.94199999999999995</v>
      </c>
      <c r="D117" s="49">
        <f t="shared" si="18"/>
        <v>2.8800000000000003E-2</v>
      </c>
      <c r="E117" s="268">
        <v>0.21143871875709991</v>
      </c>
      <c r="F117" s="51">
        <v>0</v>
      </c>
      <c r="G117" s="51">
        <f t="shared" si="14"/>
        <v>-2.8800000000000003E-2</v>
      </c>
      <c r="H117" s="73"/>
      <c r="I117" s="43"/>
      <c r="J117" s="78"/>
      <c r="K117" s="78"/>
      <c r="L117" s="78"/>
      <c r="M117" s="78"/>
      <c r="N117" s="79"/>
      <c r="O117" s="80"/>
      <c r="P117" s="80"/>
      <c r="Q117" s="89">
        <f t="shared" si="24"/>
        <v>41658</v>
      </c>
      <c r="R117" s="97">
        <v>-5.4099999999999999E-6</v>
      </c>
      <c r="S117" s="98">
        <v>0.57999999999999996</v>
      </c>
      <c r="T117" s="94">
        <f t="shared" si="20"/>
        <v>-7.7903999999999994E-3</v>
      </c>
      <c r="U117" s="107">
        <v>1.8197387187570999</v>
      </c>
      <c r="V117" s="108">
        <v>-2.1327338806508829E-3</v>
      </c>
      <c r="W117" s="94">
        <f t="shared" si="16"/>
        <v>5.6576661193491161E-3</v>
      </c>
      <c r="X117" s="291">
        <v>0.56576661193491162</v>
      </c>
      <c r="Y117" s="142">
        <f t="shared" si="21"/>
        <v>41658</v>
      </c>
      <c r="Z117" s="138">
        <v>-4.9300000000000002E-6</v>
      </c>
      <c r="AA117" s="144">
        <v>0.68</v>
      </c>
      <c r="AB117" s="138">
        <f t="shared" si="22"/>
        <v>-7.0992E-3</v>
      </c>
      <c r="AC117" s="138">
        <v>1.434738718757099</v>
      </c>
      <c r="AD117" s="138">
        <v>0</v>
      </c>
      <c r="AE117" s="138">
        <f t="shared" si="23"/>
        <v>7.0992E-3</v>
      </c>
      <c r="AF117" s="291">
        <v>0.70992</v>
      </c>
      <c r="AG117" s="89">
        <f t="shared" si="25"/>
        <v>41658</v>
      </c>
      <c r="AH117" s="279">
        <v>0</v>
      </c>
      <c r="AI117" s="182">
        <v>36</v>
      </c>
    </row>
    <row r="118" spans="1:35">
      <c r="A118" s="4">
        <v>41659</v>
      </c>
      <c r="B118" s="43"/>
      <c r="C118" s="43"/>
      <c r="D118" s="43"/>
      <c r="E118" s="268">
        <v>0.20533074560342485</v>
      </c>
      <c r="F118" s="44"/>
      <c r="G118" s="44"/>
      <c r="H118" s="44"/>
      <c r="I118" s="43"/>
      <c r="J118" s="78"/>
      <c r="K118" s="78"/>
      <c r="L118" s="78"/>
      <c r="M118" s="78"/>
      <c r="N118" s="79"/>
      <c r="O118" s="80"/>
      <c r="P118" s="80"/>
      <c r="Q118" s="89">
        <f t="shared" si="24"/>
        <v>41659</v>
      </c>
      <c r="R118" s="97">
        <v>-5.1900000000000003E-6</v>
      </c>
      <c r="S118" s="98">
        <v>0.498</v>
      </c>
      <c r="T118" s="94">
        <f t="shared" si="20"/>
        <v>-7.4736000000000004E-3</v>
      </c>
      <c r="U118" s="107">
        <v>1.7965307456034256</v>
      </c>
      <c r="V118" s="108">
        <v>-1.7919655231675362E-3</v>
      </c>
      <c r="W118" s="94">
        <f t="shared" si="16"/>
        <v>5.6816344768324638E-3</v>
      </c>
      <c r="X118" s="291">
        <v>0.56816344768324634</v>
      </c>
      <c r="Y118" s="142">
        <f t="shared" si="21"/>
        <v>41659</v>
      </c>
      <c r="Z118" s="138">
        <v>-4.2100000000000003E-6</v>
      </c>
      <c r="AA118" s="144">
        <v>0.626</v>
      </c>
      <c r="AB118" s="138">
        <f t="shared" si="22"/>
        <v>-6.0624000000000008E-3</v>
      </c>
      <c r="AC118" s="138">
        <v>1.4139307456034245</v>
      </c>
      <c r="AD118" s="138">
        <v>0</v>
      </c>
      <c r="AE118" s="138">
        <f t="shared" si="23"/>
        <v>6.0624000000000008E-3</v>
      </c>
      <c r="AF118" s="291">
        <v>0.60624000000000011</v>
      </c>
      <c r="AG118" s="89">
        <f t="shared" si="25"/>
        <v>41659</v>
      </c>
      <c r="AH118" s="279">
        <v>0</v>
      </c>
      <c r="AI118" s="182">
        <v>37</v>
      </c>
    </row>
    <row r="119" spans="1:35">
      <c r="A119" s="4">
        <v>41660</v>
      </c>
      <c r="B119" s="43"/>
      <c r="C119" s="43"/>
      <c r="D119" s="43"/>
      <c r="E119" s="268">
        <v>0</v>
      </c>
      <c r="F119" s="44"/>
      <c r="G119" s="44"/>
      <c r="H119" s="44"/>
      <c r="I119" s="43"/>
      <c r="J119" s="78"/>
      <c r="K119" s="78"/>
      <c r="L119" s="78"/>
      <c r="M119" s="78"/>
      <c r="N119" s="79"/>
      <c r="O119" s="80"/>
      <c r="P119" s="80"/>
      <c r="Q119" s="89">
        <f t="shared" si="24"/>
        <v>41660</v>
      </c>
      <c r="R119" s="97">
        <v>-5.1599999999999997E-6</v>
      </c>
      <c r="S119" s="98">
        <v>0.497</v>
      </c>
      <c r="T119" s="94">
        <f t="shared" si="20"/>
        <v>-7.4303999999999993E-3</v>
      </c>
      <c r="U119" s="107">
        <v>1.7742712355360541</v>
      </c>
      <c r="V119" s="108">
        <v>-1.4495575387616047E-3</v>
      </c>
      <c r="W119" s="94">
        <f t="shared" si="16"/>
        <v>5.9808424612383948E-3</v>
      </c>
      <c r="X119" s="291">
        <v>0.59808424612383948</v>
      </c>
      <c r="Y119" s="142">
        <f t="shared" si="21"/>
        <v>41660</v>
      </c>
      <c r="Z119" s="138">
        <v>-3.3699999999999999E-6</v>
      </c>
      <c r="AA119" s="144">
        <v>0.47599999999999998</v>
      </c>
      <c r="AB119" s="138">
        <f t="shared" si="22"/>
        <v>-4.8528E-3</v>
      </c>
      <c r="AC119" s="138">
        <v>1.3935712355360539</v>
      </c>
      <c r="AD119" s="138">
        <v>0</v>
      </c>
      <c r="AE119" s="138">
        <f t="shared" si="23"/>
        <v>4.8528E-3</v>
      </c>
      <c r="AF119" s="291">
        <v>0.48527999999999999</v>
      </c>
      <c r="AG119" s="89">
        <f t="shared" si="25"/>
        <v>41660</v>
      </c>
      <c r="AH119" s="279">
        <v>0</v>
      </c>
      <c r="AI119" s="182">
        <v>38</v>
      </c>
    </row>
    <row r="120" spans="1:35">
      <c r="A120" s="4">
        <v>41661</v>
      </c>
      <c r="B120" s="43"/>
      <c r="C120" s="43"/>
      <c r="D120" s="43"/>
      <c r="E120" s="44"/>
      <c r="F120" s="44"/>
      <c r="G120" s="44"/>
      <c r="H120" s="44"/>
      <c r="I120" s="43"/>
      <c r="J120" s="78"/>
      <c r="K120" s="78"/>
      <c r="L120" s="78"/>
      <c r="M120" s="78"/>
      <c r="N120" s="79"/>
      <c r="O120" s="80"/>
      <c r="P120" s="80"/>
      <c r="Q120" s="89">
        <f t="shared" si="24"/>
        <v>41661</v>
      </c>
      <c r="R120" s="97">
        <v>-4.4100000000000001E-6</v>
      </c>
      <c r="S120" s="98">
        <v>0.34799999999999998</v>
      </c>
      <c r="T120" s="94">
        <f t="shared" si="20"/>
        <v>-6.3504E-3</v>
      </c>
      <c r="U120" s="107">
        <v>1.7503448476143439</v>
      </c>
      <c r="V120" s="108">
        <v>-1.0635572119194283E-3</v>
      </c>
      <c r="W120" s="94">
        <f t="shared" si="16"/>
        <v>5.2868427880805712E-3</v>
      </c>
      <c r="X120" s="291">
        <v>0.52868427880805713</v>
      </c>
      <c r="Y120" s="142">
        <f t="shared" si="21"/>
        <v>41661</v>
      </c>
      <c r="Z120" s="138">
        <v>-2.5100000000000001E-6</v>
      </c>
      <c r="AA120" s="144">
        <v>0.40400000000000003</v>
      </c>
      <c r="AB120" s="138">
        <f t="shared" si="22"/>
        <v>-3.6144000000000003E-3</v>
      </c>
      <c r="AC120" s="138">
        <v>1.3718448476143439</v>
      </c>
      <c r="AD120" s="138">
        <v>0</v>
      </c>
      <c r="AE120" s="138">
        <f t="shared" si="23"/>
        <v>3.6144000000000003E-3</v>
      </c>
      <c r="AF120" s="291">
        <v>0.36144000000000004</v>
      </c>
      <c r="AG120" s="89">
        <f t="shared" si="25"/>
        <v>41661</v>
      </c>
      <c r="AH120" s="279">
        <v>0</v>
      </c>
      <c r="AI120" s="182">
        <v>39</v>
      </c>
    </row>
    <row r="121" spans="1:35">
      <c r="A121" s="4">
        <v>41662</v>
      </c>
      <c r="B121" s="43"/>
      <c r="C121" s="43"/>
      <c r="D121" s="43"/>
      <c r="E121" s="44"/>
      <c r="F121" s="44"/>
      <c r="G121" s="44"/>
      <c r="H121" s="44"/>
      <c r="I121" s="43"/>
      <c r="J121" s="78"/>
      <c r="K121" s="78"/>
      <c r="L121" s="78"/>
      <c r="M121" s="78"/>
      <c r="N121" s="79"/>
      <c r="O121" s="80"/>
      <c r="P121" s="80"/>
      <c r="Q121" s="89">
        <f t="shared" si="24"/>
        <v>41662</v>
      </c>
      <c r="R121" s="97">
        <v>-5.0500000000000004E-7</v>
      </c>
      <c r="S121" s="98">
        <v>0.628</v>
      </c>
      <c r="T121" s="94">
        <f t="shared" si="20"/>
        <v>-7.272E-4</v>
      </c>
      <c r="U121" s="107">
        <v>1.7278583466082462</v>
      </c>
      <c r="V121" s="108">
        <v>-6.8287870513772104E-4</v>
      </c>
      <c r="W121" s="94">
        <f t="shared" si="16"/>
        <v>4.432129486227896E-5</v>
      </c>
      <c r="X121" s="291">
        <v>4.4321294862278964E-3</v>
      </c>
      <c r="Y121" s="142">
        <f t="shared" si="21"/>
        <v>41662</v>
      </c>
      <c r="Z121" s="138">
        <v>-4.3799999999999998E-7</v>
      </c>
      <c r="AA121" s="144">
        <v>2.1999999999999999E-2</v>
      </c>
      <c r="AB121" s="138">
        <f t="shared" si="22"/>
        <v>-6.3071999999999998E-4</v>
      </c>
      <c r="AC121" s="138">
        <v>1.3499583466082465</v>
      </c>
      <c r="AD121" s="138">
        <v>0</v>
      </c>
      <c r="AE121" s="138">
        <f t="shared" si="23"/>
        <v>6.3071999999999998E-4</v>
      </c>
      <c r="AF121" s="291">
        <v>6.3072000000000003E-2</v>
      </c>
      <c r="AG121" s="89">
        <f t="shared" si="25"/>
        <v>41662</v>
      </c>
      <c r="AH121" s="279">
        <v>0</v>
      </c>
      <c r="AI121" s="182">
        <v>40</v>
      </c>
    </row>
    <row r="122" spans="1:35">
      <c r="A122" s="4">
        <v>41663</v>
      </c>
      <c r="B122" s="43"/>
      <c r="C122" s="43"/>
      <c r="D122" s="43"/>
      <c r="E122" s="44"/>
      <c r="F122" s="44"/>
      <c r="G122" s="44"/>
      <c r="H122" s="44"/>
      <c r="I122" s="43"/>
      <c r="J122" s="78"/>
      <c r="K122" s="78"/>
      <c r="L122" s="78"/>
      <c r="M122" s="78"/>
      <c r="N122" s="79"/>
      <c r="O122" s="80"/>
      <c r="P122" s="80"/>
      <c r="Q122" s="89">
        <f t="shared" si="24"/>
        <v>41663</v>
      </c>
      <c r="R122" s="97">
        <v>-2.6199999999999999E-6</v>
      </c>
      <c r="S122" s="98">
        <v>0.252</v>
      </c>
      <c r="T122" s="94">
        <f t="shared" si="20"/>
        <v>-3.7727999999999998E-3</v>
      </c>
      <c r="U122" s="107">
        <v>1.7063139702099981</v>
      </c>
      <c r="V122" s="108">
        <v>-3.0095731470859715E-4</v>
      </c>
      <c r="W122" s="94">
        <f t="shared" si="16"/>
        <v>3.4718426852914028E-3</v>
      </c>
      <c r="X122" s="291">
        <v>0.34718426852914031</v>
      </c>
      <c r="Y122" s="142">
        <f t="shared" si="21"/>
        <v>41663</v>
      </c>
      <c r="Z122" s="138">
        <v>-2.96E-6</v>
      </c>
      <c r="AA122" s="144">
        <v>0.50800000000000001</v>
      </c>
      <c r="AB122" s="138">
        <f t="shared" si="22"/>
        <v>-4.2624000000000004E-3</v>
      </c>
      <c r="AC122" s="138">
        <v>1.3276139702099985</v>
      </c>
      <c r="AD122" s="138">
        <v>0</v>
      </c>
      <c r="AE122" s="138">
        <f t="shared" si="23"/>
        <v>4.2624000000000004E-3</v>
      </c>
      <c r="AF122" s="291">
        <v>0.42624000000000006</v>
      </c>
      <c r="AG122" s="89">
        <f t="shared" si="25"/>
        <v>41663</v>
      </c>
      <c r="AH122" s="279">
        <v>0</v>
      </c>
      <c r="AI122" s="182">
        <v>41</v>
      </c>
    </row>
    <row r="123" spans="1:35">
      <c r="A123" s="4">
        <v>41664</v>
      </c>
      <c r="B123" s="43"/>
      <c r="C123" s="43"/>
      <c r="D123" s="43"/>
      <c r="E123" s="44"/>
      <c r="F123" s="44"/>
      <c r="G123" s="44"/>
      <c r="H123" s="44"/>
      <c r="I123" s="43"/>
      <c r="J123" s="78"/>
      <c r="K123" s="78"/>
      <c r="L123" s="78"/>
      <c r="M123" s="78"/>
      <c r="N123" s="79"/>
      <c r="O123" s="80"/>
      <c r="P123" s="80"/>
      <c r="Q123" s="89">
        <f t="shared" si="24"/>
        <v>41664</v>
      </c>
      <c r="R123" s="97">
        <v>3.32E-6</v>
      </c>
      <c r="S123" s="98">
        <v>0.315</v>
      </c>
      <c r="T123" s="94">
        <f t="shared" si="20"/>
        <v>4.7808E-3</v>
      </c>
      <c r="U123" s="107">
        <v>1.6838859452633741</v>
      </c>
      <c r="V123" s="108">
        <v>0</v>
      </c>
      <c r="W123" s="94">
        <f t="shared" si="16"/>
        <v>-4.7808E-3</v>
      </c>
      <c r="X123" s="291">
        <v>-0.47808</v>
      </c>
      <c r="Y123" s="142">
        <f t="shared" si="21"/>
        <v>41664</v>
      </c>
      <c r="Z123" s="138">
        <v>-7.2200000000000003E-6</v>
      </c>
      <c r="AA123" s="144">
        <v>-0.89500000000000002</v>
      </c>
      <c r="AB123" s="138">
        <f t="shared" si="22"/>
        <v>-1.0396800000000001E-2</v>
      </c>
      <c r="AC123" s="138">
        <v>1.305385945263374</v>
      </c>
      <c r="AD123" s="138">
        <v>0</v>
      </c>
      <c r="AE123" s="138">
        <f t="shared" si="23"/>
        <v>1.0396800000000001E-2</v>
      </c>
      <c r="AF123" s="291">
        <v>1.0396800000000002</v>
      </c>
      <c r="AG123" s="89">
        <f t="shared" si="25"/>
        <v>41664</v>
      </c>
      <c r="AH123" s="279">
        <v>0</v>
      </c>
      <c r="AI123" s="182">
        <v>42</v>
      </c>
    </row>
    <row r="124" spans="1:35">
      <c r="A124" s="4">
        <v>41665</v>
      </c>
      <c r="B124" s="43"/>
      <c r="C124" s="43"/>
      <c r="D124" s="43"/>
      <c r="E124" s="44"/>
      <c r="F124" s="44"/>
      <c r="G124" s="44"/>
      <c r="H124" s="44"/>
      <c r="I124" s="43"/>
      <c r="J124" s="78"/>
      <c r="K124" s="78"/>
      <c r="L124" s="78"/>
      <c r="M124" s="78"/>
      <c r="N124" s="79"/>
      <c r="O124" s="80"/>
      <c r="P124" s="80"/>
      <c r="Q124" s="89">
        <f t="shared" si="24"/>
        <v>41665</v>
      </c>
      <c r="R124" s="97">
        <v>1.11E-6</v>
      </c>
      <c r="S124" s="98">
        <v>3.2000000000000001E-2</v>
      </c>
      <c r="T124" s="94">
        <f t="shared" si="20"/>
        <v>1.5984E-3</v>
      </c>
      <c r="U124" s="107">
        <v>1.6634575198718646</v>
      </c>
      <c r="V124" s="108">
        <v>0</v>
      </c>
      <c r="W124" s="94">
        <f t="shared" si="16"/>
        <v>-1.5984E-3</v>
      </c>
      <c r="X124" s="291">
        <v>-0.15984000000000001</v>
      </c>
      <c r="Y124" s="142">
        <f t="shared" si="21"/>
        <v>41665</v>
      </c>
      <c r="Z124" s="138">
        <v>-1.86E-7</v>
      </c>
      <c r="AA124" s="144">
        <v>5.0000000000000001E-3</v>
      </c>
      <c r="AB124" s="138">
        <f t="shared" si="22"/>
        <v>-2.6783999999999998E-4</v>
      </c>
      <c r="AC124" s="138">
        <v>1.2829575198718639</v>
      </c>
      <c r="AD124" s="138">
        <v>0</v>
      </c>
      <c r="AE124" s="138">
        <f t="shared" si="23"/>
        <v>2.6783999999999998E-4</v>
      </c>
      <c r="AF124" s="291">
        <v>-2.6783999999999999E-2</v>
      </c>
      <c r="AG124" s="89">
        <f t="shared" si="25"/>
        <v>41665</v>
      </c>
      <c r="AH124" s="279">
        <v>0</v>
      </c>
      <c r="AI124" s="182">
        <v>43</v>
      </c>
    </row>
    <row r="125" spans="1:35">
      <c r="A125" s="4">
        <v>41666</v>
      </c>
      <c r="B125" s="43"/>
      <c r="C125" s="43"/>
      <c r="D125" s="43"/>
      <c r="E125" s="44"/>
      <c r="F125" s="44"/>
      <c r="G125" s="44"/>
      <c r="H125" s="44"/>
      <c r="I125" s="43"/>
      <c r="J125" s="78"/>
      <c r="K125" s="78"/>
      <c r="L125" s="78"/>
      <c r="M125" s="78"/>
      <c r="N125" s="79"/>
      <c r="O125" s="80"/>
      <c r="P125" s="80"/>
      <c r="Q125" s="89">
        <f t="shared" si="24"/>
        <v>41666</v>
      </c>
      <c r="R125" s="97">
        <v>2.8499999999999998E-6</v>
      </c>
      <c r="S125" s="98">
        <v>0.23599999999999999</v>
      </c>
      <c r="T125" s="94">
        <f t="shared" si="20"/>
        <v>4.104E-3</v>
      </c>
      <c r="U125" s="107">
        <v>1.6420783796036555</v>
      </c>
      <c r="V125" s="108">
        <v>0</v>
      </c>
      <c r="W125" s="94">
        <f t="shared" si="16"/>
        <v>-4.104E-3</v>
      </c>
      <c r="X125" s="291">
        <v>-0.41039999999999999</v>
      </c>
      <c r="Y125" s="142">
        <f t="shared" si="21"/>
        <v>41666</v>
      </c>
      <c r="Z125" s="138">
        <v>8.9099999999999997E-8</v>
      </c>
      <c r="AA125" s="144">
        <v>0</v>
      </c>
      <c r="AB125" s="138">
        <f t="shared" si="22"/>
        <v>1.2830399999999998E-4</v>
      </c>
      <c r="AC125" s="138">
        <v>1.2593783796036564</v>
      </c>
      <c r="AD125" s="138">
        <v>0</v>
      </c>
      <c r="AE125" s="138">
        <f t="shared" si="23"/>
        <v>-1.2830399999999998E-4</v>
      </c>
      <c r="AF125" s="291">
        <v>-1.2830399999999999E-2</v>
      </c>
      <c r="AG125" s="89">
        <f t="shared" si="25"/>
        <v>41666</v>
      </c>
      <c r="AH125" s="279">
        <v>0</v>
      </c>
      <c r="AI125" s="182">
        <v>44</v>
      </c>
    </row>
    <row r="126" spans="1:35">
      <c r="A126" s="4">
        <v>41667</v>
      </c>
      <c r="B126" s="43"/>
      <c r="C126" s="43"/>
      <c r="D126" s="43"/>
      <c r="E126" s="44"/>
      <c r="F126" s="44"/>
      <c r="G126" s="44"/>
      <c r="H126" s="44"/>
      <c r="I126" s="43"/>
      <c r="J126" s="78"/>
      <c r="K126" s="78"/>
      <c r="L126" s="78"/>
      <c r="M126" s="78"/>
      <c r="N126" s="79"/>
      <c r="O126" s="80"/>
      <c r="P126" s="80"/>
      <c r="Q126" s="89">
        <f t="shared" si="24"/>
        <v>41667</v>
      </c>
      <c r="R126" s="97">
        <v>1.68E-6</v>
      </c>
      <c r="S126" s="98">
        <v>0.123</v>
      </c>
      <c r="T126" s="94">
        <f t="shared" si="20"/>
        <v>2.4191999999999998E-3</v>
      </c>
      <c r="U126" s="107">
        <v>1.6201814463819708</v>
      </c>
      <c r="V126" s="108">
        <v>0</v>
      </c>
      <c r="W126" s="94">
        <f t="shared" si="16"/>
        <v>-2.4191999999999998E-3</v>
      </c>
      <c r="X126" s="291">
        <v>-0.24191999999999997</v>
      </c>
      <c r="Y126" s="142">
        <f t="shared" si="21"/>
        <v>41667</v>
      </c>
      <c r="Z126" s="138">
        <v>-6.68E-7</v>
      </c>
      <c r="AA126" s="144">
        <v>30</v>
      </c>
      <c r="AB126" s="138">
        <f t="shared" si="22"/>
        <v>-9.6192000000000001E-4</v>
      </c>
      <c r="AC126" s="138">
        <v>1.2354814463819692</v>
      </c>
      <c r="AD126" s="138">
        <v>0</v>
      </c>
      <c r="AE126" s="138">
        <f t="shared" si="23"/>
        <v>9.6192000000000001E-4</v>
      </c>
      <c r="AF126" s="291">
        <v>9.6192E-2</v>
      </c>
      <c r="AG126" s="89">
        <f t="shared" si="25"/>
        <v>41667</v>
      </c>
      <c r="AH126" s="279">
        <v>0</v>
      </c>
      <c r="AI126" s="182">
        <v>45</v>
      </c>
    </row>
    <row r="127" spans="1:35">
      <c r="A127" s="4">
        <v>41668</v>
      </c>
      <c r="B127" s="43"/>
      <c r="C127" s="43"/>
      <c r="D127" s="43"/>
      <c r="E127" s="44"/>
      <c r="F127" s="44"/>
      <c r="G127" s="44"/>
      <c r="H127" s="44"/>
      <c r="I127" s="43"/>
      <c r="J127" s="78"/>
      <c r="K127" s="78"/>
      <c r="L127" s="78"/>
      <c r="M127" s="78"/>
      <c r="N127" s="79"/>
      <c r="O127" s="80"/>
      <c r="P127" s="80"/>
      <c r="Q127" s="89">
        <f t="shared" si="24"/>
        <v>41668</v>
      </c>
      <c r="R127" s="97">
        <v>1.6199999999999999E-6</v>
      </c>
      <c r="S127" s="98">
        <v>0.83399999999999996</v>
      </c>
      <c r="T127" s="94">
        <f t="shared" si="20"/>
        <v>2.3327999999999999E-3</v>
      </c>
      <c r="U127" s="107">
        <v>1.5991260277020405</v>
      </c>
      <c r="V127" s="108">
        <v>0</v>
      </c>
      <c r="W127" s="94">
        <f t="shared" si="16"/>
        <v>-2.3327999999999999E-3</v>
      </c>
      <c r="X127" s="291">
        <v>-0.23327999999999999</v>
      </c>
      <c r="Y127" s="142">
        <f t="shared" si="21"/>
        <v>41668</v>
      </c>
      <c r="Z127" s="138">
        <v>-1.28E-6</v>
      </c>
      <c r="AA127" s="144">
        <v>0.111</v>
      </c>
      <c r="AB127" s="138">
        <f t="shared" si="22"/>
        <v>-1.8432000000000001E-3</v>
      </c>
      <c r="AC127" s="138">
        <v>1.2124260277020418</v>
      </c>
      <c r="AD127" s="138">
        <v>0</v>
      </c>
      <c r="AE127" s="138">
        <f t="shared" si="23"/>
        <v>1.8432000000000001E-3</v>
      </c>
      <c r="AF127" s="291">
        <v>0.18432000000000001</v>
      </c>
      <c r="AG127" s="89">
        <f t="shared" si="25"/>
        <v>41668</v>
      </c>
      <c r="AH127" s="279">
        <v>0</v>
      </c>
      <c r="AI127" s="182">
        <v>46</v>
      </c>
    </row>
    <row r="128" spans="1:35">
      <c r="A128" s="4">
        <v>41669</v>
      </c>
      <c r="B128" s="43"/>
      <c r="C128" s="43"/>
      <c r="D128" s="43"/>
      <c r="E128" s="44"/>
      <c r="F128" s="44"/>
      <c r="G128" s="44"/>
      <c r="H128" s="44"/>
      <c r="I128" s="43"/>
      <c r="J128" s="78"/>
      <c r="K128" s="78"/>
      <c r="L128" s="78"/>
      <c r="M128" s="78"/>
      <c r="N128" s="79"/>
      <c r="O128" s="80"/>
      <c r="P128" s="80"/>
      <c r="Q128" s="89">
        <f t="shared" si="24"/>
        <v>41669</v>
      </c>
      <c r="R128" s="97">
        <v>4.9900000000000001E-7</v>
      </c>
      <c r="S128" s="98">
        <v>8.9999999999999993E-3</v>
      </c>
      <c r="T128" s="94">
        <f t="shared" si="20"/>
        <v>7.1856000000000003E-4</v>
      </c>
      <c r="U128" s="107">
        <v>1.5776430056676023</v>
      </c>
      <c r="V128" s="108">
        <v>0</v>
      </c>
      <c r="W128" s="94">
        <f t="shared" si="16"/>
        <v>-7.1856000000000003E-4</v>
      </c>
      <c r="X128" s="291">
        <v>-7.1856000000000003E-2</v>
      </c>
      <c r="Y128" s="142">
        <f t="shared" si="21"/>
        <v>41669</v>
      </c>
      <c r="Z128" s="138">
        <v>2.6899999999999999E-7</v>
      </c>
      <c r="AA128" s="144">
        <v>6.0000000000000001E-3</v>
      </c>
      <c r="AB128" s="138">
        <f t="shared" si="22"/>
        <v>3.8736E-4</v>
      </c>
      <c r="AC128" s="138">
        <v>1.1877430056676022</v>
      </c>
      <c r="AD128" s="138">
        <v>0</v>
      </c>
      <c r="AE128" s="138">
        <f t="shared" si="23"/>
        <v>-3.8736E-4</v>
      </c>
      <c r="AF128" s="291">
        <v>-3.8736E-2</v>
      </c>
      <c r="AG128" s="89">
        <f t="shared" si="25"/>
        <v>41669</v>
      </c>
      <c r="AH128" s="279">
        <v>0</v>
      </c>
      <c r="AI128" s="182">
        <v>47</v>
      </c>
    </row>
    <row r="129" spans="1:35">
      <c r="A129" s="4">
        <v>41670</v>
      </c>
      <c r="B129" s="43"/>
      <c r="C129" s="43"/>
      <c r="D129" s="43"/>
      <c r="E129" s="44"/>
      <c r="F129" s="44"/>
      <c r="G129" s="44"/>
      <c r="H129" s="44"/>
      <c r="I129" s="43"/>
      <c r="J129" s="78"/>
      <c r="K129" s="78"/>
      <c r="L129" s="78"/>
      <c r="M129" s="78"/>
      <c r="N129" s="79"/>
      <c r="O129" s="80"/>
      <c r="P129" s="80"/>
      <c r="Q129" s="89">
        <f t="shared" si="24"/>
        <v>41670</v>
      </c>
      <c r="R129" s="97">
        <v>9.9800000000000002E-7</v>
      </c>
      <c r="S129" s="98">
        <v>4.0000000000000001E-3</v>
      </c>
      <c r="T129" s="94">
        <f t="shared" si="20"/>
        <v>1.4371200000000001E-3</v>
      </c>
      <c r="U129" s="107">
        <v>1.5563562973899845</v>
      </c>
      <c r="V129" s="108">
        <v>0</v>
      </c>
      <c r="W129" s="94">
        <f t="shared" si="16"/>
        <v>-1.4371200000000001E-3</v>
      </c>
      <c r="X129" s="291">
        <v>-0.14371200000000001</v>
      </c>
      <c r="Y129" s="142">
        <f t="shared" si="21"/>
        <v>41670</v>
      </c>
      <c r="Z129" s="138">
        <v>-7.8000000000000005E-7</v>
      </c>
      <c r="AA129" s="144">
        <v>4.8000000000000001E-2</v>
      </c>
      <c r="AB129" s="138">
        <f t="shared" si="22"/>
        <v>-1.1232E-3</v>
      </c>
      <c r="AC129" s="138">
        <v>1.1624562973899848</v>
      </c>
      <c r="AD129" s="138">
        <v>0</v>
      </c>
      <c r="AE129" s="138">
        <f t="shared" si="23"/>
        <v>1.1232E-3</v>
      </c>
      <c r="AF129" s="291">
        <v>0.11232</v>
      </c>
      <c r="AG129" s="89">
        <f t="shared" si="25"/>
        <v>41670</v>
      </c>
      <c r="AH129" s="279">
        <v>0</v>
      </c>
      <c r="AI129" s="182">
        <v>48</v>
      </c>
    </row>
    <row r="130" spans="1:35">
      <c r="A130" s="4">
        <v>41671</v>
      </c>
      <c r="B130" s="43"/>
      <c r="C130" s="43"/>
      <c r="D130" s="43"/>
      <c r="E130" s="44"/>
      <c r="F130" s="44"/>
      <c r="G130" s="44"/>
      <c r="H130" s="44"/>
      <c r="I130" s="43"/>
      <c r="J130" s="78"/>
      <c r="K130" s="78"/>
      <c r="L130" s="78"/>
      <c r="M130" s="78"/>
      <c r="N130" s="79"/>
      <c r="O130" s="80"/>
      <c r="P130" s="80"/>
      <c r="Q130" s="89">
        <f t="shared" si="24"/>
        <v>41671</v>
      </c>
      <c r="R130" s="97">
        <v>4.3799999999999998E-7</v>
      </c>
      <c r="S130" s="98">
        <v>1.0999999999999999E-2</v>
      </c>
      <c r="T130" s="94">
        <f t="shared" si="20"/>
        <v>6.3071999999999998E-4</v>
      </c>
      <c r="U130" s="107">
        <v>1.5351661054413257</v>
      </c>
      <c r="V130" s="108">
        <v>0</v>
      </c>
      <c r="W130" s="94">
        <f t="shared" si="16"/>
        <v>-6.3071999999999998E-4</v>
      </c>
      <c r="X130" s="291">
        <v>-6.3072000000000003E-2</v>
      </c>
      <c r="Y130" s="142">
        <f t="shared" si="21"/>
        <v>41671</v>
      </c>
      <c r="Z130" s="138">
        <v>-2.12E-6</v>
      </c>
      <c r="AA130" s="144">
        <v>0.249</v>
      </c>
      <c r="AB130" s="138">
        <f t="shared" si="22"/>
        <v>-3.0528E-3</v>
      </c>
      <c r="AC130" s="138">
        <v>1.1376661054413257</v>
      </c>
      <c r="AD130" s="138">
        <v>0</v>
      </c>
      <c r="AE130" s="138">
        <f t="shared" si="23"/>
        <v>3.0528E-3</v>
      </c>
      <c r="AF130" s="291">
        <v>0.30528</v>
      </c>
      <c r="AG130" s="89">
        <f t="shared" si="25"/>
        <v>41671</v>
      </c>
      <c r="AH130" s="279">
        <v>0</v>
      </c>
      <c r="AI130" s="182">
        <v>49</v>
      </c>
    </row>
    <row r="131" spans="1:35">
      <c r="A131" s="4">
        <v>41672</v>
      </c>
      <c r="B131" s="43"/>
      <c r="C131" s="43"/>
      <c r="D131" s="43"/>
      <c r="E131" s="44"/>
      <c r="F131" s="44"/>
      <c r="G131" s="44"/>
      <c r="H131" s="44"/>
      <c r="I131" s="43"/>
      <c r="J131" s="78"/>
      <c r="K131" s="78"/>
      <c r="L131" s="78"/>
      <c r="M131" s="78"/>
      <c r="N131" s="79"/>
      <c r="O131" s="80"/>
      <c r="P131" s="80"/>
      <c r="Q131" s="89">
        <f t="shared" si="24"/>
        <v>41672</v>
      </c>
      <c r="R131" s="97">
        <v>-3.9799999999999999E-7</v>
      </c>
      <c r="S131" s="98">
        <v>4.0000000000000001E-3</v>
      </c>
      <c r="T131" s="94">
        <f t="shared" si="20"/>
        <v>-5.7311999999999999E-4</v>
      </c>
      <c r="U131" s="107">
        <v>1.5152657026467513</v>
      </c>
      <c r="V131" s="108">
        <v>0</v>
      </c>
      <c r="W131" s="94">
        <f t="shared" si="16"/>
        <v>5.7311999999999999E-4</v>
      </c>
      <c r="X131" s="291">
        <v>5.7312000000000002E-2</v>
      </c>
      <c r="Y131" s="142">
        <f t="shared" si="21"/>
        <v>41672</v>
      </c>
      <c r="Z131" s="138">
        <v>1.2300000000000001E-6</v>
      </c>
      <c r="AA131" s="144">
        <v>0.186</v>
      </c>
      <c r="AB131" s="138">
        <f t="shared" si="22"/>
        <v>1.7712000000000001E-3</v>
      </c>
      <c r="AC131" s="138">
        <v>1.112165702646752</v>
      </c>
      <c r="AD131" s="138">
        <v>0</v>
      </c>
      <c r="AE131" s="138">
        <f t="shared" si="23"/>
        <v>-1.7712000000000001E-3</v>
      </c>
      <c r="AF131" s="291">
        <v>-0.17712</v>
      </c>
      <c r="AG131" s="89">
        <f t="shared" si="25"/>
        <v>41672</v>
      </c>
      <c r="AH131" s="279">
        <v>0</v>
      </c>
      <c r="AI131" s="182">
        <v>50</v>
      </c>
    </row>
    <row r="132" spans="1:35">
      <c r="A132" s="4">
        <v>41673</v>
      </c>
      <c r="B132" s="43"/>
      <c r="C132" s="43"/>
      <c r="D132" s="43"/>
      <c r="E132" s="44"/>
      <c r="F132" s="44"/>
      <c r="G132" s="44"/>
      <c r="H132" s="44"/>
      <c r="I132" s="43"/>
      <c r="J132" s="78"/>
      <c r="K132" s="78"/>
      <c r="L132" s="78"/>
      <c r="M132" s="78"/>
      <c r="N132" s="79"/>
      <c r="O132" s="80"/>
      <c r="P132" s="80"/>
      <c r="Q132" s="89">
        <f t="shared" si="24"/>
        <v>41673</v>
      </c>
      <c r="R132" s="97">
        <v>-7.7800000000000001E-7</v>
      </c>
      <c r="S132" s="98">
        <v>3.6999999999999998E-2</v>
      </c>
      <c r="T132" s="94">
        <f t="shared" si="20"/>
        <v>-1.12032E-3</v>
      </c>
      <c r="U132" s="107">
        <v>1.4951765329575299</v>
      </c>
      <c r="V132" s="108">
        <v>0</v>
      </c>
      <c r="W132" s="94">
        <f t="shared" si="16"/>
        <v>1.12032E-3</v>
      </c>
      <c r="X132" s="291">
        <v>0.11203199999999999</v>
      </c>
      <c r="Y132" s="142">
        <f t="shared" si="21"/>
        <v>41673</v>
      </c>
      <c r="Z132" s="138">
        <v>3.3700000000000001E-7</v>
      </c>
      <c r="AA132" s="144">
        <v>1.9E-2</v>
      </c>
      <c r="AB132" s="138">
        <f t="shared" si="22"/>
        <v>4.8528000000000004E-4</v>
      </c>
      <c r="AC132" s="138">
        <v>1.08927653295753</v>
      </c>
      <c r="AD132" s="138">
        <v>0</v>
      </c>
      <c r="AE132" s="138">
        <f t="shared" si="23"/>
        <v>-4.8528000000000004E-4</v>
      </c>
      <c r="AF132" s="291">
        <v>-4.8528000000000002E-2</v>
      </c>
      <c r="AG132" s="89">
        <f t="shared" si="25"/>
        <v>41673</v>
      </c>
      <c r="AH132" s="279">
        <v>0</v>
      </c>
      <c r="AI132" s="182">
        <v>51</v>
      </c>
    </row>
    <row r="133" spans="1:35">
      <c r="A133" s="4">
        <v>41674</v>
      </c>
      <c r="B133" s="43"/>
      <c r="C133" s="43"/>
      <c r="D133" s="43"/>
      <c r="E133" s="44"/>
      <c r="F133" s="44"/>
      <c r="G133" s="44"/>
      <c r="H133" s="44"/>
      <c r="I133" s="43"/>
      <c r="J133" s="78"/>
      <c r="K133" s="78"/>
      <c r="L133" s="78"/>
      <c r="M133" s="78"/>
      <c r="N133" s="79"/>
      <c r="O133" s="80"/>
      <c r="P133" s="80"/>
      <c r="Q133" s="89">
        <f t="shared" si="24"/>
        <v>41674</v>
      </c>
      <c r="R133" s="97">
        <v>4.95E-6</v>
      </c>
      <c r="S133" s="98">
        <v>0.40899999999999997</v>
      </c>
      <c r="T133" s="94">
        <f t="shared" si="20"/>
        <v>7.1279999999999998E-3</v>
      </c>
      <c r="U133" s="107">
        <v>1.4721573055512711</v>
      </c>
      <c r="V133" s="108">
        <v>0</v>
      </c>
      <c r="W133" s="94">
        <f t="shared" si="16"/>
        <v>-7.1279999999999998E-3</v>
      </c>
      <c r="X133" s="291">
        <v>-0.71279999999999999</v>
      </c>
      <c r="Y133" s="142">
        <f t="shared" si="21"/>
        <v>41674</v>
      </c>
      <c r="Z133" s="138">
        <v>-8.9199999999999999E-7</v>
      </c>
      <c r="AA133" s="144">
        <v>90</v>
      </c>
      <c r="AB133" s="138">
        <f t="shared" si="22"/>
        <v>-1.28448E-3</v>
      </c>
      <c r="AC133" s="138">
        <v>1.0646573055512696</v>
      </c>
      <c r="AD133" s="138">
        <v>0</v>
      </c>
      <c r="AE133" s="138">
        <f t="shared" si="23"/>
        <v>1.28448E-3</v>
      </c>
      <c r="AF133" s="291">
        <v>0.12844800000000001</v>
      </c>
      <c r="AG133" s="89">
        <f t="shared" si="25"/>
        <v>41674</v>
      </c>
      <c r="AH133" s="279">
        <v>0</v>
      </c>
      <c r="AI133" s="182">
        <v>52</v>
      </c>
    </row>
    <row r="134" spans="1:35">
      <c r="A134" s="4">
        <v>41675</v>
      </c>
      <c r="B134" s="157"/>
      <c r="C134" s="157"/>
      <c r="D134" s="157"/>
      <c r="E134" s="156"/>
      <c r="F134" s="156"/>
      <c r="G134" s="156"/>
      <c r="H134" s="156"/>
      <c r="I134" s="157"/>
      <c r="J134" s="158"/>
      <c r="K134" s="158"/>
      <c r="L134" s="158"/>
      <c r="M134" s="158"/>
      <c r="N134" s="159"/>
      <c r="O134" s="160"/>
      <c r="P134" s="160"/>
      <c r="Q134" s="89">
        <f t="shared" si="24"/>
        <v>41675</v>
      </c>
      <c r="R134" s="97">
        <v>4.6199999999999998E-6</v>
      </c>
      <c r="S134" s="98">
        <v>0.51300000000000001</v>
      </c>
      <c r="T134" s="94">
        <f t="shared" si="20"/>
        <v>6.6527999999999995E-3</v>
      </c>
      <c r="U134" s="107">
        <v>1.4525552539833169</v>
      </c>
      <c r="V134" s="108">
        <v>0</v>
      </c>
      <c r="W134" s="94">
        <f t="shared" si="16"/>
        <v>-6.6527999999999995E-3</v>
      </c>
      <c r="X134" s="291">
        <v>-0.66527999999999998</v>
      </c>
      <c r="Y134" s="142">
        <f t="shared" si="21"/>
        <v>41675</v>
      </c>
      <c r="Z134" s="138">
        <v>-1.55E-6</v>
      </c>
      <c r="AA134" s="144">
        <v>0.18</v>
      </c>
      <c r="AB134" s="138">
        <f t="shared" si="22"/>
        <v>-2.232E-3</v>
      </c>
      <c r="AC134" s="138">
        <v>1.0399552539833183</v>
      </c>
      <c r="AD134" s="138">
        <v>0</v>
      </c>
      <c r="AE134" s="138">
        <f t="shared" si="23"/>
        <v>2.232E-3</v>
      </c>
      <c r="AF134" s="291">
        <v>-0.22320000000000001</v>
      </c>
      <c r="AG134" s="89">
        <f t="shared" si="25"/>
        <v>41675</v>
      </c>
      <c r="AH134" s="279">
        <v>0</v>
      </c>
      <c r="AI134" s="182">
        <v>53</v>
      </c>
    </row>
    <row r="135" spans="1:35">
      <c r="A135" s="4">
        <v>41676</v>
      </c>
      <c r="B135" s="157"/>
      <c r="C135" s="157"/>
      <c r="D135" s="157"/>
      <c r="E135" s="156"/>
      <c r="F135" s="156"/>
      <c r="G135" s="156"/>
      <c r="H135" s="156"/>
      <c r="I135" s="157"/>
      <c r="J135" s="158"/>
      <c r="K135" s="158"/>
      <c r="L135" s="158"/>
      <c r="M135" s="158"/>
      <c r="N135" s="159"/>
      <c r="O135" s="160"/>
      <c r="P135" s="160"/>
      <c r="Q135" s="89">
        <f t="shared" si="24"/>
        <v>41676</v>
      </c>
      <c r="R135" s="97">
        <v>8.5900000000000008E-6</v>
      </c>
      <c r="S135" s="98">
        <v>0.78500000000000003</v>
      </c>
      <c r="T135" s="94">
        <f t="shared" si="20"/>
        <v>1.2369600000000001E-2</v>
      </c>
      <c r="U135" s="107">
        <v>1.4321198800472623</v>
      </c>
      <c r="V135" s="108">
        <v>0</v>
      </c>
      <c r="W135" s="94">
        <f t="shared" si="16"/>
        <v>-1.2369600000000001E-2</v>
      </c>
      <c r="X135" s="291">
        <v>-1.2369600000000001</v>
      </c>
      <c r="Y135" s="142">
        <f t="shared" si="21"/>
        <v>41676</v>
      </c>
      <c r="Z135" s="138">
        <v>6.7900000000000002E-6</v>
      </c>
      <c r="AA135" s="144">
        <v>0.81899999999999995</v>
      </c>
      <c r="AB135" s="138">
        <f t="shared" si="22"/>
        <v>9.7776000000000009E-3</v>
      </c>
      <c r="AC135" s="138">
        <v>1.0165198800472619</v>
      </c>
      <c r="AD135" s="138">
        <v>0</v>
      </c>
      <c r="AE135" s="138">
        <f t="shared" si="23"/>
        <v>-9.7776000000000009E-3</v>
      </c>
      <c r="AF135" s="291">
        <v>-0.97776000000000007</v>
      </c>
      <c r="AG135" s="89">
        <f t="shared" si="25"/>
        <v>41676</v>
      </c>
      <c r="AH135" s="279">
        <v>0</v>
      </c>
      <c r="AI135" s="182">
        <v>54</v>
      </c>
    </row>
    <row r="136" spans="1:35">
      <c r="A136" s="4">
        <v>41677</v>
      </c>
      <c r="B136" s="157"/>
      <c r="C136" s="157"/>
      <c r="D136" s="157"/>
      <c r="E136" s="156"/>
      <c r="F136" s="156"/>
      <c r="G136" s="156"/>
      <c r="H136" s="156"/>
      <c r="I136" s="157"/>
      <c r="J136" s="158"/>
      <c r="K136" s="158"/>
      <c r="L136" s="158"/>
      <c r="M136" s="158"/>
      <c r="N136" s="159"/>
      <c r="O136" s="160"/>
      <c r="P136" s="160"/>
      <c r="Q136" s="89">
        <f t="shared" si="24"/>
        <v>41677</v>
      </c>
      <c r="R136" s="97">
        <v>7.2300000000000002E-6</v>
      </c>
      <c r="S136" s="98">
        <v>0.746</v>
      </c>
      <c r="T136" s="94">
        <f t="shared" si="20"/>
        <v>1.0411200000000001E-2</v>
      </c>
      <c r="U136" s="107">
        <v>1.4101740691962346</v>
      </c>
      <c r="V136" s="108">
        <v>0</v>
      </c>
      <c r="W136" s="94">
        <f t="shared" si="16"/>
        <v>-1.0411200000000001E-2</v>
      </c>
      <c r="X136" s="291">
        <v>-1.04112</v>
      </c>
      <c r="Y136" s="142">
        <f t="shared" si="21"/>
        <v>41677</v>
      </c>
      <c r="Z136" s="138">
        <v>3.7900000000000001E-6</v>
      </c>
      <c r="AA136" s="144">
        <v>0.59599999999999997</v>
      </c>
      <c r="AB136" s="138">
        <f t="shared" si="22"/>
        <v>5.4576E-3</v>
      </c>
      <c r="AC136" s="138">
        <v>0.99477406919623368</v>
      </c>
      <c r="AD136" s="138">
        <v>0</v>
      </c>
      <c r="AE136" s="138">
        <f t="shared" si="23"/>
        <v>-5.4576E-3</v>
      </c>
      <c r="AF136" s="291">
        <v>-0.54576000000000002</v>
      </c>
      <c r="AG136" s="89">
        <f t="shared" si="25"/>
        <v>41677</v>
      </c>
      <c r="AH136" s="279">
        <v>0</v>
      </c>
      <c r="AI136" s="182">
        <v>55</v>
      </c>
    </row>
    <row r="137" spans="1:35">
      <c r="A137" s="4">
        <v>41678</v>
      </c>
      <c r="B137" s="157"/>
      <c r="C137" s="157"/>
      <c r="D137" s="157"/>
      <c r="E137" s="156"/>
      <c r="F137" s="156"/>
      <c r="G137" s="156"/>
      <c r="H137" s="156"/>
      <c r="I137" s="157"/>
      <c r="J137" s="158"/>
      <c r="K137" s="158"/>
      <c r="L137" s="158"/>
      <c r="M137" s="158"/>
      <c r="N137" s="159"/>
      <c r="O137" s="160"/>
      <c r="P137" s="160"/>
      <c r="Q137" s="89">
        <f t="shared" si="24"/>
        <v>41678</v>
      </c>
      <c r="R137" s="97">
        <v>6.0900000000000001E-6</v>
      </c>
      <c r="S137" s="98">
        <v>0.65</v>
      </c>
      <c r="T137" s="94">
        <f t="shared" si="20"/>
        <v>8.7696000000000007E-3</v>
      </c>
      <c r="U137" s="107">
        <v>1.3890292876537189</v>
      </c>
      <c r="V137" s="108">
        <v>0</v>
      </c>
      <c r="W137" s="94">
        <f t="shared" si="16"/>
        <v>-8.7696000000000007E-3</v>
      </c>
      <c r="X137" s="291">
        <v>-0.87696000000000007</v>
      </c>
      <c r="Y137" s="142">
        <f t="shared" si="21"/>
        <v>41678</v>
      </c>
      <c r="Z137" s="138">
        <v>2.12E-6</v>
      </c>
      <c r="AA137" s="144">
        <v>0.34499999999999997</v>
      </c>
      <c r="AB137" s="138">
        <f t="shared" si="22"/>
        <v>3.0528E-3</v>
      </c>
      <c r="AC137" s="138">
        <v>0.97102928765371876</v>
      </c>
      <c r="AD137" s="138">
        <v>0</v>
      </c>
      <c r="AE137" s="138">
        <f t="shared" si="23"/>
        <v>-3.0528E-3</v>
      </c>
      <c r="AF137" s="291">
        <v>-0.30528</v>
      </c>
      <c r="AG137" s="89">
        <f t="shared" si="25"/>
        <v>41678</v>
      </c>
      <c r="AH137" s="279">
        <v>0</v>
      </c>
      <c r="AI137" s="182">
        <v>56</v>
      </c>
    </row>
    <row r="138" spans="1:35">
      <c r="A138" s="4">
        <v>41679</v>
      </c>
      <c r="B138" s="157"/>
      <c r="C138" s="157"/>
      <c r="D138" s="157"/>
      <c r="E138" s="156"/>
      <c r="F138" s="156"/>
      <c r="G138" s="156"/>
      <c r="H138" s="156"/>
      <c r="I138" s="157"/>
      <c r="J138" s="158"/>
      <c r="K138" s="158"/>
      <c r="L138" s="158"/>
      <c r="M138" s="158"/>
      <c r="N138" s="159"/>
      <c r="O138" s="160"/>
      <c r="P138" s="160"/>
      <c r="Q138" s="89">
        <f t="shared" si="24"/>
        <v>41679</v>
      </c>
      <c r="R138" s="97">
        <v>6.8299999999999998E-6</v>
      </c>
      <c r="S138" s="98">
        <v>0.71899999999999997</v>
      </c>
      <c r="T138" s="94">
        <f t="shared" si="20"/>
        <v>9.8352000000000005E-3</v>
      </c>
      <c r="U138" s="107">
        <v>1.3675225346322315</v>
      </c>
      <c r="V138" s="108">
        <v>0</v>
      </c>
      <c r="W138" s="94">
        <f t="shared" si="16"/>
        <v>-9.8352000000000005E-3</v>
      </c>
      <c r="X138" s="291">
        <v>-0.98352000000000006</v>
      </c>
      <c r="Y138" s="142">
        <f t="shared" si="21"/>
        <v>41679</v>
      </c>
      <c r="Z138" s="138">
        <v>3.1499999999999999E-6</v>
      </c>
      <c r="AA138" s="144">
        <v>0.47799999999999998</v>
      </c>
      <c r="AB138" s="138">
        <f t="shared" si="22"/>
        <v>4.5360000000000001E-3</v>
      </c>
      <c r="AC138" s="138">
        <v>0.94512253463223272</v>
      </c>
      <c r="AD138" s="138">
        <v>0</v>
      </c>
      <c r="AE138" s="138">
        <f t="shared" si="23"/>
        <v>-4.5360000000000001E-3</v>
      </c>
      <c r="AF138" s="291">
        <v>-0.4536</v>
      </c>
      <c r="AG138" s="89">
        <f t="shared" si="25"/>
        <v>41679</v>
      </c>
      <c r="AH138" s="279">
        <v>0</v>
      </c>
      <c r="AI138" s="182">
        <v>57</v>
      </c>
    </row>
    <row r="139" spans="1:35">
      <c r="A139" s="4">
        <v>41680</v>
      </c>
      <c r="B139" s="157"/>
      <c r="C139" s="157"/>
      <c r="D139" s="157"/>
      <c r="E139" s="156"/>
      <c r="F139" s="156"/>
      <c r="G139" s="156"/>
      <c r="H139" s="156"/>
      <c r="I139" s="157"/>
      <c r="J139" s="158"/>
      <c r="K139" s="158"/>
      <c r="L139" s="158"/>
      <c r="M139" s="158"/>
      <c r="N139" s="159"/>
      <c r="O139" s="160"/>
      <c r="P139" s="160"/>
      <c r="Q139" s="89">
        <f t="shared" si="24"/>
        <v>41680</v>
      </c>
      <c r="R139" s="97">
        <v>7.3100000000000003E-6</v>
      </c>
      <c r="S139" s="98">
        <v>0.68500000000000005</v>
      </c>
      <c r="T139" s="94">
        <f t="shared" si="20"/>
        <v>1.05264E-2</v>
      </c>
      <c r="U139" s="107">
        <v>1.3459656861989058</v>
      </c>
      <c r="V139" s="108">
        <v>0</v>
      </c>
      <c r="W139" s="94">
        <f t="shared" si="16"/>
        <v>-1.05264E-2</v>
      </c>
      <c r="X139" s="291">
        <v>-1.05264</v>
      </c>
      <c r="Y139" s="142">
        <f t="shared" si="21"/>
        <v>41680</v>
      </c>
      <c r="Z139" s="138">
        <v>4.25E-6</v>
      </c>
      <c r="AA139" s="144">
        <v>0.75700000000000001</v>
      </c>
      <c r="AB139" s="138">
        <f t="shared" si="22"/>
        <v>6.1199999999999996E-3</v>
      </c>
      <c r="AC139" s="138">
        <v>0.92076568619890642</v>
      </c>
      <c r="AD139" s="138">
        <v>0</v>
      </c>
      <c r="AE139" s="138">
        <f t="shared" si="23"/>
        <v>-6.1199999999999996E-3</v>
      </c>
      <c r="AF139" s="291">
        <v>-0.61199999999999999</v>
      </c>
      <c r="AG139" s="89">
        <f t="shared" si="25"/>
        <v>41680</v>
      </c>
      <c r="AH139" s="279">
        <v>0</v>
      </c>
      <c r="AI139" s="182">
        <v>58</v>
      </c>
    </row>
    <row r="140" spans="1:35">
      <c r="A140" s="4">
        <v>41681</v>
      </c>
      <c r="B140" s="157"/>
      <c r="C140" s="157"/>
      <c r="D140" s="157"/>
      <c r="E140" s="156"/>
      <c r="F140" s="156"/>
      <c r="G140" s="156"/>
      <c r="H140" s="156"/>
      <c r="I140" s="157"/>
      <c r="J140" s="158"/>
      <c r="K140" s="158"/>
      <c r="L140" s="158"/>
      <c r="M140" s="158"/>
      <c r="N140" s="159"/>
      <c r="O140" s="160"/>
      <c r="P140" s="160"/>
      <c r="Q140" s="89">
        <f t="shared" si="24"/>
        <v>41681</v>
      </c>
      <c r="R140" s="97">
        <v>6.81E-6</v>
      </c>
      <c r="S140" s="98">
        <v>0.624</v>
      </c>
      <c r="T140" s="94">
        <f t="shared" si="20"/>
        <v>9.8063999999999998E-3</v>
      </c>
      <c r="U140" s="107">
        <v>1.3257501426861293</v>
      </c>
      <c r="V140" s="108">
        <v>0</v>
      </c>
      <c r="W140" s="94">
        <f t="shared" si="16"/>
        <v>-9.8063999999999998E-3</v>
      </c>
      <c r="X140" s="291">
        <v>-0.98063999999999996</v>
      </c>
      <c r="Y140" s="142">
        <f t="shared" si="21"/>
        <v>41681</v>
      </c>
      <c r="Z140" s="138">
        <v>6.4899999999999997E-6</v>
      </c>
      <c r="AA140" s="144">
        <v>0.84</v>
      </c>
      <c r="AB140" s="138">
        <f t="shared" si="22"/>
        <v>9.345599999999999E-3</v>
      </c>
      <c r="AC140" s="138">
        <v>0.89365014268613008</v>
      </c>
      <c r="AD140" s="138">
        <v>0</v>
      </c>
      <c r="AE140" s="138">
        <f t="shared" si="23"/>
        <v>-9.345599999999999E-3</v>
      </c>
      <c r="AF140" s="291">
        <v>-0.93455999999999995</v>
      </c>
      <c r="AG140" s="89">
        <f t="shared" si="25"/>
        <v>41681</v>
      </c>
      <c r="AH140" s="279">
        <v>0</v>
      </c>
      <c r="AI140" s="182">
        <v>59</v>
      </c>
    </row>
    <row r="141" spans="1:35">
      <c r="A141" s="4">
        <v>41682</v>
      </c>
      <c r="B141" s="157"/>
      <c r="C141" s="157"/>
      <c r="D141" s="157"/>
      <c r="E141" s="156"/>
      <c r="F141" s="156"/>
      <c r="G141" s="156"/>
      <c r="H141" s="156"/>
      <c r="I141" s="157"/>
      <c r="J141" s="158"/>
      <c r="K141" s="158"/>
      <c r="L141" s="158"/>
      <c r="M141" s="158"/>
      <c r="N141" s="159"/>
      <c r="O141" s="160"/>
      <c r="P141" s="160"/>
      <c r="Q141" s="89">
        <f t="shared" si="24"/>
        <v>41682</v>
      </c>
      <c r="R141" s="97">
        <v>5.9200000000000001E-7</v>
      </c>
      <c r="S141" s="98">
        <v>1.0999999999999999E-2</v>
      </c>
      <c r="T141" s="94">
        <f t="shared" si="20"/>
        <v>8.5247999999999997E-4</v>
      </c>
      <c r="U141" s="107">
        <v>1.3051910354133338</v>
      </c>
      <c r="V141" s="108">
        <v>0</v>
      </c>
      <c r="W141" s="94">
        <f t="shared" si="16"/>
        <v>-8.5247999999999997E-4</v>
      </c>
      <c r="X141" s="291">
        <v>-8.524799999999999E-2</v>
      </c>
      <c r="Y141" s="142">
        <f t="shared" si="21"/>
        <v>41682</v>
      </c>
      <c r="Z141" s="138">
        <v>8.4200000000000005E-7</v>
      </c>
      <c r="AA141" s="144">
        <v>8.3000000000000004E-2</v>
      </c>
      <c r="AB141" s="138">
        <f t="shared" si="22"/>
        <v>1.2124800000000002E-3</v>
      </c>
      <c r="AC141" s="138">
        <v>0.86809103541333377</v>
      </c>
      <c r="AD141" s="138">
        <v>0</v>
      </c>
      <c r="AE141" s="138">
        <f t="shared" si="23"/>
        <v>-1.2124800000000002E-3</v>
      </c>
      <c r="AF141" s="291">
        <v>-0.12124800000000002</v>
      </c>
      <c r="AG141" s="89">
        <f t="shared" si="25"/>
        <v>41682</v>
      </c>
      <c r="AH141" s="279">
        <v>0</v>
      </c>
      <c r="AI141" s="182">
        <v>60</v>
      </c>
    </row>
    <row r="142" spans="1:35">
      <c r="A142" s="4">
        <v>41683</v>
      </c>
      <c r="B142" s="157"/>
      <c r="C142" s="157"/>
      <c r="D142" s="157"/>
      <c r="E142" s="156"/>
      <c r="F142" s="156"/>
      <c r="G142" s="156"/>
      <c r="H142" s="156"/>
      <c r="I142" s="157"/>
      <c r="J142" s="158"/>
      <c r="K142" s="158"/>
      <c r="L142" s="158"/>
      <c r="M142" s="158"/>
      <c r="N142" s="159"/>
      <c r="O142" s="160"/>
      <c r="P142" s="160"/>
      <c r="Q142" s="89">
        <f t="shared" si="24"/>
        <v>41683</v>
      </c>
      <c r="R142" s="97">
        <v>-8.47E-7</v>
      </c>
      <c r="S142" s="98">
        <v>3.3000000000000002E-2</v>
      </c>
      <c r="T142" s="94">
        <f t="shared" si="20"/>
        <v>-1.2196799999999999E-3</v>
      </c>
      <c r="U142" s="107">
        <v>1.2847067908970122</v>
      </c>
      <c r="V142" s="108">
        <v>0</v>
      </c>
      <c r="W142" s="94">
        <f t="shared" si="16"/>
        <v>1.2196799999999999E-3</v>
      </c>
      <c r="X142" s="291">
        <v>0.12196799999999999</v>
      </c>
      <c r="Y142" s="142">
        <f t="shared" si="21"/>
        <v>41683</v>
      </c>
      <c r="Z142" s="138">
        <v>-2.1100000000000001E-6</v>
      </c>
      <c r="AA142" s="144">
        <v>0.19</v>
      </c>
      <c r="AB142" s="138">
        <f t="shared" si="22"/>
        <v>-3.0384000000000001E-3</v>
      </c>
      <c r="AC142" s="138">
        <v>0.84340679089701309</v>
      </c>
      <c r="AD142" s="138">
        <v>0</v>
      </c>
      <c r="AE142" s="138">
        <f t="shared" si="23"/>
        <v>3.0384000000000001E-3</v>
      </c>
      <c r="AF142" s="291">
        <v>0.30384</v>
      </c>
      <c r="AG142" s="89">
        <f t="shared" si="25"/>
        <v>41683</v>
      </c>
      <c r="AH142" s="279">
        <v>0</v>
      </c>
      <c r="AI142" s="182">
        <v>61</v>
      </c>
    </row>
    <row r="143" spans="1:35">
      <c r="A143" s="4">
        <v>41684</v>
      </c>
      <c r="B143" s="157"/>
      <c r="C143" s="157"/>
      <c r="D143" s="157"/>
      <c r="E143" s="156"/>
      <c r="F143" s="156"/>
      <c r="G143" s="156"/>
      <c r="H143" s="156"/>
      <c r="I143" s="157"/>
      <c r="J143" s="158"/>
      <c r="K143" s="158"/>
      <c r="L143" s="158"/>
      <c r="M143" s="158"/>
      <c r="N143" s="159"/>
      <c r="O143" s="160"/>
      <c r="P143" s="160"/>
      <c r="Q143" s="89">
        <f t="shared" si="24"/>
        <v>41684</v>
      </c>
      <c r="R143" s="97">
        <v>-5.1399999999999999E-6</v>
      </c>
      <c r="S143" s="98">
        <v>0.40200000000000002</v>
      </c>
      <c r="T143" s="94">
        <f t="shared" si="20"/>
        <v>-7.4015999999999995E-3</v>
      </c>
      <c r="U143" s="107">
        <v>1.2617270452620954</v>
      </c>
      <c r="V143" s="108">
        <v>0</v>
      </c>
      <c r="W143" s="94">
        <f t="shared" si="16"/>
        <v>7.4015999999999995E-3</v>
      </c>
      <c r="X143" s="291">
        <v>0.74015999999999993</v>
      </c>
      <c r="Y143" s="142">
        <f t="shared" si="21"/>
        <v>41684</v>
      </c>
      <c r="Z143" s="138">
        <v>-1.1800000000000001E-5</v>
      </c>
      <c r="AA143" s="144">
        <v>0.89400000000000002</v>
      </c>
      <c r="AB143" s="138">
        <f t="shared" si="22"/>
        <v>-1.6992E-2</v>
      </c>
      <c r="AC143" s="138">
        <v>0.81532704526209576</v>
      </c>
      <c r="AD143" s="138">
        <v>0</v>
      </c>
      <c r="AE143" s="138">
        <f t="shared" si="23"/>
        <v>1.6992E-2</v>
      </c>
      <c r="AF143" s="291">
        <v>1.6992</v>
      </c>
      <c r="AG143" s="89">
        <f t="shared" si="25"/>
        <v>41684</v>
      </c>
      <c r="AH143" s="279">
        <v>0</v>
      </c>
      <c r="AI143" s="182">
        <v>62</v>
      </c>
    </row>
    <row r="144" spans="1:35">
      <c r="A144" s="4">
        <v>41685</v>
      </c>
      <c r="B144" s="157"/>
      <c r="C144" s="157"/>
      <c r="D144" s="157"/>
      <c r="E144" s="156"/>
      <c r="F144" s="156"/>
      <c r="G144" s="156"/>
      <c r="H144" s="156"/>
      <c r="I144" s="157"/>
      <c r="J144" s="158"/>
      <c r="K144" s="158"/>
      <c r="L144" s="158"/>
      <c r="M144" s="158"/>
      <c r="N144" s="159"/>
      <c r="O144" s="160"/>
      <c r="P144" s="160"/>
      <c r="Q144" s="89">
        <f t="shared" si="24"/>
        <v>41685</v>
      </c>
      <c r="R144" s="97">
        <v>-1.55E-6</v>
      </c>
      <c r="S144" s="98">
        <v>0.06</v>
      </c>
      <c r="T144" s="94">
        <f t="shared" si="20"/>
        <v>-2.232E-3</v>
      </c>
      <c r="U144" s="107">
        <v>1.2418932989521871</v>
      </c>
      <c r="V144" s="108">
        <v>0</v>
      </c>
      <c r="W144" s="94">
        <f t="shared" si="16"/>
        <v>2.232E-3</v>
      </c>
      <c r="X144" s="291">
        <v>0.22320000000000001</v>
      </c>
      <c r="Y144" s="142">
        <f t="shared" si="21"/>
        <v>41685</v>
      </c>
      <c r="Z144" s="138">
        <v>2.0999999999999998E-6</v>
      </c>
      <c r="AA144" s="144">
        <v>0.18</v>
      </c>
      <c r="AB144" s="138">
        <f t="shared" si="22"/>
        <v>3.0239999999999998E-3</v>
      </c>
      <c r="AC144" s="138">
        <v>0.78949329895218723</v>
      </c>
      <c r="AD144" s="138">
        <v>0</v>
      </c>
      <c r="AE144" s="138">
        <f t="shared" si="23"/>
        <v>-3.0239999999999998E-3</v>
      </c>
      <c r="AF144" s="291">
        <v>-0.3024</v>
      </c>
      <c r="AG144" s="89">
        <f t="shared" si="25"/>
        <v>41685</v>
      </c>
      <c r="AH144" s="279">
        <v>0</v>
      </c>
      <c r="AI144" s="182">
        <v>63</v>
      </c>
    </row>
    <row r="145" spans="1:35">
      <c r="A145" s="4">
        <v>41686</v>
      </c>
      <c r="B145" s="157"/>
      <c r="C145" s="157"/>
      <c r="D145" s="157"/>
      <c r="E145" s="156"/>
      <c r="F145" s="156"/>
      <c r="G145" s="156"/>
      <c r="H145" s="156"/>
      <c r="I145" s="157"/>
      <c r="J145" s="158"/>
      <c r="K145" s="158"/>
      <c r="L145" s="158"/>
      <c r="M145" s="158"/>
      <c r="N145" s="159"/>
      <c r="O145" s="160"/>
      <c r="P145" s="160"/>
      <c r="Q145" s="89">
        <f t="shared" si="24"/>
        <v>41686</v>
      </c>
      <c r="R145" s="97">
        <v>-1.3599999999999999E-6</v>
      </c>
      <c r="S145" s="98">
        <v>9.7000000000000003E-2</v>
      </c>
      <c r="T145" s="94">
        <f t="shared" si="20"/>
        <v>-1.9583999999999999E-3</v>
      </c>
      <c r="U145" s="107">
        <v>1.2223783631558125</v>
      </c>
      <c r="V145" s="108">
        <v>0</v>
      </c>
      <c r="W145" s="94">
        <f t="shared" si="16"/>
        <v>1.9583999999999999E-3</v>
      </c>
      <c r="X145" s="291">
        <v>0.19583999999999999</v>
      </c>
      <c r="Y145" s="142">
        <f t="shared" si="21"/>
        <v>41686</v>
      </c>
      <c r="Z145" s="138">
        <v>1.84E-6</v>
      </c>
      <c r="AA145" s="144">
        <v>0.17399999999999999</v>
      </c>
      <c r="AB145" s="138">
        <f t="shared" si="22"/>
        <v>2.6495999999999998E-3</v>
      </c>
      <c r="AC145" s="138">
        <v>0.76517836315581134</v>
      </c>
      <c r="AD145" s="138">
        <v>0</v>
      </c>
      <c r="AE145" s="138">
        <f t="shared" si="23"/>
        <v>-2.6495999999999998E-3</v>
      </c>
      <c r="AF145" s="291">
        <v>-0.26495999999999997</v>
      </c>
      <c r="AG145" s="89">
        <f t="shared" si="25"/>
        <v>41686</v>
      </c>
      <c r="AH145" s="279">
        <v>0</v>
      </c>
      <c r="AI145" s="182">
        <v>64</v>
      </c>
    </row>
    <row r="146" spans="1:35">
      <c r="A146" s="4">
        <v>41687</v>
      </c>
      <c r="B146" s="157"/>
      <c r="C146" s="157"/>
      <c r="D146" s="157"/>
      <c r="E146" s="156"/>
      <c r="F146" s="156"/>
      <c r="G146" s="156"/>
      <c r="H146" s="156"/>
      <c r="I146" s="157"/>
      <c r="J146" s="158"/>
      <c r="K146" s="158"/>
      <c r="L146" s="158"/>
      <c r="M146" s="158"/>
      <c r="N146" s="159"/>
      <c r="O146" s="160"/>
      <c r="P146" s="160"/>
      <c r="Q146" s="89">
        <f t="shared" si="24"/>
        <v>41687</v>
      </c>
      <c r="R146" s="97">
        <v>-3.6200000000000001E-6</v>
      </c>
      <c r="S146" s="98">
        <v>0.33</v>
      </c>
      <c r="T146" s="94">
        <f t="shared" si="20"/>
        <v>-5.2128000000000001E-3</v>
      </c>
      <c r="U146" s="107">
        <v>1.2017894124865713</v>
      </c>
      <c r="V146" s="108">
        <v>0</v>
      </c>
      <c r="W146" s="94">
        <f t="shared" si="16"/>
        <v>5.2128000000000001E-3</v>
      </c>
      <c r="X146" s="291">
        <v>0.52127999999999997</v>
      </c>
      <c r="Y146" s="142">
        <f t="shared" si="21"/>
        <v>41687</v>
      </c>
      <c r="Z146" s="138">
        <v>-4.9799999999999998E-6</v>
      </c>
      <c r="AA146" s="144">
        <v>0.70099999999999996</v>
      </c>
      <c r="AB146" s="138">
        <f t="shared" si="22"/>
        <v>-7.1712E-3</v>
      </c>
      <c r="AC146" s="138">
        <v>0.74098941248656969</v>
      </c>
      <c r="AD146" s="138">
        <v>0</v>
      </c>
      <c r="AE146" s="138">
        <f t="shared" si="23"/>
        <v>7.1712E-3</v>
      </c>
      <c r="AF146" s="291">
        <v>0.71711999999999998</v>
      </c>
      <c r="AG146" s="89">
        <f t="shared" si="25"/>
        <v>41687</v>
      </c>
      <c r="AH146" s="279">
        <v>0</v>
      </c>
      <c r="AI146" s="182">
        <v>65</v>
      </c>
    </row>
    <row r="147" spans="1:35">
      <c r="A147" s="4">
        <v>41688</v>
      </c>
      <c r="B147" s="157"/>
      <c r="C147" s="157"/>
      <c r="D147" s="157"/>
      <c r="E147" s="156"/>
      <c r="F147" s="156"/>
      <c r="G147" s="156"/>
      <c r="H147" s="156"/>
      <c r="I147" s="157"/>
      <c r="J147" s="158"/>
      <c r="K147" s="158"/>
      <c r="L147" s="158"/>
      <c r="M147" s="158"/>
      <c r="N147" s="159"/>
      <c r="O147" s="160"/>
      <c r="P147" s="160"/>
      <c r="Q147" s="89">
        <f t="shared" si="24"/>
        <v>41688</v>
      </c>
      <c r="R147" s="97">
        <v>-5.32E-8</v>
      </c>
      <c r="S147" s="98">
        <v>0</v>
      </c>
      <c r="T147" s="94">
        <f t="shared" si="20"/>
        <v>-7.6607999999999996E-5</v>
      </c>
      <c r="U147" s="107">
        <v>1.1800295043240081</v>
      </c>
      <c r="V147" s="108">
        <v>0</v>
      </c>
      <c r="W147" s="94">
        <f t="shared" si="16"/>
        <v>7.6607999999999996E-5</v>
      </c>
      <c r="X147" s="291">
        <v>7.6607999999999997E-3</v>
      </c>
      <c r="Y147" s="142">
        <f t="shared" si="21"/>
        <v>41688</v>
      </c>
      <c r="Z147" s="138">
        <v>-1.9599999999999999E-6</v>
      </c>
      <c r="AA147" s="144">
        <v>0.219</v>
      </c>
      <c r="AB147" s="138">
        <f t="shared" si="22"/>
        <v>-2.8223999999999996E-3</v>
      </c>
      <c r="AC147" s="138">
        <v>0.71552950432400797</v>
      </c>
      <c r="AD147" s="138">
        <v>0</v>
      </c>
      <c r="AE147" s="138">
        <f t="shared" si="23"/>
        <v>2.8223999999999996E-3</v>
      </c>
      <c r="AF147" s="291">
        <v>0.28223999999999999</v>
      </c>
      <c r="AG147" s="89">
        <f t="shared" si="25"/>
        <v>41688</v>
      </c>
      <c r="AH147" s="279">
        <v>0</v>
      </c>
      <c r="AI147" s="182">
        <v>66</v>
      </c>
    </row>
    <row r="148" spans="1:35">
      <c r="A148" s="4">
        <v>41689</v>
      </c>
      <c r="B148" s="157"/>
      <c r="C148" s="157"/>
      <c r="D148" s="157"/>
      <c r="E148" s="156"/>
      <c r="F148" s="156"/>
      <c r="G148" s="156"/>
      <c r="H148" s="156"/>
      <c r="I148" s="157"/>
      <c r="J148" s="158"/>
      <c r="K148" s="158"/>
      <c r="L148" s="158"/>
      <c r="M148" s="158"/>
      <c r="N148" s="159"/>
      <c r="O148" s="160"/>
      <c r="P148" s="160"/>
      <c r="Q148" s="89">
        <f t="shared" si="24"/>
        <v>41689</v>
      </c>
      <c r="R148" s="97">
        <v>9.6200000000000006E-7</v>
      </c>
      <c r="S148" s="98">
        <v>6.2E-2</v>
      </c>
      <c r="T148" s="94">
        <f t="shared" si="20"/>
        <v>1.38528E-3</v>
      </c>
      <c r="U148" s="107">
        <v>1.1658444354209991</v>
      </c>
      <c r="V148" s="108">
        <v>0</v>
      </c>
      <c r="W148" s="94">
        <f t="shared" si="16"/>
        <v>-1.38528E-3</v>
      </c>
      <c r="X148" s="291">
        <v>-0.13852800000000001</v>
      </c>
      <c r="Y148" s="142">
        <f t="shared" si="21"/>
        <v>41689</v>
      </c>
      <c r="Z148" s="138">
        <v>8.1000000000000004E-6</v>
      </c>
      <c r="AA148" s="144">
        <v>0.86399999999999999</v>
      </c>
      <c r="AB148" s="138">
        <f t="shared" si="22"/>
        <v>1.1664000000000001E-2</v>
      </c>
      <c r="AC148" s="138">
        <v>0.69674443542099906</v>
      </c>
      <c r="AD148" s="138">
        <v>0</v>
      </c>
      <c r="AE148" s="138">
        <f t="shared" si="23"/>
        <v>-1.1664000000000001E-2</v>
      </c>
      <c r="AF148" s="291">
        <v>-1.1664000000000001</v>
      </c>
      <c r="AG148" s="89">
        <f t="shared" si="25"/>
        <v>41689</v>
      </c>
      <c r="AH148" s="279">
        <v>0</v>
      </c>
      <c r="AI148" s="182">
        <v>67</v>
      </c>
    </row>
    <row r="149" spans="1:35">
      <c r="A149" s="4">
        <v>41690</v>
      </c>
      <c r="B149" s="157"/>
      <c r="C149" s="157"/>
      <c r="D149" s="157"/>
      <c r="E149" s="156"/>
      <c r="F149" s="156"/>
      <c r="G149" s="156"/>
      <c r="H149" s="156"/>
      <c r="I149" s="157"/>
      <c r="J149" s="158"/>
      <c r="K149" s="158"/>
      <c r="L149" s="158"/>
      <c r="M149" s="158"/>
      <c r="N149" s="159"/>
      <c r="O149" s="160"/>
      <c r="P149" s="160"/>
      <c r="Q149" s="89">
        <f t="shared" si="24"/>
        <v>41690</v>
      </c>
      <c r="R149" s="97">
        <v>-2.0900000000000001E-7</v>
      </c>
      <c r="S149" s="98">
        <v>1E-3</v>
      </c>
      <c r="T149" s="94">
        <f t="shared" si="20"/>
        <v>-3.0096000000000002E-4</v>
      </c>
      <c r="U149" s="107">
        <v>1.1438027112580298</v>
      </c>
      <c r="V149" s="108">
        <v>0</v>
      </c>
      <c r="W149" s="94">
        <f t="shared" si="16"/>
        <v>3.0096000000000002E-4</v>
      </c>
      <c r="X149" s="291">
        <v>3.0096000000000001E-2</v>
      </c>
      <c r="Y149" s="142">
        <f t="shared" si="21"/>
        <v>41690</v>
      </c>
      <c r="Z149" s="138">
        <v>4.5900000000000002E-7</v>
      </c>
      <c r="AA149" s="144">
        <v>1.4999999999999999E-2</v>
      </c>
      <c r="AB149" s="138">
        <f t="shared" si="22"/>
        <v>6.6096000000000004E-4</v>
      </c>
      <c r="AC149" s="138">
        <v>0.67210271125803045</v>
      </c>
      <c r="AD149" s="138">
        <v>0</v>
      </c>
      <c r="AE149" s="138">
        <f t="shared" si="23"/>
        <v>-6.6096000000000004E-4</v>
      </c>
      <c r="AF149" s="291">
        <v>-6.6096000000000002E-2</v>
      </c>
      <c r="AG149" s="89">
        <f t="shared" si="25"/>
        <v>41690</v>
      </c>
      <c r="AH149" s="279">
        <v>0</v>
      </c>
      <c r="AI149" s="182">
        <v>68</v>
      </c>
    </row>
    <row r="150" spans="1:35">
      <c r="A150" s="4">
        <v>41691</v>
      </c>
      <c r="B150" s="157"/>
      <c r="C150" s="157"/>
      <c r="D150" s="157"/>
      <c r="E150" s="156"/>
      <c r="F150" s="156"/>
      <c r="G150" s="156"/>
      <c r="H150" s="156"/>
      <c r="I150" s="157"/>
      <c r="J150" s="158"/>
      <c r="K150" s="158"/>
      <c r="L150" s="158"/>
      <c r="M150" s="158"/>
      <c r="N150" s="159"/>
      <c r="O150" s="160"/>
      <c r="P150" s="160"/>
      <c r="Q150" s="89">
        <f t="shared" si="24"/>
        <v>41691</v>
      </c>
      <c r="R150" s="97">
        <v>-1.17E-6</v>
      </c>
      <c r="S150" s="98">
        <v>3.7999999999999999E-2</v>
      </c>
      <c r="T150" s="94">
        <f t="shared" si="20"/>
        <v>-1.6848E-3</v>
      </c>
      <c r="U150" s="107">
        <v>1.1231266448172126</v>
      </c>
      <c r="V150" s="108">
        <v>0</v>
      </c>
      <c r="W150" s="94">
        <f t="shared" si="16"/>
        <v>1.6848E-3</v>
      </c>
      <c r="X150" s="291">
        <v>0.16847999999999999</v>
      </c>
      <c r="Y150" s="142">
        <f t="shared" si="21"/>
        <v>41691</v>
      </c>
      <c r="Z150" s="138">
        <v>7.4499999999999998E-6</v>
      </c>
      <c r="AA150" s="144">
        <v>0.79700000000000004</v>
      </c>
      <c r="AB150" s="138">
        <f t="shared" si="22"/>
        <v>1.0728E-2</v>
      </c>
      <c r="AC150" s="138">
        <v>0.52862664481721344</v>
      </c>
      <c r="AD150" s="138">
        <v>0</v>
      </c>
      <c r="AE150" s="138">
        <f t="shared" si="23"/>
        <v>-1.0728E-2</v>
      </c>
      <c r="AF150" s="291">
        <v>-1.0728</v>
      </c>
      <c r="AG150" s="89">
        <f t="shared" si="25"/>
        <v>41691</v>
      </c>
      <c r="AH150" s="279">
        <v>0</v>
      </c>
      <c r="AI150" s="182">
        <v>69</v>
      </c>
    </row>
    <row r="151" spans="1:35">
      <c r="A151" s="4">
        <v>41692</v>
      </c>
      <c r="B151" s="157"/>
      <c r="C151" s="157"/>
      <c r="D151" s="157"/>
      <c r="E151" s="147"/>
      <c r="F151" s="147"/>
      <c r="G151" s="147"/>
      <c r="H151" s="147"/>
      <c r="I151" s="157"/>
      <c r="J151" s="147"/>
      <c r="K151" s="147"/>
      <c r="L151" s="147"/>
      <c r="M151" s="147"/>
      <c r="N151" s="159"/>
      <c r="O151" s="146"/>
      <c r="P151" s="146"/>
      <c r="Q151" s="162"/>
      <c r="R151" s="149"/>
      <c r="S151" s="150"/>
      <c r="T151" s="151"/>
      <c r="U151" s="163"/>
      <c r="V151" s="159"/>
      <c r="W151" s="146"/>
      <c r="X151" s="236"/>
      <c r="Y151" s="145"/>
      <c r="Z151" s="146"/>
      <c r="AA151" s="146"/>
      <c r="AB151" s="146"/>
      <c r="AC151" s="146"/>
      <c r="AD151" s="146"/>
      <c r="AE151" s="146"/>
      <c r="AF151" s="236"/>
      <c r="AG151" s="162"/>
      <c r="AI151" s="125">
        <v>70</v>
      </c>
    </row>
    <row r="152" spans="1:35">
      <c r="A152" s="4">
        <v>41693</v>
      </c>
      <c r="B152" s="43"/>
      <c r="C152" s="43"/>
      <c r="D152" s="43"/>
      <c r="E152" s="147"/>
      <c r="F152" s="147"/>
      <c r="G152" s="147"/>
      <c r="H152" s="147"/>
      <c r="I152" s="157"/>
      <c r="J152" s="147"/>
      <c r="K152" s="147"/>
      <c r="L152" s="147"/>
      <c r="M152" s="147"/>
      <c r="N152" s="159"/>
      <c r="O152" s="146"/>
      <c r="P152" s="146"/>
      <c r="Q152" s="162"/>
      <c r="R152" s="149"/>
      <c r="S152" s="150"/>
      <c r="T152" s="151"/>
      <c r="U152" s="163"/>
      <c r="V152" s="159"/>
      <c r="W152" s="146"/>
      <c r="X152" s="134"/>
      <c r="Y152" s="145"/>
      <c r="Z152" s="146"/>
      <c r="AA152" s="146"/>
      <c r="AB152" s="146"/>
      <c r="AC152" s="146"/>
      <c r="AD152" s="146"/>
      <c r="AE152" s="146"/>
      <c r="AF152" s="146"/>
      <c r="AG152" s="162"/>
      <c r="AI152" s="125">
        <v>71</v>
      </c>
    </row>
    <row r="153" spans="1:35">
      <c r="A153" s="4">
        <v>41694</v>
      </c>
      <c r="B153" s="43"/>
      <c r="C153" s="43"/>
      <c r="D153" s="43"/>
      <c r="E153" s="147"/>
      <c r="F153" s="147"/>
      <c r="G153" s="147"/>
      <c r="H153" s="147"/>
      <c r="I153" s="157"/>
      <c r="J153" s="147"/>
      <c r="K153" s="147"/>
      <c r="L153" s="147"/>
      <c r="M153" s="147"/>
      <c r="N153" s="159"/>
      <c r="O153" s="146"/>
      <c r="P153" s="146"/>
      <c r="Q153" s="162"/>
      <c r="R153" s="149"/>
      <c r="S153" s="150"/>
      <c r="T153" s="151"/>
      <c r="U153" s="163"/>
      <c r="V153" s="159"/>
      <c r="W153" s="146"/>
      <c r="X153" s="134"/>
      <c r="Y153" s="145"/>
      <c r="Z153" s="146"/>
      <c r="AA153" s="146"/>
      <c r="AB153" s="146"/>
      <c r="AC153" s="146"/>
      <c r="AD153" s="146"/>
      <c r="AE153" s="146"/>
      <c r="AF153" s="146"/>
      <c r="AG153" s="162"/>
      <c r="AI153" s="125">
        <v>72</v>
      </c>
    </row>
    <row r="154" spans="1:35">
      <c r="A154" s="4">
        <v>41695</v>
      </c>
      <c r="B154" s="43"/>
      <c r="C154" s="43"/>
      <c r="D154" s="43"/>
      <c r="E154" s="147"/>
      <c r="F154" s="147"/>
      <c r="G154" s="147"/>
      <c r="H154" s="147"/>
      <c r="I154" s="157"/>
      <c r="J154" s="147"/>
      <c r="K154" s="147"/>
      <c r="L154" s="147"/>
      <c r="M154" s="147"/>
      <c r="N154" s="159"/>
      <c r="O154" s="146"/>
      <c r="P154" s="146"/>
      <c r="Q154" s="162"/>
      <c r="R154" s="149"/>
      <c r="S154" s="150"/>
      <c r="T154" s="151"/>
      <c r="U154" s="163"/>
      <c r="V154" s="159"/>
      <c r="W154" s="146"/>
      <c r="X154" s="134"/>
      <c r="Y154" s="145"/>
      <c r="Z154" s="146"/>
      <c r="AA154" s="146"/>
      <c r="AB154" s="146"/>
      <c r="AC154" s="146"/>
      <c r="AD154" s="146"/>
      <c r="AE154" s="146"/>
      <c r="AF154" s="146"/>
      <c r="AG154" s="162"/>
      <c r="AI154" s="125">
        <v>73</v>
      </c>
    </row>
    <row r="155" spans="1:35">
      <c r="A155" s="4">
        <v>41696</v>
      </c>
      <c r="B155" s="43"/>
      <c r="C155" s="43"/>
      <c r="D155" s="43"/>
      <c r="E155" s="147"/>
      <c r="F155" s="147"/>
      <c r="G155" s="147"/>
      <c r="H155" s="147"/>
      <c r="I155" s="157"/>
      <c r="J155" s="147"/>
      <c r="K155" s="147"/>
      <c r="L155" s="147"/>
      <c r="M155" s="147"/>
      <c r="N155" s="159"/>
      <c r="O155" s="146"/>
      <c r="P155" s="146"/>
      <c r="Q155" s="162"/>
      <c r="R155" s="149"/>
      <c r="S155" s="150"/>
      <c r="T155" s="151"/>
      <c r="U155" s="163"/>
      <c r="V155" s="159"/>
      <c r="W155" s="146"/>
      <c r="X155" s="236"/>
      <c r="Y155" s="145"/>
      <c r="Z155" s="146"/>
      <c r="AA155" s="146"/>
      <c r="AB155" s="146"/>
      <c r="AC155" s="146"/>
      <c r="AD155" s="146"/>
      <c r="AE155" s="146"/>
      <c r="AF155" s="146"/>
      <c r="AG155" s="162"/>
      <c r="AI155" s="125">
        <v>74</v>
      </c>
    </row>
    <row r="156" spans="1:35">
      <c r="A156" s="4">
        <v>41697</v>
      </c>
      <c r="B156" s="43"/>
      <c r="C156" s="43"/>
      <c r="D156" s="43"/>
      <c r="E156" s="147"/>
      <c r="F156" s="147"/>
      <c r="G156" s="147"/>
      <c r="H156" s="147"/>
      <c r="I156" s="157"/>
      <c r="J156" s="147"/>
      <c r="K156" s="147"/>
      <c r="L156" s="147"/>
      <c r="M156" s="147"/>
      <c r="N156" s="159"/>
      <c r="O156" s="146"/>
      <c r="P156" s="146"/>
      <c r="Q156" s="162"/>
      <c r="R156" s="149"/>
      <c r="S156" s="150"/>
      <c r="T156" s="151"/>
      <c r="U156" s="163"/>
      <c r="V156" s="159"/>
      <c r="W156" s="146"/>
      <c r="X156" s="146"/>
      <c r="Y156" s="145"/>
      <c r="Z156" s="146"/>
      <c r="AA156" s="146"/>
      <c r="AB156" s="146"/>
      <c r="AC156" s="146"/>
      <c r="AD156" s="146"/>
      <c r="AE156" s="146"/>
      <c r="AF156" s="146"/>
      <c r="AG156" s="162"/>
      <c r="AI156" s="125">
        <v>75</v>
      </c>
    </row>
    <row r="157" spans="1:35">
      <c r="A157" s="4">
        <v>41698</v>
      </c>
      <c r="B157" s="43"/>
      <c r="C157" s="43"/>
      <c r="D157" s="43"/>
      <c r="E157" s="147"/>
      <c r="F157" s="147"/>
      <c r="G157" s="147"/>
      <c r="H157" s="147"/>
      <c r="I157" s="157"/>
      <c r="J157" s="147"/>
      <c r="K157" s="147"/>
      <c r="L157" s="147"/>
      <c r="M157" s="147"/>
      <c r="N157" s="159"/>
      <c r="O157" s="146"/>
      <c r="P157" s="146"/>
      <c r="Q157" s="162"/>
      <c r="R157" s="149"/>
      <c r="S157" s="150"/>
      <c r="T157" s="151"/>
      <c r="U157" s="163"/>
      <c r="V157" s="159"/>
      <c r="W157" s="146"/>
      <c r="X157" s="146"/>
      <c r="Y157" s="145"/>
      <c r="Z157" s="146"/>
      <c r="AA157" s="146"/>
      <c r="AB157" s="146"/>
      <c r="AC157" s="146"/>
      <c r="AD157" s="146"/>
      <c r="AE157" s="146"/>
      <c r="AF157" s="146"/>
      <c r="AG157" s="162"/>
      <c r="AI157" s="125">
        <v>76</v>
      </c>
    </row>
    <row r="158" spans="1:35">
      <c r="A158" s="4">
        <v>41699</v>
      </c>
      <c r="B158" s="43"/>
      <c r="C158" s="43"/>
      <c r="D158" s="43"/>
      <c r="E158" s="147"/>
      <c r="F158" s="147"/>
      <c r="G158" s="147"/>
      <c r="H158" s="147"/>
      <c r="I158" s="157"/>
      <c r="J158" s="147"/>
      <c r="K158" s="147"/>
      <c r="L158" s="147"/>
      <c r="M158" s="147"/>
      <c r="N158" s="159"/>
      <c r="O158" s="146"/>
      <c r="P158" s="146"/>
      <c r="Q158" s="162"/>
      <c r="R158" s="149"/>
      <c r="S158" s="150"/>
      <c r="T158" s="151"/>
      <c r="U158" s="163"/>
      <c r="V158" s="159"/>
      <c r="W158" s="146"/>
      <c r="X158" s="146"/>
      <c r="Y158" s="145"/>
      <c r="Z158" s="146"/>
      <c r="AA158" s="146"/>
      <c r="AB158" s="146"/>
      <c r="AC158" s="146"/>
      <c r="AD158" s="146"/>
      <c r="AE158" s="146"/>
      <c r="AF158" s="146"/>
      <c r="AG158" s="162"/>
      <c r="AI158" s="125">
        <v>77</v>
      </c>
    </row>
    <row r="159" spans="1:35">
      <c r="A159" s="4">
        <v>41700</v>
      </c>
      <c r="B159" s="43"/>
      <c r="C159" s="43"/>
      <c r="D159" s="43"/>
      <c r="E159" s="147"/>
      <c r="F159" s="147"/>
      <c r="G159" s="147"/>
      <c r="H159" s="147"/>
      <c r="I159" s="157"/>
      <c r="J159" s="147"/>
      <c r="K159" s="147"/>
      <c r="L159" s="147"/>
      <c r="M159" s="147"/>
      <c r="N159" s="159"/>
      <c r="O159" s="146"/>
      <c r="P159" s="146"/>
      <c r="Q159" s="162"/>
      <c r="R159" s="149"/>
      <c r="S159" s="150"/>
      <c r="T159" s="151"/>
      <c r="U159" s="163"/>
      <c r="V159" s="159"/>
      <c r="W159" s="146"/>
      <c r="X159" s="146"/>
      <c r="Y159" s="145"/>
      <c r="Z159" s="146"/>
      <c r="AA159" s="146"/>
      <c r="AB159" s="146"/>
      <c r="AC159" s="146"/>
      <c r="AD159" s="146"/>
      <c r="AE159" s="146"/>
      <c r="AF159" s="146"/>
      <c r="AG159" s="162"/>
      <c r="AI159" s="125">
        <v>78</v>
      </c>
    </row>
    <row r="160" spans="1:35">
      <c r="A160" s="4">
        <v>41701</v>
      </c>
      <c r="B160" s="43"/>
      <c r="C160" s="43"/>
      <c r="D160" s="43"/>
      <c r="E160" s="147"/>
      <c r="F160" s="147"/>
      <c r="G160" s="147"/>
      <c r="H160" s="147"/>
      <c r="I160" s="157"/>
      <c r="J160" s="147"/>
      <c r="K160" s="147"/>
      <c r="L160" s="147"/>
      <c r="M160" s="147"/>
      <c r="N160" s="159"/>
      <c r="O160" s="146"/>
      <c r="P160" s="146"/>
      <c r="Q160" s="162"/>
      <c r="R160" s="149"/>
      <c r="S160" s="150"/>
      <c r="T160" s="151"/>
      <c r="U160" s="163"/>
      <c r="V160" s="159"/>
      <c r="W160" s="146"/>
      <c r="X160" s="146"/>
      <c r="Y160" s="145"/>
      <c r="Z160" s="146"/>
      <c r="AA160" s="146"/>
      <c r="AB160" s="146"/>
      <c r="AC160" s="146"/>
      <c r="AD160" s="146"/>
      <c r="AE160" s="146"/>
      <c r="AF160" s="146"/>
      <c r="AG160" s="162"/>
      <c r="AI160" s="125">
        <v>79</v>
      </c>
    </row>
    <row r="161" spans="1:35">
      <c r="A161" s="4">
        <v>41702</v>
      </c>
      <c r="B161" s="43"/>
      <c r="C161" s="43"/>
      <c r="D161" s="43"/>
      <c r="E161" s="147"/>
      <c r="F161" s="147"/>
      <c r="G161" s="147"/>
      <c r="H161" s="147"/>
      <c r="I161" s="157"/>
      <c r="J161" s="147"/>
      <c r="K161" s="147"/>
      <c r="L161" s="147"/>
      <c r="M161" s="147"/>
      <c r="N161" s="159"/>
      <c r="O161" s="146"/>
      <c r="P161" s="146"/>
      <c r="Q161" s="162"/>
      <c r="R161" s="149"/>
      <c r="S161" s="150"/>
      <c r="T161" s="151"/>
      <c r="U161" s="163"/>
      <c r="V161" s="159"/>
      <c r="W161" s="146"/>
      <c r="X161" s="146"/>
      <c r="Y161" s="145"/>
      <c r="Z161" s="146"/>
      <c r="AA161" s="146"/>
      <c r="AB161" s="146"/>
      <c r="AC161" s="146"/>
      <c r="AD161" s="146"/>
      <c r="AE161" s="146"/>
      <c r="AF161" s="146"/>
      <c r="AG161" s="162"/>
      <c r="AI161" s="125">
        <v>80</v>
      </c>
    </row>
    <row r="162" spans="1:35">
      <c r="A162" s="4">
        <v>41703</v>
      </c>
      <c r="B162" s="43"/>
      <c r="C162" s="43"/>
      <c r="D162" s="43"/>
      <c r="E162" s="147"/>
      <c r="F162" s="147"/>
      <c r="G162" s="147"/>
      <c r="H162" s="147"/>
      <c r="I162" s="157"/>
      <c r="J162" s="147"/>
      <c r="K162" s="147"/>
      <c r="L162" s="147"/>
      <c r="M162" s="147"/>
      <c r="N162" s="159"/>
      <c r="O162" s="146"/>
      <c r="P162" s="146"/>
      <c r="Q162" s="162"/>
      <c r="R162" s="149"/>
      <c r="S162" s="150"/>
      <c r="T162" s="151"/>
      <c r="U162" s="163"/>
      <c r="V162" s="159"/>
      <c r="W162" s="146"/>
      <c r="X162" s="146"/>
      <c r="Y162" s="145"/>
      <c r="Z162" s="146"/>
      <c r="AA162" s="146"/>
      <c r="AB162" s="146"/>
      <c r="AC162" s="146"/>
      <c r="AD162" s="146"/>
      <c r="AE162" s="146"/>
      <c r="AF162" s="146"/>
      <c r="AG162" s="162"/>
      <c r="AI162" s="125">
        <v>81</v>
      </c>
    </row>
    <row r="163" spans="1:35">
      <c r="A163" s="4">
        <v>41704</v>
      </c>
      <c r="B163" s="43"/>
      <c r="C163" s="43"/>
      <c r="D163" s="43"/>
      <c r="E163" s="147"/>
      <c r="F163" s="147"/>
      <c r="G163" s="147"/>
      <c r="H163" s="147"/>
      <c r="I163" s="157"/>
      <c r="J163" s="147"/>
      <c r="K163" s="147"/>
      <c r="L163" s="147"/>
      <c r="M163" s="147"/>
      <c r="N163" s="159"/>
      <c r="O163" s="146"/>
      <c r="P163" s="146"/>
      <c r="Q163" s="162"/>
      <c r="R163" s="149"/>
      <c r="S163" s="150"/>
      <c r="T163" s="151"/>
      <c r="U163" s="163"/>
      <c r="V163" s="159"/>
      <c r="W163" s="146"/>
      <c r="X163" s="146"/>
      <c r="Y163" s="145"/>
      <c r="Z163" s="146"/>
      <c r="AA163" s="146"/>
      <c r="AB163" s="146"/>
      <c r="AC163" s="146"/>
      <c r="AD163" s="146"/>
      <c r="AE163" s="146"/>
      <c r="AF163" s="146"/>
      <c r="AG163" s="162"/>
      <c r="AI163" s="125">
        <v>82</v>
      </c>
    </row>
    <row r="164" spans="1:35">
      <c r="A164" s="4">
        <v>41705</v>
      </c>
      <c r="B164" s="43"/>
      <c r="C164" s="43"/>
      <c r="D164" s="43"/>
      <c r="E164" s="147"/>
      <c r="F164" s="147"/>
      <c r="G164" s="147"/>
      <c r="H164" s="147"/>
      <c r="I164" s="157"/>
      <c r="J164" s="147"/>
      <c r="K164" s="147"/>
      <c r="L164" s="147"/>
      <c r="M164" s="147"/>
      <c r="N164" s="159"/>
      <c r="O164" s="146"/>
      <c r="P164" s="146"/>
      <c r="Q164" s="162"/>
      <c r="R164" s="149"/>
      <c r="S164" s="150"/>
      <c r="T164" s="151"/>
      <c r="U164" s="163"/>
      <c r="V164" s="159"/>
      <c r="W164" s="146"/>
      <c r="X164" s="146"/>
      <c r="Y164" s="145"/>
      <c r="Z164" s="146"/>
      <c r="AA164" s="146"/>
      <c r="AB164" s="146"/>
      <c r="AC164" s="146"/>
      <c r="AD164" s="146"/>
      <c r="AE164" s="146"/>
      <c r="AF164" s="146"/>
      <c r="AG164" s="162"/>
      <c r="AI164" s="125">
        <v>83</v>
      </c>
    </row>
    <row r="165" spans="1:35">
      <c r="B165" s="45"/>
      <c r="C165" s="45"/>
      <c r="D165" s="45"/>
      <c r="E165" s="134"/>
      <c r="F165" s="134"/>
      <c r="G165" s="134"/>
      <c r="H165" s="134"/>
      <c r="I165" s="145"/>
      <c r="J165" s="147"/>
      <c r="K165" s="147"/>
      <c r="L165" s="147"/>
      <c r="M165" s="147"/>
      <c r="N165" s="147"/>
      <c r="O165" s="146"/>
      <c r="P165" s="146"/>
      <c r="Q165" s="162"/>
      <c r="R165" s="149"/>
      <c r="S165" s="150"/>
      <c r="T165" s="151"/>
      <c r="U165" s="147"/>
      <c r="V165" s="147"/>
      <c r="W165" s="146"/>
      <c r="X165" s="146"/>
      <c r="Y165" s="145"/>
      <c r="Z165" s="146"/>
      <c r="AA165" s="146"/>
      <c r="AB165" s="146"/>
      <c r="AC165" s="146"/>
      <c r="AD165" s="146"/>
      <c r="AE165" s="146"/>
      <c r="AF165" s="146"/>
      <c r="AG165" s="162"/>
    </row>
    <row r="166" spans="1:35">
      <c r="B166" s="45"/>
      <c r="C166" s="45"/>
      <c r="D166" s="45"/>
      <c r="E166" s="134"/>
      <c r="F166" s="134"/>
      <c r="G166" s="134"/>
      <c r="H166" s="134"/>
      <c r="I166" s="145"/>
      <c r="J166" s="147"/>
      <c r="K166" s="147"/>
      <c r="L166" s="147"/>
      <c r="M166" s="147"/>
      <c r="N166" s="147"/>
      <c r="O166" s="146"/>
      <c r="P166" s="146"/>
      <c r="Q166" s="162"/>
      <c r="R166" s="149"/>
      <c r="S166" s="150"/>
      <c r="T166" s="151"/>
      <c r="U166" s="147"/>
      <c r="V166" s="147"/>
      <c r="W166" s="146"/>
      <c r="X166" s="146"/>
      <c r="Y166" s="145"/>
      <c r="Z166" s="146"/>
      <c r="AA166" s="146"/>
      <c r="AB166" s="146"/>
      <c r="AC166" s="146"/>
      <c r="AD166" s="146"/>
      <c r="AE166" s="146"/>
      <c r="AF166" s="146"/>
      <c r="AG166" s="162"/>
    </row>
    <row r="167" spans="1:35">
      <c r="B167" s="45"/>
      <c r="C167" s="45"/>
      <c r="D167" s="45"/>
      <c r="E167" s="134"/>
      <c r="F167" s="134"/>
      <c r="G167" s="134"/>
      <c r="H167" s="134"/>
      <c r="I167" s="145"/>
      <c r="J167" s="147"/>
      <c r="K167" s="147"/>
      <c r="L167" s="147"/>
      <c r="M167" s="147"/>
      <c r="N167" s="147"/>
      <c r="O167" s="146"/>
      <c r="P167" s="146"/>
      <c r="Q167" s="148"/>
      <c r="R167" s="149"/>
      <c r="S167" s="150"/>
      <c r="T167" s="151"/>
      <c r="U167" s="147"/>
      <c r="V167" s="147"/>
      <c r="W167" s="146"/>
      <c r="X167" s="146"/>
      <c r="Y167" s="145"/>
      <c r="Z167" s="146"/>
      <c r="AA167" s="146"/>
      <c r="AB167" s="146"/>
      <c r="AC167" s="146"/>
      <c r="AD167" s="146"/>
      <c r="AE167" s="146"/>
      <c r="AF167" s="146"/>
      <c r="AG167" s="148"/>
    </row>
    <row r="168" spans="1:35">
      <c r="B168" s="45"/>
      <c r="C168" s="45"/>
      <c r="D168" s="45"/>
      <c r="E168" s="134"/>
      <c r="F168" s="134"/>
      <c r="G168" s="134"/>
      <c r="H168" s="134"/>
      <c r="I168" s="145"/>
      <c r="J168" s="147"/>
      <c r="K168" s="147"/>
      <c r="L168" s="147"/>
      <c r="M168" s="147"/>
      <c r="N168" s="147"/>
      <c r="O168" s="146"/>
      <c r="P168" s="146"/>
      <c r="Q168" s="148"/>
      <c r="R168" s="149"/>
      <c r="S168" s="150"/>
      <c r="T168" s="151"/>
      <c r="U168" s="147"/>
      <c r="V168" s="147"/>
      <c r="W168" s="146"/>
      <c r="X168" s="146"/>
      <c r="Y168" s="145"/>
      <c r="Z168" s="146"/>
      <c r="AA168" s="146"/>
      <c r="AB168" s="146"/>
      <c r="AC168" s="146"/>
      <c r="AD168" s="146"/>
      <c r="AE168" s="146"/>
      <c r="AF168" s="146"/>
      <c r="AG168" s="148"/>
    </row>
    <row r="169" spans="1:35">
      <c r="B169" s="45"/>
      <c r="C169" s="45"/>
      <c r="D169" s="45"/>
      <c r="E169" s="134"/>
      <c r="F169" s="134"/>
      <c r="G169" s="134"/>
      <c r="H169" s="134"/>
      <c r="I169" s="145"/>
      <c r="J169" s="147"/>
      <c r="K169" s="147"/>
      <c r="L169" s="147"/>
      <c r="M169" s="147"/>
      <c r="N169" s="147"/>
      <c r="O169" s="146"/>
      <c r="P169" s="146"/>
      <c r="Q169" s="148"/>
      <c r="R169" s="149"/>
      <c r="S169" s="149"/>
      <c r="T169" s="146"/>
      <c r="U169" s="147"/>
      <c r="V169" s="147"/>
      <c r="W169" s="146"/>
      <c r="X169" s="146"/>
      <c r="Y169" s="145"/>
      <c r="Z169" s="146"/>
      <c r="AA169" s="146"/>
      <c r="AB169" s="146"/>
      <c r="AC169" s="146"/>
      <c r="AD169" s="146"/>
      <c r="AE169" s="146"/>
      <c r="AF169" s="146"/>
      <c r="AG169" s="148"/>
    </row>
    <row r="170" spans="1:35">
      <c r="B170" s="45"/>
      <c r="C170" s="45"/>
      <c r="D170" s="45"/>
      <c r="E170" s="46"/>
      <c r="F170" s="46"/>
      <c r="G170" s="46"/>
      <c r="H170" s="46"/>
      <c r="I170" s="152"/>
      <c r="J170" s="134"/>
      <c r="K170" s="134"/>
      <c r="L170" s="134"/>
      <c r="M170" s="134"/>
      <c r="N170" s="134"/>
      <c r="O170" s="153"/>
      <c r="P170" s="154"/>
      <c r="Q170" s="155"/>
      <c r="R170" s="149"/>
      <c r="S170" s="149"/>
      <c r="T170" s="146"/>
      <c r="U170" s="134"/>
      <c r="V170" s="134"/>
      <c r="W170" s="153"/>
      <c r="X170" s="154"/>
      <c r="Y170" s="145"/>
      <c r="Z170" s="146"/>
      <c r="AA170" s="146"/>
      <c r="AB170" s="146"/>
      <c r="AC170" s="146"/>
      <c r="AD170" s="146"/>
      <c r="AE170" s="146"/>
      <c r="AF170" s="146"/>
      <c r="AG170" s="155"/>
    </row>
    <row r="171" spans="1:35">
      <c r="B171" s="45"/>
      <c r="C171" s="45"/>
      <c r="D171" s="45"/>
      <c r="E171" s="46"/>
      <c r="F171" s="46"/>
      <c r="G171" s="46"/>
      <c r="H171" s="46"/>
      <c r="I171" s="152"/>
      <c r="J171" s="134"/>
      <c r="K171" s="134"/>
      <c r="L171" s="134"/>
      <c r="M171" s="134"/>
      <c r="N171" s="134"/>
      <c r="O171" s="153"/>
      <c r="P171" s="154"/>
      <c r="Q171" s="155"/>
      <c r="R171" s="149"/>
      <c r="S171" s="149"/>
      <c r="T171" s="146"/>
      <c r="U171" s="134"/>
      <c r="V171" s="134"/>
      <c r="W171" s="153"/>
      <c r="X171" s="154"/>
      <c r="Y171" s="145"/>
      <c r="Z171" s="146"/>
      <c r="AA171" s="146"/>
      <c r="AB171" s="146"/>
      <c r="AC171" s="146"/>
      <c r="AD171" s="146"/>
      <c r="AE171" s="146"/>
      <c r="AF171" s="146"/>
      <c r="AG171" s="155"/>
    </row>
    <row r="172" spans="1:35">
      <c r="B172" s="45"/>
      <c r="C172" s="45"/>
      <c r="D172" s="45"/>
      <c r="E172" s="46"/>
      <c r="F172" s="46"/>
      <c r="G172" s="46"/>
      <c r="H172" s="46"/>
      <c r="I172" s="152"/>
      <c r="J172" s="134"/>
      <c r="K172" s="134"/>
      <c r="L172" s="134"/>
      <c r="M172" s="134"/>
      <c r="N172" s="134"/>
      <c r="O172" s="153"/>
      <c r="P172" s="154"/>
      <c r="Q172" s="155"/>
      <c r="R172" s="149"/>
      <c r="S172" s="149"/>
      <c r="T172" s="146"/>
      <c r="U172" s="134"/>
      <c r="V172" s="134"/>
      <c r="W172" s="153"/>
      <c r="X172" s="154"/>
      <c r="Y172" s="145"/>
      <c r="Z172" s="146"/>
      <c r="AA172" s="146"/>
      <c r="AB172" s="146"/>
      <c r="AC172" s="146"/>
      <c r="AD172" s="146"/>
      <c r="AE172" s="146"/>
      <c r="AF172" s="146"/>
      <c r="AG172" s="155"/>
    </row>
    <row r="173" spans="1:35">
      <c r="B173" s="45"/>
      <c r="C173" s="45"/>
      <c r="D173" s="45"/>
      <c r="E173" s="46"/>
      <c r="F173" s="46"/>
      <c r="G173" s="46"/>
      <c r="H173" s="46"/>
      <c r="I173" s="152"/>
      <c r="J173" s="134"/>
      <c r="K173" s="134"/>
      <c r="L173" s="134"/>
      <c r="M173" s="134"/>
      <c r="N173" s="134"/>
      <c r="O173" s="153"/>
      <c r="P173" s="154"/>
      <c r="Q173" s="155"/>
      <c r="R173" s="149"/>
      <c r="S173" s="149"/>
      <c r="T173" s="146"/>
      <c r="U173" s="134"/>
      <c r="V173" s="134"/>
      <c r="W173" s="153"/>
      <c r="X173" s="154"/>
      <c r="Y173" s="145"/>
      <c r="Z173" s="146"/>
      <c r="AA173" s="146"/>
      <c r="AB173" s="146"/>
      <c r="AC173" s="146"/>
      <c r="AD173" s="146"/>
      <c r="AE173" s="146"/>
      <c r="AF173" s="146"/>
      <c r="AG173" s="155"/>
    </row>
    <row r="174" spans="1:35">
      <c r="B174" s="45"/>
      <c r="C174" s="45"/>
      <c r="D174" s="45"/>
      <c r="E174" s="46"/>
      <c r="F174" s="46"/>
      <c r="G174" s="46"/>
      <c r="H174" s="46"/>
      <c r="I174" s="152"/>
      <c r="J174" s="134"/>
      <c r="K174" s="134"/>
      <c r="L174" s="134"/>
      <c r="M174" s="134"/>
      <c r="N174" s="134"/>
      <c r="O174" s="153"/>
      <c r="P174" s="154"/>
      <c r="Q174" s="155"/>
      <c r="R174" s="149"/>
      <c r="S174" s="149"/>
      <c r="T174" s="146"/>
      <c r="U174" s="134"/>
      <c r="V174" s="134"/>
      <c r="W174" s="153"/>
      <c r="X174" s="154"/>
      <c r="Y174" s="145"/>
      <c r="Z174" s="146"/>
      <c r="AA174" s="146"/>
      <c r="AB174" s="146"/>
      <c r="AC174" s="146"/>
      <c r="AD174" s="146"/>
      <c r="AE174" s="146"/>
      <c r="AF174" s="146"/>
      <c r="AG174" s="155"/>
    </row>
    <row r="175" spans="1:35">
      <c r="B175" s="45"/>
      <c r="C175" s="45"/>
      <c r="D175" s="45"/>
      <c r="E175" s="46"/>
      <c r="F175" s="46"/>
      <c r="G175" s="46"/>
      <c r="H175" s="46"/>
      <c r="I175" s="152"/>
      <c r="J175" s="134"/>
      <c r="K175" s="134"/>
      <c r="L175" s="134"/>
      <c r="M175" s="134"/>
      <c r="N175" s="134"/>
      <c r="O175" s="153"/>
      <c r="P175" s="154"/>
      <c r="Q175" s="155"/>
      <c r="R175" s="149"/>
      <c r="S175" s="149"/>
      <c r="T175" s="146"/>
      <c r="U175" s="134"/>
      <c r="V175" s="134"/>
      <c r="W175" s="153"/>
      <c r="X175" s="154"/>
      <c r="Y175" s="145"/>
      <c r="Z175" s="146"/>
      <c r="AA175" s="146"/>
      <c r="AB175" s="146"/>
      <c r="AC175" s="146"/>
      <c r="AD175" s="146"/>
      <c r="AE175" s="146"/>
      <c r="AF175" s="146"/>
      <c r="AG175" s="155"/>
    </row>
    <row r="176" spans="1:35">
      <c r="B176" s="45"/>
      <c r="C176" s="45"/>
      <c r="D176" s="45"/>
      <c r="E176" s="46"/>
      <c r="F176" s="46"/>
      <c r="G176" s="46"/>
      <c r="H176" s="46"/>
      <c r="I176" s="152"/>
      <c r="J176" s="134"/>
      <c r="K176" s="134"/>
      <c r="L176" s="134"/>
      <c r="M176" s="134"/>
      <c r="N176" s="134"/>
      <c r="O176" s="153"/>
      <c r="P176" s="154"/>
      <c r="Q176" s="155"/>
      <c r="R176" s="149"/>
      <c r="S176" s="149"/>
      <c r="T176" s="146"/>
      <c r="U176" s="134"/>
      <c r="V176" s="134"/>
      <c r="W176" s="153"/>
      <c r="X176" s="154"/>
      <c r="Y176" s="145"/>
      <c r="Z176" s="146"/>
      <c r="AA176" s="146"/>
      <c r="AB176" s="146"/>
      <c r="AC176" s="146"/>
      <c r="AD176" s="146"/>
      <c r="AE176" s="146"/>
      <c r="AF176" s="146"/>
      <c r="AG176" s="155"/>
    </row>
    <row r="177" spans="2:33">
      <c r="B177" s="45"/>
      <c r="C177" s="45"/>
      <c r="D177" s="45"/>
      <c r="E177" s="46"/>
      <c r="F177" s="46"/>
      <c r="G177" s="46"/>
      <c r="H177" s="46"/>
      <c r="I177" s="152"/>
      <c r="J177" s="134"/>
      <c r="K177" s="134"/>
      <c r="L177" s="134"/>
      <c r="M177" s="134"/>
      <c r="N177" s="134"/>
      <c r="O177" s="153"/>
      <c r="P177" s="154"/>
      <c r="Q177" s="155"/>
      <c r="R177" s="149"/>
      <c r="S177" s="149"/>
      <c r="T177" s="146"/>
      <c r="U177" s="134"/>
      <c r="V177" s="134"/>
      <c r="W177" s="153"/>
      <c r="X177" s="154"/>
      <c r="Y177" s="145"/>
      <c r="Z177" s="146"/>
      <c r="AA177" s="146"/>
      <c r="AB177" s="146"/>
      <c r="AC177" s="146"/>
      <c r="AD177" s="146"/>
      <c r="AE177" s="146"/>
      <c r="AF177" s="146"/>
      <c r="AG177" s="155"/>
    </row>
    <row r="178" spans="2:33">
      <c r="B178" s="45"/>
      <c r="C178" s="45"/>
      <c r="D178" s="45"/>
      <c r="E178" s="46"/>
      <c r="F178" s="46"/>
      <c r="G178" s="46"/>
      <c r="H178" s="46"/>
      <c r="I178" s="152"/>
      <c r="J178" s="134"/>
      <c r="K178" s="134"/>
      <c r="L178" s="134"/>
      <c r="M178" s="134"/>
      <c r="N178" s="134"/>
      <c r="O178" s="153"/>
      <c r="P178" s="154"/>
      <c r="Q178" s="155"/>
      <c r="R178" s="149"/>
      <c r="S178" s="149"/>
      <c r="T178" s="146"/>
      <c r="U178" s="134"/>
      <c r="V178" s="134"/>
      <c r="W178" s="153"/>
      <c r="X178" s="154"/>
      <c r="Y178" s="145"/>
      <c r="Z178" s="146"/>
      <c r="AA178" s="146"/>
      <c r="AB178" s="146"/>
      <c r="AC178" s="146"/>
      <c r="AD178" s="146"/>
      <c r="AE178" s="146"/>
      <c r="AF178" s="146"/>
      <c r="AG178" s="155"/>
    </row>
    <row r="179" spans="2:33">
      <c r="B179" s="45"/>
      <c r="C179" s="45"/>
      <c r="D179" s="45"/>
      <c r="E179" s="46"/>
      <c r="F179" s="46"/>
      <c r="G179" s="46"/>
      <c r="H179" s="46"/>
      <c r="I179" s="152"/>
      <c r="J179" s="134"/>
      <c r="K179" s="134"/>
      <c r="L179" s="134"/>
      <c r="M179" s="134"/>
      <c r="N179" s="134"/>
      <c r="O179" s="153"/>
      <c r="P179" s="154"/>
      <c r="Q179" s="155"/>
      <c r="R179" s="149"/>
      <c r="S179" s="149"/>
      <c r="T179" s="146"/>
      <c r="U179" s="134"/>
      <c r="V179" s="134"/>
      <c r="W179" s="153"/>
      <c r="X179" s="154"/>
      <c r="Y179" s="145"/>
      <c r="Z179" s="146"/>
      <c r="AA179" s="146"/>
      <c r="AB179" s="146"/>
      <c r="AC179" s="146"/>
      <c r="AD179" s="146"/>
      <c r="AE179" s="146"/>
      <c r="AF179" s="146"/>
      <c r="AG179" s="155"/>
    </row>
    <row r="180" spans="2:33">
      <c r="B180" s="45"/>
      <c r="C180" s="45"/>
      <c r="D180" s="45"/>
      <c r="E180" s="46"/>
      <c r="F180" s="46"/>
      <c r="G180" s="46"/>
      <c r="H180" s="46"/>
      <c r="I180" s="152"/>
      <c r="J180" s="134"/>
      <c r="K180" s="134"/>
      <c r="L180" s="134"/>
      <c r="M180" s="134"/>
      <c r="N180" s="134"/>
      <c r="O180" s="153"/>
      <c r="P180" s="154"/>
      <c r="Q180" s="155"/>
      <c r="R180" s="149"/>
      <c r="S180" s="149"/>
      <c r="T180" s="146"/>
      <c r="U180" s="134"/>
      <c r="V180" s="134"/>
      <c r="W180" s="153"/>
      <c r="X180" s="154"/>
      <c r="Y180" s="145"/>
      <c r="Z180" s="146"/>
      <c r="AA180" s="146"/>
      <c r="AB180" s="146"/>
      <c r="AC180" s="146"/>
      <c r="AD180" s="146"/>
      <c r="AE180" s="146"/>
      <c r="AF180" s="146"/>
      <c r="AG180" s="155"/>
    </row>
    <row r="181" spans="2:33">
      <c r="B181" s="45"/>
      <c r="C181" s="45"/>
      <c r="D181" s="45"/>
      <c r="E181" s="46"/>
      <c r="F181" s="46"/>
      <c r="G181" s="46"/>
      <c r="H181" s="46"/>
      <c r="I181" s="152"/>
      <c r="J181" s="134"/>
      <c r="K181" s="134"/>
      <c r="L181" s="134"/>
      <c r="M181" s="134"/>
      <c r="N181" s="134"/>
      <c r="O181" s="153"/>
      <c r="P181" s="154"/>
      <c r="Q181" s="155"/>
      <c r="R181" s="149"/>
      <c r="S181" s="149"/>
      <c r="T181" s="146"/>
      <c r="U181" s="134"/>
      <c r="V181" s="134"/>
      <c r="W181" s="153"/>
      <c r="X181" s="154"/>
      <c r="Y181" s="145"/>
      <c r="Z181" s="146"/>
      <c r="AA181" s="146"/>
      <c r="AB181" s="146"/>
      <c r="AC181" s="146"/>
      <c r="AD181" s="146"/>
      <c r="AE181" s="146"/>
      <c r="AF181" s="146"/>
      <c r="AG181" s="155"/>
    </row>
    <row r="182" spans="2:33">
      <c r="B182" s="45"/>
      <c r="C182" s="45"/>
      <c r="D182" s="45"/>
      <c r="E182" s="46"/>
      <c r="F182" s="46"/>
      <c r="G182" s="46"/>
      <c r="H182" s="46"/>
      <c r="I182" s="152"/>
      <c r="J182" s="134"/>
      <c r="K182" s="134"/>
      <c r="L182" s="134"/>
      <c r="M182" s="134"/>
      <c r="N182" s="134"/>
      <c r="O182" s="153"/>
      <c r="P182" s="154"/>
      <c r="Q182" s="155"/>
      <c r="R182" s="149"/>
      <c r="S182" s="149"/>
      <c r="T182" s="146"/>
      <c r="U182" s="134"/>
      <c r="V182" s="134"/>
      <c r="W182" s="153"/>
      <c r="X182" s="154"/>
      <c r="Y182" s="145"/>
      <c r="Z182" s="146"/>
      <c r="AA182" s="146"/>
      <c r="AB182" s="146"/>
      <c r="AC182" s="146"/>
      <c r="AD182" s="146"/>
      <c r="AE182" s="146"/>
      <c r="AF182" s="146"/>
      <c r="AG182" s="155"/>
    </row>
    <row r="183" spans="2:33">
      <c r="B183" s="45"/>
      <c r="C183" s="45"/>
      <c r="D183" s="45"/>
      <c r="E183" s="46"/>
      <c r="F183" s="46"/>
      <c r="G183" s="46"/>
      <c r="H183" s="46"/>
      <c r="I183" s="152"/>
      <c r="J183" s="134"/>
      <c r="K183" s="134"/>
      <c r="L183" s="134"/>
      <c r="M183" s="134"/>
      <c r="N183" s="134"/>
      <c r="O183" s="153"/>
      <c r="P183" s="154"/>
      <c r="Q183" s="155"/>
      <c r="R183" s="149"/>
      <c r="S183" s="149"/>
      <c r="T183" s="146"/>
      <c r="U183" s="134"/>
      <c r="V183" s="134"/>
      <c r="W183" s="153"/>
      <c r="X183" s="154"/>
      <c r="Y183" s="145"/>
      <c r="Z183" s="146"/>
      <c r="AA183" s="146"/>
      <c r="AB183" s="146"/>
      <c r="AC183" s="146"/>
      <c r="AD183" s="146"/>
      <c r="AE183" s="146"/>
      <c r="AF183" s="146"/>
      <c r="AG183" s="155"/>
    </row>
    <row r="184" spans="2:33">
      <c r="B184" s="45"/>
      <c r="C184" s="45"/>
      <c r="D184" s="45"/>
      <c r="E184" s="46"/>
      <c r="F184" s="46"/>
      <c r="G184" s="46"/>
      <c r="H184" s="46"/>
      <c r="I184" s="152"/>
      <c r="J184" s="134"/>
      <c r="K184" s="134"/>
      <c r="L184" s="134"/>
      <c r="M184" s="134"/>
      <c r="N184" s="134"/>
      <c r="O184" s="153"/>
      <c r="P184" s="154"/>
      <c r="Q184" s="155"/>
      <c r="R184" s="149"/>
      <c r="S184" s="149"/>
      <c r="T184" s="146"/>
      <c r="U184" s="134"/>
      <c r="V184" s="134"/>
      <c r="W184" s="153"/>
      <c r="X184" s="154"/>
      <c r="Y184" s="145"/>
      <c r="Z184" s="146"/>
      <c r="AA184" s="146"/>
      <c r="AB184" s="146"/>
      <c r="AC184" s="146"/>
      <c r="AD184" s="146"/>
      <c r="AE184" s="146"/>
      <c r="AF184" s="146"/>
      <c r="AG184" s="155"/>
    </row>
    <row r="185" spans="2:33">
      <c r="B185" s="45"/>
      <c r="C185" s="45"/>
      <c r="D185" s="45"/>
      <c r="E185" s="46"/>
      <c r="F185" s="46"/>
      <c r="G185" s="46"/>
      <c r="H185" s="46"/>
      <c r="I185" s="152"/>
      <c r="J185" s="134"/>
      <c r="K185" s="134"/>
      <c r="L185" s="134"/>
      <c r="M185" s="134"/>
      <c r="N185" s="134"/>
      <c r="O185" s="153"/>
      <c r="P185" s="154"/>
      <c r="Q185" s="155"/>
      <c r="R185" s="149"/>
      <c r="S185" s="149"/>
      <c r="T185" s="146"/>
      <c r="U185" s="134"/>
      <c r="V185" s="134"/>
      <c r="W185" s="153"/>
      <c r="X185" s="154"/>
      <c r="Y185" s="145"/>
      <c r="Z185" s="146"/>
      <c r="AA185" s="146"/>
      <c r="AB185" s="146"/>
      <c r="AC185" s="146"/>
      <c r="AD185" s="146"/>
      <c r="AE185" s="146"/>
      <c r="AF185" s="146"/>
      <c r="AG185" s="155"/>
    </row>
    <row r="186" spans="2:33">
      <c r="B186" s="45"/>
      <c r="C186" s="45"/>
      <c r="D186" s="45"/>
      <c r="E186" s="46"/>
      <c r="F186" s="46"/>
      <c r="G186" s="46"/>
      <c r="H186" s="46"/>
      <c r="I186" s="152"/>
      <c r="J186" s="134"/>
      <c r="K186" s="134"/>
      <c r="L186" s="134"/>
      <c r="M186" s="134"/>
      <c r="N186" s="134"/>
      <c r="O186" s="153"/>
      <c r="P186" s="154"/>
      <c r="Q186" s="155"/>
      <c r="R186" s="149"/>
      <c r="S186" s="149"/>
      <c r="T186" s="146"/>
      <c r="U186" s="134"/>
      <c r="V186" s="134"/>
      <c r="W186" s="153"/>
      <c r="X186" s="154"/>
      <c r="Y186" s="145"/>
      <c r="Z186" s="146"/>
      <c r="AA186" s="146"/>
      <c r="AB186" s="146"/>
      <c r="AC186" s="146"/>
      <c r="AD186" s="146"/>
      <c r="AE186" s="146"/>
      <c r="AF186" s="146"/>
      <c r="AG186" s="155"/>
    </row>
    <row r="187" spans="2:33">
      <c r="B187" s="45"/>
      <c r="C187" s="45"/>
      <c r="D187" s="45"/>
      <c r="E187" s="46"/>
      <c r="F187" s="46"/>
      <c r="G187" s="46"/>
      <c r="H187" s="46"/>
      <c r="I187" s="152"/>
      <c r="J187" s="134"/>
      <c r="K187" s="134"/>
      <c r="L187" s="134"/>
      <c r="M187" s="134"/>
      <c r="N187" s="134"/>
      <c r="O187" s="153"/>
      <c r="P187" s="154"/>
      <c r="Q187" s="155"/>
      <c r="R187" s="149"/>
      <c r="S187" s="149"/>
      <c r="T187" s="146"/>
      <c r="U187" s="134"/>
      <c r="V187" s="134"/>
      <c r="W187" s="153"/>
      <c r="X187" s="154"/>
      <c r="Y187" s="145"/>
      <c r="Z187" s="146"/>
      <c r="AA187" s="146"/>
      <c r="AB187" s="146"/>
      <c r="AC187" s="146"/>
      <c r="AD187" s="146"/>
      <c r="AE187" s="146"/>
      <c r="AF187" s="146"/>
      <c r="AG187" s="155"/>
    </row>
    <row r="188" spans="2:33">
      <c r="B188" s="45"/>
      <c r="C188" s="45"/>
      <c r="D188" s="45"/>
      <c r="E188" s="46"/>
      <c r="F188" s="46"/>
      <c r="G188" s="46"/>
      <c r="H188" s="46"/>
      <c r="I188" s="152"/>
      <c r="J188" s="134"/>
      <c r="K188" s="134"/>
      <c r="L188" s="134"/>
      <c r="M188" s="134"/>
      <c r="N188" s="134"/>
      <c r="O188" s="153"/>
      <c r="P188" s="154"/>
      <c r="Q188" s="155"/>
      <c r="R188" s="149"/>
      <c r="S188" s="149"/>
      <c r="T188" s="146"/>
      <c r="U188" s="134"/>
      <c r="V188" s="134"/>
      <c r="W188" s="153"/>
      <c r="X188" s="154"/>
      <c r="Y188" s="145"/>
      <c r="Z188" s="146"/>
      <c r="AA188" s="146"/>
      <c r="AB188" s="146"/>
      <c r="AC188" s="146"/>
      <c r="AD188" s="146"/>
      <c r="AE188" s="146"/>
      <c r="AF188" s="146"/>
      <c r="AG188" s="155"/>
    </row>
    <row r="189" spans="2:33">
      <c r="B189" s="45"/>
      <c r="C189" s="45"/>
      <c r="D189" s="45"/>
      <c r="E189" s="46"/>
      <c r="F189" s="46"/>
      <c r="G189" s="46"/>
      <c r="H189" s="46"/>
      <c r="I189" s="152"/>
      <c r="J189" s="134"/>
      <c r="K189" s="134"/>
      <c r="L189" s="134"/>
      <c r="M189" s="134"/>
      <c r="N189" s="134"/>
      <c r="O189" s="153"/>
      <c r="P189" s="154"/>
      <c r="Q189" s="155"/>
      <c r="R189" s="149"/>
      <c r="S189" s="149"/>
      <c r="T189" s="146"/>
      <c r="U189" s="134"/>
      <c r="V189" s="134"/>
      <c r="W189" s="153"/>
      <c r="X189" s="154"/>
      <c r="Y189" s="145"/>
      <c r="Z189" s="146"/>
      <c r="AA189" s="146"/>
      <c r="AB189" s="146"/>
      <c r="AC189" s="146"/>
      <c r="AD189" s="146"/>
      <c r="AE189" s="146"/>
      <c r="AF189" s="146"/>
      <c r="AG189" s="155"/>
    </row>
    <row r="190" spans="2:33">
      <c r="B190" s="45"/>
      <c r="C190" s="45"/>
      <c r="D190" s="45"/>
      <c r="E190" s="46"/>
      <c r="F190" s="46"/>
      <c r="G190" s="46"/>
      <c r="H190" s="46"/>
      <c r="I190" s="152"/>
      <c r="J190" s="134"/>
      <c r="K190" s="134"/>
      <c r="L190" s="134"/>
      <c r="M190" s="134"/>
      <c r="N190" s="134"/>
      <c r="O190" s="153"/>
      <c r="P190" s="154"/>
      <c r="Q190" s="155"/>
      <c r="R190" s="149"/>
      <c r="S190" s="149"/>
      <c r="T190" s="146"/>
      <c r="U190" s="134"/>
      <c r="V190" s="134"/>
      <c r="W190" s="153"/>
      <c r="X190" s="154"/>
      <c r="Y190" s="145"/>
      <c r="Z190" s="146"/>
      <c r="AA190" s="146"/>
      <c r="AB190" s="146"/>
      <c r="AC190" s="146"/>
      <c r="AD190" s="146"/>
      <c r="AE190" s="146"/>
      <c r="AF190" s="146"/>
      <c r="AG190" s="155"/>
    </row>
    <row r="191" spans="2:33">
      <c r="B191" s="45"/>
      <c r="C191" s="45"/>
      <c r="D191" s="45"/>
      <c r="E191" s="46"/>
      <c r="F191" s="46"/>
      <c r="G191" s="46"/>
      <c r="H191" s="46"/>
      <c r="I191" s="152"/>
      <c r="J191" s="134"/>
      <c r="K191" s="134"/>
      <c r="L191" s="134"/>
      <c r="M191" s="134"/>
      <c r="N191" s="134"/>
      <c r="O191" s="153"/>
      <c r="P191" s="154"/>
      <c r="Q191" s="155"/>
      <c r="R191" s="149"/>
      <c r="S191" s="149"/>
      <c r="T191" s="146"/>
      <c r="U191" s="134"/>
      <c r="V191" s="134"/>
      <c r="W191" s="153"/>
      <c r="X191" s="154"/>
      <c r="Y191" s="145"/>
      <c r="Z191" s="146"/>
      <c r="AA191" s="146"/>
      <c r="AB191" s="146"/>
      <c r="AC191" s="146"/>
      <c r="AD191" s="146"/>
      <c r="AE191" s="146"/>
      <c r="AF191" s="146"/>
      <c r="AG191" s="155"/>
    </row>
    <row r="192" spans="2:33">
      <c r="B192" s="45"/>
      <c r="C192" s="45"/>
      <c r="D192" s="45"/>
      <c r="E192" s="46"/>
      <c r="F192" s="46"/>
      <c r="G192" s="46"/>
      <c r="H192" s="46"/>
      <c r="I192" s="152"/>
      <c r="J192" s="134"/>
      <c r="K192" s="134"/>
      <c r="L192" s="134"/>
      <c r="M192" s="134"/>
      <c r="N192" s="134"/>
      <c r="O192" s="153"/>
      <c r="P192" s="154"/>
      <c r="Q192" s="155"/>
      <c r="R192" s="149"/>
      <c r="S192" s="149"/>
      <c r="T192" s="146"/>
      <c r="U192" s="134"/>
      <c r="V192" s="134"/>
      <c r="W192" s="153"/>
      <c r="X192" s="154"/>
      <c r="Y192" s="145"/>
      <c r="Z192" s="146"/>
      <c r="AA192" s="146"/>
      <c r="AB192" s="146"/>
      <c r="AC192" s="146"/>
      <c r="AD192" s="146"/>
      <c r="AE192" s="146"/>
      <c r="AF192" s="146"/>
      <c r="AG192" s="155"/>
    </row>
    <row r="193" spans="2:33">
      <c r="B193" s="45"/>
      <c r="C193" s="45"/>
      <c r="D193" s="45"/>
      <c r="E193" s="46"/>
      <c r="F193" s="46"/>
      <c r="G193" s="46"/>
      <c r="H193" s="46"/>
      <c r="I193" s="152"/>
      <c r="J193" s="134"/>
      <c r="K193" s="134"/>
      <c r="L193" s="134"/>
      <c r="M193" s="134"/>
      <c r="N193" s="134"/>
      <c r="O193" s="153"/>
      <c r="P193" s="154"/>
      <c r="Q193" s="155"/>
      <c r="R193" s="149"/>
      <c r="S193" s="149"/>
      <c r="T193" s="146"/>
      <c r="U193" s="134"/>
      <c r="V193" s="134"/>
      <c r="W193" s="153"/>
      <c r="X193" s="154"/>
      <c r="Y193" s="145"/>
      <c r="Z193" s="146"/>
      <c r="AA193" s="146"/>
      <c r="AB193" s="146"/>
      <c r="AC193" s="146"/>
      <c r="AD193" s="146"/>
      <c r="AE193" s="146"/>
      <c r="AF193" s="146"/>
      <c r="AG193" s="155"/>
    </row>
    <row r="194" spans="2:33">
      <c r="B194" s="45"/>
      <c r="C194" s="45"/>
      <c r="D194" s="45"/>
      <c r="E194" s="46"/>
      <c r="F194" s="46"/>
      <c r="G194" s="46"/>
      <c r="H194" s="46"/>
      <c r="I194" s="152"/>
      <c r="J194" s="134"/>
      <c r="K194" s="134"/>
      <c r="L194" s="134"/>
      <c r="M194" s="134"/>
      <c r="N194" s="134"/>
      <c r="O194" s="153"/>
      <c r="P194" s="154"/>
      <c r="Q194" s="155"/>
      <c r="R194" s="149"/>
      <c r="S194" s="149"/>
      <c r="T194" s="146"/>
      <c r="U194" s="134"/>
      <c r="V194" s="134"/>
      <c r="W194" s="153"/>
      <c r="X194" s="154"/>
      <c r="Y194" s="145"/>
      <c r="Z194" s="146"/>
      <c r="AA194" s="146"/>
      <c r="AB194" s="146"/>
      <c r="AC194" s="146"/>
      <c r="AD194" s="146"/>
      <c r="AE194" s="146"/>
      <c r="AF194" s="146"/>
      <c r="AG194" s="155"/>
    </row>
    <row r="195" spans="2:33">
      <c r="B195" s="45"/>
      <c r="C195" s="45"/>
      <c r="D195" s="45"/>
      <c r="E195" s="46"/>
      <c r="F195" s="46"/>
      <c r="G195" s="46"/>
      <c r="H195" s="46"/>
      <c r="I195" s="152"/>
      <c r="J195" s="134"/>
      <c r="K195" s="134"/>
      <c r="L195" s="134"/>
      <c r="M195" s="134"/>
      <c r="N195" s="134"/>
      <c r="O195" s="153"/>
      <c r="P195" s="154"/>
      <c r="Q195" s="155"/>
      <c r="R195" s="149"/>
      <c r="S195" s="149"/>
      <c r="T195" s="146"/>
      <c r="U195" s="134"/>
      <c r="V195" s="134"/>
      <c r="W195" s="153"/>
      <c r="X195" s="154"/>
      <c r="Y195" s="145"/>
      <c r="Z195" s="146"/>
      <c r="AA195" s="146"/>
      <c r="AB195" s="146"/>
      <c r="AC195" s="146"/>
      <c r="AD195" s="146"/>
      <c r="AE195" s="146"/>
      <c r="AF195" s="146"/>
      <c r="AG195" s="155"/>
    </row>
    <row r="196" spans="2:33">
      <c r="B196" s="45"/>
      <c r="C196" s="45"/>
      <c r="D196" s="45"/>
      <c r="E196" s="46"/>
      <c r="F196" s="46"/>
      <c r="G196" s="46"/>
      <c r="H196" s="46"/>
      <c r="I196" s="152"/>
      <c r="J196" s="134"/>
      <c r="K196" s="134"/>
      <c r="L196" s="134"/>
      <c r="M196" s="134"/>
      <c r="N196" s="134"/>
      <c r="O196" s="153"/>
      <c r="P196" s="154"/>
      <c r="Q196" s="155"/>
      <c r="R196" s="149"/>
      <c r="S196" s="149"/>
      <c r="T196" s="146"/>
      <c r="U196" s="134"/>
      <c r="V196" s="134"/>
      <c r="W196" s="153"/>
      <c r="X196" s="154"/>
      <c r="Y196" s="145"/>
      <c r="Z196" s="146"/>
      <c r="AA196" s="146"/>
      <c r="AB196" s="146"/>
      <c r="AC196" s="146"/>
      <c r="AD196" s="146"/>
      <c r="AE196" s="146"/>
      <c r="AF196" s="146"/>
      <c r="AG196" s="155"/>
    </row>
    <row r="197" spans="2:33">
      <c r="B197" s="45"/>
      <c r="C197" s="45"/>
      <c r="D197" s="45"/>
      <c r="E197" s="46"/>
      <c r="F197" s="46"/>
      <c r="G197" s="46"/>
      <c r="H197" s="46"/>
      <c r="I197" s="152"/>
      <c r="J197" s="134"/>
      <c r="K197" s="134"/>
      <c r="L197" s="134"/>
      <c r="M197" s="134"/>
      <c r="N197" s="134"/>
      <c r="O197" s="153"/>
      <c r="P197" s="154"/>
      <c r="Q197" s="155"/>
      <c r="R197" s="149"/>
      <c r="S197" s="149"/>
      <c r="T197" s="146"/>
      <c r="U197" s="134"/>
      <c r="V197" s="134"/>
      <c r="W197" s="153"/>
      <c r="X197" s="154"/>
      <c r="Y197" s="145"/>
      <c r="Z197" s="146"/>
      <c r="AA197" s="146"/>
      <c r="AB197" s="146"/>
      <c r="AC197" s="146"/>
      <c r="AD197" s="146"/>
      <c r="AE197" s="146"/>
      <c r="AF197" s="146"/>
      <c r="AG197" s="155"/>
    </row>
    <row r="198" spans="2:33">
      <c r="I198" s="152"/>
      <c r="J198" s="134"/>
      <c r="K198" s="134"/>
      <c r="L198" s="134"/>
      <c r="M198" s="134"/>
      <c r="N198" s="134"/>
      <c r="O198" s="153"/>
      <c r="P198" s="154"/>
      <c r="Q198" s="155"/>
      <c r="R198" s="149"/>
      <c r="S198" s="149"/>
      <c r="T198" s="146"/>
      <c r="U198" s="134"/>
      <c r="V198" s="134"/>
      <c r="W198" s="153"/>
      <c r="X198" s="154"/>
      <c r="Y198" s="145"/>
      <c r="Z198" s="146"/>
      <c r="AA198" s="146"/>
      <c r="AB198" s="146"/>
      <c r="AC198" s="146"/>
      <c r="AD198" s="146"/>
      <c r="AE198" s="146"/>
      <c r="AF198" s="146"/>
      <c r="AG198" s="155"/>
    </row>
    <row r="199" spans="2:33">
      <c r="I199" s="152"/>
      <c r="J199" s="134"/>
      <c r="K199" s="134"/>
      <c r="L199" s="134"/>
      <c r="M199" s="134"/>
      <c r="N199" s="134"/>
      <c r="O199" s="153"/>
      <c r="P199" s="154"/>
      <c r="Q199" s="155"/>
      <c r="R199" s="149"/>
      <c r="S199" s="149"/>
      <c r="T199" s="146"/>
      <c r="U199" s="134"/>
      <c r="V199" s="134"/>
      <c r="W199" s="153"/>
      <c r="X199" s="154"/>
      <c r="Y199" s="145"/>
      <c r="Z199" s="146"/>
      <c r="AA199" s="146"/>
      <c r="AB199" s="146"/>
      <c r="AC199" s="146"/>
      <c r="AD199" s="146"/>
      <c r="AE199" s="146"/>
      <c r="AF199" s="146"/>
      <c r="AG199" s="155"/>
    </row>
    <row r="200" spans="2:33">
      <c r="I200" s="152"/>
      <c r="J200" s="134"/>
      <c r="K200" s="134"/>
      <c r="L200" s="134"/>
      <c r="M200" s="134"/>
      <c r="N200" s="134"/>
      <c r="O200" s="153"/>
      <c r="P200" s="154"/>
      <c r="Q200" s="155"/>
      <c r="R200" s="149"/>
      <c r="S200" s="149"/>
      <c r="T200" s="146"/>
      <c r="U200" s="134"/>
      <c r="V200" s="134"/>
      <c r="W200" s="153"/>
      <c r="X200" s="154"/>
      <c r="Y200" s="145"/>
      <c r="Z200" s="146"/>
      <c r="AA200" s="146"/>
      <c r="AB200" s="146"/>
      <c r="AC200" s="146"/>
      <c r="AD200" s="146"/>
      <c r="AE200" s="146"/>
      <c r="AF200" s="146"/>
      <c r="AG200" s="155"/>
    </row>
    <row r="201" spans="2:33">
      <c r="I201" s="152"/>
      <c r="J201" s="134"/>
      <c r="K201" s="134"/>
      <c r="L201" s="134"/>
      <c r="M201" s="134"/>
      <c r="N201" s="134"/>
      <c r="O201" s="153"/>
      <c r="P201" s="154"/>
      <c r="Q201" s="155"/>
      <c r="R201" s="149"/>
      <c r="S201" s="149"/>
      <c r="T201" s="146"/>
      <c r="U201" s="134"/>
      <c r="V201" s="134"/>
      <c r="W201" s="153"/>
      <c r="X201" s="154"/>
      <c r="Y201" s="145"/>
      <c r="Z201" s="146"/>
      <c r="AA201" s="146"/>
      <c r="AB201" s="146"/>
      <c r="AC201" s="146"/>
      <c r="AD201" s="146"/>
      <c r="AE201" s="146"/>
      <c r="AF201" s="146"/>
      <c r="AG201" s="155"/>
    </row>
    <row r="202" spans="2:33">
      <c r="I202" s="152"/>
      <c r="J202" s="134"/>
      <c r="K202" s="134"/>
      <c r="L202" s="134"/>
      <c r="M202" s="134"/>
      <c r="N202" s="134"/>
      <c r="O202" s="153"/>
      <c r="P202" s="154"/>
      <c r="Q202" s="155"/>
      <c r="R202" s="149"/>
      <c r="S202" s="149"/>
      <c r="T202" s="146"/>
      <c r="U202" s="134"/>
      <c r="V202" s="134"/>
      <c r="W202" s="153"/>
      <c r="X202" s="154"/>
      <c r="Y202" s="145"/>
      <c r="Z202" s="146"/>
      <c r="AA202" s="146"/>
      <c r="AB202" s="146"/>
      <c r="AC202" s="146"/>
      <c r="AD202" s="146"/>
      <c r="AE202" s="146"/>
      <c r="AF202" s="146"/>
      <c r="AG202" s="155"/>
    </row>
    <row r="203" spans="2:33">
      <c r="I203" s="152"/>
      <c r="J203" s="134"/>
      <c r="K203" s="134"/>
      <c r="L203" s="134"/>
      <c r="M203" s="134"/>
      <c r="N203" s="134"/>
      <c r="O203" s="153"/>
      <c r="P203" s="154"/>
      <c r="Q203" s="155"/>
      <c r="R203" s="149"/>
      <c r="S203" s="149"/>
      <c r="T203" s="146"/>
      <c r="U203" s="134"/>
      <c r="V203" s="134"/>
      <c r="W203" s="153"/>
      <c r="X203" s="154"/>
      <c r="Y203" s="145"/>
      <c r="Z203" s="146"/>
      <c r="AA203" s="146"/>
      <c r="AB203" s="146"/>
      <c r="AC203" s="146"/>
      <c r="AD203" s="146"/>
      <c r="AE203" s="146"/>
      <c r="AF203" s="146"/>
      <c r="AG203" s="155"/>
    </row>
    <row r="204" spans="2:33">
      <c r="I204" s="152"/>
      <c r="J204" s="134"/>
      <c r="K204" s="134"/>
      <c r="L204" s="134"/>
      <c r="M204" s="134"/>
      <c r="N204" s="134"/>
      <c r="O204" s="153"/>
      <c r="P204" s="154"/>
      <c r="Q204" s="155"/>
      <c r="R204" s="149"/>
      <c r="S204" s="149"/>
      <c r="T204" s="146"/>
      <c r="U204" s="134"/>
      <c r="V204" s="134"/>
      <c r="W204" s="153"/>
      <c r="X204" s="154"/>
      <c r="Y204" s="145"/>
      <c r="Z204" s="146"/>
      <c r="AA204" s="146"/>
      <c r="AB204" s="146"/>
      <c r="AC204" s="146"/>
      <c r="AD204" s="146"/>
      <c r="AE204" s="146"/>
      <c r="AF204" s="146"/>
      <c r="AG204" s="155"/>
    </row>
    <row r="205" spans="2:33">
      <c r="I205" s="152"/>
      <c r="J205" s="134"/>
      <c r="K205" s="134"/>
      <c r="L205" s="134"/>
      <c r="M205" s="134"/>
      <c r="N205" s="134"/>
      <c r="O205" s="153"/>
      <c r="P205" s="154"/>
      <c r="Q205" s="155"/>
      <c r="R205" s="149"/>
      <c r="S205" s="149"/>
      <c r="T205" s="146"/>
      <c r="U205" s="134"/>
      <c r="V205" s="134"/>
      <c r="W205" s="153"/>
      <c r="X205" s="154"/>
      <c r="Y205" s="145"/>
      <c r="Z205" s="146"/>
      <c r="AA205" s="146"/>
      <c r="AB205" s="146"/>
      <c r="AC205" s="146"/>
      <c r="AD205" s="146"/>
      <c r="AE205" s="146"/>
      <c r="AF205" s="146"/>
      <c r="AG205" s="155"/>
    </row>
    <row r="206" spans="2:33">
      <c r="I206" s="152"/>
      <c r="J206" s="134"/>
      <c r="K206" s="134"/>
      <c r="L206" s="134"/>
      <c r="M206" s="134"/>
      <c r="N206" s="134"/>
      <c r="O206" s="153"/>
      <c r="P206" s="154"/>
      <c r="Q206" s="155"/>
      <c r="R206" s="149"/>
      <c r="S206" s="149"/>
      <c r="T206" s="146"/>
      <c r="U206" s="134"/>
      <c r="V206" s="134"/>
      <c r="W206" s="153"/>
      <c r="X206" s="154"/>
      <c r="Y206" s="145"/>
      <c r="Z206" s="146"/>
      <c r="AA206" s="146"/>
      <c r="AB206" s="146"/>
      <c r="AC206" s="146"/>
      <c r="AD206" s="146"/>
      <c r="AE206" s="146"/>
      <c r="AF206" s="146"/>
      <c r="AG206" s="155"/>
    </row>
    <row r="207" spans="2:33">
      <c r="I207" s="152"/>
      <c r="J207" s="134"/>
      <c r="K207" s="134"/>
      <c r="L207" s="134"/>
      <c r="M207" s="134"/>
      <c r="N207" s="134"/>
      <c r="O207" s="153"/>
      <c r="P207" s="154"/>
      <c r="Q207" s="155"/>
      <c r="R207" s="149"/>
      <c r="S207" s="149"/>
      <c r="T207" s="146"/>
      <c r="U207" s="134"/>
      <c r="V207" s="134"/>
      <c r="W207" s="153"/>
      <c r="X207" s="154"/>
      <c r="Y207" s="145"/>
      <c r="Z207" s="146"/>
      <c r="AA207" s="146"/>
      <c r="AB207" s="146"/>
      <c r="AC207" s="146"/>
      <c r="AD207" s="146"/>
      <c r="AE207" s="146"/>
      <c r="AF207" s="146"/>
      <c r="AG207" s="155"/>
    </row>
    <row r="208" spans="2:33">
      <c r="I208" s="152"/>
      <c r="J208" s="134"/>
      <c r="K208" s="134"/>
      <c r="L208" s="134"/>
      <c r="M208" s="134"/>
      <c r="N208" s="134"/>
      <c r="O208" s="153"/>
      <c r="P208" s="154"/>
      <c r="Q208" s="155"/>
      <c r="R208" s="149"/>
      <c r="S208" s="149"/>
      <c r="T208" s="146"/>
      <c r="U208" s="134"/>
      <c r="V208" s="134"/>
      <c r="W208" s="153"/>
      <c r="X208" s="154"/>
      <c r="Y208" s="145"/>
      <c r="Z208" s="146"/>
      <c r="AA208" s="146"/>
      <c r="AB208" s="146"/>
      <c r="AC208" s="146"/>
      <c r="AD208" s="146"/>
      <c r="AE208" s="146"/>
      <c r="AF208" s="146"/>
      <c r="AG208" s="155"/>
    </row>
    <row r="209" spans="9:33">
      <c r="I209" s="152"/>
      <c r="J209" s="134"/>
      <c r="K209" s="134"/>
      <c r="L209" s="134"/>
      <c r="M209" s="134"/>
      <c r="N209" s="134"/>
      <c r="O209" s="153"/>
      <c r="P209" s="154"/>
      <c r="Q209" s="155"/>
      <c r="R209" s="149"/>
      <c r="S209" s="149"/>
      <c r="T209" s="146"/>
      <c r="U209" s="134"/>
      <c r="V209" s="134"/>
      <c r="W209" s="153"/>
      <c r="X209" s="154"/>
      <c r="Y209" s="145"/>
      <c r="Z209" s="146"/>
      <c r="AA209" s="146"/>
      <c r="AB209" s="146"/>
      <c r="AC209" s="146"/>
      <c r="AD209" s="146"/>
      <c r="AE209" s="146"/>
      <c r="AF209" s="146"/>
      <c r="AG209" s="155"/>
    </row>
    <row r="210" spans="9:33">
      <c r="I210" s="152"/>
      <c r="J210" s="134"/>
      <c r="K210" s="134"/>
      <c r="L210" s="134"/>
      <c r="M210" s="134"/>
      <c r="N210" s="134"/>
      <c r="O210" s="153"/>
      <c r="P210" s="154"/>
      <c r="Q210" s="155"/>
      <c r="R210" s="149"/>
      <c r="S210" s="149"/>
      <c r="T210" s="146"/>
      <c r="U210" s="134"/>
      <c r="V210" s="134"/>
      <c r="W210" s="153"/>
      <c r="X210" s="154"/>
      <c r="Y210" s="145"/>
      <c r="Z210" s="146"/>
      <c r="AA210" s="146"/>
      <c r="AB210" s="146"/>
      <c r="AC210" s="146"/>
      <c r="AD210" s="146"/>
      <c r="AE210" s="146"/>
      <c r="AF210" s="146"/>
      <c r="AG210" s="155"/>
    </row>
    <row r="211" spans="9:33">
      <c r="I211" s="152"/>
      <c r="J211" s="134"/>
      <c r="K211" s="134"/>
      <c r="L211" s="134"/>
      <c r="M211" s="134"/>
      <c r="N211" s="134"/>
      <c r="O211" s="153"/>
      <c r="P211" s="154"/>
      <c r="Q211" s="155"/>
      <c r="R211" s="149"/>
      <c r="S211" s="149"/>
      <c r="T211" s="146"/>
      <c r="U211" s="134"/>
      <c r="V211" s="134"/>
      <c r="W211" s="153"/>
      <c r="X211" s="154"/>
      <c r="Y211" s="145"/>
      <c r="Z211" s="146"/>
      <c r="AA211" s="146"/>
      <c r="AB211" s="146"/>
      <c r="AC211" s="146"/>
      <c r="AD211" s="146"/>
      <c r="AE211" s="146"/>
      <c r="AF211" s="146"/>
      <c r="AG211" s="155"/>
    </row>
    <row r="212" spans="9:33">
      <c r="I212" s="152"/>
      <c r="J212" s="134"/>
      <c r="K212" s="134"/>
      <c r="L212" s="134"/>
      <c r="M212" s="134"/>
      <c r="N212" s="134"/>
      <c r="O212" s="153"/>
      <c r="P212" s="154"/>
      <c r="Q212" s="155"/>
      <c r="R212" s="149"/>
      <c r="S212" s="149"/>
      <c r="T212" s="146"/>
      <c r="U212" s="134"/>
      <c r="V212" s="134"/>
      <c r="W212" s="153"/>
      <c r="X212" s="154"/>
      <c r="Y212" s="145"/>
      <c r="Z212" s="146"/>
      <c r="AA212" s="146"/>
      <c r="AB212" s="146"/>
      <c r="AC212" s="146"/>
      <c r="AD212" s="146"/>
      <c r="AE212" s="146"/>
      <c r="AF212" s="146"/>
      <c r="AG212" s="155"/>
    </row>
    <row r="213" spans="9:33">
      <c r="I213" s="152"/>
      <c r="J213" s="134"/>
      <c r="K213" s="134"/>
      <c r="L213" s="134"/>
      <c r="M213" s="134"/>
      <c r="N213" s="134"/>
      <c r="O213" s="153"/>
      <c r="P213" s="154"/>
      <c r="Q213" s="155"/>
      <c r="R213" s="149"/>
      <c r="S213" s="149"/>
      <c r="T213" s="146"/>
      <c r="U213" s="134"/>
      <c r="V213" s="134"/>
      <c r="W213" s="153"/>
      <c r="X213" s="154"/>
      <c r="Y213" s="145"/>
      <c r="Z213" s="146"/>
      <c r="AA213" s="146"/>
      <c r="AB213" s="146"/>
      <c r="AC213" s="146"/>
      <c r="AD213" s="146"/>
      <c r="AE213" s="146"/>
      <c r="AF213" s="146"/>
      <c r="AG213" s="155"/>
    </row>
    <row r="214" spans="9:33">
      <c r="I214" s="152"/>
      <c r="J214" s="134"/>
      <c r="K214" s="134"/>
      <c r="L214" s="134"/>
      <c r="M214" s="134"/>
      <c r="N214" s="134"/>
      <c r="O214" s="153"/>
      <c r="P214" s="154"/>
      <c r="Q214" s="155"/>
      <c r="R214" s="149"/>
      <c r="S214" s="149"/>
      <c r="T214" s="146"/>
      <c r="U214" s="134"/>
      <c r="V214" s="134"/>
      <c r="W214" s="153"/>
      <c r="X214" s="154"/>
      <c r="Y214" s="145"/>
      <c r="Z214" s="146"/>
      <c r="AA214" s="146"/>
      <c r="AB214" s="146"/>
      <c r="AC214" s="146"/>
      <c r="AD214" s="146"/>
      <c r="AE214" s="146"/>
      <c r="AF214" s="146"/>
      <c r="AG214" s="155"/>
    </row>
    <row r="215" spans="9:33">
      <c r="I215" s="152"/>
      <c r="J215" s="134"/>
      <c r="K215" s="134"/>
      <c r="L215" s="134"/>
      <c r="M215" s="134"/>
      <c r="N215" s="134"/>
      <c r="O215" s="153"/>
      <c r="P215" s="154"/>
      <c r="Q215" s="155"/>
      <c r="R215" s="149"/>
      <c r="S215" s="149"/>
      <c r="T215" s="146"/>
      <c r="U215" s="134"/>
      <c r="V215" s="134"/>
      <c r="W215" s="153"/>
      <c r="X215" s="154"/>
      <c r="Y215" s="145"/>
      <c r="Z215" s="146"/>
      <c r="AA215" s="146"/>
      <c r="AB215" s="146"/>
      <c r="AC215" s="146"/>
      <c r="AD215" s="146"/>
      <c r="AE215" s="146"/>
      <c r="AF215" s="146"/>
      <c r="AG215" s="155"/>
    </row>
    <row r="216" spans="9:33">
      <c r="I216" s="152"/>
      <c r="J216" s="134"/>
      <c r="K216" s="134"/>
      <c r="L216" s="134"/>
      <c r="M216" s="134"/>
      <c r="N216" s="134"/>
      <c r="O216" s="153"/>
      <c r="P216" s="154"/>
      <c r="Q216" s="155"/>
      <c r="R216" s="149"/>
      <c r="S216" s="149"/>
      <c r="T216" s="146"/>
      <c r="U216" s="134"/>
      <c r="V216" s="134"/>
      <c r="W216" s="153"/>
      <c r="X216" s="154"/>
      <c r="Y216" s="145"/>
      <c r="Z216" s="146"/>
      <c r="AA216" s="146"/>
      <c r="AB216" s="146"/>
      <c r="AC216" s="146"/>
      <c r="AD216" s="146"/>
      <c r="AE216" s="146"/>
      <c r="AF216" s="146"/>
      <c r="AG216" s="155"/>
    </row>
    <row r="217" spans="9:33">
      <c r="I217" s="152"/>
      <c r="J217" s="134"/>
      <c r="K217" s="134"/>
      <c r="L217" s="134"/>
      <c r="M217" s="134"/>
      <c r="N217" s="134"/>
      <c r="O217" s="153"/>
      <c r="P217" s="154"/>
      <c r="Q217" s="155"/>
      <c r="R217" s="149"/>
      <c r="S217" s="149"/>
      <c r="T217" s="146"/>
      <c r="U217" s="134"/>
      <c r="V217" s="134"/>
      <c r="W217" s="153"/>
      <c r="X217" s="154"/>
      <c r="Y217" s="145"/>
      <c r="Z217" s="146"/>
      <c r="AA217" s="146"/>
      <c r="AB217" s="146"/>
      <c r="AC217" s="146"/>
      <c r="AD217" s="146"/>
      <c r="AE217" s="146"/>
      <c r="AF217" s="146"/>
      <c r="AG217" s="155"/>
    </row>
    <row r="218" spans="9:33">
      <c r="I218" s="152"/>
      <c r="J218" s="134"/>
      <c r="K218" s="134"/>
      <c r="L218" s="134"/>
      <c r="M218" s="134"/>
      <c r="N218" s="134"/>
      <c r="O218" s="153"/>
      <c r="P218" s="154"/>
      <c r="Q218" s="155"/>
      <c r="R218" s="149"/>
      <c r="S218" s="149"/>
      <c r="T218" s="146"/>
      <c r="U218" s="134"/>
      <c r="V218" s="134"/>
      <c r="W218" s="153"/>
      <c r="X218" s="154"/>
      <c r="Y218" s="145"/>
      <c r="Z218" s="146"/>
      <c r="AA218" s="146"/>
      <c r="AB218" s="146"/>
      <c r="AC218" s="146"/>
      <c r="AD218" s="146"/>
      <c r="AE218" s="146"/>
      <c r="AF218" s="146"/>
      <c r="AG218" s="155"/>
    </row>
    <row r="219" spans="9:33">
      <c r="I219" s="152"/>
      <c r="J219" s="134"/>
      <c r="K219" s="134"/>
      <c r="L219" s="134"/>
      <c r="M219" s="134"/>
      <c r="N219" s="134"/>
      <c r="O219" s="153"/>
      <c r="P219" s="154"/>
      <c r="Q219" s="155"/>
      <c r="R219" s="149"/>
      <c r="S219" s="149"/>
      <c r="T219" s="146"/>
      <c r="U219" s="134"/>
      <c r="V219" s="134"/>
      <c r="W219" s="153"/>
      <c r="X219" s="154"/>
      <c r="Y219" s="145"/>
      <c r="Z219" s="146"/>
      <c r="AA219" s="146"/>
      <c r="AB219" s="146"/>
      <c r="AC219" s="146"/>
      <c r="AD219" s="146"/>
      <c r="AE219" s="146"/>
      <c r="AF219" s="146"/>
      <c r="AG219" s="155"/>
    </row>
    <row r="220" spans="9:33">
      <c r="I220" s="152"/>
      <c r="J220" s="134"/>
      <c r="K220" s="134"/>
      <c r="L220" s="134"/>
      <c r="M220" s="134"/>
      <c r="N220" s="134"/>
      <c r="O220" s="153"/>
      <c r="P220" s="154"/>
      <c r="Q220" s="155"/>
      <c r="R220" s="149"/>
      <c r="S220" s="149"/>
      <c r="T220" s="146"/>
      <c r="U220" s="134"/>
      <c r="V220" s="134"/>
      <c r="W220" s="153"/>
      <c r="X220" s="154"/>
      <c r="Y220" s="145"/>
      <c r="Z220" s="146"/>
      <c r="AA220" s="146"/>
      <c r="AB220" s="146"/>
      <c r="AC220" s="146"/>
      <c r="AD220" s="146"/>
      <c r="AE220" s="146"/>
      <c r="AF220" s="146"/>
      <c r="AG220" s="155"/>
    </row>
    <row r="221" spans="9:33">
      <c r="I221" s="152"/>
      <c r="J221" s="134"/>
      <c r="K221" s="134"/>
      <c r="L221" s="134"/>
      <c r="M221" s="134"/>
      <c r="N221" s="134"/>
      <c r="O221" s="153"/>
      <c r="P221" s="154"/>
      <c r="Q221" s="155"/>
      <c r="R221" s="149"/>
      <c r="S221" s="149"/>
      <c r="T221" s="146"/>
      <c r="U221" s="134"/>
      <c r="V221" s="134"/>
      <c r="W221" s="153"/>
      <c r="X221" s="154"/>
      <c r="Y221" s="145"/>
      <c r="Z221" s="146"/>
      <c r="AA221" s="146"/>
      <c r="AB221" s="146"/>
      <c r="AC221" s="146"/>
      <c r="AD221" s="146"/>
      <c r="AE221" s="146"/>
      <c r="AF221" s="146"/>
      <c r="AG221" s="155"/>
    </row>
    <row r="222" spans="9:33">
      <c r="I222" s="152"/>
      <c r="J222" s="134"/>
      <c r="K222" s="134"/>
      <c r="L222" s="134"/>
      <c r="M222" s="134"/>
      <c r="N222" s="134"/>
      <c r="O222" s="153"/>
      <c r="P222" s="154"/>
      <c r="Q222" s="155"/>
      <c r="R222" s="149"/>
      <c r="S222" s="149"/>
      <c r="T222" s="146"/>
      <c r="U222" s="134"/>
      <c r="V222" s="134"/>
      <c r="W222" s="153"/>
      <c r="X222" s="154"/>
      <c r="Y222" s="145"/>
      <c r="Z222" s="146"/>
      <c r="AA222" s="146"/>
      <c r="AB222" s="146"/>
      <c r="AC222" s="146"/>
      <c r="AD222" s="146"/>
      <c r="AE222" s="146"/>
      <c r="AF222" s="146"/>
      <c r="AG222" s="155"/>
    </row>
    <row r="223" spans="9:33">
      <c r="I223" s="152"/>
      <c r="J223" s="134"/>
      <c r="K223" s="134"/>
      <c r="L223" s="134"/>
      <c r="M223" s="134"/>
      <c r="N223" s="134"/>
      <c r="O223" s="153"/>
      <c r="P223" s="154"/>
      <c r="Q223" s="155"/>
      <c r="R223" s="149"/>
      <c r="S223" s="149"/>
      <c r="T223" s="146"/>
      <c r="U223" s="134"/>
      <c r="V223" s="134"/>
      <c r="W223" s="153"/>
      <c r="X223" s="154"/>
      <c r="Y223" s="145"/>
      <c r="Z223" s="146"/>
      <c r="AA223" s="146"/>
      <c r="AB223" s="146"/>
      <c r="AC223" s="146"/>
      <c r="AD223" s="146"/>
      <c r="AE223" s="146"/>
      <c r="AF223" s="146"/>
      <c r="AG223" s="155"/>
    </row>
    <row r="224" spans="9:33">
      <c r="I224" s="152"/>
      <c r="J224" s="134"/>
      <c r="K224" s="134"/>
      <c r="L224" s="134"/>
      <c r="M224" s="134"/>
      <c r="N224" s="134"/>
      <c r="O224" s="153"/>
      <c r="P224" s="154"/>
      <c r="Q224" s="155"/>
      <c r="R224" s="149"/>
      <c r="S224" s="149"/>
      <c r="T224" s="146"/>
      <c r="U224" s="134"/>
      <c r="V224" s="134"/>
      <c r="W224" s="153"/>
      <c r="X224" s="154"/>
      <c r="Y224" s="145"/>
      <c r="Z224" s="146"/>
      <c r="AA224" s="146"/>
      <c r="AB224" s="146"/>
      <c r="AC224" s="146"/>
      <c r="AD224" s="146"/>
      <c r="AE224" s="146"/>
      <c r="AF224" s="146"/>
      <c r="AG224" s="155"/>
    </row>
    <row r="225" spans="9:33">
      <c r="I225" s="152"/>
      <c r="J225" s="134"/>
      <c r="K225" s="134"/>
      <c r="L225" s="134"/>
      <c r="M225" s="134"/>
      <c r="N225" s="134"/>
      <c r="O225" s="153"/>
      <c r="P225" s="154"/>
      <c r="Q225" s="155"/>
      <c r="R225" s="149"/>
      <c r="S225" s="149"/>
      <c r="T225" s="146"/>
      <c r="U225" s="134"/>
      <c r="V225" s="134"/>
      <c r="W225" s="153"/>
      <c r="X225" s="154"/>
      <c r="Y225" s="145"/>
      <c r="Z225" s="146"/>
      <c r="AA225" s="146"/>
      <c r="AB225" s="146"/>
      <c r="AC225" s="146"/>
      <c r="AD225" s="146"/>
      <c r="AE225" s="146"/>
      <c r="AF225" s="146"/>
      <c r="AG225" s="155"/>
    </row>
    <row r="226" spans="9:33">
      <c r="I226" s="152"/>
      <c r="J226" s="134"/>
      <c r="K226" s="134"/>
      <c r="L226" s="134"/>
      <c r="M226" s="134"/>
      <c r="N226" s="134"/>
      <c r="O226" s="153"/>
      <c r="P226" s="154"/>
      <c r="Q226" s="155"/>
      <c r="R226" s="149"/>
      <c r="S226" s="149"/>
      <c r="T226" s="146"/>
      <c r="U226" s="134"/>
      <c r="V226" s="134"/>
      <c r="W226" s="153"/>
      <c r="X226" s="154"/>
      <c r="Y226" s="145"/>
      <c r="Z226" s="146"/>
      <c r="AA226" s="146"/>
      <c r="AB226" s="146"/>
      <c r="AC226" s="146"/>
      <c r="AD226" s="146"/>
      <c r="AE226" s="146"/>
      <c r="AF226" s="146"/>
      <c r="AG226" s="155"/>
    </row>
    <row r="227" spans="9:33">
      <c r="I227" s="152"/>
      <c r="J227" s="134"/>
      <c r="K227" s="134"/>
      <c r="L227" s="134"/>
      <c r="M227" s="134"/>
      <c r="N227" s="134"/>
      <c r="O227" s="153"/>
      <c r="P227" s="154"/>
      <c r="Q227" s="155"/>
      <c r="R227" s="149"/>
      <c r="S227" s="149"/>
      <c r="T227" s="146"/>
      <c r="U227" s="134"/>
      <c r="V227" s="134"/>
      <c r="W227" s="153"/>
      <c r="X227" s="154"/>
      <c r="Y227" s="145"/>
      <c r="Z227" s="146"/>
      <c r="AA227" s="146"/>
      <c r="AB227" s="146"/>
      <c r="AC227" s="146"/>
      <c r="AD227" s="146"/>
      <c r="AE227" s="146"/>
      <c r="AF227" s="146"/>
      <c r="AG227" s="155"/>
    </row>
    <row r="228" spans="9:33">
      <c r="I228" s="152"/>
      <c r="J228" s="134"/>
      <c r="K228" s="134"/>
      <c r="L228" s="134"/>
      <c r="M228" s="134"/>
      <c r="N228" s="134"/>
      <c r="O228" s="153"/>
      <c r="P228" s="154"/>
      <c r="Q228" s="155"/>
      <c r="R228" s="149"/>
      <c r="S228" s="149"/>
      <c r="T228" s="146"/>
      <c r="U228" s="134"/>
      <c r="V228" s="134"/>
      <c r="W228" s="153"/>
      <c r="X228" s="154"/>
      <c r="Y228" s="145"/>
      <c r="Z228" s="146"/>
      <c r="AA228" s="146"/>
      <c r="AB228" s="146"/>
      <c r="AC228" s="146"/>
      <c r="AD228" s="146"/>
      <c r="AE228" s="146"/>
      <c r="AF228" s="146"/>
      <c r="AG228" s="155"/>
    </row>
    <row r="229" spans="9:33">
      <c r="I229" s="152"/>
      <c r="J229" s="134"/>
      <c r="K229" s="134"/>
      <c r="L229" s="134"/>
      <c r="M229" s="134"/>
      <c r="N229" s="134"/>
      <c r="O229" s="153"/>
      <c r="P229" s="154"/>
      <c r="Q229" s="155"/>
      <c r="R229" s="149"/>
      <c r="S229" s="149"/>
      <c r="T229" s="146"/>
      <c r="U229" s="134"/>
      <c r="V229" s="134"/>
      <c r="W229" s="153"/>
      <c r="X229" s="154"/>
      <c r="Y229" s="145"/>
      <c r="Z229" s="146"/>
      <c r="AA229" s="146"/>
      <c r="AB229" s="146"/>
      <c r="AC229" s="146"/>
      <c r="AD229" s="146"/>
      <c r="AE229" s="146"/>
      <c r="AF229" s="146"/>
      <c r="AG229" s="155"/>
    </row>
    <row r="230" spans="9:33">
      <c r="I230" s="152"/>
      <c r="J230" s="134"/>
      <c r="K230" s="134"/>
      <c r="L230" s="134"/>
      <c r="M230" s="134"/>
      <c r="N230" s="134"/>
      <c r="O230" s="153"/>
      <c r="P230" s="154"/>
      <c r="Q230" s="155"/>
      <c r="R230" s="149"/>
      <c r="S230" s="149"/>
      <c r="T230" s="146"/>
      <c r="U230" s="134"/>
      <c r="V230" s="134"/>
      <c r="W230" s="153"/>
      <c r="X230" s="154"/>
      <c r="Y230" s="145"/>
      <c r="Z230" s="146"/>
      <c r="AA230" s="146"/>
      <c r="AB230" s="146"/>
      <c r="AC230" s="146"/>
      <c r="AD230" s="146"/>
      <c r="AE230" s="146"/>
      <c r="AF230" s="146"/>
      <c r="AG230" s="155"/>
    </row>
    <row r="231" spans="9:33">
      <c r="I231" s="152"/>
      <c r="J231" s="134"/>
      <c r="K231" s="134"/>
      <c r="L231" s="134"/>
      <c r="M231" s="134"/>
      <c r="N231" s="134"/>
      <c r="O231" s="153"/>
      <c r="P231" s="154"/>
      <c r="Q231" s="155"/>
      <c r="R231" s="149"/>
      <c r="S231" s="149"/>
      <c r="T231" s="146"/>
      <c r="U231" s="134"/>
      <c r="V231" s="134"/>
      <c r="W231" s="153"/>
      <c r="X231" s="154"/>
      <c r="Y231" s="145"/>
      <c r="Z231" s="146"/>
      <c r="AA231" s="146"/>
      <c r="AB231" s="146"/>
      <c r="AC231" s="146"/>
      <c r="AD231" s="146"/>
      <c r="AE231" s="146"/>
      <c r="AF231" s="146"/>
      <c r="AG231" s="155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39"/>
  <sheetViews>
    <sheetView workbookViewId="0">
      <selection activeCell="F1" sqref="F1:F93"/>
    </sheetView>
  </sheetViews>
  <sheetFormatPr baseColWidth="10" defaultRowHeight="16"/>
  <cols>
    <col min="6" max="6" width="10.7109375" style="153"/>
  </cols>
  <sheetData>
    <row r="1" spans="1:6">
      <c r="B1" t="s">
        <v>34</v>
      </c>
      <c r="C1" t="s">
        <v>35</v>
      </c>
      <c r="D1" t="s">
        <v>43</v>
      </c>
      <c r="E1" t="s">
        <v>63</v>
      </c>
      <c r="F1" s="153" t="s">
        <v>122</v>
      </c>
    </row>
    <row r="2" spans="1:6">
      <c r="A2" s="2">
        <v>41561</v>
      </c>
      <c r="B2" s="325">
        <v>0</v>
      </c>
      <c r="C2" s="325">
        <v>0.61806955386698603</v>
      </c>
      <c r="D2" s="325">
        <v>0.16656955386698569</v>
      </c>
      <c r="E2" s="325">
        <v>0.25926955386698619</v>
      </c>
      <c r="F2" s="493">
        <v>0</v>
      </c>
    </row>
    <row r="3" spans="1:6" ht="17" thickBot="1">
      <c r="A3" s="326">
        <f>A4-1</f>
        <v>41562</v>
      </c>
      <c r="B3" s="325">
        <v>0</v>
      </c>
      <c r="C3" s="325">
        <v>0.61806955386698603</v>
      </c>
      <c r="D3" s="325">
        <v>0.16656955386698569</v>
      </c>
      <c r="E3" s="325">
        <v>0.25926955386698619</v>
      </c>
      <c r="F3" s="494">
        <v>127.800000000002</v>
      </c>
    </row>
    <row r="4" spans="1:6" ht="17" thickBot="1">
      <c r="A4" s="320">
        <v>41563</v>
      </c>
      <c r="B4" s="321">
        <v>2.3425855213215674</v>
      </c>
      <c r="C4" s="161">
        <v>2.9642855213215693</v>
      </c>
      <c r="D4" s="161">
        <v>3.153485521321568</v>
      </c>
      <c r="E4" s="161">
        <v>2.8782855213215686</v>
      </c>
      <c r="F4" s="494">
        <f>B4</f>
        <v>2.3425855213215674</v>
      </c>
    </row>
    <row r="5" spans="1:6">
      <c r="A5" s="320">
        <v>41564</v>
      </c>
      <c r="B5" s="321">
        <v>3.001481022440164</v>
      </c>
      <c r="C5" s="161">
        <v>3.1793810224401646</v>
      </c>
      <c r="D5" s="161">
        <v>3.402581022440164</v>
      </c>
      <c r="E5" s="161">
        <v>3.1435810224401641</v>
      </c>
      <c r="F5" s="494">
        <v>11.4</v>
      </c>
    </row>
    <row r="6" spans="1:6">
      <c r="A6" s="322">
        <v>41565</v>
      </c>
      <c r="B6" s="321">
        <v>3.0295143565567302</v>
      </c>
      <c r="C6" s="161">
        <v>3.2773143565567313</v>
      </c>
      <c r="D6" s="161">
        <v>3.5956143565567311</v>
      </c>
      <c r="E6" s="161">
        <v>3.2043143565567305</v>
      </c>
      <c r="F6" s="494">
        <v>24.049999999999976</v>
      </c>
    </row>
    <row r="7" spans="1:6">
      <c r="A7" s="322">
        <v>41566</v>
      </c>
      <c r="B7" s="321">
        <v>3.1842159959313361</v>
      </c>
      <c r="C7" s="161">
        <v>3.3345159959313371</v>
      </c>
      <c r="D7" s="161">
        <v>3.7167159959313372</v>
      </c>
      <c r="E7" s="161">
        <v>3.2750159959313367</v>
      </c>
      <c r="F7" s="494">
        <v>25.749999999999925</v>
      </c>
    </row>
    <row r="8" spans="1:6">
      <c r="A8" s="322">
        <v>41567</v>
      </c>
      <c r="B8" s="321">
        <v>3.1727063881024375</v>
      </c>
      <c r="C8" s="161">
        <v>3.4026063881024378</v>
      </c>
      <c r="D8" s="161">
        <v>3.9735063881024368</v>
      </c>
      <c r="E8" s="161">
        <v>3.3996063881024372</v>
      </c>
      <c r="F8" s="494">
        <v>2</v>
      </c>
    </row>
    <row r="9" spans="1:6">
      <c r="A9" s="322">
        <v>41568</v>
      </c>
      <c r="B9" s="321">
        <v>3.1319503382091853</v>
      </c>
      <c r="C9" s="161">
        <v>3.4228503382091855</v>
      </c>
      <c r="D9" s="161">
        <v>4.0705503382091868</v>
      </c>
      <c r="E9" s="161">
        <v>3.2055503382091852</v>
      </c>
      <c r="F9" s="494">
        <v>10.466666666666667</v>
      </c>
    </row>
    <row r="10" spans="1:6">
      <c r="A10" s="322">
        <v>41569</v>
      </c>
      <c r="B10" s="321">
        <v>3.0868947052086626</v>
      </c>
      <c r="C10" s="161">
        <v>3.4088947052086631</v>
      </c>
      <c r="D10" s="161">
        <v>4.0373947052086629</v>
      </c>
      <c r="E10" s="161">
        <v>3.2147947052086621</v>
      </c>
      <c r="F10" s="495">
        <v>0</v>
      </c>
    </row>
    <row r="11" spans="1:6">
      <c r="A11" s="322">
        <v>41570</v>
      </c>
      <c r="B11" s="321">
        <v>3.0421924557679625</v>
      </c>
      <c r="C11" s="161">
        <v>3.3914924557679615</v>
      </c>
      <c r="D11" s="161">
        <v>3.9870924557679617</v>
      </c>
      <c r="E11" s="161">
        <v>3.179992455767962</v>
      </c>
      <c r="F11" s="495">
        <v>0</v>
      </c>
    </row>
    <row r="12" spans="1:6">
      <c r="A12" s="322">
        <v>41571</v>
      </c>
      <c r="B12" s="321">
        <v>2.9996337677375871</v>
      </c>
      <c r="C12" s="161">
        <v>3.371833767737586</v>
      </c>
      <c r="D12" s="161">
        <v>3.9363337677375876</v>
      </c>
      <c r="E12" s="161">
        <v>3.1485337677375855</v>
      </c>
      <c r="F12" s="495">
        <v>0</v>
      </c>
    </row>
    <row r="13" spans="1:6">
      <c r="A13" s="322">
        <v>41572</v>
      </c>
      <c r="B13" s="321">
        <v>2.9609229280280371</v>
      </c>
      <c r="C13" s="161">
        <v>3.3511229280280386</v>
      </c>
      <c r="D13" s="161">
        <v>3.8828229280280384</v>
      </c>
      <c r="E13" s="161">
        <v>3.1297229280280372</v>
      </c>
      <c r="F13" s="495">
        <v>0</v>
      </c>
    </row>
    <row r="14" spans="1:6">
      <c r="A14" s="322">
        <v>41573</v>
      </c>
      <c r="B14" s="321">
        <v>2.9154341775812385</v>
      </c>
      <c r="C14" s="161">
        <v>3.3322341775812401</v>
      </c>
      <c r="D14" s="161">
        <v>3.8284341775812392</v>
      </c>
      <c r="E14" s="161">
        <v>3.1196341775812395</v>
      </c>
      <c r="F14" s="495">
        <v>0</v>
      </c>
    </row>
    <row r="15" spans="1:6">
      <c r="A15" s="322">
        <v>41574</v>
      </c>
      <c r="B15" s="321">
        <v>2.8776409376518033</v>
      </c>
      <c r="C15" s="161">
        <v>3.3132409376518037</v>
      </c>
      <c r="D15" s="161">
        <v>3.7887409376518049</v>
      </c>
      <c r="E15" s="161">
        <v>3.0979409376518041</v>
      </c>
      <c r="F15" s="495">
        <v>0</v>
      </c>
    </row>
    <row r="16" spans="1:6">
      <c r="A16" s="322">
        <v>41575</v>
      </c>
      <c r="B16" s="321">
        <v>2.8401098576753268</v>
      </c>
      <c r="C16" s="161">
        <v>3.292209857675326</v>
      </c>
      <c r="D16" s="161">
        <v>3.7360098576753265</v>
      </c>
      <c r="E16" s="161">
        <v>3.0740098576753261</v>
      </c>
      <c r="F16" s="495">
        <v>0</v>
      </c>
    </row>
    <row r="17" spans="1:11">
      <c r="A17" s="322">
        <v>41576</v>
      </c>
      <c r="B17" s="321">
        <v>2.7989624191981517</v>
      </c>
      <c r="C17" s="161">
        <v>3.2727624191981519</v>
      </c>
      <c r="D17" s="161">
        <v>3.6890624191981507</v>
      </c>
      <c r="E17" s="161">
        <v>3.0483624191981504</v>
      </c>
      <c r="F17" s="495">
        <v>0</v>
      </c>
    </row>
    <row r="18" spans="1:11">
      <c r="A18" s="322">
        <v>41577</v>
      </c>
      <c r="B18" s="321">
        <v>2.7607329762465871</v>
      </c>
      <c r="C18" s="161">
        <v>3.2534329762465877</v>
      </c>
      <c r="D18" s="161">
        <v>3.661432976246588</v>
      </c>
      <c r="E18" s="161">
        <v>3.0304329762465883</v>
      </c>
      <c r="F18" s="495">
        <v>0</v>
      </c>
    </row>
    <row r="19" spans="1:11">
      <c r="A19" s="322">
        <v>41578</v>
      </c>
      <c r="B19" s="321">
        <v>2.7228466778126248</v>
      </c>
      <c r="C19" s="161">
        <v>3.2334466778126245</v>
      </c>
      <c r="D19" s="161">
        <v>3.616246677812625</v>
      </c>
      <c r="E19" s="161">
        <v>3.0117466778126238</v>
      </c>
      <c r="F19" s="494">
        <v>2.0666666666666664</v>
      </c>
    </row>
    <row r="20" spans="1:11">
      <c r="A20" s="322">
        <v>41579</v>
      </c>
      <c r="B20" s="321">
        <v>2.6960524038752909</v>
      </c>
      <c r="C20" s="161">
        <v>3.2137524038752918</v>
      </c>
      <c r="D20" s="161">
        <v>3.5651524038752909</v>
      </c>
      <c r="E20" s="161">
        <v>2.9937524038752907</v>
      </c>
      <c r="F20" s="494">
        <v>0.1</v>
      </c>
    </row>
    <row r="21" spans="1:11">
      <c r="A21" s="322">
        <v>41580</v>
      </c>
      <c r="B21" s="321">
        <v>2.6588710094669961</v>
      </c>
      <c r="C21" s="161">
        <v>3.1945710094669977</v>
      </c>
      <c r="D21" s="161">
        <v>3.5144710094669973</v>
      </c>
      <c r="E21" s="161">
        <v>2.9733710094669976</v>
      </c>
      <c r="F21" s="494">
        <v>2.1</v>
      </c>
    </row>
    <row r="22" spans="1:11">
      <c r="A22" s="322">
        <v>41581</v>
      </c>
      <c r="B22" s="321">
        <v>2.6246802121516297</v>
      </c>
      <c r="C22" s="161">
        <v>3.1776802121516301</v>
      </c>
      <c r="D22" s="161">
        <v>3.4816802121516313</v>
      </c>
      <c r="E22" s="161">
        <v>2.9555802121516304</v>
      </c>
      <c r="F22" s="494">
        <v>0.4</v>
      </c>
    </row>
    <row r="23" spans="1:11">
      <c r="A23" s="322">
        <v>41582</v>
      </c>
      <c r="B23" s="321">
        <v>2.5902771477230098</v>
      </c>
      <c r="C23" s="161">
        <v>3.1596771477230092</v>
      </c>
      <c r="D23" s="161">
        <v>3.4474771477230091</v>
      </c>
      <c r="E23" s="161">
        <v>2.9368771477230093</v>
      </c>
      <c r="F23" s="494">
        <v>22.5</v>
      </c>
    </row>
    <row r="24" spans="1:11">
      <c r="A24" s="322">
        <v>41583</v>
      </c>
      <c r="B24" s="321">
        <v>2.6102194843017643</v>
      </c>
      <c r="C24" s="161">
        <v>3.1680194843017642</v>
      </c>
      <c r="D24" s="161">
        <v>3.4445194843017637</v>
      </c>
      <c r="E24" s="161">
        <v>2.9495194843017631</v>
      </c>
      <c r="F24" s="494">
        <v>4.75</v>
      </c>
    </row>
    <row r="25" spans="1:11">
      <c r="A25" s="322">
        <v>41584</v>
      </c>
      <c r="B25" s="321">
        <v>2.6013288895585291</v>
      </c>
      <c r="C25" s="161">
        <v>3.1691288895585306</v>
      </c>
      <c r="D25" s="161">
        <v>3.42052888955853</v>
      </c>
      <c r="E25" s="161">
        <v>2.9404288895585302</v>
      </c>
      <c r="F25" s="494">
        <v>0.3</v>
      </c>
    </row>
    <row r="26" spans="1:11">
      <c r="A26" s="322">
        <v>41585</v>
      </c>
      <c r="B26" s="321">
        <v>2.56585301864077</v>
      </c>
      <c r="C26" s="161">
        <v>3.1474530186407694</v>
      </c>
      <c r="D26" s="161">
        <v>3.3864530186407693</v>
      </c>
      <c r="E26" s="161">
        <v>2.9189530186407686</v>
      </c>
      <c r="F26" s="494">
        <v>0</v>
      </c>
    </row>
    <row r="27" spans="1:11">
      <c r="A27" s="322">
        <v>41586</v>
      </c>
      <c r="B27" s="321">
        <v>2.531948719981806</v>
      </c>
      <c r="C27" s="161">
        <v>3.1306487199818065</v>
      </c>
      <c r="D27" s="161">
        <v>3.3481487199818067</v>
      </c>
      <c r="E27" s="161">
        <v>2.8968487199818074</v>
      </c>
      <c r="F27" s="494">
        <v>0</v>
      </c>
    </row>
    <row r="28" spans="1:11">
      <c r="A28" s="322">
        <v>41587</v>
      </c>
      <c r="B28" s="321">
        <v>2.4993953411213714</v>
      </c>
      <c r="C28" s="161">
        <v>3.1099953411213708</v>
      </c>
      <c r="D28" s="161">
        <v>3.3074953411213714</v>
      </c>
      <c r="E28" s="161">
        <v>2.8724953411213714</v>
      </c>
      <c r="F28" s="494">
        <v>0</v>
      </c>
      <c r="G28" s="326">
        <v>42273</v>
      </c>
      <c r="H28" s="325">
        <v>0</v>
      </c>
      <c r="I28" s="325">
        <v>0.60795504906149289</v>
      </c>
      <c r="J28" s="325">
        <v>0.16225504906149146</v>
      </c>
      <c r="K28" s="325">
        <v>0.2501550490614925</v>
      </c>
    </row>
    <row r="29" spans="1:11">
      <c r="A29" s="322">
        <v>41588</v>
      </c>
      <c r="B29" s="321">
        <v>2.4632184455944803</v>
      </c>
      <c r="C29" s="161">
        <v>3.0919184455944819</v>
      </c>
      <c r="D29" s="161">
        <v>3.2686184455944813</v>
      </c>
      <c r="E29" s="161">
        <v>2.8491184455944807</v>
      </c>
      <c r="F29" s="494">
        <v>0</v>
      </c>
      <c r="G29" s="326">
        <v>42274</v>
      </c>
      <c r="H29">
        <v>0</v>
      </c>
      <c r="I29">
        <v>0.61894624682174437</v>
      </c>
      <c r="J29">
        <v>0.17214624682174373</v>
      </c>
      <c r="K29">
        <v>0.2602462468217443</v>
      </c>
    </row>
    <row r="30" spans="1:11">
      <c r="A30" s="322">
        <v>41589</v>
      </c>
      <c r="B30" s="321">
        <v>2.4248004524185611</v>
      </c>
      <c r="C30" s="161">
        <v>3.0709004524185612</v>
      </c>
      <c r="D30" s="161">
        <v>3.2278004524185606</v>
      </c>
      <c r="E30" s="161">
        <v>2.8217004524185607</v>
      </c>
      <c r="F30" s="494">
        <v>0</v>
      </c>
      <c r="G30" s="326">
        <v>42275</v>
      </c>
      <c r="H30">
        <v>0</v>
      </c>
      <c r="I30">
        <v>0.61970779905829843</v>
      </c>
      <c r="J30">
        <v>0.17220779905829942</v>
      </c>
      <c r="K30">
        <v>0.26120779905829788</v>
      </c>
    </row>
    <row r="31" spans="1:11">
      <c r="A31" s="322">
        <v>41590</v>
      </c>
      <c r="B31" s="321">
        <v>2.3878161938040869</v>
      </c>
      <c r="C31" s="161">
        <v>3.0501161938040884</v>
      </c>
      <c r="D31" s="161">
        <v>3.1861161938040867</v>
      </c>
      <c r="E31" s="161">
        <v>2.7828161938040874</v>
      </c>
      <c r="F31" s="496">
        <v>0</v>
      </c>
      <c r="G31" s="326">
        <v>42276</v>
      </c>
      <c r="H31">
        <v>0</v>
      </c>
      <c r="I31">
        <v>0.61861883664059625</v>
      </c>
      <c r="J31">
        <v>0.17051883664059508</v>
      </c>
      <c r="K31">
        <v>0.26091883664059562</v>
      </c>
    </row>
    <row r="32" spans="1:11">
      <c r="A32" s="322">
        <v>41591</v>
      </c>
      <c r="B32" s="321">
        <v>2.3528955413438131</v>
      </c>
      <c r="C32" s="161">
        <v>3.0268955413438121</v>
      </c>
      <c r="D32" s="161">
        <v>3.1516955413438135</v>
      </c>
      <c r="E32" s="161">
        <v>2.7604955413438126</v>
      </c>
      <c r="F32" s="494">
        <v>4</v>
      </c>
      <c r="G32" s="326">
        <f>G31+1</f>
        <v>42277</v>
      </c>
      <c r="H32">
        <v>0</v>
      </c>
      <c r="I32">
        <v>0.61889060912183402</v>
      </c>
      <c r="J32">
        <v>0.16969060912183542</v>
      </c>
      <c r="K32">
        <v>0.2591906091218345</v>
      </c>
    </row>
    <row r="33" spans="1:11">
      <c r="A33" s="322">
        <v>41592</v>
      </c>
      <c r="B33" s="321">
        <v>2.3232748912332295</v>
      </c>
      <c r="C33" s="161">
        <v>3.0064748912332302</v>
      </c>
      <c r="D33" s="161">
        <v>3.1205748912332298</v>
      </c>
      <c r="E33" s="161">
        <v>2.7414748912332292</v>
      </c>
      <c r="F33" s="494">
        <v>0</v>
      </c>
      <c r="G33" s="326">
        <f t="shared" ref="G33:G48" si="0">G32+1</f>
        <v>42278</v>
      </c>
      <c r="H33">
        <v>0</v>
      </c>
      <c r="I33">
        <v>0.61977772254371977</v>
      </c>
      <c r="J33">
        <v>0.17107772254372</v>
      </c>
      <c r="K33">
        <v>0.26007772254372025</v>
      </c>
    </row>
    <row r="34" spans="1:11">
      <c r="A34" s="322">
        <v>41593</v>
      </c>
      <c r="B34" s="321">
        <v>2.2819939113679717</v>
      </c>
      <c r="C34" s="161">
        <v>2.9805939113679738</v>
      </c>
      <c r="D34" s="161">
        <v>3.0834939113679729</v>
      </c>
      <c r="E34" s="161">
        <v>2.7170939113679728</v>
      </c>
      <c r="F34" s="494">
        <v>0</v>
      </c>
      <c r="G34" s="326">
        <f t="shared" si="0"/>
        <v>42279</v>
      </c>
      <c r="H34" s="325">
        <v>0</v>
      </c>
      <c r="I34" s="325">
        <v>0.61863376303820217</v>
      </c>
      <c r="J34" s="325">
        <v>0.17033376303820147</v>
      </c>
      <c r="K34" s="325">
        <v>0.26023376303820139</v>
      </c>
    </row>
    <row r="35" spans="1:11">
      <c r="A35" s="322">
        <v>41594</v>
      </c>
      <c r="B35" s="321">
        <v>2.2373266236699831</v>
      </c>
      <c r="C35" s="161">
        <v>2.9560266236699828</v>
      </c>
      <c r="D35" s="161">
        <v>3.0417266236699829</v>
      </c>
      <c r="E35" s="161">
        <v>2.681026623669982</v>
      </c>
      <c r="F35" s="494">
        <v>0.05</v>
      </c>
      <c r="G35" s="326">
        <f t="shared" si="0"/>
        <v>42280</v>
      </c>
      <c r="H35" s="325">
        <v>0</v>
      </c>
      <c r="I35" s="325">
        <v>0.61771229793970028</v>
      </c>
      <c r="J35" s="325">
        <v>0.17041229793970081</v>
      </c>
      <c r="K35" s="325">
        <v>0.2604122979397005</v>
      </c>
    </row>
    <row r="36" spans="1:11">
      <c r="A36" s="322">
        <v>41595</v>
      </c>
      <c r="B36" s="321">
        <v>2.1916783584564272</v>
      </c>
      <c r="C36" s="161">
        <v>2.928978358456428</v>
      </c>
      <c r="D36" s="161">
        <v>3.0008783584564283</v>
      </c>
      <c r="E36" s="161">
        <v>2.6427783584564284</v>
      </c>
      <c r="F36" s="494">
        <v>63.600000000000051</v>
      </c>
      <c r="G36" s="326">
        <f t="shared" si="0"/>
        <v>42281</v>
      </c>
      <c r="H36" s="325">
        <v>0</v>
      </c>
      <c r="I36" s="325">
        <v>0.61771229793970028</v>
      </c>
      <c r="J36" s="325">
        <v>0.17041229793970081</v>
      </c>
      <c r="K36" s="325">
        <v>0.2604122979397005</v>
      </c>
    </row>
    <row r="37" spans="1:11">
      <c r="A37" s="322">
        <v>41596</v>
      </c>
      <c r="B37" s="321">
        <v>2.2556730516361818</v>
      </c>
      <c r="C37" s="161">
        <v>3.230673051636181</v>
      </c>
      <c r="D37" s="161">
        <v>3.7856730516361816</v>
      </c>
      <c r="E37" s="161">
        <v>3.1592730516361818</v>
      </c>
      <c r="F37" s="495">
        <v>0</v>
      </c>
      <c r="G37" s="326">
        <f t="shared" si="0"/>
        <v>42282</v>
      </c>
      <c r="H37" s="325">
        <v>0</v>
      </c>
      <c r="I37" s="325">
        <v>0.61771229793970028</v>
      </c>
      <c r="J37" s="325">
        <v>0.17041229793970081</v>
      </c>
      <c r="K37" s="325">
        <v>0.2604122979397005</v>
      </c>
    </row>
    <row r="38" spans="1:11">
      <c r="A38" s="322">
        <v>41597</v>
      </c>
      <c r="B38" s="321">
        <v>2.2130814440322788</v>
      </c>
      <c r="C38" s="161">
        <v>3.2119814440322791</v>
      </c>
      <c r="D38" s="161">
        <v>3.7786814440322791</v>
      </c>
      <c r="E38" s="161">
        <v>3.1414814440322778</v>
      </c>
      <c r="F38" s="495">
        <v>0</v>
      </c>
      <c r="G38" s="326">
        <f t="shared" si="0"/>
        <v>42283</v>
      </c>
      <c r="H38" s="325">
        <v>0</v>
      </c>
      <c r="I38" s="325">
        <v>0.61771229793970028</v>
      </c>
      <c r="J38" s="325">
        <v>0.17041229793970081</v>
      </c>
      <c r="K38" s="325">
        <v>0.2604122979397005</v>
      </c>
    </row>
    <row r="39" spans="1:11">
      <c r="A39" s="322">
        <v>41598</v>
      </c>
      <c r="B39" s="321">
        <v>2.1686401297129607</v>
      </c>
      <c r="C39" s="161">
        <v>3.1923401297129619</v>
      </c>
      <c r="D39" s="161">
        <v>3.7410401297129612</v>
      </c>
      <c r="E39" s="161">
        <v>3.1183401297129616</v>
      </c>
      <c r="F39" s="495">
        <v>0</v>
      </c>
      <c r="G39" s="326">
        <f t="shared" si="0"/>
        <v>42284</v>
      </c>
      <c r="H39" s="325">
        <v>0</v>
      </c>
      <c r="I39" s="325">
        <v>0.61771229793970028</v>
      </c>
      <c r="J39" s="325">
        <v>0.17041229793970081</v>
      </c>
      <c r="K39" s="325">
        <v>0.2604122979397005</v>
      </c>
    </row>
    <row r="40" spans="1:11">
      <c r="A40" s="322">
        <v>41599</v>
      </c>
      <c r="B40" s="321">
        <v>2.1246155743392241</v>
      </c>
      <c r="C40" s="161">
        <v>3.1712155743392252</v>
      </c>
      <c r="D40" s="161">
        <v>3.7009155743392244</v>
      </c>
      <c r="E40" s="161">
        <v>3.0934155743392249</v>
      </c>
      <c r="F40" s="495">
        <v>0</v>
      </c>
      <c r="G40" s="326">
        <f t="shared" si="0"/>
        <v>42285</v>
      </c>
      <c r="H40">
        <v>0</v>
      </c>
      <c r="I40">
        <v>0.61803929827719783</v>
      </c>
      <c r="J40">
        <v>0.16413929827719775</v>
      </c>
      <c r="K40">
        <v>0.25663929827719695</v>
      </c>
    </row>
    <row r="41" spans="1:11">
      <c r="A41" s="322">
        <v>41600</v>
      </c>
      <c r="B41" s="321">
        <v>2.0702272337360754</v>
      </c>
      <c r="C41" s="161">
        <v>3.1489272337360763</v>
      </c>
      <c r="D41" s="161">
        <v>3.660127233736076</v>
      </c>
      <c r="E41" s="161">
        <v>3.0679272337360763</v>
      </c>
      <c r="F41" s="495">
        <v>0</v>
      </c>
      <c r="G41" s="326">
        <f t="shared" si="0"/>
        <v>42286</v>
      </c>
      <c r="H41">
        <v>0</v>
      </c>
      <c r="I41">
        <v>0.61960943373352051</v>
      </c>
      <c r="J41">
        <v>0.16530943373352136</v>
      </c>
      <c r="K41">
        <v>0.25740943373352149</v>
      </c>
    </row>
    <row r="42" spans="1:11">
      <c r="A42" s="322">
        <v>41601</v>
      </c>
      <c r="B42" s="321">
        <v>2.0150720246773575</v>
      </c>
      <c r="C42" s="161">
        <v>3.125172024677358</v>
      </c>
      <c r="D42" s="161">
        <v>3.6221720246773588</v>
      </c>
      <c r="E42" s="161">
        <v>3.0416720246773585</v>
      </c>
      <c r="F42" s="495">
        <v>0</v>
      </c>
      <c r="G42" s="326">
        <f t="shared" si="0"/>
        <v>42287</v>
      </c>
      <c r="H42">
        <v>0</v>
      </c>
      <c r="I42">
        <v>0.61960943373352051</v>
      </c>
      <c r="J42">
        <v>0.16530943373352136</v>
      </c>
      <c r="K42">
        <v>0.25740943373352149</v>
      </c>
    </row>
    <row r="43" spans="1:11">
      <c r="A43" s="322">
        <v>41602</v>
      </c>
      <c r="B43" s="321">
        <v>1.9673231540970932</v>
      </c>
      <c r="C43" s="161">
        <v>3.1047231540970941</v>
      </c>
      <c r="D43" s="161">
        <v>3.5806231540970943</v>
      </c>
      <c r="E43" s="161">
        <v>3.0159231540970928</v>
      </c>
      <c r="F43" s="495">
        <v>0</v>
      </c>
      <c r="G43" s="326">
        <f t="shared" si="0"/>
        <v>42288</v>
      </c>
      <c r="H43">
        <v>0</v>
      </c>
      <c r="I43">
        <v>0.61960943373352051</v>
      </c>
      <c r="J43">
        <v>0.16530943373352136</v>
      </c>
      <c r="K43">
        <v>0.25740943373352149</v>
      </c>
    </row>
    <row r="44" spans="1:11">
      <c r="A44" s="322">
        <v>41603</v>
      </c>
      <c r="B44" s="321">
        <v>1.919013953762152</v>
      </c>
      <c r="C44" s="161">
        <v>3.081513953762153</v>
      </c>
      <c r="D44" s="161">
        <v>3.5398139537621534</v>
      </c>
      <c r="E44" s="161">
        <v>2.9912139537621534</v>
      </c>
      <c r="F44" s="495">
        <v>0</v>
      </c>
      <c r="G44" s="326">
        <f t="shared" si="0"/>
        <v>42289</v>
      </c>
      <c r="H44">
        <v>0</v>
      </c>
      <c r="I44">
        <v>0.62078018395532353</v>
      </c>
      <c r="J44">
        <v>0.16518018395532386</v>
      </c>
      <c r="K44">
        <v>0.25768018395532305</v>
      </c>
    </row>
    <row r="45" spans="1:11">
      <c r="A45" s="322">
        <v>41604</v>
      </c>
      <c r="B45" s="321">
        <v>1.8739722295991847</v>
      </c>
      <c r="C45" s="161">
        <v>3.0538722295991843</v>
      </c>
      <c r="D45" s="161">
        <v>3.5004722295991852</v>
      </c>
      <c r="E45" s="161">
        <v>2.9665722295991848</v>
      </c>
      <c r="F45" s="495">
        <v>0</v>
      </c>
      <c r="G45" s="326">
        <f t="shared" si="0"/>
        <v>42290</v>
      </c>
      <c r="H45">
        <v>0</v>
      </c>
      <c r="I45">
        <v>0.6194223132625607</v>
      </c>
      <c r="J45">
        <v>0.16582231326256169</v>
      </c>
      <c r="K45">
        <v>0.25952231326256164</v>
      </c>
    </row>
    <row r="46" spans="1:11">
      <c r="A46" s="322">
        <v>41605</v>
      </c>
      <c r="B46" s="321">
        <v>1.8367587306052831</v>
      </c>
      <c r="C46" s="161">
        <v>3.0250587306052825</v>
      </c>
      <c r="D46" s="161">
        <v>3.4643587306052828</v>
      </c>
      <c r="E46" s="161">
        <v>2.9412587306052838</v>
      </c>
      <c r="F46" s="495">
        <v>0</v>
      </c>
      <c r="G46" s="326">
        <f t="shared" si="0"/>
        <v>42291</v>
      </c>
      <c r="H46">
        <v>0</v>
      </c>
      <c r="I46">
        <v>0.6194223132625607</v>
      </c>
      <c r="J46">
        <v>0.16582231326256169</v>
      </c>
      <c r="K46">
        <v>0.25952231326256164</v>
      </c>
    </row>
    <row r="47" spans="1:11">
      <c r="A47" s="322">
        <v>41606</v>
      </c>
      <c r="B47" s="321">
        <v>1.7994634391078965</v>
      </c>
      <c r="C47" s="161">
        <v>2.9966634391078966</v>
      </c>
      <c r="D47" s="161">
        <v>3.4180634391078977</v>
      </c>
      <c r="E47" s="161">
        <v>2.9136634391078959</v>
      </c>
      <c r="F47" s="495">
        <v>0</v>
      </c>
      <c r="G47" s="326">
        <f t="shared" si="0"/>
        <v>42292</v>
      </c>
      <c r="H47" s="325">
        <v>0</v>
      </c>
      <c r="I47" s="325">
        <v>0.61806955386698603</v>
      </c>
      <c r="J47" s="325">
        <v>0.16656955386698569</v>
      </c>
      <c r="K47" s="325">
        <v>0.25926955386698619</v>
      </c>
    </row>
    <row r="48" spans="1:11">
      <c r="A48" s="322">
        <v>41607</v>
      </c>
      <c r="B48" s="321">
        <v>1.7632726488416055</v>
      </c>
      <c r="C48" s="161">
        <v>2.9721726488416049</v>
      </c>
      <c r="D48" s="161">
        <v>3.3739726488416055</v>
      </c>
      <c r="E48" s="161">
        <v>2.8870726488416056</v>
      </c>
      <c r="F48" s="495">
        <v>0</v>
      </c>
      <c r="G48" s="326">
        <f t="shared" si="0"/>
        <v>42293</v>
      </c>
      <c r="H48" s="327">
        <v>2.3425855213215674</v>
      </c>
      <c r="I48" s="265">
        <v>2.9642855213215693</v>
      </c>
      <c r="J48" s="265">
        <v>3.153485521321568</v>
      </c>
      <c r="K48" s="328">
        <v>2.8782855213215686</v>
      </c>
    </row>
    <row r="49" spans="1:7">
      <c r="A49" s="322">
        <v>41608</v>
      </c>
      <c r="B49" s="321">
        <v>1.7149452480592271</v>
      </c>
      <c r="C49" s="161">
        <v>2.9501452480592274</v>
      </c>
      <c r="D49" s="161">
        <v>3.339745248059228</v>
      </c>
      <c r="E49" s="161">
        <v>2.8603452480592284</v>
      </c>
      <c r="F49" s="495">
        <v>0.55000000000000004</v>
      </c>
      <c r="G49" s="326"/>
    </row>
    <row r="50" spans="1:7">
      <c r="A50" s="322">
        <v>41609</v>
      </c>
      <c r="B50" s="321">
        <v>1.6719742858665225</v>
      </c>
      <c r="C50" s="161">
        <v>2.9242742858665238</v>
      </c>
      <c r="D50" s="161">
        <v>3.3122742858665228</v>
      </c>
      <c r="E50" s="161">
        <v>2.8344742858665231</v>
      </c>
      <c r="F50" s="495">
        <v>2.4500000000000002</v>
      </c>
    </row>
    <row r="51" spans="1:7">
      <c r="A51" s="322">
        <v>41610</v>
      </c>
      <c r="B51" s="321">
        <v>1.638650769200066</v>
      </c>
      <c r="C51" s="161">
        <v>2.9012507692000664</v>
      </c>
      <c r="D51" s="161">
        <v>3.2755507692000672</v>
      </c>
      <c r="E51" s="161">
        <v>2.808250769200066</v>
      </c>
      <c r="F51" s="495">
        <v>15.1</v>
      </c>
    </row>
    <row r="52" spans="1:7">
      <c r="A52" s="322">
        <v>41611</v>
      </c>
      <c r="B52" s="321">
        <v>1.6298924910133441</v>
      </c>
      <c r="C52" s="161">
        <v>2.8964924910133441</v>
      </c>
      <c r="D52" s="161">
        <v>3.2615924910133449</v>
      </c>
      <c r="E52" s="161">
        <v>2.797992491013344</v>
      </c>
      <c r="F52" s="495">
        <v>1.9500000000000002</v>
      </c>
    </row>
    <row r="53" spans="1:7">
      <c r="A53" s="322">
        <v>41612</v>
      </c>
      <c r="B53" s="321">
        <v>1.5979663033140761</v>
      </c>
      <c r="C53" s="161">
        <v>2.8756663033140768</v>
      </c>
      <c r="D53" s="161">
        <v>3.2337663033140762</v>
      </c>
      <c r="E53" s="161">
        <v>2.7761663033140755</v>
      </c>
      <c r="F53" s="495">
        <v>0</v>
      </c>
    </row>
    <row r="54" spans="1:7">
      <c r="A54" s="322">
        <v>41613</v>
      </c>
      <c r="B54" s="321">
        <v>1.567169367742697</v>
      </c>
      <c r="C54" s="161">
        <v>2.8481693677426971</v>
      </c>
      <c r="D54" s="161">
        <v>3.2027693677426976</v>
      </c>
      <c r="E54" s="161">
        <v>2.7505693677426968</v>
      </c>
      <c r="F54" s="495">
        <v>0</v>
      </c>
    </row>
    <row r="55" spans="1:7">
      <c r="A55" s="322">
        <v>41614</v>
      </c>
      <c r="B55" s="321">
        <v>1.5350550443621054</v>
      </c>
      <c r="C55" s="161">
        <v>2.8178550443621067</v>
      </c>
      <c r="D55" s="161">
        <v>3.1658550443621065</v>
      </c>
      <c r="E55" s="161">
        <v>2.7202550443621063</v>
      </c>
      <c r="F55" s="495">
        <v>0</v>
      </c>
    </row>
    <row r="56" spans="1:7">
      <c r="A56" s="322">
        <v>41615</v>
      </c>
      <c r="B56" s="321">
        <v>1.5037257992832953</v>
      </c>
      <c r="C56" s="161">
        <v>2.7797257992832947</v>
      </c>
      <c r="D56" s="161">
        <v>3.1260257992832949</v>
      </c>
      <c r="E56" s="161">
        <v>2.6826257992832949</v>
      </c>
      <c r="F56" s="495">
        <v>0</v>
      </c>
    </row>
    <row r="57" spans="1:7">
      <c r="A57" s="322">
        <v>41616</v>
      </c>
      <c r="B57" s="321">
        <v>1.4761350043176198</v>
      </c>
      <c r="C57" s="161">
        <v>2.7452350043176192</v>
      </c>
      <c r="D57" s="161">
        <v>3.0964350043176188</v>
      </c>
      <c r="E57" s="161">
        <v>2.6472350043176198</v>
      </c>
      <c r="F57" s="495">
        <v>1.6500000000000001</v>
      </c>
    </row>
    <row r="58" spans="1:7">
      <c r="A58" s="322">
        <v>41617</v>
      </c>
      <c r="B58" s="321">
        <v>1.4483703853027508</v>
      </c>
      <c r="C58" s="161">
        <v>2.7107703853027498</v>
      </c>
      <c r="D58" s="161">
        <v>3.0696703853027509</v>
      </c>
      <c r="E58" s="161">
        <v>2.6114703853027499</v>
      </c>
      <c r="F58" s="495">
        <v>0.1</v>
      </c>
    </row>
    <row r="59" spans="1:7">
      <c r="A59" s="322">
        <v>41618</v>
      </c>
      <c r="B59" s="321">
        <v>1.4215358193055381</v>
      </c>
      <c r="C59" s="161">
        <v>2.6747358193055391</v>
      </c>
      <c r="D59" s="161">
        <v>3.0310358193055391</v>
      </c>
      <c r="E59" s="161">
        <v>2.5763358193055388</v>
      </c>
      <c r="F59" s="495">
        <v>0.95</v>
      </c>
    </row>
    <row r="60" spans="1:7">
      <c r="A60" s="322">
        <v>41619</v>
      </c>
      <c r="B60" s="321">
        <v>1.394499628031872</v>
      </c>
      <c r="C60" s="161">
        <v>2.6353996280318732</v>
      </c>
      <c r="D60" s="161">
        <v>2.9960996280318719</v>
      </c>
      <c r="E60" s="161">
        <v>2.539699628031872</v>
      </c>
      <c r="F60" s="495">
        <v>0</v>
      </c>
    </row>
    <row r="61" spans="1:7">
      <c r="A61" s="322">
        <v>41620</v>
      </c>
      <c r="B61" s="321">
        <v>1.3708202734430697</v>
      </c>
      <c r="C61" s="161">
        <v>2.5918202734430693</v>
      </c>
      <c r="D61" s="161">
        <v>2.9535202734430692</v>
      </c>
      <c r="E61" s="161">
        <v>2.5019202734430688</v>
      </c>
      <c r="F61" s="495">
        <v>0</v>
      </c>
    </row>
    <row r="62" spans="1:7">
      <c r="A62" s="322">
        <v>41621</v>
      </c>
      <c r="B62" s="321">
        <v>1.3670572820543492</v>
      </c>
      <c r="C62" s="161">
        <v>2.588757282054349</v>
      </c>
      <c r="D62" s="161">
        <v>2.9459572820543505</v>
      </c>
      <c r="E62" s="161">
        <v>2.4986572820543489</v>
      </c>
      <c r="F62" s="495">
        <v>0</v>
      </c>
    </row>
    <row r="63" spans="1:7">
      <c r="A63" s="322">
        <v>41622</v>
      </c>
      <c r="B63" s="321">
        <v>1.3745521919043875</v>
      </c>
      <c r="C63" s="161">
        <v>2.6219521919043878</v>
      </c>
      <c r="D63" s="161">
        <v>2.9589521919043884</v>
      </c>
      <c r="E63" s="161">
        <v>2.5224521919043883</v>
      </c>
      <c r="F63" s="495">
        <v>0.5</v>
      </c>
    </row>
    <row r="64" spans="1:7">
      <c r="A64" s="322">
        <v>41623</v>
      </c>
      <c r="B64" s="321">
        <v>1.3461162032028562</v>
      </c>
      <c r="C64" s="161">
        <v>2.5973162032028565</v>
      </c>
      <c r="D64" s="161">
        <v>2.9403162032028556</v>
      </c>
      <c r="E64" s="161">
        <v>2.500216203202855</v>
      </c>
      <c r="F64" s="495">
        <v>0</v>
      </c>
    </row>
    <row r="65" spans="1:6">
      <c r="A65" s="322">
        <v>41624</v>
      </c>
      <c r="B65" s="321">
        <v>1.3168452457095339</v>
      </c>
      <c r="C65" s="161">
        <v>2.5751452457095354</v>
      </c>
      <c r="D65" s="161">
        <v>2.9093452457095355</v>
      </c>
      <c r="E65" s="161">
        <v>2.4751452457095353</v>
      </c>
      <c r="F65" s="495">
        <v>0</v>
      </c>
    </row>
    <row r="66" spans="1:6">
      <c r="A66" s="322">
        <v>41625</v>
      </c>
      <c r="B66" s="321">
        <v>1.2877566978348676</v>
      </c>
      <c r="C66" s="161">
        <v>2.5535566978348676</v>
      </c>
      <c r="D66" s="161">
        <v>2.8816566978348677</v>
      </c>
      <c r="E66" s="161">
        <v>2.4447566978348667</v>
      </c>
      <c r="F66" s="495">
        <v>0</v>
      </c>
    </row>
    <row r="67" spans="1:6">
      <c r="A67" s="322">
        <v>41626</v>
      </c>
      <c r="B67" s="321">
        <v>1.2599575104730953</v>
      </c>
      <c r="C67" s="161">
        <v>2.5267575104730966</v>
      </c>
      <c r="D67" s="161">
        <v>2.8446575104730956</v>
      </c>
      <c r="E67" s="161">
        <v>2.4068575104730967</v>
      </c>
      <c r="F67" s="495">
        <v>0</v>
      </c>
    </row>
    <row r="68" spans="1:6">
      <c r="A68" s="322">
        <v>41627</v>
      </c>
      <c r="B68" s="321">
        <v>1.2310082253497936</v>
      </c>
      <c r="C68" s="161">
        <v>2.4946082253497934</v>
      </c>
      <c r="D68" s="161">
        <v>2.8065082253497939</v>
      </c>
      <c r="E68" s="161">
        <v>2.3701082253497936</v>
      </c>
      <c r="F68" s="495">
        <v>0</v>
      </c>
    </row>
    <row r="69" spans="1:6">
      <c r="A69" s="322">
        <v>41628</v>
      </c>
      <c r="B69" s="321">
        <v>1.2057875728895202</v>
      </c>
      <c r="C69" s="161">
        <v>2.456787572889521</v>
      </c>
      <c r="D69" s="161">
        <v>2.7656875728895214</v>
      </c>
      <c r="E69" s="161">
        <v>2.3149875728895206</v>
      </c>
      <c r="F69" s="495">
        <v>0</v>
      </c>
    </row>
    <row r="70" spans="1:6">
      <c r="A70" s="322">
        <v>41629</v>
      </c>
      <c r="B70" s="321">
        <v>1.1813288895585292</v>
      </c>
      <c r="C70" s="161">
        <v>2.42622888955853</v>
      </c>
      <c r="D70" s="161">
        <v>2.7222288895585303</v>
      </c>
      <c r="E70" s="161">
        <v>2.2296288895585294</v>
      </c>
      <c r="F70" s="495">
        <v>0</v>
      </c>
    </row>
    <row r="71" spans="1:6">
      <c r="A71" s="322">
        <v>41630</v>
      </c>
      <c r="B71" s="321">
        <v>1.1558933107006486</v>
      </c>
      <c r="C71" s="161">
        <v>2.3935933107006484</v>
      </c>
      <c r="D71" s="161">
        <v>2.677693310700648</v>
      </c>
      <c r="E71" s="161">
        <v>2.1447933107006487</v>
      </c>
      <c r="F71" s="495">
        <v>0</v>
      </c>
    </row>
    <row r="72" spans="1:6">
      <c r="A72" s="322">
        <v>41631</v>
      </c>
      <c r="B72" s="321">
        <v>1.1294738854216377</v>
      </c>
      <c r="C72" s="161">
        <v>2.3505738854216389</v>
      </c>
      <c r="D72" s="161">
        <v>2.6445738854216385</v>
      </c>
      <c r="E72" s="161">
        <v>2.076373885421638</v>
      </c>
      <c r="F72" s="495">
        <v>0</v>
      </c>
    </row>
    <row r="73" spans="1:6">
      <c r="A73" s="322">
        <v>41632</v>
      </c>
      <c r="B73" s="321">
        <v>1.1028156048852229</v>
      </c>
      <c r="C73" s="161">
        <v>2.3118156048852239</v>
      </c>
      <c r="D73" s="161">
        <v>2.6126156048852236</v>
      </c>
      <c r="E73" s="161">
        <v>2.0227156048852222</v>
      </c>
      <c r="F73" s="495">
        <v>0</v>
      </c>
    </row>
    <row r="74" spans="1:6">
      <c r="A74" s="322">
        <v>41633</v>
      </c>
      <c r="B74" s="321">
        <v>1.0784434202106383</v>
      </c>
      <c r="C74" s="161">
        <v>2.2767434202106376</v>
      </c>
      <c r="D74" s="161">
        <v>2.5780434202106379</v>
      </c>
      <c r="E74" s="161">
        <v>1.9766434202106367</v>
      </c>
      <c r="F74" s="495">
        <v>0</v>
      </c>
    </row>
    <row r="75" spans="1:6">
      <c r="A75" s="322">
        <v>41634</v>
      </c>
      <c r="B75" s="321">
        <v>1.0514010906809603</v>
      </c>
      <c r="C75" s="161">
        <v>2.2421010906809613</v>
      </c>
      <c r="D75" s="161">
        <v>2.5453010906809608</v>
      </c>
      <c r="E75" s="161">
        <v>1.9459010906809602</v>
      </c>
      <c r="F75" s="495">
        <v>0</v>
      </c>
    </row>
    <row r="76" spans="1:6">
      <c r="A76" s="322">
        <v>41635</v>
      </c>
      <c r="B76" s="321">
        <v>1.0209965847504816</v>
      </c>
      <c r="C76" s="161">
        <v>2.2058965847504819</v>
      </c>
      <c r="D76" s="161">
        <v>2.5081965847504817</v>
      </c>
      <c r="E76" s="161">
        <v>1.9260965847504816</v>
      </c>
      <c r="F76" s="495">
        <v>0</v>
      </c>
    </row>
    <row r="77" spans="1:6">
      <c r="A77" s="322">
        <v>41636</v>
      </c>
      <c r="B77" s="321">
        <v>0.99228676730036958</v>
      </c>
      <c r="C77" s="161">
        <v>2.1696867673003695</v>
      </c>
      <c r="D77" s="161">
        <v>2.4690867673003689</v>
      </c>
      <c r="E77" s="161">
        <v>1.9073867673003693</v>
      </c>
      <c r="F77" s="495">
        <v>0</v>
      </c>
    </row>
    <row r="78" spans="1:6">
      <c r="A78" s="322">
        <v>41637</v>
      </c>
      <c r="B78" s="321">
        <v>0.96585404559959065</v>
      </c>
      <c r="C78" s="161">
        <v>2.1281540455995902</v>
      </c>
      <c r="D78" s="161">
        <v>2.4298540455995914</v>
      </c>
      <c r="E78" s="161">
        <v>1.8889540455995912</v>
      </c>
      <c r="F78" s="495">
        <v>0</v>
      </c>
    </row>
    <row r="79" spans="1:6">
      <c r="A79" s="322">
        <v>41638</v>
      </c>
      <c r="B79" s="321">
        <v>0.94686099884352315</v>
      </c>
      <c r="C79" s="161">
        <v>2.0889609988435236</v>
      </c>
      <c r="D79" s="161">
        <v>2.3931609988435225</v>
      </c>
      <c r="E79" s="161">
        <v>1.8552609988435225</v>
      </c>
      <c r="F79" s="495">
        <v>0</v>
      </c>
    </row>
    <row r="80" spans="1:6">
      <c r="A80" s="322">
        <v>41639</v>
      </c>
      <c r="B80" s="321">
        <v>0.92725057132731747</v>
      </c>
      <c r="C80" s="161">
        <v>2.0485505713273184</v>
      </c>
      <c r="D80" s="161">
        <v>2.3502505713273179</v>
      </c>
      <c r="E80" s="161">
        <v>1.8162505713273176</v>
      </c>
      <c r="F80" s="495">
        <v>0</v>
      </c>
    </row>
    <row r="81" spans="1:6">
      <c r="A81" s="322">
        <v>41640</v>
      </c>
      <c r="B81" s="321">
        <v>0.90683318586779882</v>
      </c>
      <c r="C81" s="161">
        <v>2.0045331858677997</v>
      </c>
      <c r="D81" s="161">
        <v>2.3023331858677993</v>
      </c>
      <c r="E81" s="161">
        <v>1.7785331858677984</v>
      </c>
      <c r="F81" s="495">
        <v>0.3</v>
      </c>
    </row>
    <row r="82" spans="1:6">
      <c r="A82" s="322">
        <v>41641</v>
      </c>
      <c r="B82" s="321">
        <v>0.88597981170674578</v>
      </c>
      <c r="C82" s="161">
        <v>1.9808798117067459</v>
      </c>
      <c r="D82" s="161">
        <v>2.2695798117067456</v>
      </c>
      <c r="E82" s="161">
        <v>1.744879811706745</v>
      </c>
      <c r="F82" s="495">
        <v>0</v>
      </c>
    </row>
    <row r="83" spans="1:6">
      <c r="A83" s="322">
        <v>41642</v>
      </c>
      <c r="B83" s="321">
        <v>0.85625384067776678</v>
      </c>
      <c r="C83" s="161">
        <v>1.9578538406777672</v>
      </c>
      <c r="D83" s="161">
        <v>2.2397538406777668</v>
      </c>
      <c r="E83" s="161">
        <v>1.7175538406777657</v>
      </c>
      <c r="F83" s="495">
        <v>0</v>
      </c>
    </row>
    <row r="84" spans="1:6">
      <c r="A84" s="322">
        <v>41643</v>
      </c>
      <c r="B84" s="321">
        <v>0.82819800980449421</v>
      </c>
      <c r="C84" s="161">
        <v>1.9360980098044942</v>
      </c>
      <c r="D84" s="161">
        <v>2.2115980098044945</v>
      </c>
      <c r="E84" s="161">
        <v>1.6927980098044944</v>
      </c>
      <c r="F84" s="495">
        <v>0</v>
      </c>
    </row>
    <row r="85" spans="1:6">
      <c r="A85" s="322">
        <v>41644</v>
      </c>
      <c r="B85" s="321">
        <v>0.79448532579851039</v>
      </c>
      <c r="C85" s="161">
        <v>1.9113853257985107</v>
      </c>
      <c r="D85" s="161">
        <v>2.1831853257985108</v>
      </c>
      <c r="E85" s="161">
        <v>1.6738853257985116</v>
      </c>
      <c r="F85" s="495">
        <v>0</v>
      </c>
    </row>
    <row r="86" spans="1:6">
      <c r="A86" s="322">
        <v>41645</v>
      </c>
      <c r="B86" s="321">
        <v>0.76523991774205824</v>
      </c>
      <c r="C86" s="161">
        <v>1.887739917742058</v>
      </c>
      <c r="D86" s="161">
        <v>2.1525399177420583</v>
      </c>
      <c r="E86" s="161">
        <v>1.6540399177420588</v>
      </c>
      <c r="F86" s="495">
        <v>0</v>
      </c>
    </row>
    <row r="87" spans="1:6">
      <c r="A87" s="322">
        <v>41646</v>
      </c>
      <c r="B87" s="321">
        <v>0.74332233440979012</v>
      </c>
      <c r="C87" s="161">
        <v>1.8694223344097904</v>
      </c>
      <c r="D87" s="161">
        <v>2.1216223344097918</v>
      </c>
      <c r="E87" s="161">
        <v>1.6342223344097913</v>
      </c>
      <c r="F87" s="495">
        <v>0</v>
      </c>
    </row>
    <row r="88" spans="1:6">
      <c r="A88" s="322">
        <v>41647</v>
      </c>
      <c r="B88" s="321">
        <v>0.72644667781262529</v>
      </c>
      <c r="C88" s="161">
        <v>1.6491466778126254</v>
      </c>
      <c r="D88" s="161">
        <v>2.0977466778126255</v>
      </c>
      <c r="E88" s="161">
        <v>1.6170466778126253</v>
      </c>
      <c r="F88" s="495">
        <v>0</v>
      </c>
    </row>
    <row r="89" spans="1:6">
      <c r="A89" s="322">
        <v>41648</v>
      </c>
      <c r="B89" s="321">
        <v>0.72156631271284555</v>
      </c>
      <c r="C89" s="161">
        <v>1.8071663127128443</v>
      </c>
      <c r="D89" s="161">
        <v>2.0814663127128457</v>
      </c>
      <c r="E89" s="161">
        <v>1.6136663127128439</v>
      </c>
      <c r="F89" s="495">
        <v>0</v>
      </c>
    </row>
    <row r="90" spans="1:6">
      <c r="A90" s="322">
        <v>41649</v>
      </c>
      <c r="B90" s="321">
        <v>0.70435056662793416</v>
      </c>
      <c r="C90" s="161">
        <v>1.8004505666279333</v>
      </c>
      <c r="D90" s="161">
        <v>2.055550566627935</v>
      </c>
      <c r="E90" s="161">
        <v>1.5972505666279342</v>
      </c>
      <c r="F90" s="495">
        <v>0</v>
      </c>
    </row>
    <row r="91" spans="1:6">
      <c r="A91" s="322">
        <v>41650</v>
      </c>
      <c r="B91" s="321">
        <v>0.681747092355661</v>
      </c>
      <c r="C91" s="161">
        <v>1.7729470923556627</v>
      </c>
      <c r="D91" s="161">
        <v>2.0289470923556623</v>
      </c>
      <c r="E91" s="161">
        <v>1.5800470923556609</v>
      </c>
      <c r="F91" s="495">
        <v>0</v>
      </c>
    </row>
    <row r="92" spans="1:6">
      <c r="A92" s="322">
        <v>41651</v>
      </c>
      <c r="B92" s="321">
        <v>0.65773114369861618</v>
      </c>
      <c r="C92" s="161">
        <v>1.1646311436986172</v>
      </c>
      <c r="D92" s="161">
        <v>2.0001311436986162</v>
      </c>
      <c r="E92" s="161">
        <v>1.5642311436986165</v>
      </c>
      <c r="F92" s="495">
        <v>0</v>
      </c>
    </row>
    <row r="93" spans="1:6">
      <c r="A93" s="322">
        <v>41652</v>
      </c>
      <c r="B93" s="321">
        <v>0.61232889425791415</v>
      </c>
      <c r="C93" s="161">
        <v>1.1184288942579135</v>
      </c>
      <c r="D93" s="161">
        <v>1.9718288942579132</v>
      </c>
      <c r="E93" s="161">
        <v>1.5474288942579135</v>
      </c>
      <c r="F93" s="495">
        <v>0</v>
      </c>
    </row>
    <row r="94" spans="1:6">
      <c r="A94" s="322">
        <v>41653</v>
      </c>
      <c r="B94" s="321">
        <v>0.53664341316156028</v>
      </c>
      <c r="C94" s="161">
        <v>1.090943413161561</v>
      </c>
      <c r="D94" s="161">
        <v>1.94464341316156</v>
      </c>
      <c r="E94" s="161">
        <v>1.5286434131615603</v>
      </c>
    </row>
    <row r="95" spans="1:6">
      <c r="A95" s="322">
        <v>41654</v>
      </c>
      <c r="B95" s="321">
        <v>0.45490926170738405</v>
      </c>
      <c r="C95" s="161">
        <v>1.0930092617073848</v>
      </c>
      <c r="D95" s="161">
        <v>1.9197092617073845</v>
      </c>
      <c r="E95" s="161">
        <v>1.5106092617073847</v>
      </c>
    </row>
    <row r="96" spans="1:6">
      <c r="A96" s="322">
        <v>41655</v>
      </c>
      <c r="B96" s="321">
        <v>0.40644607479560563</v>
      </c>
      <c r="C96" s="161">
        <v>1.0970460747956066</v>
      </c>
      <c r="D96" s="161">
        <v>1.8912460747956057</v>
      </c>
      <c r="E96" s="161">
        <v>1.4923460747956052</v>
      </c>
    </row>
    <row r="97" spans="1:5">
      <c r="A97" s="322">
        <v>41656</v>
      </c>
      <c r="B97" s="321">
        <v>0.30954382535490638</v>
      </c>
      <c r="C97" s="161">
        <v>1.0962438253549072</v>
      </c>
      <c r="D97" s="161">
        <v>1.8654438253549059</v>
      </c>
      <c r="E97" s="161">
        <v>1.4737438253549064</v>
      </c>
    </row>
    <row r="98" spans="1:5">
      <c r="A98" s="322">
        <v>41657</v>
      </c>
      <c r="B98" s="321">
        <v>0.21282725723299883</v>
      </c>
      <c r="C98" s="161">
        <v>1.0918272572329977</v>
      </c>
      <c r="D98" s="161">
        <v>1.8430272572329993</v>
      </c>
      <c r="E98" s="161">
        <v>1.4548272572329988</v>
      </c>
    </row>
    <row r="99" spans="1:5">
      <c r="A99" s="322">
        <v>41658</v>
      </c>
      <c r="B99" s="321">
        <v>0.21143871875709991</v>
      </c>
      <c r="C99" s="161">
        <v>1.0925387187570992</v>
      </c>
      <c r="D99" s="161">
        <v>1.8197387187570999</v>
      </c>
      <c r="E99" s="161">
        <v>1.434738718757099</v>
      </c>
    </row>
    <row r="100" spans="1:5">
      <c r="A100" s="322">
        <v>41659</v>
      </c>
      <c r="B100" s="321">
        <v>0.20533074560342485</v>
      </c>
      <c r="C100" s="161">
        <v>1.0855307456034244</v>
      </c>
      <c r="D100" s="161">
        <v>1.7965307456034256</v>
      </c>
      <c r="E100" s="161">
        <v>1.4139307456034245</v>
      </c>
    </row>
    <row r="101" spans="1:5">
      <c r="A101" s="322">
        <v>41660</v>
      </c>
      <c r="B101" s="321">
        <v>0</v>
      </c>
      <c r="C101" s="161">
        <v>0.68517123553605486</v>
      </c>
      <c r="D101" s="161">
        <v>1.7742712355360541</v>
      </c>
      <c r="E101" s="161">
        <v>1.3935712355360539</v>
      </c>
    </row>
    <row r="102" spans="1:5">
      <c r="A102" s="322">
        <v>41661</v>
      </c>
      <c r="B102" s="321"/>
      <c r="C102" s="161">
        <v>0.68514484761434402</v>
      </c>
      <c r="D102" s="161">
        <v>1.7503448476143439</v>
      </c>
      <c r="E102" s="161">
        <v>1.3718448476143439</v>
      </c>
    </row>
    <row r="103" spans="1:5">
      <c r="A103" s="322">
        <v>41662</v>
      </c>
      <c r="B103" s="321"/>
      <c r="C103" s="161">
        <v>0.6803583466082459</v>
      </c>
      <c r="D103" s="161">
        <v>1.7278583466082462</v>
      </c>
      <c r="E103" s="161">
        <v>1.3499583466082465</v>
      </c>
    </row>
    <row r="104" spans="1:5">
      <c r="A104" s="322">
        <v>41663</v>
      </c>
      <c r="B104" s="321"/>
      <c r="C104" s="161">
        <v>0.67871397020999935</v>
      </c>
      <c r="D104" s="161">
        <v>1.7063139702099981</v>
      </c>
      <c r="E104" s="161">
        <v>1.3276139702099985</v>
      </c>
    </row>
    <row r="105" spans="1:5">
      <c r="A105" s="322">
        <v>41664</v>
      </c>
      <c r="B105" s="321"/>
      <c r="C105" s="161">
        <v>0.67948594526337458</v>
      </c>
      <c r="D105" s="161">
        <v>1.6838859452633741</v>
      </c>
      <c r="E105" s="161">
        <v>1.305385945263374</v>
      </c>
    </row>
    <row r="106" spans="1:5">
      <c r="A106" s="322">
        <v>41665</v>
      </c>
      <c r="B106" s="321"/>
      <c r="C106" s="161">
        <v>0.68175751987186373</v>
      </c>
      <c r="D106" s="161">
        <v>1.6634575198718646</v>
      </c>
      <c r="E106" s="161">
        <v>1.2829575198718639</v>
      </c>
    </row>
    <row r="107" spans="1:5">
      <c r="A107" s="322">
        <v>41666</v>
      </c>
      <c r="B107" s="321"/>
      <c r="C107" s="161">
        <v>0.6814783796036552</v>
      </c>
      <c r="D107" s="161">
        <v>1.6420783796036555</v>
      </c>
      <c r="E107" s="161">
        <v>1.2593783796036564</v>
      </c>
    </row>
    <row r="108" spans="1:5">
      <c r="A108" s="322">
        <v>41667</v>
      </c>
      <c r="B108" s="321"/>
      <c r="C108" s="161">
        <v>0.68158144638197071</v>
      </c>
      <c r="D108" s="161">
        <v>1.6201814463819708</v>
      </c>
      <c r="E108" s="161">
        <v>1.2354814463819692</v>
      </c>
    </row>
    <row r="109" spans="1:5">
      <c r="A109" s="322">
        <v>41668</v>
      </c>
      <c r="B109" s="321"/>
      <c r="C109" s="161">
        <v>0.68152602770204118</v>
      </c>
      <c r="D109" s="161">
        <v>1.5991260277020405</v>
      </c>
      <c r="E109" s="161">
        <v>1.2124260277020418</v>
      </c>
    </row>
    <row r="110" spans="1:5">
      <c r="A110" s="322">
        <v>41669</v>
      </c>
      <c r="B110" s="321"/>
      <c r="C110" s="161">
        <v>0.67944300566760218</v>
      </c>
      <c r="D110" s="161">
        <v>1.5776430056676023</v>
      </c>
      <c r="E110" s="161">
        <v>1.1877430056676022</v>
      </c>
    </row>
    <row r="111" spans="1:5">
      <c r="A111" s="322">
        <v>41670</v>
      </c>
      <c r="B111" s="321"/>
      <c r="C111" s="161">
        <v>0.68045629738998392</v>
      </c>
      <c r="D111" s="161">
        <v>1.5563562973899845</v>
      </c>
      <c r="E111" s="161">
        <v>1.1624562973899848</v>
      </c>
    </row>
    <row r="112" spans="1:5">
      <c r="A112" s="322">
        <v>41671</v>
      </c>
      <c r="B112" s="321"/>
      <c r="C112" s="161">
        <v>0.67946610544132624</v>
      </c>
      <c r="D112" s="161">
        <v>1.5351661054413257</v>
      </c>
      <c r="E112" s="161">
        <v>1.1376661054413257</v>
      </c>
    </row>
    <row r="113" spans="1:5">
      <c r="A113" s="322">
        <v>41672</v>
      </c>
      <c r="B113" s="321"/>
      <c r="C113" s="161">
        <v>0.67936570264675189</v>
      </c>
      <c r="D113" s="161">
        <v>1.5152657026467513</v>
      </c>
      <c r="E113" s="161">
        <v>1.112165702646752</v>
      </c>
    </row>
    <row r="114" spans="1:5">
      <c r="A114" s="322">
        <v>41673</v>
      </c>
      <c r="B114" s="321"/>
      <c r="C114" s="161">
        <v>0.67947653295753141</v>
      </c>
      <c r="D114" s="161">
        <v>1.4951765329575299</v>
      </c>
      <c r="E114" s="161">
        <v>1.08927653295753</v>
      </c>
    </row>
    <row r="115" spans="1:5">
      <c r="A115" s="322">
        <v>41674</v>
      </c>
      <c r="B115" s="321"/>
      <c r="C115" s="161">
        <v>0.68115730555127008</v>
      </c>
      <c r="D115" s="161">
        <v>1.4721573055512711</v>
      </c>
      <c r="E115" s="161">
        <v>1.0646573055512696</v>
      </c>
    </row>
    <row r="116" spans="1:5">
      <c r="A116" s="322">
        <v>41675</v>
      </c>
      <c r="B116" s="321"/>
      <c r="C116" s="161">
        <v>0.68275525398331793</v>
      </c>
      <c r="D116" s="161">
        <v>1.4525552539833169</v>
      </c>
      <c r="E116" s="161">
        <v>1.0399552539833183</v>
      </c>
    </row>
    <row r="117" spans="1:5">
      <c r="A117" s="322">
        <v>41676</v>
      </c>
      <c r="B117" s="321"/>
      <c r="C117" s="161">
        <v>0.68241988004726273</v>
      </c>
      <c r="D117" s="161">
        <v>1.4321198800472623</v>
      </c>
      <c r="E117" s="161">
        <v>1.0165198800472619</v>
      </c>
    </row>
    <row r="118" spans="1:5">
      <c r="A118" s="322">
        <v>41677</v>
      </c>
      <c r="B118" s="321"/>
      <c r="C118" s="161">
        <v>0.68287406919623428</v>
      </c>
      <c r="D118" s="161">
        <v>1.4101740691962346</v>
      </c>
      <c r="E118" s="161">
        <v>0.99477406919623368</v>
      </c>
    </row>
    <row r="119" spans="1:5">
      <c r="A119" s="322">
        <v>41678</v>
      </c>
      <c r="B119" s="321"/>
      <c r="C119" s="161">
        <v>0.68332928765371981</v>
      </c>
      <c r="D119" s="161">
        <v>1.3890292876537189</v>
      </c>
      <c r="E119" s="161">
        <v>0.97102928765371876</v>
      </c>
    </row>
    <row r="120" spans="1:5">
      <c r="A120" s="322">
        <v>41679</v>
      </c>
      <c r="B120" s="321"/>
      <c r="C120" s="161">
        <v>0.68192253463223174</v>
      </c>
      <c r="D120" s="161">
        <v>1.3675225346322315</v>
      </c>
      <c r="E120" s="161">
        <v>0.94512253463223272</v>
      </c>
    </row>
    <row r="121" spans="1:5">
      <c r="A121" s="322">
        <v>41680</v>
      </c>
      <c r="B121" s="321"/>
      <c r="C121" s="161">
        <v>0.68356568619890701</v>
      </c>
      <c r="D121" s="161">
        <v>1.3459656861989058</v>
      </c>
      <c r="E121" s="161">
        <v>0.92076568619890642</v>
      </c>
    </row>
    <row r="122" spans="1:5">
      <c r="A122" s="322">
        <v>41681</v>
      </c>
      <c r="B122" s="321"/>
      <c r="C122" s="161">
        <v>0.68445014268613114</v>
      </c>
      <c r="D122" s="161">
        <v>1.3257501426861293</v>
      </c>
      <c r="E122" s="161">
        <v>0.89365014268613008</v>
      </c>
    </row>
    <row r="123" spans="1:5">
      <c r="A123" s="322">
        <v>41682</v>
      </c>
      <c r="B123" s="321"/>
      <c r="C123" s="161">
        <v>0.68089103541333329</v>
      </c>
      <c r="D123" s="161">
        <v>1.3051910354133338</v>
      </c>
      <c r="E123" s="161">
        <v>0.86809103541333377</v>
      </c>
    </row>
    <row r="124" spans="1:5">
      <c r="A124" s="322">
        <v>41683</v>
      </c>
      <c r="B124" s="321"/>
      <c r="C124" s="161">
        <v>0.68080679089701213</v>
      </c>
      <c r="D124" s="161">
        <v>1.2847067908970122</v>
      </c>
      <c r="E124" s="161">
        <v>0.84340679089701309</v>
      </c>
    </row>
    <row r="125" spans="1:5">
      <c r="A125" s="322">
        <v>41684</v>
      </c>
      <c r="B125" s="321"/>
      <c r="C125" s="161">
        <v>0.68272704526209593</v>
      </c>
      <c r="D125" s="161">
        <v>1.2617270452620954</v>
      </c>
      <c r="E125" s="161">
        <v>0.81532704526209576</v>
      </c>
    </row>
    <row r="126" spans="1:5">
      <c r="A126" s="322">
        <v>41685</v>
      </c>
      <c r="B126" s="321"/>
      <c r="C126" s="161">
        <v>0.68089329895218653</v>
      </c>
      <c r="D126" s="161">
        <v>1.2418932989521871</v>
      </c>
      <c r="E126" s="161">
        <v>0.78949329895218723</v>
      </c>
    </row>
    <row r="127" spans="1:5">
      <c r="A127" s="322">
        <v>41686</v>
      </c>
      <c r="B127" s="321"/>
      <c r="C127" s="161">
        <v>0.67807836315581205</v>
      </c>
      <c r="D127" s="161">
        <v>1.2223783631558125</v>
      </c>
      <c r="E127" s="161">
        <v>0.76517836315581134</v>
      </c>
    </row>
    <row r="128" spans="1:5">
      <c r="A128" s="322">
        <v>41687</v>
      </c>
      <c r="B128" s="321"/>
      <c r="C128" s="161">
        <v>0.67648941248657102</v>
      </c>
      <c r="D128" s="161">
        <v>1.2017894124865713</v>
      </c>
      <c r="E128" s="161">
        <v>0.74098941248656969</v>
      </c>
    </row>
    <row r="129" spans="1:5">
      <c r="A129" s="322">
        <v>41688</v>
      </c>
      <c r="B129" s="321"/>
      <c r="C129" s="161">
        <v>0.67692950432400756</v>
      </c>
      <c r="D129" s="161">
        <v>1.1800295043240081</v>
      </c>
      <c r="E129" s="161">
        <v>0.71552950432400797</v>
      </c>
    </row>
    <row r="130" spans="1:5">
      <c r="A130" s="322">
        <v>41689</v>
      </c>
      <c r="B130" s="321"/>
      <c r="C130" s="161">
        <v>0.67544443542099919</v>
      </c>
      <c r="D130" s="161">
        <v>1.1658444354209991</v>
      </c>
      <c r="E130" s="161">
        <v>0.69674443542099906</v>
      </c>
    </row>
    <row r="131" spans="1:5">
      <c r="A131" s="322">
        <v>41690</v>
      </c>
      <c r="B131" s="321"/>
      <c r="C131" s="161">
        <v>0.67470271125802994</v>
      </c>
      <c r="D131" s="161">
        <v>1.1438027112580298</v>
      </c>
      <c r="E131" s="161">
        <v>0.67210271125803045</v>
      </c>
    </row>
    <row r="132" spans="1:5">
      <c r="A132" s="322">
        <v>41691</v>
      </c>
      <c r="B132" s="321"/>
      <c r="C132" s="161">
        <v>0.67712664481721219</v>
      </c>
      <c r="D132" s="161">
        <v>1.1231266448172126</v>
      </c>
      <c r="E132" s="161">
        <v>0.52862664481721344</v>
      </c>
    </row>
    <row r="133" spans="1:5">
      <c r="A133" s="322">
        <v>41692</v>
      </c>
      <c r="B133" s="323"/>
      <c r="C133" s="324">
        <v>0.67754259582394893</v>
      </c>
      <c r="D133" s="324">
        <v>1.1026425958239483</v>
      </c>
      <c r="E133" s="324">
        <v>0.46094259582394903</v>
      </c>
    </row>
    <row r="134" spans="1:5">
      <c r="A134" s="322">
        <v>41693</v>
      </c>
      <c r="B134" s="323"/>
      <c r="C134" s="324">
        <v>0.67535056897762558</v>
      </c>
      <c r="D134" s="324">
        <v>1.0823505689776245</v>
      </c>
      <c r="E134" s="324">
        <v>0.38785056897762571</v>
      </c>
    </row>
    <row r="135" spans="1:5">
      <c r="A135" s="322">
        <v>41694</v>
      </c>
      <c r="B135" s="323"/>
      <c r="C135" s="324">
        <v>0.67653911685229118</v>
      </c>
      <c r="D135" s="324">
        <v>1.0625391168522911</v>
      </c>
      <c r="E135" s="324">
        <v>0.38873911685229023</v>
      </c>
    </row>
    <row r="136" spans="1:5">
      <c r="A136" s="322">
        <v>41695</v>
      </c>
      <c r="B136" s="323"/>
      <c r="C136" s="324">
        <v>0.67894239090212394</v>
      </c>
      <c r="D136" s="324">
        <v>1.0506423909021234</v>
      </c>
      <c r="E136" s="324">
        <v>0.39594239090212424</v>
      </c>
    </row>
    <row r="137" spans="1:5">
      <c r="A137" s="322">
        <v>41696</v>
      </c>
      <c r="B137" s="323"/>
      <c r="C137" s="324">
        <v>0.67656263821812934</v>
      </c>
      <c r="D137" s="324">
        <v>1.026062638218129</v>
      </c>
      <c r="E137" s="324">
        <v>0.3862626382181289</v>
      </c>
    </row>
    <row r="138" spans="1:5">
      <c r="A138" s="322">
        <v>41697</v>
      </c>
      <c r="B138" s="323"/>
      <c r="C138" s="324">
        <v>0.6774861525348912</v>
      </c>
      <c r="D138" s="324">
        <v>1.0033861525348908</v>
      </c>
      <c r="E138" s="324">
        <v>0.38548615253489116</v>
      </c>
    </row>
    <row r="139" spans="1:5">
      <c r="A139" s="322">
        <v>41698</v>
      </c>
      <c r="B139" s="323"/>
      <c r="C139" s="324">
        <v>0.67782602770204092</v>
      </c>
      <c r="D139" s="324">
        <v>0.98222602770204104</v>
      </c>
      <c r="E139" s="324">
        <v>0.38342602770204115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S107"/>
  <sheetViews>
    <sheetView topLeftCell="H1" zoomScale="150" zoomScaleNormal="150" zoomScalePageLayoutView="150" workbookViewId="0">
      <selection activeCell="H122" sqref="H122"/>
    </sheetView>
  </sheetViews>
  <sheetFormatPr baseColWidth="10" defaultColWidth="7.5703125" defaultRowHeight="14"/>
  <cols>
    <col min="1" max="4" width="11.42578125" style="331" customWidth="1"/>
    <col min="5" max="5" width="10.28515625" style="331" customWidth="1"/>
    <col min="6" max="7" width="9.5703125" style="331" customWidth="1"/>
    <col min="8" max="8" width="7.5703125" style="331"/>
    <col min="9" max="9" width="9.85546875" style="331" customWidth="1"/>
    <col min="10" max="10" width="7.5703125" style="331"/>
    <col min="11" max="11" width="3.140625" style="331" customWidth="1"/>
    <col min="12" max="12" width="21" style="331" customWidth="1"/>
    <col min="13" max="13" width="13.28515625" style="331" customWidth="1"/>
    <col min="14" max="18" width="10.42578125" style="331" bestFit="1" customWidth="1"/>
    <col min="19" max="19" width="7.5703125" style="331"/>
    <col min="20" max="20" width="21.28515625" style="331" customWidth="1"/>
    <col min="21" max="21" width="15" style="331" customWidth="1"/>
    <col min="22" max="22" width="25" style="331" customWidth="1"/>
    <col min="23" max="23" width="13.28515625" style="331" customWidth="1"/>
    <col min="24" max="24" width="15.7109375" style="331" customWidth="1"/>
    <col min="25" max="25" width="12.5703125" style="331" customWidth="1"/>
    <col min="26" max="26" width="12.85546875" style="331" customWidth="1"/>
    <col min="27" max="27" width="10.42578125" style="331" bestFit="1" customWidth="1"/>
    <col min="28" max="30" width="11.28515625" style="331" bestFit="1" customWidth="1"/>
    <col min="31" max="67" width="7.5703125" style="331"/>
    <col min="68" max="68" width="6.7109375" style="331" customWidth="1"/>
    <col min="69" max="69" width="8.42578125" style="331" customWidth="1"/>
    <col min="70" max="70" width="7.5703125" style="331" customWidth="1"/>
    <col min="71" max="71" width="8.42578125" style="331" customWidth="1"/>
    <col min="72" max="72" width="4.7109375" style="331" customWidth="1"/>
    <col min="73" max="73" width="9.5703125" style="331" customWidth="1"/>
    <col min="74" max="74" width="7.85546875" style="331" customWidth="1"/>
    <col min="75" max="75" width="7.5703125" style="331"/>
    <col min="76" max="76" width="8.140625" style="331" customWidth="1"/>
    <col min="77" max="83" width="7.5703125" style="331"/>
    <col min="84" max="84" width="7.85546875" style="331" bestFit="1" customWidth="1"/>
    <col min="85" max="85" width="7.5703125" style="331"/>
    <col min="86" max="86" width="9" style="331" bestFit="1" customWidth="1"/>
    <col min="87" max="87" width="8.85546875" style="331" customWidth="1"/>
    <col min="88" max="16384" width="7.5703125" style="331"/>
  </cols>
  <sheetData>
    <row r="1" spans="1:34" ht="34">
      <c r="A1" s="329" t="s">
        <v>127</v>
      </c>
      <c r="B1" s="329" t="s">
        <v>162</v>
      </c>
      <c r="C1" s="329" t="s">
        <v>163</v>
      </c>
      <c r="D1" s="329" t="s">
        <v>164</v>
      </c>
      <c r="E1" s="329" t="s">
        <v>165</v>
      </c>
      <c r="F1" s="330" t="s">
        <v>166</v>
      </c>
      <c r="G1" s="330" t="s">
        <v>167</v>
      </c>
      <c r="I1" s="785"/>
      <c r="J1" s="332" t="s">
        <v>168</v>
      </c>
      <c r="M1" s="331" t="s">
        <v>169</v>
      </c>
      <c r="N1" s="331" t="s">
        <v>170</v>
      </c>
      <c r="W1" s="333" t="s">
        <v>171</v>
      </c>
      <c r="X1" s="331" t="s">
        <v>172</v>
      </c>
    </row>
    <row r="2" spans="1:34" ht="16">
      <c r="A2" s="334">
        <v>153402.67665978591</v>
      </c>
      <c r="B2" s="334">
        <v>100810.57051823119</v>
      </c>
      <c r="C2" s="334">
        <v>71800.684386502107</v>
      </c>
      <c r="D2" s="334">
        <v>146457.08274605544</v>
      </c>
      <c r="E2" s="334"/>
      <c r="F2" s="335">
        <f>SUM(B2:D2)</f>
        <v>319068.33765078872</v>
      </c>
      <c r="G2" s="335">
        <v>26.83</v>
      </c>
      <c r="I2" s="336" t="s">
        <v>173</v>
      </c>
      <c r="J2" s="337">
        <v>586</v>
      </c>
      <c r="M2" s="338" t="s">
        <v>174</v>
      </c>
      <c r="W2" s="333" t="s">
        <v>175</v>
      </c>
      <c r="X2" s="331" t="s">
        <v>176</v>
      </c>
      <c r="AF2" s="331" t="s">
        <v>177</v>
      </c>
    </row>
    <row r="3" spans="1:34" ht="16">
      <c r="A3" s="334">
        <v>509866.00211189309</v>
      </c>
      <c r="B3" s="334">
        <v>494371.27219986869</v>
      </c>
      <c r="C3" s="334">
        <v>194539.93871288703</v>
      </c>
      <c r="D3" s="334">
        <v>141664.40642565759</v>
      </c>
      <c r="E3" s="334"/>
      <c r="F3" s="335">
        <f t="shared" ref="F3:F5" si="0">SUM(B3:D3)</f>
        <v>830575.61733841326</v>
      </c>
      <c r="G3" s="335">
        <v>44.96</v>
      </c>
      <c r="I3" s="336" t="s">
        <v>178</v>
      </c>
      <c r="J3" s="337">
        <v>367</v>
      </c>
      <c r="L3" s="331" t="s">
        <v>179</v>
      </c>
      <c r="M3" s="339">
        <f>B19*10000-SUM(A2:A4)</f>
        <v>27001417.220921636</v>
      </c>
      <c r="S3" s="331" t="s">
        <v>180</v>
      </c>
      <c r="W3" s="333" t="s">
        <v>181</v>
      </c>
      <c r="X3" s="331" t="s">
        <v>182</v>
      </c>
      <c r="AF3" s="331" t="s">
        <v>183</v>
      </c>
    </row>
    <row r="4" spans="1:34" ht="16">
      <c r="A4" s="334">
        <v>144414.10030668529</v>
      </c>
      <c r="B4" s="334">
        <v>173994.81091065609</v>
      </c>
      <c r="C4" s="334">
        <v>92350.927346476048</v>
      </c>
      <c r="D4" s="334">
        <v>71194.054481788626</v>
      </c>
      <c r="E4" s="334"/>
      <c r="F4" s="335">
        <f t="shared" si="0"/>
        <v>337539.79273892078</v>
      </c>
      <c r="G4" s="335">
        <v>18.75</v>
      </c>
      <c r="H4" s="340">
        <f>G4*10^4</f>
        <v>187500</v>
      </c>
      <c r="L4" s="331" t="s">
        <v>184</v>
      </c>
      <c r="M4" s="339">
        <f>B19*10000</f>
        <v>27809100</v>
      </c>
      <c r="S4" s="331" t="s">
        <v>185</v>
      </c>
      <c r="T4" s="331">
        <v>80</v>
      </c>
      <c r="W4" s="333" t="s">
        <v>186</v>
      </c>
      <c r="X4" s="331" t="s">
        <v>187</v>
      </c>
      <c r="AF4" s="331" t="s">
        <v>188</v>
      </c>
      <c r="AG4" s="331">
        <f>1700/365</f>
        <v>4.6575342465753424</v>
      </c>
      <c r="AH4" s="331" t="s">
        <v>189</v>
      </c>
    </row>
    <row r="5" spans="1:34" ht="16">
      <c r="A5" s="334">
        <v>214415.58927759767</v>
      </c>
      <c r="B5" s="334">
        <v>96536.304416776213</v>
      </c>
      <c r="C5" s="334">
        <v>68325.860121593869</v>
      </c>
      <c r="D5" s="334">
        <v>199985.61532998155</v>
      </c>
      <c r="E5" s="341">
        <v>113715.03607486906</v>
      </c>
      <c r="F5" s="335">
        <f t="shared" si="0"/>
        <v>364847.77986835164</v>
      </c>
      <c r="G5" s="335">
        <v>24.1</v>
      </c>
      <c r="M5" s="331" t="s">
        <v>190</v>
      </c>
      <c r="N5" s="331" t="s">
        <v>191</v>
      </c>
      <c r="O5" s="331" t="s">
        <v>192</v>
      </c>
      <c r="P5" s="331" t="s">
        <v>193</v>
      </c>
      <c r="S5" s="331" t="s">
        <v>194</v>
      </c>
      <c r="T5" s="331">
        <f>25400/T4-254</f>
        <v>63.5</v>
      </c>
      <c r="U5" s="331" t="s">
        <v>195</v>
      </c>
      <c r="W5" s="333" t="s">
        <v>196</v>
      </c>
      <c r="X5" s="331" t="s">
        <v>197</v>
      </c>
      <c r="Z5" s="331">
        <v>4.5</v>
      </c>
      <c r="AA5" s="331" t="s">
        <v>198</v>
      </c>
      <c r="AF5" s="331" t="s">
        <v>199</v>
      </c>
      <c r="AG5" s="331">
        <f>1950/365</f>
        <v>5.3424657534246576</v>
      </c>
      <c r="AH5" s="331" t="s">
        <v>189</v>
      </c>
    </row>
    <row r="6" spans="1:34" ht="16">
      <c r="A6" s="342" t="s">
        <v>200</v>
      </c>
      <c r="B6" s="342"/>
      <c r="C6" s="342"/>
      <c r="D6" s="342"/>
      <c r="E6" s="343"/>
      <c r="F6" s="335">
        <f>SUM(F2:F5)</f>
        <v>1852031.5275964742</v>
      </c>
      <c r="G6" s="335"/>
      <c r="M6" s="338" t="s">
        <v>201</v>
      </c>
      <c r="S6" s="331" t="s">
        <v>175</v>
      </c>
      <c r="T6" s="344">
        <f>([2]Runoff_Accuweather!G247-(0.3*'Water Balance Summary'!T5))^2/([2]Runoff_Accuweather!G247+(0.7*'Water Balance Summary'!T5))</f>
        <v>236.01991893045087</v>
      </c>
      <c r="U6" s="331" t="s">
        <v>195</v>
      </c>
      <c r="W6" s="333" t="s">
        <v>202</v>
      </c>
      <c r="X6" s="331" t="s">
        <v>187</v>
      </c>
      <c r="AF6" s="331" t="s">
        <v>203</v>
      </c>
    </row>
    <row r="7" spans="1:34" ht="16">
      <c r="A7" s="342"/>
      <c r="B7" s="342"/>
      <c r="C7" s="342"/>
      <c r="D7" s="342"/>
      <c r="E7" s="343"/>
      <c r="F7" s="342"/>
      <c r="G7" s="342"/>
      <c r="I7" s="345"/>
      <c r="J7" s="346"/>
      <c r="L7" s="347" t="s">
        <v>204</v>
      </c>
      <c r="M7" s="348">
        <f>[2]Runoff_Accuweather!G247/1000*M4</f>
        <v>8540174.6100000013</v>
      </c>
      <c r="N7" s="348">
        <f>M7</f>
        <v>8540174.6100000013</v>
      </c>
      <c r="O7" s="348">
        <f>M7</f>
        <v>8540174.6100000013</v>
      </c>
      <c r="P7" s="349">
        <f>'[2]Runoff_Rain Gauge_corrected'!G113/1000*M4</f>
        <v>7555732.4700000556</v>
      </c>
      <c r="R7" s="350"/>
      <c r="W7" s="333" t="s">
        <v>205</v>
      </c>
      <c r="X7" s="331" t="s">
        <v>206</v>
      </c>
      <c r="AG7" s="331">
        <v>3.79</v>
      </c>
      <c r="AH7" s="331" t="s">
        <v>189</v>
      </c>
    </row>
    <row r="8" spans="1:34" ht="16">
      <c r="A8" s="342"/>
      <c r="B8" s="342"/>
      <c r="C8" s="342"/>
      <c r="D8" s="342"/>
      <c r="E8" s="343"/>
      <c r="F8" s="342"/>
      <c r="G8" s="342"/>
      <c r="I8" s="351"/>
      <c r="J8" s="352"/>
      <c r="L8" s="331" t="s">
        <v>207</v>
      </c>
      <c r="M8" s="340">
        <f>[2]Runoff_Accuweather!G247/1000*M3</f>
        <v>8292135.2285450352</v>
      </c>
      <c r="N8" s="339">
        <f>M8</f>
        <v>8292135.2285450352</v>
      </c>
      <c r="O8" s="339">
        <f>M8</f>
        <v>8292135.2285450352</v>
      </c>
      <c r="P8" s="340">
        <f>'[2]Runoff_Rain Gauge_corrected'!G113/1000*'Water Balance Summary'!M3</f>
        <v>7336285.0589244626</v>
      </c>
      <c r="W8" s="333"/>
    </row>
    <row r="9" spans="1:34" ht="16">
      <c r="A9" s="342"/>
      <c r="B9" s="342"/>
      <c r="C9" s="342"/>
      <c r="D9" s="342"/>
      <c r="E9" s="343"/>
      <c r="F9" s="342"/>
      <c r="G9" s="342"/>
      <c r="L9" s="331" t="s">
        <v>208</v>
      </c>
      <c r="M9" s="340">
        <f>M7-M8</f>
        <v>248039.38145496603</v>
      </c>
      <c r="N9" s="340">
        <f>N7-N8</f>
        <v>248039.38145496603</v>
      </c>
      <c r="O9" s="340">
        <f>O7-O8</f>
        <v>248039.38145496603</v>
      </c>
      <c r="P9" s="340">
        <f>P7-P8</f>
        <v>219447.41107559297</v>
      </c>
      <c r="W9" s="333"/>
    </row>
    <row r="10" spans="1:34" ht="16">
      <c r="A10" s="342"/>
      <c r="B10" s="342"/>
      <c r="C10" s="342"/>
      <c r="D10" s="342"/>
      <c r="E10" s="343"/>
      <c r="F10" s="342"/>
      <c r="G10" s="342"/>
      <c r="L10" s="331" t="s">
        <v>209</v>
      </c>
      <c r="M10" s="340">
        <f>[2]Runoff_Accuweather!I247/1000*M3</f>
        <v>3335593.0749693331</v>
      </c>
      <c r="N10" s="340">
        <f>M10*1.25</f>
        <v>4169491.3437116663</v>
      </c>
      <c r="O10" s="340">
        <f>M10*0.75</f>
        <v>2501694.806227</v>
      </c>
      <c r="P10" s="340">
        <f>'[2]Runoff_Rain Gauge_corrected'!J113/1000*'Water Balance Summary'!M3</f>
        <v>2094229.9196547158</v>
      </c>
      <c r="W10" s="333"/>
    </row>
    <row r="11" spans="1:34" ht="16">
      <c r="A11" s="342"/>
      <c r="B11" s="342"/>
      <c r="C11" s="342"/>
      <c r="D11" s="342"/>
      <c r="E11" s="343"/>
      <c r="F11" s="342"/>
      <c r="G11" s="342"/>
      <c r="L11" s="331" t="s">
        <v>210</v>
      </c>
      <c r="M11" s="340">
        <f>SUM(M9:M10)</f>
        <v>3583632.4564242992</v>
      </c>
      <c r="N11" s="340">
        <f t="shared" ref="N11:P11" si="1">SUM(N9:N10)</f>
        <v>4417530.7251666319</v>
      </c>
      <c r="O11" s="340">
        <f t="shared" si="1"/>
        <v>2749734.187681966</v>
      </c>
      <c r="P11" s="340">
        <f t="shared" si="1"/>
        <v>2313677.3307303088</v>
      </c>
      <c r="Q11" s="331" t="s">
        <v>211</v>
      </c>
      <c r="W11" s="333"/>
    </row>
    <row r="12" spans="1:34" ht="16">
      <c r="A12" s="342"/>
      <c r="B12" s="342"/>
      <c r="C12" s="342"/>
      <c r="D12" s="342"/>
      <c r="E12" s="343"/>
      <c r="F12" s="342"/>
      <c r="G12" s="342"/>
      <c r="L12" s="331" t="s">
        <v>212</v>
      </c>
      <c r="M12" s="340">
        <f>M7-M10</f>
        <v>5204581.5350306686</v>
      </c>
      <c r="N12" s="340">
        <f t="shared" ref="N12:P12" si="2">N7-N10</f>
        <v>4370683.2662883345</v>
      </c>
      <c r="O12" s="340">
        <f t="shared" si="2"/>
        <v>6038479.8037730008</v>
      </c>
      <c r="P12" s="340">
        <f t="shared" si="2"/>
        <v>5461502.5503453398</v>
      </c>
      <c r="Q12" s="331" t="s">
        <v>213</v>
      </c>
      <c r="W12" s="333" t="s">
        <v>171</v>
      </c>
      <c r="X12" s="331" t="s">
        <v>172</v>
      </c>
    </row>
    <row r="13" spans="1:34">
      <c r="V13" s="353"/>
      <c r="W13" s="873" t="s">
        <v>214</v>
      </c>
      <c r="X13" s="873"/>
      <c r="Y13" s="873"/>
      <c r="Z13" s="874"/>
      <c r="AA13" s="873" t="s">
        <v>215</v>
      </c>
      <c r="AB13" s="873"/>
      <c r="AC13" s="873"/>
      <c r="AD13" s="873"/>
    </row>
    <row r="14" spans="1:34">
      <c r="B14" s="354" t="s">
        <v>216</v>
      </c>
      <c r="C14" s="354"/>
      <c r="D14" s="354"/>
      <c r="E14" s="354"/>
      <c r="F14" s="355"/>
      <c r="G14" s="355"/>
      <c r="V14" s="353"/>
      <c r="W14" s="356" t="s">
        <v>34</v>
      </c>
      <c r="X14" s="356" t="s">
        <v>35</v>
      </c>
      <c r="Y14" s="356" t="s">
        <v>43</v>
      </c>
      <c r="Z14" s="357" t="s">
        <v>63</v>
      </c>
      <c r="AA14" s="356" t="s">
        <v>34</v>
      </c>
      <c r="AB14" s="356" t="s">
        <v>35</v>
      </c>
      <c r="AC14" s="356" t="s">
        <v>43</v>
      </c>
      <c r="AD14" s="356" t="s">
        <v>63</v>
      </c>
    </row>
    <row r="15" spans="1:34" ht="31">
      <c r="A15" s="336"/>
      <c r="B15" s="358" t="s">
        <v>217</v>
      </c>
      <c r="C15" s="358" t="s">
        <v>218</v>
      </c>
      <c r="D15" s="358" t="s">
        <v>219</v>
      </c>
      <c r="E15" s="358" t="s">
        <v>220</v>
      </c>
      <c r="F15" s="359"/>
      <c r="G15" s="359"/>
      <c r="M15" s="331" t="s">
        <v>190</v>
      </c>
      <c r="N15" s="331" t="s">
        <v>191</v>
      </c>
      <c r="O15" s="331" t="s">
        <v>192</v>
      </c>
      <c r="V15" s="353" t="s">
        <v>221</v>
      </c>
      <c r="W15" s="360">
        <f>C16*10000</f>
        <v>10071900</v>
      </c>
      <c r="X15" s="360">
        <f>C17*10^4</f>
        <v>8307000</v>
      </c>
      <c r="Y15" s="360">
        <f>C18*10^4</f>
        <v>3872700</v>
      </c>
      <c r="Z15" s="361">
        <f>C19*10^4</f>
        <v>5970599.9999999991</v>
      </c>
      <c r="AA15" s="362">
        <f>W15</f>
        <v>10071900</v>
      </c>
      <c r="AB15" s="363">
        <f>X15+W17</f>
        <v>18532302.676659785</v>
      </c>
      <c r="AC15" s="363">
        <f>Y15+AB17</f>
        <v>22914868.678771678</v>
      </c>
      <c r="AD15" s="363">
        <f>Z15+AC17</f>
        <v>29029882.779078364</v>
      </c>
    </row>
    <row r="16" spans="1:34" ht="16">
      <c r="A16" s="353" t="s">
        <v>118</v>
      </c>
      <c r="B16" s="353">
        <v>1007.19</v>
      </c>
      <c r="C16" s="353">
        <v>1007.19</v>
      </c>
      <c r="D16" s="353">
        <v>578.20500000000004</v>
      </c>
      <c r="E16" s="353">
        <v>749.79899999999998</v>
      </c>
      <c r="F16" s="364"/>
      <c r="G16" s="364"/>
      <c r="L16" s="331" t="s">
        <v>222</v>
      </c>
      <c r="M16" s="340">
        <f>M7</f>
        <v>8540174.6100000013</v>
      </c>
      <c r="N16" s="340">
        <f t="shared" ref="N16:O16" si="3">N7</f>
        <v>8540174.6100000013</v>
      </c>
      <c r="O16" s="340">
        <f t="shared" si="3"/>
        <v>8540174.6100000013</v>
      </c>
      <c r="P16" s="340">
        <f>P7</f>
        <v>7555732.4700000556</v>
      </c>
      <c r="V16" s="353" t="s">
        <v>223</v>
      </c>
      <c r="W16" s="360">
        <f>D16*10^4</f>
        <v>5782050</v>
      </c>
      <c r="X16" s="360">
        <f>D17*10^4</f>
        <v>11450700</v>
      </c>
      <c r="Y16" s="360">
        <f>D18*10^4</f>
        <v>5018850</v>
      </c>
      <c r="Z16" s="361">
        <f>D19*10^4</f>
        <v>5970599.9999999991</v>
      </c>
      <c r="AA16" s="362">
        <f>W16</f>
        <v>5782050</v>
      </c>
      <c r="AB16" s="363">
        <f>W16+A2+X16</f>
        <v>17386152.676659785</v>
      </c>
      <c r="AC16" s="363">
        <f>AB16+A3+Y16</f>
        <v>22914868.678771678</v>
      </c>
      <c r="AD16" s="363">
        <f>AC16+A4+Z16</f>
        <v>29029882.779078364</v>
      </c>
    </row>
    <row r="17" spans="1:36">
      <c r="A17" s="353" t="s">
        <v>119</v>
      </c>
      <c r="B17" s="353">
        <v>1796.58</v>
      </c>
      <c r="C17" s="353">
        <v>830.7</v>
      </c>
      <c r="D17" s="353">
        <v>1145.07</v>
      </c>
      <c r="E17" s="353">
        <v>1019.322</v>
      </c>
      <c r="F17" s="364"/>
      <c r="G17" s="364"/>
      <c r="L17" s="331" t="s">
        <v>224</v>
      </c>
      <c r="M17" s="340">
        <f>M12+SUM($B$34:$E$34)</f>
        <v>5600413.5350306686</v>
      </c>
      <c r="N17" s="340">
        <f>N12+SUM($B$34:$E$34)</f>
        <v>4766515.2662883345</v>
      </c>
      <c r="O17" s="340">
        <f>O12+SUM($B$34:$E$34)</f>
        <v>6434311.8037730008</v>
      </c>
      <c r="P17" s="340">
        <f>P12+SUM($B$34:$E$34)</f>
        <v>5857334.5503453398</v>
      </c>
      <c r="V17" s="353" t="s">
        <v>225</v>
      </c>
      <c r="W17" s="365">
        <f>W15+A2</f>
        <v>10225302.676659785</v>
      </c>
      <c r="X17" s="365">
        <f>X15+A3</f>
        <v>8816866.0021118931</v>
      </c>
      <c r="Y17" s="365">
        <f>Y15+A4</f>
        <v>4017114.1003066851</v>
      </c>
      <c r="Z17" s="366">
        <f>Z15+A5</f>
        <v>6185015.5892775971</v>
      </c>
      <c r="AA17" s="362">
        <f>W17</f>
        <v>10225302.676659785</v>
      </c>
      <c r="AB17" s="362">
        <f>AB15+A3</f>
        <v>19042168.678771678</v>
      </c>
      <c r="AC17" s="362">
        <f>AC15+A4</f>
        <v>23059282.779078364</v>
      </c>
      <c r="AD17" s="362">
        <f>AD15+A5</f>
        <v>29244298.368355963</v>
      </c>
    </row>
    <row r="18" spans="1:36" ht="16">
      <c r="A18" s="353" t="s">
        <v>120</v>
      </c>
      <c r="B18" s="353">
        <v>2183.85</v>
      </c>
      <c r="C18" s="353">
        <v>387.27</v>
      </c>
      <c r="D18" s="353">
        <v>501.88499999999999</v>
      </c>
      <c r="E18" s="353">
        <v>456.03899999999999</v>
      </c>
      <c r="F18" s="364"/>
      <c r="G18" s="364"/>
      <c r="L18" s="331" t="s">
        <v>226</v>
      </c>
      <c r="M18" s="339">
        <f>$E$35+$E$5</f>
        <v>317809.03607486904</v>
      </c>
      <c r="N18" s="339">
        <f>$E$35+$E$5</f>
        <v>317809.03607486904</v>
      </c>
      <c r="O18" s="339">
        <f>$E$35+$E$5</f>
        <v>317809.03607486904</v>
      </c>
      <c r="P18" s="339">
        <f>$E$35+$E$5</f>
        <v>317809.03607486904</v>
      </c>
      <c r="V18" s="353"/>
      <c r="W18" s="356"/>
      <c r="X18" s="356"/>
      <c r="Y18" s="356"/>
      <c r="Z18" s="357"/>
      <c r="AA18" s="353"/>
      <c r="AB18" s="353"/>
      <c r="AC18" s="353"/>
      <c r="AD18" s="353"/>
    </row>
    <row r="19" spans="1:36" ht="16">
      <c r="A19" s="353" t="s">
        <v>121</v>
      </c>
      <c r="B19" s="353">
        <v>2780.91</v>
      </c>
      <c r="C19" s="353">
        <v>597.05999999999995</v>
      </c>
      <c r="D19" s="353">
        <v>597.05999999999995</v>
      </c>
      <c r="E19" s="353">
        <v>597.05999999999995</v>
      </c>
      <c r="F19" s="364"/>
      <c r="G19" s="364"/>
      <c r="L19" s="331" t="s">
        <v>227</v>
      </c>
      <c r="M19" s="340">
        <f>$E$29+$F$55</f>
        <v>995253.4</v>
      </c>
      <c r="N19" s="340">
        <f>$E$29+$F$55</f>
        <v>995253.4</v>
      </c>
      <c r="O19" s="340">
        <f>$E$29+$F$55</f>
        <v>995253.4</v>
      </c>
      <c r="P19" s="340">
        <f>$E$29+$F$55</f>
        <v>995253.4</v>
      </c>
      <c r="Q19" s="331" t="s">
        <v>228</v>
      </c>
      <c r="V19" s="353" t="s">
        <v>229</v>
      </c>
      <c r="W19" s="360">
        <f>'[2]Runoff_Rain Gauge_corrected'!$H$113/1000*'Water Balance Summary'!W17</f>
        <v>2778214.737248484</v>
      </c>
      <c r="X19" s="360">
        <f>'[2]Runoff_Rain Gauge_corrected'!$H$113/1000*'Water Balance Summary'!X17</f>
        <v>2395542.4927738188</v>
      </c>
      <c r="Y19" s="360">
        <f>'[2]Runoff_Rain Gauge_corrected'!$H$113/1000*'Water Balance Summary'!Y17</f>
        <v>1091449.9010533344</v>
      </c>
      <c r="Z19" s="361">
        <f>'[2]Runoff_Rain Gauge_corrected'!$H$113/1000*'Water Balance Summary'!Z17</f>
        <v>1680468.7356067356</v>
      </c>
      <c r="AA19" s="363">
        <f>'[2]Runoff_Rain Gauge_corrected'!$H$113/1000*'Water Balance Summary'!AA17</f>
        <v>2778214.737248484</v>
      </c>
      <c r="AB19" s="363">
        <f>'[2]Runoff_Rain Gauge_corrected'!$H$113/1000*'Water Balance Summary'!AB17</f>
        <v>5173757.2300223028</v>
      </c>
      <c r="AC19" s="363">
        <f>'[2]Runoff_Rain Gauge_corrected'!$H$113/1000*'Water Balance Summary'!AC17</f>
        <v>6265207.1310756374</v>
      </c>
      <c r="AD19" s="363">
        <f>'[2]Runoff_Rain Gauge_corrected'!$H$113/1000*'Water Balance Summary'!AD17</f>
        <v>7945675.8666823739</v>
      </c>
    </row>
    <row r="20" spans="1:36" ht="16">
      <c r="L20" s="331" t="s">
        <v>230</v>
      </c>
      <c r="M20" s="340">
        <f>E29</f>
        <v>47409.4</v>
      </c>
      <c r="N20" s="340">
        <f>M20</f>
        <v>47409.4</v>
      </c>
      <c r="O20" s="340">
        <f>N20</f>
        <v>47409.4</v>
      </c>
      <c r="P20" s="340">
        <f>O20</f>
        <v>47409.4</v>
      </c>
      <c r="Q20" s="331" t="s">
        <v>231</v>
      </c>
      <c r="V20" s="353" t="s">
        <v>232</v>
      </c>
      <c r="W20" s="360">
        <f>'[2]Runoff_Rain Gauge_corrected'!$H$113/1000*'Water Balance Summary'!W15</f>
        <v>2736535.23000002</v>
      </c>
      <c r="X20" s="360">
        <f>'[2]Runoff_Rain Gauge_corrected'!$H$113/1000*'Water Balance Summary'!X15</f>
        <v>2257011.9000000167</v>
      </c>
      <c r="Y20" s="360">
        <f>'[2]Runoff_Rain Gauge_corrected'!$H$113/1000*'Water Balance Summary'!Y15</f>
        <v>1052212.5900000078</v>
      </c>
      <c r="Z20" s="361">
        <f>'[2]Runoff_Rain Gauge_corrected'!$H$113/1000*'Water Balance Summary'!Z15</f>
        <v>1622212.0200000117</v>
      </c>
      <c r="AA20" s="363">
        <f>'[2]Runoff_Rain Gauge_corrected'!$H$113/1000*'Water Balance Summary'!AA15</f>
        <v>2736535.23000002</v>
      </c>
      <c r="AB20" s="363">
        <f>'[2]Runoff_Rain Gauge_corrected'!$H$113/1000*'Water Balance Summary'!AB15</f>
        <v>5035226.6372485003</v>
      </c>
      <c r="AC20" s="363">
        <f>'[2]Runoff_Rain Gauge_corrected'!$H$113/1000*'Water Balance Summary'!AC15</f>
        <v>6225969.8200223111</v>
      </c>
      <c r="AD20" s="363">
        <f>'[2]Runoff_Rain Gauge_corrected'!$H$113/1000*'Water Balance Summary'!AD15</f>
        <v>7887419.1510756491</v>
      </c>
      <c r="AE20" s="331" t="s">
        <v>233</v>
      </c>
      <c r="AF20" s="331" t="s">
        <v>234</v>
      </c>
      <c r="AG20" s="331" t="s">
        <v>235</v>
      </c>
      <c r="AH20" s="331" t="s">
        <v>236</v>
      </c>
      <c r="AI20" s="331" t="s">
        <v>237</v>
      </c>
      <c r="AJ20" s="331" t="s">
        <v>238</v>
      </c>
    </row>
    <row r="21" spans="1:36" ht="16">
      <c r="B21" s="331">
        <f>A5/10000</f>
        <v>21.441558927759768</v>
      </c>
      <c r="U21" s="367">
        <f>W22/W20</f>
        <v>0.28546190651454062</v>
      </c>
      <c r="V21" s="353" t="s">
        <v>239</v>
      </c>
      <c r="W21" s="365">
        <f t="shared" ref="W21:AD21" si="4">W19-W20</f>
        <v>41679.50724846404</v>
      </c>
      <c r="X21" s="365">
        <f t="shared" si="4"/>
        <v>138530.59277380211</v>
      </c>
      <c r="Y21" s="365">
        <f t="shared" si="4"/>
        <v>39237.311053326586</v>
      </c>
      <c r="Z21" s="366">
        <f t="shared" si="4"/>
        <v>58256.715606723912</v>
      </c>
      <c r="AA21" s="363">
        <f t="shared" si="4"/>
        <v>41679.50724846404</v>
      </c>
      <c r="AB21" s="363">
        <f t="shared" si="4"/>
        <v>138530.59277380258</v>
      </c>
      <c r="AC21" s="363">
        <f t="shared" si="4"/>
        <v>39237.311053326353</v>
      </c>
      <c r="AD21" s="363">
        <f t="shared" si="4"/>
        <v>58256.715606724843</v>
      </c>
      <c r="AE21" s="367">
        <f>X22/X20</f>
        <v>0.28546190651454062</v>
      </c>
      <c r="AF21" s="367">
        <f>Y22/Y20</f>
        <v>0.28546190651454062</v>
      </c>
      <c r="AG21" s="367">
        <f>Z22/Z19</f>
        <v>0.27556581457780699</v>
      </c>
      <c r="AH21" s="367">
        <f>AB22/AB20</f>
        <v>0.28309897184269939</v>
      </c>
      <c r="AI21" s="367">
        <f t="shared" ref="AI21:AJ21" si="5">AC22/AC20</f>
        <v>0.27719923897636933</v>
      </c>
      <c r="AJ21" s="367">
        <f t="shared" si="5"/>
        <v>0.27751965377692922</v>
      </c>
    </row>
    <row r="22" spans="1:36" ht="16">
      <c r="L22" s="331" t="s">
        <v>240</v>
      </c>
      <c r="U22" s="367">
        <f>W23/W20</f>
        <v>8.1982500185096591E-2</v>
      </c>
      <c r="V22" s="368" t="s">
        <v>241</v>
      </c>
      <c r="W22" s="369">
        <f>'[2]Runoff_Rain Gauge_corrected'!$J$113/1000*'Water Balance Summary'!W15</f>
        <v>781176.56400001259</v>
      </c>
      <c r="X22" s="369">
        <f>'[2]Runoff_Rain Gauge_corrected'!$J$113/1000*'Water Balance Summary'!X15</f>
        <v>644290.9200000104</v>
      </c>
      <c r="Y22" s="369">
        <f>'[2]Runoff_Rain Gauge_corrected'!$J$113/1000*'Water Balance Summary'!Y15</f>
        <v>300366.61200000485</v>
      </c>
      <c r="Z22" s="370">
        <f>'[2]Runoff_Rain Gauge_corrected'!$J$113/1000*'Water Balance Summary'!Z15</f>
        <v>463079.73600000743</v>
      </c>
      <c r="AA22" s="371">
        <f t="shared" ref="AA22:AD32" si="6">W22</f>
        <v>781176.56400001259</v>
      </c>
      <c r="AB22" s="371">
        <f>SUM(W22:X22)</f>
        <v>1425467.484000023</v>
      </c>
      <c r="AC22" s="371">
        <f>SUM(W22:Y22)</f>
        <v>1725834.0960000278</v>
      </c>
      <c r="AD22" s="371">
        <f>SUM(W22:Z22)</f>
        <v>2188913.8320000353</v>
      </c>
      <c r="AE22" s="367">
        <f>X23/X20</f>
        <v>0.22486057782858665</v>
      </c>
      <c r="AF22" s="367">
        <f>Y23/Y20</f>
        <v>0.28045663281789646</v>
      </c>
      <c r="AG22" s="367">
        <f>Z23/Z20</f>
        <v>0.11727813482728271</v>
      </c>
      <c r="AH22" s="367">
        <f>AB23/AB20</f>
        <v>0.1453481745163164</v>
      </c>
      <c r="AI22" s="367">
        <f t="shared" ref="AI22:AJ22" si="7">AC23/AC20</f>
        <v>0.1649479566536543</v>
      </c>
      <c r="AJ22" s="367">
        <f t="shared" si="7"/>
        <v>0.15432310324651663</v>
      </c>
    </row>
    <row r="23" spans="1:36" ht="16">
      <c r="A23" s="331" t="s">
        <v>242</v>
      </c>
      <c r="C23" s="331" t="s">
        <v>243</v>
      </c>
      <c r="E23" s="331" t="s">
        <v>230</v>
      </c>
      <c r="L23" s="331" t="s">
        <v>244</v>
      </c>
      <c r="V23" s="368" t="s">
        <v>245</v>
      </c>
      <c r="W23" s="369">
        <f>C67</f>
        <v>224348</v>
      </c>
      <c r="X23" s="369">
        <f>D67</f>
        <v>507513</v>
      </c>
      <c r="Y23" s="369">
        <f>E67</f>
        <v>295100</v>
      </c>
      <c r="Z23" s="369">
        <f>F67</f>
        <v>190250</v>
      </c>
      <c r="AA23" s="371">
        <f t="shared" si="6"/>
        <v>224348</v>
      </c>
      <c r="AB23" s="371">
        <f>SUM(W23:X23)</f>
        <v>731861</v>
      </c>
      <c r="AC23" s="371">
        <f>SUM(W23:Y23)</f>
        <v>1026961</v>
      </c>
      <c r="AD23" s="371">
        <f>SUM(W23:Z23)</f>
        <v>1217211</v>
      </c>
      <c r="AE23" s="367"/>
      <c r="AF23" s="367"/>
      <c r="AG23" s="367"/>
      <c r="AH23" s="367"/>
      <c r="AI23" s="367"/>
      <c r="AJ23" s="367"/>
    </row>
    <row r="24" spans="1:36" ht="16">
      <c r="L24" s="331" t="s">
        <v>246</v>
      </c>
      <c r="M24" s="340">
        <f>M16</f>
        <v>8540174.6100000013</v>
      </c>
      <c r="N24" s="340">
        <f>N16</f>
        <v>8540174.6100000013</v>
      </c>
      <c r="O24" s="340">
        <f>O16</f>
        <v>8540174.6100000013</v>
      </c>
      <c r="P24" s="340">
        <f>P16</f>
        <v>7555732.4700000556</v>
      </c>
      <c r="U24" s="340">
        <f>W21*0.17</f>
        <v>7085.5162322388878</v>
      </c>
      <c r="V24" s="368" t="s">
        <v>247</v>
      </c>
      <c r="W24" s="369">
        <f>'[2]Runoff_Rain Gauge_corrected'!$J$113/1000*'Water Balance Summary'!W16</f>
        <v>448455.79800000723</v>
      </c>
      <c r="X24" s="369">
        <f>'[2]Runoff_Rain Gauge_corrected'!$J$113/1000*'Water Balance Summary'!X16</f>
        <v>888116.29200001433</v>
      </c>
      <c r="Y24" s="369">
        <f>'[2]Runoff_Rain Gauge_corrected'!$J$113/1000*'Water Balance Summary'!Y16</f>
        <v>389262.00600000628</v>
      </c>
      <c r="Z24" s="369">
        <f>'[2]Runoff_Rain Gauge_corrected'!$J$113/1000*'Water Balance Summary'!Z16</f>
        <v>463079.73600000743</v>
      </c>
      <c r="AA24" s="371"/>
      <c r="AB24" s="371"/>
      <c r="AC24" s="371"/>
      <c r="AD24" s="371"/>
    </row>
    <row r="25" spans="1:36" ht="16">
      <c r="A25" s="331" t="s">
        <v>248</v>
      </c>
      <c r="B25" s="331">
        <v>8821.7000000000007</v>
      </c>
      <c r="C25" s="331">
        <v>1600</v>
      </c>
      <c r="E25" s="331">
        <f>B25-C25</f>
        <v>7221.7000000000007</v>
      </c>
      <c r="L25" s="331" t="s">
        <v>249</v>
      </c>
      <c r="M25" s="340">
        <f>M17+M18+M19</f>
        <v>6913475.9711055383</v>
      </c>
      <c r="N25" s="340">
        <f>N17+N18+N19</f>
        <v>6079577.7023632042</v>
      </c>
      <c r="O25" s="340">
        <f>O17+O18+O19</f>
        <v>7747374.2398478705</v>
      </c>
      <c r="P25" s="340">
        <f>P17+P18+P19</f>
        <v>7170396.9864202095</v>
      </c>
      <c r="V25" s="368" t="s">
        <v>247</v>
      </c>
      <c r="W25" s="369"/>
      <c r="X25" s="369"/>
      <c r="Y25" s="369"/>
      <c r="Z25" s="369"/>
      <c r="AA25" s="371"/>
      <c r="AB25" s="371"/>
      <c r="AC25" s="371"/>
      <c r="AD25" s="371"/>
    </row>
    <row r="26" spans="1:36" ht="16">
      <c r="A26" s="331" t="s">
        <v>35</v>
      </c>
      <c r="B26" s="331">
        <v>7262.5</v>
      </c>
      <c r="C26" s="331">
        <v>0</v>
      </c>
      <c r="E26" s="331">
        <f>B26-C26</f>
        <v>7262.5</v>
      </c>
      <c r="L26" s="331" t="s">
        <v>250</v>
      </c>
      <c r="M26" s="340">
        <f>M24-M25</f>
        <v>1626698.638894463</v>
      </c>
      <c r="N26" s="340">
        <f t="shared" ref="N26:P26" si="8">N24-N25</f>
        <v>2460596.9076367971</v>
      </c>
      <c r="O26" s="340">
        <f t="shared" si="8"/>
        <v>792800.37015213072</v>
      </c>
      <c r="P26" s="340">
        <f t="shared" si="8"/>
        <v>385335.4835798461</v>
      </c>
      <c r="V26" s="372" t="s">
        <v>251</v>
      </c>
      <c r="W26" s="373">
        <f>1</f>
        <v>1</v>
      </c>
      <c r="X26" s="374">
        <f>G2/X15*10^4</f>
        <v>3.2298061875526661E-2</v>
      </c>
      <c r="Y26" s="375">
        <f>G3/Y15*10^4</f>
        <v>0.11609471428202546</v>
      </c>
      <c r="Z26" s="375">
        <f>G5/Z15*10^4</f>
        <v>4.0364452483837479E-2</v>
      </c>
      <c r="AA26" s="376"/>
      <c r="AB26" s="376"/>
      <c r="AC26" s="376"/>
      <c r="AD26" s="376"/>
    </row>
    <row r="27" spans="1:36" ht="16">
      <c r="A27" s="331" t="s">
        <v>43</v>
      </c>
      <c r="B27" s="331">
        <v>25741.599999999999</v>
      </c>
      <c r="C27" s="331">
        <v>0</v>
      </c>
      <c r="E27" s="331">
        <f>B27-C27</f>
        <v>25741.599999999999</v>
      </c>
      <c r="V27" s="353" t="s">
        <v>252</v>
      </c>
      <c r="W27" s="360">
        <f>B35</f>
        <v>150071</v>
      </c>
      <c r="X27" s="360">
        <f>C35</f>
        <v>144513</v>
      </c>
      <c r="Y27" s="360">
        <f>D35</f>
        <v>71342</v>
      </c>
      <c r="Z27" s="360">
        <f>E35+E5</f>
        <v>317809.03607486904</v>
      </c>
      <c r="AA27" s="362">
        <f t="shared" si="6"/>
        <v>150071</v>
      </c>
      <c r="AB27" s="362">
        <f t="shared" si="6"/>
        <v>144513</v>
      </c>
      <c r="AC27" s="362">
        <f t="shared" si="6"/>
        <v>71342</v>
      </c>
      <c r="AD27" s="362">
        <f t="shared" si="6"/>
        <v>317809.03607486904</v>
      </c>
    </row>
    <row r="28" spans="1:36" ht="16">
      <c r="A28" s="331" t="s">
        <v>63</v>
      </c>
      <c r="B28" s="331">
        <v>7183.6</v>
      </c>
      <c r="C28" s="331">
        <v>0</v>
      </c>
      <c r="E28" s="331">
        <f>B28-C28</f>
        <v>7183.6</v>
      </c>
      <c r="L28" s="331" t="s">
        <v>253</v>
      </c>
      <c r="V28" s="353" t="s">
        <v>254</v>
      </c>
      <c r="W28" s="363">
        <f>B55</f>
        <v>94830</v>
      </c>
      <c r="X28" s="363">
        <f>C55</f>
        <v>510922</v>
      </c>
      <c r="Y28" s="363">
        <f>D55</f>
        <v>176316</v>
      </c>
      <c r="Z28" s="363">
        <f>E55</f>
        <v>165776</v>
      </c>
      <c r="AA28" s="362">
        <f t="shared" si="6"/>
        <v>94830</v>
      </c>
      <c r="AB28" s="362">
        <f>SUM(W28:X28)</f>
        <v>605752</v>
      </c>
      <c r="AC28" s="362">
        <f>SUM(W28:Y28)</f>
        <v>782068</v>
      </c>
      <c r="AD28" s="362">
        <f>SUM(W28:Z28)</f>
        <v>947844</v>
      </c>
    </row>
    <row r="29" spans="1:36" ht="16">
      <c r="A29" s="331" t="s">
        <v>200</v>
      </c>
      <c r="B29" s="339">
        <f>SUM(B25:B28)</f>
        <v>49009.4</v>
      </c>
      <c r="C29" s="339">
        <f>SUM(C25:C28)</f>
        <v>1600</v>
      </c>
      <c r="E29" s="339">
        <f>SUM(E25:E28)</f>
        <v>47409.4</v>
      </c>
      <c r="L29" s="331" t="s">
        <v>255</v>
      </c>
      <c r="P29" s="331" t="s">
        <v>256</v>
      </c>
      <c r="V29" s="353" t="s">
        <v>257</v>
      </c>
      <c r="W29" s="362">
        <f>W20*0.17</f>
        <v>465210.98910000344</v>
      </c>
      <c r="X29" s="362">
        <f>X20*0.17</f>
        <v>383692.02300000284</v>
      </c>
      <c r="Y29" s="362">
        <f>Y20*0.17</f>
        <v>178876.14030000134</v>
      </c>
      <c r="Z29" s="362">
        <f>Z20*0.17</f>
        <v>275776.043400002</v>
      </c>
      <c r="AA29" s="362">
        <f>W29</f>
        <v>465210.98910000344</v>
      </c>
      <c r="AB29" s="362">
        <f>SUM(W29:X29)</f>
        <v>848903.01210000622</v>
      </c>
      <c r="AC29" s="362">
        <f>SUM(W29:Y29)</f>
        <v>1027779.1524000076</v>
      </c>
      <c r="AD29" s="362">
        <f>SUM(W29:Z29)</f>
        <v>1303555.1958000096</v>
      </c>
    </row>
    <row r="30" spans="1:36">
      <c r="P30" s="331" t="s">
        <v>139</v>
      </c>
      <c r="Q30" s="331" t="s">
        <v>258</v>
      </c>
      <c r="R30" s="331" t="s">
        <v>259</v>
      </c>
      <c r="V30" s="353" t="s">
        <v>260</v>
      </c>
      <c r="W30" s="362">
        <f t="shared" ref="W30:AD30" si="9">SUM(W28:W29)</f>
        <v>560040.98910000338</v>
      </c>
      <c r="X30" s="362">
        <f t="shared" si="9"/>
        <v>894614.02300000284</v>
      </c>
      <c r="Y30" s="362">
        <f t="shared" si="9"/>
        <v>355192.14030000137</v>
      </c>
      <c r="Z30" s="362">
        <f t="shared" si="9"/>
        <v>441552.043400002</v>
      </c>
      <c r="AA30" s="362">
        <f t="shared" si="9"/>
        <v>560040.98910000338</v>
      </c>
      <c r="AB30" s="362">
        <f t="shared" si="9"/>
        <v>1454655.0121000062</v>
      </c>
      <c r="AC30" s="362">
        <f t="shared" si="9"/>
        <v>1809847.1524000075</v>
      </c>
      <c r="AD30" s="362">
        <f t="shared" si="9"/>
        <v>2251399.1958000096</v>
      </c>
    </row>
    <row r="31" spans="1:36" ht="16">
      <c r="A31" s="875" t="s">
        <v>261</v>
      </c>
      <c r="B31" s="876"/>
      <c r="C31" s="876"/>
      <c r="D31" s="876"/>
      <c r="E31" s="877"/>
      <c r="L31" s="331" t="s">
        <v>262</v>
      </c>
      <c r="M31" s="340">
        <f>M9</f>
        <v>248039.38145496603</v>
      </c>
      <c r="N31" s="340">
        <f t="shared" ref="N31:P32" si="10">N9</f>
        <v>248039.38145496603</v>
      </c>
      <c r="O31" s="340">
        <f t="shared" si="10"/>
        <v>248039.38145496603</v>
      </c>
      <c r="P31" s="340">
        <f t="shared" si="10"/>
        <v>219447.41107559297</v>
      </c>
      <c r="Q31" s="340">
        <f>P31</f>
        <v>219447.41107559297</v>
      </c>
      <c r="R31" s="340">
        <f>Q31</f>
        <v>219447.41107559297</v>
      </c>
      <c r="V31" s="353" t="s">
        <v>263</v>
      </c>
      <c r="W31" s="363">
        <f>B56</f>
        <v>71204</v>
      </c>
      <c r="X31" s="363">
        <f>C56</f>
        <v>168956</v>
      </c>
      <c r="Y31" s="363">
        <f>D56</f>
        <v>72183</v>
      </c>
      <c r="Z31" s="363">
        <f>E56</f>
        <v>83489</v>
      </c>
      <c r="AA31" s="362">
        <f t="shared" si="6"/>
        <v>71204</v>
      </c>
      <c r="AB31" s="362">
        <f>SUM(W31:X31)</f>
        <v>240160</v>
      </c>
      <c r="AC31" s="362">
        <f>SUM(W31:Y31)</f>
        <v>312343</v>
      </c>
      <c r="AD31" s="362">
        <f>SUM(W31:Z31)</f>
        <v>395832</v>
      </c>
    </row>
    <row r="32" spans="1:36" ht="16">
      <c r="A32" s="377"/>
      <c r="B32" s="378" t="s">
        <v>264</v>
      </c>
      <c r="C32" s="378" t="s">
        <v>265</v>
      </c>
      <c r="D32" s="378" t="s">
        <v>266</v>
      </c>
      <c r="E32" s="378" t="s">
        <v>267</v>
      </c>
      <c r="L32" s="331" t="s">
        <v>268</v>
      </c>
      <c r="M32" s="340">
        <f>M10</f>
        <v>3335593.0749693331</v>
      </c>
      <c r="N32" s="340">
        <f t="shared" si="10"/>
        <v>4169491.3437116663</v>
      </c>
      <c r="O32" s="340">
        <f t="shared" si="10"/>
        <v>2501694.806227</v>
      </c>
      <c r="P32" s="340">
        <f t="shared" si="10"/>
        <v>2094229.9196547158</v>
      </c>
      <c r="Q32" s="340">
        <f>P32*0.75</f>
        <v>1570672.4397410369</v>
      </c>
      <c r="R32" s="340">
        <f>AVERAGE(P32:Q32)</f>
        <v>1832451.1796978763</v>
      </c>
      <c r="V32" s="379" t="s">
        <v>269</v>
      </c>
      <c r="W32" s="363">
        <f>E25</f>
        <v>7221.7000000000007</v>
      </c>
      <c r="X32" s="363">
        <f>E26</f>
        <v>7262.5</v>
      </c>
      <c r="Y32" s="363">
        <f>B27</f>
        <v>25741.599999999999</v>
      </c>
      <c r="Z32" s="380">
        <f>B28</f>
        <v>7183.6</v>
      </c>
      <c r="AA32" s="362">
        <f t="shared" si="6"/>
        <v>7221.7000000000007</v>
      </c>
      <c r="AB32" s="362">
        <f>SUM(W32:X32)</f>
        <v>14484.2</v>
      </c>
      <c r="AC32" s="362">
        <f>SUM(W32:Y32)</f>
        <v>40225.800000000003</v>
      </c>
      <c r="AD32" s="362">
        <f>SUM(W32:Z32)</f>
        <v>47409.4</v>
      </c>
    </row>
    <row r="33" spans="1:95" ht="14" customHeight="1">
      <c r="A33" s="381" t="s">
        <v>47</v>
      </c>
      <c r="B33" s="382">
        <f>97668+B48</f>
        <v>100433</v>
      </c>
      <c r="C33" s="382">
        <f>437616+C48</f>
        <v>446160</v>
      </c>
      <c r="D33" s="382">
        <f>183082+D48</f>
        <v>185450</v>
      </c>
      <c r="E33" s="382">
        <f>67129+E48</f>
        <v>70536</v>
      </c>
      <c r="F33" s="383">
        <f>SUM(B33:E33)</f>
        <v>802579</v>
      </c>
      <c r="G33" s="383"/>
      <c r="L33" s="331" t="s">
        <v>263</v>
      </c>
      <c r="M33" s="339">
        <f>SUM(B34:E34)</f>
        <v>395832</v>
      </c>
      <c r="N33" s="339">
        <f>M33</f>
        <v>395832</v>
      </c>
      <c r="O33" s="339">
        <f>N33</f>
        <v>395832</v>
      </c>
      <c r="P33" s="339">
        <f>O33</f>
        <v>395832</v>
      </c>
      <c r="Q33" s="340">
        <f>P33</f>
        <v>395832</v>
      </c>
      <c r="R33" s="340">
        <f t="shared" ref="R33:R38" si="11">Q33</f>
        <v>395832</v>
      </c>
      <c r="V33" s="353" t="s">
        <v>270</v>
      </c>
      <c r="W33" s="362">
        <f>$AG$7/1000*W15*89</f>
        <v>3397352.5889999997</v>
      </c>
      <c r="X33" s="362">
        <f>$AG$7/1000*X15*89</f>
        <v>2802034.17</v>
      </c>
      <c r="Y33" s="362">
        <f>$AG$7/1000*Y15*89</f>
        <v>1306300.4369999999</v>
      </c>
      <c r="Z33" s="362">
        <f>$AG$7/1000*Z15*89</f>
        <v>2013943.0859999997</v>
      </c>
      <c r="AA33" s="362">
        <f>W33</f>
        <v>3397352.5889999997</v>
      </c>
      <c r="AB33" s="362">
        <f>$AG$7/1000*(AB15-A2)*89</f>
        <v>6199386.7590000005</v>
      </c>
      <c r="AC33" s="362">
        <f>$AG$7/1000*(AC15-A2-A3)*89</f>
        <v>7505687.1959999995</v>
      </c>
      <c r="AD33" s="362">
        <f>$AG$7/1000*(AD15-SUM(A2:A4))*89</f>
        <v>9519630.2819999997</v>
      </c>
      <c r="BP33" s="384"/>
      <c r="BQ33" s="385"/>
      <c r="BR33" s="385"/>
      <c r="BS33" s="385"/>
      <c r="BT33" s="385"/>
      <c r="BX33" s="386"/>
    </row>
    <row r="34" spans="1:95" ht="39" customHeight="1">
      <c r="A34" s="381" t="s">
        <v>271</v>
      </c>
      <c r="B34" s="382">
        <f>68957+B49</f>
        <v>71204</v>
      </c>
      <c r="C34" s="382">
        <f>168656+C49</f>
        <v>168956</v>
      </c>
      <c r="D34" s="382">
        <f>71783+D49</f>
        <v>72183</v>
      </c>
      <c r="E34" s="382">
        <f>81029+E49</f>
        <v>83489</v>
      </c>
      <c r="F34" s="383">
        <f>SUM(B34:E34)</f>
        <v>395832</v>
      </c>
      <c r="G34" s="383"/>
      <c r="L34" s="331" t="s">
        <v>272</v>
      </c>
      <c r="M34" s="339">
        <f>$F$55</f>
        <v>947844</v>
      </c>
      <c r="N34" s="339">
        <f>$F$55</f>
        <v>947844</v>
      </c>
      <c r="O34" s="339">
        <f>$F$55</f>
        <v>947844</v>
      </c>
      <c r="P34" s="340">
        <f>$F$55</f>
        <v>947844</v>
      </c>
      <c r="Q34" s="340">
        <f>P34</f>
        <v>947844</v>
      </c>
      <c r="R34" s="340">
        <f t="shared" si="11"/>
        <v>947844</v>
      </c>
      <c r="V34" s="387" t="s">
        <v>273</v>
      </c>
      <c r="W34" s="388">
        <f>W19-W27-W29-W28-W31-W32</f>
        <v>1989677.0481484805</v>
      </c>
      <c r="X34" s="388">
        <f>X19-X27-X29-X28-X31-X32</f>
        <v>1180196.9697738159</v>
      </c>
      <c r="Y34" s="388">
        <f>Y19-Y27-Y29-Y28-Y31-Y32</f>
        <v>566991.16075333301</v>
      </c>
      <c r="Z34" s="388">
        <f>Z19-Z27-Z29-Z28-Z31-Z32</f>
        <v>830435.05613186455</v>
      </c>
      <c r="AA34" s="388">
        <f>W34</f>
        <v>1989677.0481484805</v>
      </c>
      <c r="AB34" s="388">
        <f>SUM(W34:X34)</f>
        <v>3169874.0179222962</v>
      </c>
      <c r="AC34" s="388">
        <f>SUM(W34:Y34)</f>
        <v>3736865.1786756292</v>
      </c>
      <c r="AD34" s="388">
        <f>SUM(W34:Z34)</f>
        <v>4567300.2348074941</v>
      </c>
      <c r="BU34" s="878"/>
      <c r="BV34" s="878"/>
      <c r="BW34" s="878"/>
    </row>
    <row r="35" spans="1:95" ht="31">
      <c r="A35" s="381" t="s">
        <v>164</v>
      </c>
      <c r="B35" s="382">
        <f>146457+B50</f>
        <v>150071</v>
      </c>
      <c r="C35" s="382">
        <f>141664+C50</f>
        <v>144513</v>
      </c>
      <c r="D35" s="382">
        <f>70381+D50</f>
        <v>71342</v>
      </c>
      <c r="E35" s="382">
        <f>199986+E50</f>
        <v>204094</v>
      </c>
      <c r="L35" s="331" t="s">
        <v>274</v>
      </c>
      <c r="M35" s="339">
        <f>SUM(B35:D35)</f>
        <v>365926</v>
      </c>
      <c r="N35" s="340">
        <f>M35</f>
        <v>365926</v>
      </c>
      <c r="O35" s="340">
        <f>M35</f>
        <v>365926</v>
      </c>
      <c r="P35" s="340">
        <f>N35</f>
        <v>365926</v>
      </c>
      <c r="Q35" s="340">
        <f>P35</f>
        <v>365926</v>
      </c>
      <c r="R35" s="340">
        <f t="shared" si="11"/>
        <v>365926</v>
      </c>
      <c r="V35" s="389"/>
      <c r="W35" s="390"/>
      <c r="X35" s="390"/>
      <c r="Y35" s="390"/>
      <c r="Z35" s="390"/>
      <c r="AA35" s="390"/>
      <c r="AB35" s="390"/>
      <c r="AC35" s="390"/>
      <c r="AD35" s="390"/>
      <c r="BP35" s="391" t="s">
        <v>275</v>
      </c>
      <c r="BQ35" s="356" t="s">
        <v>271</v>
      </c>
      <c r="BR35" s="391" t="s">
        <v>276</v>
      </c>
      <c r="BS35" s="356" t="s">
        <v>164</v>
      </c>
      <c r="BT35" s="391" t="s">
        <v>277</v>
      </c>
      <c r="BU35" s="392" t="s">
        <v>47</v>
      </c>
      <c r="BV35" s="391" t="s">
        <v>276</v>
      </c>
      <c r="BW35" s="356" t="s">
        <v>278</v>
      </c>
      <c r="BX35" s="391" t="s">
        <v>276</v>
      </c>
      <c r="BY35" s="391" t="s">
        <v>166</v>
      </c>
      <c r="BZ35" s="393"/>
    </row>
    <row r="36" spans="1:95" ht="16">
      <c r="B36" s="383">
        <f>SUM(B33:B35)</f>
        <v>321708</v>
      </c>
      <c r="C36" s="383">
        <f>SUM(C33:C35)</f>
        <v>759629</v>
      </c>
      <c r="D36" s="383">
        <f>SUM(D33:D35)</f>
        <v>328975</v>
      </c>
      <c r="E36" s="383">
        <f>SUM(E33:E35)</f>
        <v>358119</v>
      </c>
      <c r="L36" s="331" t="s">
        <v>252</v>
      </c>
      <c r="M36" s="340">
        <f>M18</f>
        <v>317809.03607486904</v>
      </c>
      <c r="N36" s="340">
        <f t="shared" ref="N36:P36" si="12">N18</f>
        <v>317809.03607486904</v>
      </c>
      <c r="O36" s="340">
        <f t="shared" si="12"/>
        <v>317809.03607486904</v>
      </c>
      <c r="P36" s="340">
        <f t="shared" si="12"/>
        <v>317809.03607486904</v>
      </c>
      <c r="Q36" s="340">
        <f>P36</f>
        <v>317809.03607486904</v>
      </c>
      <c r="R36" s="340">
        <f t="shared" si="11"/>
        <v>317809.03607486904</v>
      </c>
      <c r="V36" s="364"/>
      <c r="W36" s="364"/>
      <c r="Z36" s="383"/>
      <c r="BP36" s="356">
        <v>1</v>
      </c>
      <c r="BQ36" s="394">
        <v>57056</v>
      </c>
      <c r="BR36" s="395">
        <f>BQ36/BY36</f>
        <v>0.19023739663910377</v>
      </c>
      <c r="BS36" s="394">
        <v>147543</v>
      </c>
      <c r="BT36" s="395">
        <f>BS36/BY36</f>
        <v>0.49194118431581757</v>
      </c>
      <c r="BU36" s="394">
        <v>86695</v>
      </c>
      <c r="BV36" s="395">
        <f>BU36/BY36</f>
        <v>0.28906041611096295</v>
      </c>
      <c r="BW36" s="394">
        <v>-16528</v>
      </c>
      <c r="BX36" s="395">
        <f>BW36/BY36</f>
        <v>-5.510802880768205E-2</v>
      </c>
      <c r="BY36" s="394">
        <v>299920</v>
      </c>
      <c r="BZ36" s="364"/>
    </row>
    <row r="37" spans="1:95" ht="17" thickBot="1">
      <c r="L37" s="331" t="s">
        <v>279</v>
      </c>
      <c r="M37" s="340">
        <f>M31+M32-M33-M34-M35-M36</f>
        <v>1556221.4203494301</v>
      </c>
      <c r="N37" s="340">
        <f>N31+N32-N33-N34-N35-N36</f>
        <v>2390119.689091763</v>
      </c>
      <c r="O37" s="340">
        <f>O31+O32-O33-O34-O35-O36</f>
        <v>722323.15160709689</v>
      </c>
      <c r="P37" s="340">
        <f>P31+P32-P33-P34-P35-P36</f>
        <v>286266.29465543973</v>
      </c>
      <c r="Q37" s="340">
        <f>Q31+Q32-Q33-Q34-Q35-Q36</f>
        <v>-237291.18525823922</v>
      </c>
      <c r="R37" s="340">
        <f>R31+R32-SUM(R33:R36)</f>
        <v>24487.554698600201</v>
      </c>
      <c r="W37" s="396" t="s">
        <v>280</v>
      </c>
      <c r="AX37" s="331" t="s">
        <v>281</v>
      </c>
      <c r="AY37" s="331">
        <f>AV46/AS46</f>
        <v>0.15053378427171846</v>
      </c>
      <c r="AZ37" s="331" t="s">
        <v>121</v>
      </c>
      <c r="BP37" s="356">
        <v>2</v>
      </c>
      <c r="BQ37" s="394">
        <v>243024</v>
      </c>
      <c r="BR37" s="395">
        <f>BQ37/BY37</f>
        <v>0.31878312951154919</v>
      </c>
      <c r="BS37" s="394">
        <v>141942</v>
      </c>
      <c r="BT37" s="395">
        <f>BS37/BY37</f>
        <v>0.18619031440980444</v>
      </c>
      <c r="BU37" s="394">
        <v>365690</v>
      </c>
      <c r="BV37" s="395">
        <f>BU37/BY37</f>
        <v>0.47968843666089939</v>
      </c>
      <c r="BW37" s="394">
        <v>-38636</v>
      </c>
      <c r="BX37" s="395">
        <f>BW37/BY37</f>
        <v>-5.0680200275726735E-2</v>
      </c>
      <c r="BY37" s="394">
        <v>762349</v>
      </c>
    </row>
    <row r="38" spans="1:95" ht="17" thickBot="1">
      <c r="R38" s="340">
        <f t="shared" si="11"/>
        <v>0</v>
      </c>
      <c r="V38" s="353"/>
      <c r="W38" s="873" t="s">
        <v>214</v>
      </c>
      <c r="X38" s="873"/>
      <c r="Y38" s="873"/>
      <c r="Z38" s="873"/>
      <c r="AA38" s="873" t="s">
        <v>215</v>
      </c>
      <c r="AB38" s="873"/>
      <c r="AC38" s="873"/>
      <c r="AD38" s="873"/>
      <c r="AY38" s="331">
        <f>AV47/AS47</f>
        <v>0.50487868891672172</v>
      </c>
      <c r="AZ38" s="331" t="s">
        <v>120</v>
      </c>
      <c r="BE38" s="331" t="s">
        <v>282</v>
      </c>
      <c r="BG38" s="397">
        <v>357700</v>
      </c>
      <c r="BH38" s="331" t="s">
        <v>118</v>
      </c>
      <c r="BI38" s="383">
        <v>321708</v>
      </c>
      <c r="BJ38" s="383">
        <v>759629</v>
      </c>
      <c r="BK38" s="383">
        <v>328975</v>
      </c>
      <c r="BL38" s="383">
        <v>358119</v>
      </c>
      <c r="BP38" s="356">
        <v>3</v>
      </c>
      <c r="BQ38" s="394">
        <v>78127</v>
      </c>
      <c r="BR38" s="395">
        <f>BQ38/BY38</f>
        <v>0.2563793759762677</v>
      </c>
      <c r="BS38" s="394">
        <v>70906</v>
      </c>
      <c r="BT38" s="395">
        <f>BS38/BY38</f>
        <v>0.23268314453355735</v>
      </c>
      <c r="BU38" s="394">
        <v>151970</v>
      </c>
      <c r="BV38" s="395">
        <f>BU38/BY38</f>
        <v>0.49870049748631584</v>
      </c>
      <c r="BW38" s="394">
        <v>-9261</v>
      </c>
      <c r="BX38" s="395">
        <f>BW38/BY38</f>
        <v>-3.0390638331386267E-2</v>
      </c>
      <c r="BY38" s="394">
        <v>304732</v>
      </c>
    </row>
    <row r="39" spans="1:95" ht="17" thickBot="1">
      <c r="B39" s="331">
        <v>120106</v>
      </c>
      <c r="C39" s="331">
        <v>243423</v>
      </c>
      <c r="D39" s="331">
        <v>100633</v>
      </c>
      <c r="E39" s="331">
        <v>74176</v>
      </c>
      <c r="F39" s="331">
        <f>SUM(B39:E39)</f>
        <v>538338</v>
      </c>
      <c r="L39" s="331" t="str">
        <f>L20:Q20</f>
        <v>ΔS=T_storage</v>
      </c>
      <c r="M39" s="339">
        <f>M20:Q20</f>
        <v>47409.4</v>
      </c>
      <c r="N39" s="339">
        <f t="shared" ref="N39:P39" si="13">N20:R20</f>
        <v>47409.4</v>
      </c>
      <c r="O39" s="339">
        <f t="shared" si="13"/>
        <v>47409.4</v>
      </c>
      <c r="P39" s="339">
        <f t="shared" si="13"/>
        <v>47409.4</v>
      </c>
      <c r="Q39" s="340">
        <f>P39</f>
        <v>47409.4</v>
      </c>
      <c r="R39" s="339">
        <f>Q39</f>
        <v>47409.4</v>
      </c>
      <c r="V39" s="353"/>
      <c r="W39" s="356" t="s">
        <v>34</v>
      </c>
      <c r="X39" s="356" t="s">
        <v>35</v>
      </c>
      <c r="Y39" s="356" t="s">
        <v>43</v>
      </c>
      <c r="Z39" s="356" t="s">
        <v>63</v>
      </c>
      <c r="AA39" s="356" t="s">
        <v>34</v>
      </c>
      <c r="AB39" s="356" t="s">
        <v>35</v>
      </c>
      <c r="AC39" s="356" t="s">
        <v>43</v>
      </c>
      <c r="AD39" s="356" t="s">
        <v>63</v>
      </c>
      <c r="AY39" s="331">
        <f>AV48/AS48</f>
        <v>0.48716056356040582</v>
      </c>
      <c r="AZ39" s="331" t="s">
        <v>119</v>
      </c>
      <c r="BG39" s="398">
        <v>656500</v>
      </c>
      <c r="BH39" s="331" t="s">
        <v>119</v>
      </c>
      <c r="BI39" s="331">
        <f>BI38/BG38</f>
        <v>0.89937936818563047</v>
      </c>
      <c r="BJ39" s="331">
        <f>BJ38/BG39</f>
        <v>1.157089108910891</v>
      </c>
      <c r="BK39" s="331">
        <f>BK38/BG40</f>
        <v>1.3880801687763713</v>
      </c>
      <c r="BL39" s="331">
        <f>BL38/BG41</f>
        <v>2.1316607142857142</v>
      </c>
      <c r="BP39" s="356">
        <v>4</v>
      </c>
      <c r="BQ39" s="394">
        <v>80863</v>
      </c>
      <c r="BR39" s="395">
        <f>BQ39/BY39</f>
        <v>0.2362211855024115</v>
      </c>
      <c r="BS39" s="394">
        <v>201452</v>
      </c>
      <c r="BT39" s="395">
        <f>BS39/BY39</f>
        <v>0.58849202060066785</v>
      </c>
      <c r="BU39" s="394">
        <v>50029</v>
      </c>
      <c r="BV39" s="395">
        <f>BU39/BY39</f>
        <v>0.14614730704401449</v>
      </c>
      <c r="BW39" s="394">
        <v>-50897</v>
      </c>
      <c r="BX39" s="395">
        <f>BW39/BY39</f>
        <v>-0.14868295361928494</v>
      </c>
      <c r="BY39" s="394">
        <v>342319</v>
      </c>
    </row>
    <row r="40" spans="1:95" ht="17" thickBot="1">
      <c r="V40" s="353" t="s">
        <v>221</v>
      </c>
      <c r="W40" s="360">
        <f>W17</f>
        <v>10225302.676659785</v>
      </c>
      <c r="X40" s="360">
        <f>X17</f>
        <v>8816866.0021118931</v>
      </c>
      <c r="Y40" s="360">
        <f>Y17</f>
        <v>4017114.1003066851</v>
      </c>
      <c r="Z40" s="360">
        <f>Z17</f>
        <v>6185015.5892775971</v>
      </c>
      <c r="AA40" s="360">
        <f>AA15</f>
        <v>10071900</v>
      </c>
      <c r="AB40" s="360">
        <f>SUM(W40:X40)</f>
        <v>19042168.678771678</v>
      </c>
      <c r="AC40" s="360">
        <f>SUM(W40:Y40)</f>
        <v>23059282.779078364</v>
      </c>
      <c r="AD40" s="360">
        <f>SUM(W40:Z40)</f>
        <v>29244298.36835596</v>
      </c>
      <c r="AY40" s="331">
        <f>AV49/AS49</f>
        <v>0.29762027367539323</v>
      </c>
      <c r="AZ40" s="331" t="s">
        <v>118</v>
      </c>
      <c r="BB40" s="331">
        <f>(AU46+AV46)/BG41</f>
        <v>1.4969107142857143</v>
      </c>
      <c r="BG40" s="398">
        <v>237000</v>
      </c>
      <c r="BH40" s="331" t="s">
        <v>120</v>
      </c>
    </row>
    <row r="41" spans="1:95" ht="17" thickBot="1">
      <c r="B41" s="331" t="s">
        <v>283</v>
      </c>
      <c r="C41" s="399">
        <f>'[2]Runoff_Rain Gauge_corrected'!J22</f>
        <v>57.236000000001241</v>
      </c>
      <c r="O41" s="331" t="s">
        <v>284</v>
      </c>
      <c r="P41" s="331">
        <f>P34/P32</f>
        <v>0.45259786955783482</v>
      </c>
      <c r="V41" s="353" t="s">
        <v>229</v>
      </c>
      <c r="W41" s="360">
        <f>W19</f>
        <v>2778214.737248484</v>
      </c>
      <c r="X41" s="360">
        <f>X19</f>
        <v>2395542.4927738188</v>
      </c>
      <c r="Y41" s="360">
        <f>Y19</f>
        <v>1091449.9010533344</v>
      </c>
      <c r="Z41" s="360">
        <f>Z19</f>
        <v>1680468.7356067356</v>
      </c>
      <c r="AA41" s="360">
        <f>AA19</f>
        <v>2778214.737248484</v>
      </c>
      <c r="AB41" s="360">
        <f>SUM(W41:X41)</f>
        <v>5173757.2300223028</v>
      </c>
      <c r="AC41" s="360">
        <f>SUM(W41:Y41)</f>
        <v>6265207.1310756374</v>
      </c>
      <c r="AD41" s="360">
        <f>SUM(W41:Z41)</f>
        <v>7945675.866682373</v>
      </c>
      <c r="BB41" s="331">
        <f>(AU47+AV47)/BG40</f>
        <v>0.94040506329113926</v>
      </c>
      <c r="BG41" s="398">
        <v>168000</v>
      </c>
      <c r="BH41" s="331" t="s">
        <v>121</v>
      </c>
    </row>
    <row r="42" spans="1:95" ht="16">
      <c r="B42" s="331" t="s">
        <v>285</v>
      </c>
      <c r="C42" s="340">
        <f>C41/1000*M3</f>
        <v>1545453.1160567042</v>
      </c>
      <c r="M42" s="350"/>
      <c r="V42" s="368" t="s">
        <v>286</v>
      </c>
      <c r="W42" s="360">
        <f>'[2]Runoff_Rain Gauge_corrected'!$J$113/1000*'Water Balance Summary'!W40</f>
        <v>793074.47560174577</v>
      </c>
      <c r="X42" s="360">
        <f>'[2]Runoff_Rain Gauge_corrected'!$J$113/1000*'Water Balance Summary'!X40</f>
        <v>683836.12712380954</v>
      </c>
      <c r="Y42" s="360">
        <f>'[2]Runoff_Rain Gauge_corrected'!$J$113/1000*'Water Balance Summary'!Y40</f>
        <v>311567.36961979151</v>
      </c>
      <c r="Z42" s="360">
        <f>'[2]Runoff_Rain Gauge_corrected'!$J$113/1000*'Water Balance Summary'!Z40</f>
        <v>479709.80910437816</v>
      </c>
      <c r="AA42" s="360">
        <f>'[2]Runoff_Rain Gauge_corrected'!$J$113/1000*'Water Balance Summary'!AA40</f>
        <v>781176.56400001259</v>
      </c>
      <c r="AB42" s="360">
        <f>'[2]Runoff_Rain Gauge_corrected'!$J$113/1000*'Water Balance Summary'!AB40</f>
        <v>1476910.6027255552</v>
      </c>
      <c r="AC42" s="360">
        <f>'[2]Runoff_Rain Gauge_corrected'!$J$113/1000*'Water Balance Summary'!AC40</f>
        <v>1788477.9723453468</v>
      </c>
      <c r="AD42" s="360">
        <f>'[2]Runoff_Rain Gauge_corrected'!$J$113/1000*'Water Balance Summary'!AD40</f>
        <v>2268187.7814497249</v>
      </c>
      <c r="AT42" s="382">
        <v>150071</v>
      </c>
      <c r="AU42" s="382">
        <v>144513</v>
      </c>
      <c r="AV42" s="382">
        <v>71342</v>
      </c>
      <c r="AW42" s="382">
        <v>204094</v>
      </c>
      <c r="BB42" s="331">
        <f>(AU48+AV48)/BG39</f>
        <v>0.77323990860624525</v>
      </c>
    </row>
    <row r="43" spans="1:95" ht="16">
      <c r="B43" s="331" t="s">
        <v>287</v>
      </c>
      <c r="C43" s="331">
        <f>F39-C25</f>
        <v>536738</v>
      </c>
      <c r="V43" s="400" t="s">
        <v>257</v>
      </c>
      <c r="W43" s="360">
        <f>W41*0.17</f>
        <v>472296.50533224235</v>
      </c>
      <c r="X43" s="360">
        <f>X41*0.17</f>
        <v>407242.22377154924</v>
      </c>
      <c r="Y43" s="360">
        <f>Y41*0.17</f>
        <v>185546.48317906685</v>
      </c>
      <c r="Z43" s="360">
        <f>Z41*0.17</f>
        <v>285679.68505314505</v>
      </c>
      <c r="AA43" s="360">
        <f>W43</f>
        <v>472296.50533224235</v>
      </c>
      <c r="AB43" s="360">
        <f>SUM(W43:X43)</f>
        <v>879538.72910379153</v>
      </c>
      <c r="AC43" s="360">
        <f>SUM(W43:Y43)</f>
        <v>1065085.2122828583</v>
      </c>
      <c r="AD43" s="360">
        <f>SUM(W43:Z43)</f>
        <v>1350764.8973360034</v>
      </c>
      <c r="BB43" s="331">
        <f>(AU49+AV49)/BG38</f>
        <v>0.65484484204640758</v>
      </c>
    </row>
    <row r="44" spans="1:95" ht="16">
      <c r="B44" s="333" t="s">
        <v>288</v>
      </c>
      <c r="C44" s="383">
        <f>C43+E5</f>
        <v>650453.0360748691</v>
      </c>
      <c r="L44" s="401" t="s">
        <v>253</v>
      </c>
      <c r="M44" s="401"/>
      <c r="N44" s="402" t="s">
        <v>289</v>
      </c>
      <c r="V44" s="353" t="s">
        <v>273</v>
      </c>
      <c r="W44" s="362">
        <f t="shared" ref="W44:AD44" si="14">W41-W42-W43</f>
        <v>1512843.756314496</v>
      </c>
      <c r="X44" s="362">
        <f t="shared" si="14"/>
        <v>1304464.1418784601</v>
      </c>
      <c r="Y44" s="362">
        <f t="shared" si="14"/>
        <v>594336.04825447593</v>
      </c>
      <c r="Z44" s="362">
        <f t="shared" si="14"/>
        <v>915079.24144921242</v>
      </c>
      <c r="AA44" s="362">
        <f t="shared" si="14"/>
        <v>1524741.667916229</v>
      </c>
      <c r="AB44" s="362">
        <f t="shared" si="14"/>
        <v>2817307.8981929561</v>
      </c>
      <c r="AC44" s="362">
        <f t="shared" si="14"/>
        <v>3411643.9464474325</v>
      </c>
      <c r="AD44" s="362">
        <f t="shared" si="14"/>
        <v>4326723.1878966447</v>
      </c>
    </row>
    <row r="45" spans="1:95" ht="30">
      <c r="L45" s="384"/>
      <c r="M45" s="384"/>
      <c r="N45" s="403"/>
      <c r="AS45" s="404" t="s">
        <v>166</v>
      </c>
      <c r="AT45" s="331" t="s">
        <v>271</v>
      </c>
      <c r="AU45" s="331" t="s">
        <v>635</v>
      </c>
      <c r="AV45" s="331" t="s">
        <v>47</v>
      </c>
      <c r="AW45" s="331" t="s">
        <v>278</v>
      </c>
      <c r="AZ45" s="404" t="s">
        <v>166</v>
      </c>
      <c r="BA45" s="331" t="s">
        <v>271</v>
      </c>
      <c r="BB45" s="331" t="s">
        <v>164</v>
      </c>
      <c r="BC45" s="331" t="s">
        <v>47</v>
      </c>
      <c r="BD45" s="331" t="s">
        <v>278</v>
      </c>
      <c r="BH45" s="331" t="s">
        <v>271</v>
      </c>
      <c r="BI45" s="331" t="s">
        <v>164</v>
      </c>
      <c r="BJ45" s="331" t="s">
        <v>47</v>
      </c>
      <c r="BK45" s="331" t="s">
        <v>278</v>
      </c>
      <c r="CD45" s="331" t="s">
        <v>600</v>
      </c>
    </row>
    <row r="46" spans="1:95" ht="30">
      <c r="L46" s="405" t="s">
        <v>290</v>
      </c>
      <c r="M46" s="331" t="s">
        <v>291</v>
      </c>
      <c r="N46" s="406">
        <f>X50</f>
        <v>7262.5</v>
      </c>
      <c r="AR46" s="331" t="s">
        <v>121</v>
      </c>
      <c r="AS46" s="331">
        <f>SUM(AT46:AV46)</f>
        <v>332344</v>
      </c>
      <c r="AT46" s="383">
        <f>80863</f>
        <v>80863</v>
      </c>
      <c r="AU46" s="340">
        <f>201452</f>
        <v>201452</v>
      </c>
      <c r="AV46" s="383">
        <f>50029</f>
        <v>50029</v>
      </c>
      <c r="AW46" s="331">
        <v>-50897</v>
      </c>
      <c r="AY46" s="331" t="s">
        <v>121</v>
      </c>
      <c r="AZ46" s="331">
        <f>AS46/$BG$41</f>
        <v>1.9782380952380951</v>
      </c>
      <c r="BA46" s="331">
        <f>AT46/$BG$41</f>
        <v>0.48132738095238098</v>
      </c>
      <c r="BB46" s="331">
        <f>AU46/$BG$41</f>
        <v>1.1991190476190476</v>
      </c>
      <c r="BC46" s="331">
        <f>AV46/$BG$41</f>
        <v>0.29779166666666668</v>
      </c>
      <c r="BD46" s="331">
        <f>AW46/$BG$41</f>
        <v>-0.30295833333333333</v>
      </c>
      <c r="BG46" s="331" t="s">
        <v>121</v>
      </c>
      <c r="BH46" s="383">
        <f>80863+T49</f>
        <v>80863</v>
      </c>
      <c r="BI46" s="340">
        <f>201452+T50</f>
        <v>201452</v>
      </c>
      <c r="BJ46" s="383">
        <f>50029+T48</f>
        <v>50029</v>
      </c>
      <c r="BK46" s="331">
        <v>-50897</v>
      </c>
      <c r="CD46" s="404" t="s">
        <v>166</v>
      </c>
      <c r="CE46" s="331" t="s">
        <v>271</v>
      </c>
      <c r="CF46" s="331" t="s">
        <v>164</v>
      </c>
      <c r="CG46" s="331" t="s">
        <v>47</v>
      </c>
      <c r="CH46" s="331" t="s">
        <v>278</v>
      </c>
      <c r="CI46" s="331" t="s">
        <v>604</v>
      </c>
      <c r="CK46" s="404" t="s">
        <v>166</v>
      </c>
      <c r="CL46" s="331" t="s">
        <v>271</v>
      </c>
      <c r="CM46" s="331" t="s">
        <v>164</v>
      </c>
      <c r="CN46" s="331" t="s">
        <v>47</v>
      </c>
      <c r="CO46" s="331" t="s">
        <v>278</v>
      </c>
      <c r="CP46" s="331" t="s">
        <v>604</v>
      </c>
    </row>
    <row r="47" spans="1:95">
      <c r="A47" s="870" t="s">
        <v>292</v>
      </c>
      <c r="B47" s="871"/>
      <c r="C47" s="871"/>
      <c r="D47" s="871"/>
      <c r="E47" s="872"/>
      <c r="M47" s="331" t="s">
        <v>293</v>
      </c>
      <c r="N47" s="406">
        <f>X53</f>
        <v>168956</v>
      </c>
      <c r="W47" s="331" t="s">
        <v>294</v>
      </c>
      <c r="Z47" s="331" t="s">
        <v>295</v>
      </c>
      <c r="AR47" s="331" t="s">
        <v>120</v>
      </c>
      <c r="AS47" s="331">
        <f>SUM(AT47:AV47)</f>
        <v>301003</v>
      </c>
      <c r="AT47" s="383">
        <f>78127</f>
        <v>78127</v>
      </c>
      <c r="AU47" s="383">
        <f>70906</f>
        <v>70906</v>
      </c>
      <c r="AV47" s="383">
        <f>151970</f>
        <v>151970</v>
      </c>
      <c r="AW47" s="331">
        <v>-9261</v>
      </c>
      <c r="AY47" s="331" t="s">
        <v>120</v>
      </c>
      <c r="AZ47" s="331">
        <f>AS47/$BG$40</f>
        <v>1.2700548523206752</v>
      </c>
      <c r="BA47" s="331">
        <f>AT47/$BG$40</f>
        <v>0.32964978902953584</v>
      </c>
      <c r="BB47" s="331">
        <f>AU47/$BG$40</f>
        <v>0.29918143459915614</v>
      </c>
      <c r="BC47" s="331">
        <f>AV47/$BG$40</f>
        <v>0.64122362869198313</v>
      </c>
      <c r="BD47" s="331">
        <f>AW47/$BG$40</f>
        <v>-3.9075949367088608E-2</v>
      </c>
      <c r="BG47" s="331" t="s">
        <v>120</v>
      </c>
      <c r="BH47" s="383">
        <f>78127+S49</f>
        <v>78127</v>
      </c>
      <c r="BI47" s="383">
        <f>70906+S50</f>
        <v>70906</v>
      </c>
      <c r="BJ47" s="383">
        <f>151970+S48</f>
        <v>151970</v>
      </c>
      <c r="BK47" s="331">
        <v>-9261</v>
      </c>
      <c r="CC47" s="331" t="s">
        <v>121</v>
      </c>
      <c r="CD47" s="383">
        <f>SUM(CE47:CG47)</f>
        <v>377256.79320258996</v>
      </c>
      <c r="CE47" s="383">
        <v>64358</v>
      </c>
      <c r="CF47" s="340">
        <v>207636</v>
      </c>
      <c r="CG47" s="769">
        <v>105262.79320258999</v>
      </c>
      <c r="CH47" s="557">
        <v>-121987.3583181</v>
      </c>
      <c r="CI47" s="331">
        <f>CG47+CH47</f>
        <v>-16724.565115510006</v>
      </c>
      <c r="CJ47" s="331" t="s">
        <v>121</v>
      </c>
      <c r="CK47" s="331">
        <f t="shared" ref="CK47:CP47" si="15">CD47/$BG$41</f>
        <v>2.2455761500154163</v>
      </c>
      <c r="CL47" s="331">
        <f t="shared" si="15"/>
        <v>0.38308333333333333</v>
      </c>
      <c r="CM47" s="331">
        <f t="shared" si="15"/>
        <v>1.2359285714285715</v>
      </c>
      <c r="CN47" s="331">
        <f t="shared" si="15"/>
        <v>0.62656424525351184</v>
      </c>
      <c r="CO47" s="331">
        <f t="shared" si="15"/>
        <v>-0.72611522808392859</v>
      </c>
      <c r="CP47" s="331">
        <f t="shared" si="15"/>
        <v>-9.9550982830416704E-2</v>
      </c>
      <c r="CQ47" s="331">
        <f>SUM(CP47,CL47:CM47)</f>
        <v>1.5194609219314881</v>
      </c>
    </row>
    <row r="48" spans="1:95">
      <c r="A48" s="407" t="s">
        <v>47</v>
      </c>
      <c r="B48" s="408">
        <v>2765</v>
      </c>
      <c r="C48" s="408">
        <v>8544</v>
      </c>
      <c r="D48" s="408">
        <v>2368</v>
      </c>
      <c r="E48" s="408">
        <v>3407</v>
      </c>
      <c r="N48" s="406"/>
      <c r="V48" s="401" t="s">
        <v>253</v>
      </c>
      <c r="W48" s="356" t="s">
        <v>34</v>
      </c>
      <c r="X48" s="356" t="s">
        <v>35</v>
      </c>
      <c r="Y48" s="356" t="s">
        <v>43</v>
      </c>
      <c r="Z48" s="357" t="s">
        <v>63</v>
      </c>
      <c r="AA48" s="393"/>
      <c r="AR48" s="331" t="s">
        <v>119</v>
      </c>
      <c r="AS48" s="331">
        <f>SUM(AT48:AV48)</f>
        <v>750656</v>
      </c>
      <c r="AT48" s="383">
        <f>243024</f>
        <v>243024</v>
      </c>
      <c r="AU48" s="383">
        <f>141942</f>
        <v>141942</v>
      </c>
      <c r="AV48" s="383">
        <f>365690</f>
        <v>365690</v>
      </c>
      <c r="AW48" s="331">
        <v>-38636</v>
      </c>
      <c r="AY48" s="331" t="s">
        <v>119</v>
      </c>
      <c r="AZ48" s="331">
        <f>AS48/$BG$39</f>
        <v>1.1434211728865193</v>
      </c>
      <c r="BA48" s="331">
        <f>AT48/$BG$39</f>
        <v>0.3701812642802742</v>
      </c>
      <c r="BB48" s="331">
        <f>AU48/$BG$39</f>
        <v>0.2162102056359482</v>
      </c>
      <c r="BC48" s="331">
        <f>AV48/$BG$39</f>
        <v>0.55702970297029708</v>
      </c>
      <c r="BD48" s="331">
        <f>AW48/$BG$39</f>
        <v>-5.8851485148514848E-2</v>
      </c>
      <c r="BG48" s="331" t="s">
        <v>119</v>
      </c>
      <c r="BH48" s="383">
        <f>243024+R49</f>
        <v>243024</v>
      </c>
      <c r="BI48" s="383">
        <f>141942+R50</f>
        <v>141942</v>
      </c>
      <c r="BJ48" s="383">
        <f>365690+R48</f>
        <v>365690</v>
      </c>
      <c r="BK48" s="331">
        <v>-38636</v>
      </c>
      <c r="CC48" s="331" t="s">
        <v>120</v>
      </c>
      <c r="CD48" s="383">
        <f>SUM(CE48:CG48)</f>
        <v>352934.25205998</v>
      </c>
      <c r="CE48" s="383">
        <v>78745</v>
      </c>
      <c r="CF48" s="383">
        <v>72279</v>
      </c>
      <c r="CG48" s="383">
        <v>201910.25205998</v>
      </c>
      <c r="CH48" s="664">
        <v>-82466.712451800006</v>
      </c>
      <c r="CI48" s="331">
        <f>CG48+CH48</f>
        <v>119443.53960818</v>
      </c>
      <c r="CJ48" s="331" t="s">
        <v>120</v>
      </c>
      <c r="CK48" s="331">
        <f t="shared" ref="CK48:CP48" si="16">CD48/$BG$40</f>
        <v>1.4891740593248102</v>
      </c>
      <c r="CL48" s="331">
        <f t="shared" si="16"/>
        <v>0.33225738396624471</v>
      </c>
      <c r="CM48" s="331">
        <f t="shared" si="16"/>
        <v>0.30497468354430379</v>
      </c>
      <c r="CN48" s="331">
        <f t="shared" si="16"/>
        <v>0.85194199181426167</v>
      </c>
      <c r="CO48" s="331">
        <f t="shared" si="16"/>
        <v>-0.3479608120329114</v>
      </c>
      <c r="CP48" s="331">
        <f t="shared" si="16"/>
        <v>0.50398117978135015</v>
      </c>
      <c r="CQ48" s="331">
        <f>SUM(CP48,CL48:CM48)</f>
        <v>1.1412132472918985</v>
      </c>
    </row>
    <row r="49" spans="1:97">
      <c r="A49" s="407" t="s">
        <v>271</v>
      </c>
      <c r="B49" s="408">
        <v>2247</v>
      </c>
      <c r="C49" s="408">
        <v>300</v>
      </c>
      <c r="D49" s="408">
        <v>400</v>
      </c>
      <c r="E49" s="408">
        <v>2460</v>
      </c>
      <c r="L49" s="405" t="s">
        <v>296</v>
      </c>
      <c r="M49" s="331" t="s">
        <v>297</v>
      </c>
      <c r="N49" s="406">
        <f>X55</f>
        <v>0</v>
      </c>
      <c r="V49" s="384"/>
      <c r="W49" s="384"/>
      <c r="X49" s="403"/>
      <c r="AA49" s="364"/>
      <c r="AR49" s="331" t="s">
        <v>118</v>
      </c>
      <c r="AS49" s="331">
        <f>SUM(AT49:AV49)</f>
        <v>291294</v>
      </c>
      <c r="AT49" s="383">
        <f>57056</f>
        <v>57056</v>
      </c>
      <c r="AU49" s="383">
        <f>147543</f>
        <v>147543</v>
      </c>
      <c r="AV49" s="383">
        <f>86695</f>
        <v>86695</v>
      </c>
      <c r="AW49" s="331">
        <v>-16528</v>
      </c>
      <c r="AY49" s="331" t="s">
        <v>118</v>
      </c>
      <c r="AZ49" s="331">
        <f>AS49/$BG$38</f>
        <v>0.81435280961699752</v>
      </c>
      <c r="BA49" s="331">
        <f>AT49/$BG$38</f>
        <v>0.15950796757058988</v>
      </c>
      <c r="BB49" s="331">
        <f>AU49/$BG$38</f>
        <v>0.4124769359798714</v>
      </c>
      <c r="BC49" s="331">
        <f>AV49/$BG$38</f>
        <v>0.24236790606653622</v>
      </c>
      <c r="BD49" s="331">
        <f>AW49/$BG$38</f>
        <v>-4.6206318143695836E-2</v>
      </c>
      <c r="BG49" s="331" t="s">
        <v>118</v>
      </c>
      <c r="BH49" s="383">
        <f>57056+Q49</f>
        <v>57056</v>
      </c>
      <c r="BI49" s="383">
        <f>147543+Q50</f>
        <v>147543</v>
      </c>
      <c r="BJ49" s="383">
        <f>86695+Q48</f>
        <v>86695</v>
      </c>
      <c r="BK49" s="331">
        <v>-16528</v>
      </c>
      <c r="CC49" s="331" t="s">
        <v>119</v>
      </c>
      <c r="CD49" s="383">
        <f>SUM(CE49:CG49)</f>
        <v>762483.10406009899</v>
      </c>
      <c r="CE49" s="383">
        <v>164423</v>
      </c>
      <c r="CF49" s="383">
        <v>146612</v>
      </c>
      <c r="CG49" s="383">
        <v>451448.10406009899</v>
      </c>
      <c r="CH49" s="664">
        <v>-254835.87641530001</v>
      </c>
      <c r="CI49" s="331">
        <f>CG49+CH49</f>
        <v>196612.22764479899</v>
      </c>
      <c r="CJ49" s="331" t="s">
        <v>119</v>
      </c>
      <c r="CK49" s="331">
        <f t="shared" ref="CK49:CP49" si="17">CD49/$BG$39</f>
        <v>1.1614365636863655</v>
      </c>
      <c r="CL49" s="331">
        <f t="shared" si="17"/>
        <v>0.25045392231530844</v>
      </c>
      <c r="CM49" s="331">
        <f t="shared" si="17"/>
        <v>0.22332368621477533</v>
      </c>
      <c r="CN49" s="331">
        <f t="shared" si="17"/>
        <v>0.68765895515628184</v>
      </c>
      <c r="CO49" s="331">
        <f t="shared" si="17"/>
        <v>-0.38817345988621477</v>
      </c>
      <c r="CP49" s="331">
        <f t="shared" si="17"/>
        <v>0.29948549527006701</v>
      </c>
      <c r="CQ49" s="331">
        <f>SUM(CP49,CL49:CM49)</f>
        <v>0.77326310380015073</v>
      </c>
    </row>
    <row r="50" spans="1:97" ht="16">
      <c r="A50" s="407" t="s">
        <v>164</v>
      </c>
      <c r="B50" s="408">
        <v>3614</v>
      </c>
      <c r="C50" s="408">
        <v>2849</v>
      </c>
      <c r="D50" s="408">
        <v>961</v>
      </c>
      <c r="E50" s="408">
        <v>4108</v>
      </c>
      <c r="M50" s="331" t="s">
        <v>47</v>
      </c>
      <c r="N50" s="406">
        <f>F33</f>
        <v>802579</v>
      </c>
      <c r="V50" s="405" t="s">
        <v>298</v>
      </c>
      <c r="W50" s="409">
        <f>E25</f>
        <v>7221.7000000000007</v>
      </c>
      <c r="X50" s="410">
        <f>E26</f>
        <v>7262.5</v>
      </c>
      <c r="Y50" s="409">
        <f>E27</f>
        <v>25741.599999999999</v>
      </c>
      <c r="Z50" s="409">
        <f>E28</f>
        <v>7183.6</v>
      </c>
      <c r="AA50" s="411"/>
      <c r="CC50" s="331" t="s">
        <v>118</v>
      </c>
      <c r="CD50" s="383">
        <f>SUM(CE50:CG50)</f>
        <v>376794.08820870996</v>
      </c>
      <c r="CE50" s="383">
        <v>48291</v>
      </c>
      <c r="CF50" s="383">
        <v>153038</v>
      </c>
      <c r="CG50" s="383">
        <v>175465.08820870999</v>
      </c>
      <c r="CH50" s="664">
        <v>-75490.542610999895</v>
      </c>
      <c r="CI50" s="331">
        <f>CG50+CH50</f>
        <v>99974.545597710094</v>
      </c>
      <c r="CJ50" s="331" t="s">
        <v>118</v>
      </c>
      <c r="CK50" s="331">
        <f t="shared" ref="CK50:CP50" si="18">CD50/$BG$38</f>
        <v>1.0533801739130835</v>
      </c>
      <c r="CL50" s="331">
        <f t="shared" si="18"/>
        <v>0.13500419345820519</v>
      </c>
      <c r="CM50" s="331">
        <f t="shared" si="18"/>
        <v>0.42783897120492032</v>
      </c>
      <c r="CN50" s="331">
        <f t="shared" si="18"/>
        <v>0.49053700924995802</v>
      </c>
      <c r="CO50" s="331">
        <f t="shared" si="18"/>
        <v>-0.21104429021805954</v>
      </c>
      <c r="CP50" s="331">
        <f t="shared" si="18"/>
        <v>0.27949271903189848</v>
      </c>
      <c r="CQ50" s="331">
        <f>SUM(CP50,CL50:CM50)</f>
        <v>0.84233588369502399</v>
      </c>
    </row>
    <row r="51" spans="1:97">
      <c r="M51" s="331" t="s">
        <v>299</v>
      </c>
      <c r="N51" s="406">
        <f>X59</f>
        <v>507513</v>
      </c>
      <c r="V51" s="331" t="s">
        <v>262</v>
      </c>
      <c r="W51" s="340">
        <f>W21</f>
        <v>41679.50724846404</v>
      </c>
      <c r="X51" s="340">
        <f>X21</f>
        <v>138530.59277380211</v>
      </c>
      <c r="Y51" s="340">
        <f>Y21</f>
        <v>39237.311053326586</v>
      </c>
      <c r="Z51" s="340">
        <f>Z21</f>
        <v>58256.715606723912</v>
      </c>
      <c r="AA51" s="411"/>
    </row>
    <row r="52" spans="1:97">
      <c r="M52" s="331" t="s">
        <v>165</v>
      </c>
      <c r="N52" s="406">
        <f>X60</f>
        <v>0</v>
      </c>
      <c r="V52" s="331" t="s">
        <v>254</v>
      </c>
      <c r="W52" s="340">
        <f>B2</f>
        <v>100810.57051823119</v>
      </c>
      <c r="X52" s="340">
        <f>B3</f>
        <v>494371.27219986869</v>
      </c>
      <c r="Y52" s="340">
        <f>B4</f>
        <v>173994.81091065609</v>
      </c>
      <c r="Z52" s="340">
        <f>B5</f>
        <v>96536.304416776213</v>
      </c>
      <c r="AA52" s="411" t="s">
        <v>300</v>
      </c>
    </row>
    <row r="53" spans="1:97" ht="16">
      <c r="A53" s="875" t="s">
        <v>301</v>
      </c>
      <c r="B53" s="876"/>
      <c r="C53" s="876"/>
      <c r="D53" s="876"/>
      <c r="E53" s="877"/>
      <c r="N53" s="406" t="str">
        <f>X62</f>
        <v>Tank 2</v>
      </c>
      <c r="V53" s="412" t="s">
        <v>263</v>
      </c>
      <c r="W53" s="340">
        <f>W31</f>
        <v>71204</v>
      </c>
      <c r="X53" s="340">
        <f>X31</f>
        <v>168956</v>
      </c>
      <c r="Y53" s="340">
        <f>Y31</f>
        <v>72183</v>
      </c>
      <c r="Z53" s="340">
        <f>Z31</f>
        <v>83489</v>
      </c>
      <c r="AA53" s="411"/>
      <c r="CD53" s="1">
        <v>48290.69150228404</v>
      </c>
      <c r="CE53" s="1">
        <v>164422.63933193235</v>
      </c>
      <c r="CF53" s="1">
        <v>78745.436776351853</v>
      </c>
      <c r="CG53" s="1">
        <v>64357.641320518407</v>
      </c>
    </row>
    <row r="54" spans="1:97">
      <c r="A54" s="377"/>
      <c r="B54" s="378" t="s">
        <v>264</v>
      </c>
      <c r="C54" s="378" t="s">
        <v>265</v>
      </c>
      <c r="D54" s="378" t="s">
        <v>266</v>
      </c>
      <c r="E54" s="378" t="s">
        <v>267</v>
      </c>
      <c r="F54" s="413" t="s">
        <v>200</v>
      </c>
      <c r="G54" s="414"/>
      <c r="L54" s="405" t="s">
        <v>302</v>
      </c>
      <c r="M54" s="331" t="s">
        <v>303</v>
      </c>
      <c r="N54" s="406">
        <f>Y63</f>
        <v>295100</v>
      </c>
      <c r="V54" s="412" t="s">
        <v>252</v>
      </c>
      <c r="W54" s="340">
        <f>W27</f>
        <v>150071</v>
      </c>
      <c r="X54" s="340">
        <f>X27</f>
        <v>144513</v>
      </c>
      <c r="Y54" s="340">
        <f>Y27</f>
        <v>71342</v>
      </c>
      <c r="Z54" s="340">
        <f>Z27</f>
        <v>317809.03607486904</v>
      </c>
    </row>
    <row r="55" spans="1:97" ht="31">
      <c r="A55" s="381" t="s">
        <v>47</v>
      </c>
      <c r="B55" s="415">
        <v>94830</v>
      </c>
      <c r="C55" s="415">
        <v>510922</v>
      </c>
      <c r="D55" s="415">
        <v>176316</v>
      </c>
      <c r="E55" s="415">
        <v>165776</v>
      </c>
      <c r="F55" s="339">
        <f>SUM(B55:E55)</f>
        <v>947844</v>
      </c>
      <c r="G55" s="383"/>
      <c r="L55" s="405" t="s">
        <v>304</v>
      </c>
      <c r="N55" s="340">
        <f>SUM(N46:N47)-SUM(N49:N52)</f>
        <v>-1133873.5</v>
      </c>
      <c r="X55" s="406"/>
      <c r="CG55" s="331">
        <v>-121987.3583181</v>
      </c>
      <c r="CN55" s="404" t="s">
        <v>166</v>
      </c>
      <c r="CO55" s="331" t="s">
        <v>271</v>
      </c>
      <c r="CP55" s="331" t="s">
        <v>164</v>
      </c>
      <c r="CQ55" s="331" t="s">
        <v>47</v>
      </c>
      <c r="CR55" s="331" t="s">
        <v>278</v>
      </c>
      <c r="CS55" s="331" t="s">
        <v>604</v>
      </c>
    </row>
    <row r="56" spans="1:97" ht="16">
      <c r="A56" s="381" t="s">
        <v>271</v>
      </c>
      <c r="B56" s="415">
        <v>71204</v>
      </c>
      <c r="C56" s="415">
        <v>168956</v>
      </c>
      <c r="D56" s="415">
        <v>72183</v>
      </c>
      <c r="E56" s="415">
        <v>83489</v>
      </c>
      <c r="F56" s="339">
        <f>SUM(B56:E56)</f>
        <v>395832</v>
      </c>
      <c r="G56" s="383"/>
      <c r="L56" s="405"/>
      <c r="V56" s="331" t="s">
        <v>305</v>
      </c>
      <c r="W56" s="340">
        <f>W24</f>
        <v>448455.79800000723</v>
      </c>
      <c r="X56" s="340">
        <f>X24</f>
        <v>888116.29200001433</v>
      </c>
      <c r="Y56" s="340">
        <f>Y24</f>
        <v>389262.00600000628</v>
      </c>
      <c r="Z56" s="416">
        <f>Z22</f>
        <v>463079.73600000743</v>
      </c>
      <c r="AA56" s="350"/>
      <c r="CG56" s="331">
        <v>105262.79320258999</v>
      </c>
      <c r="CM56" s="331" t="s">
        <v>121</v>
      </c>
      <c r="CN56" s="383">
        <f>SUM(CO56:CQ56)</f>
        <v>1</v>
      </c>
      <c r="CO56" s="839">
        <f>CE47/CD47</f>
        <v>0.17059467492594421</v>
      </c>
      <c r="CP56" s="350">
        <f>CF47/CD47</f>
        <v>0.55038372732097574</v>
      </c>
      <c r="CQ56" s="769">
        <f>CG47/CD47</f>
        <v>0.27902159775308011</v>
      </c>
      <c r="CR56" s="557">
        <f>CH47/CD47</f>
        <v>-0.32335364270721506</v>
      </c>
      <c r="CS56" s="331">
        <f>CI47/CD47</f>
        <v>-4.4332044954134939E-2</v>
      </c>
    </row>
    <row r="57" spans="1:97" ht="16">
      <c r="A57" s="381" t="s">
        <v>164</v>
      </c>
      <c r="B57" s="415">
        <v>150071</v>
      </c>
      <c r="C57" s="415">
        <v>144513</v>
      </c>
      <c r="D57" s="415">
        <v>71342</v>
      </c>
      <c r="E57" s="415">
        <v>204094</v>
      </c>
      <c r="F57" s="339">
        <f>SUM(B57:E57)</f>
        <v>570020</v>
      </c>
      <c r="G57" s="383"/>
      <c r="V57" s="331" t="s">
        <v>306</v>
      </c>
      <c r="W57" s="340">
        <f>W56*0.75</f>
        <v>336341.84850000544</v>
      </c>
      <c r="X57" s="340">
        <f>X56*0.75</f>
        <v>666087.21900001075</v>
      </c>
      <c r="Y57" s="340">
        <f>Y56*0.75</f>
        <v>291946.5045000047</v>
      </c>
      <c r="Z57" s="340">
        <f>Z56*0.75</f>
        <v>347309.80200000555</v>
      </c>
      <c r="AA57" s="340"/>
      <c r="CM57" s="331" t="s">
        <v>120</v>
      </c>
      <c r="CN57" s="383">
        <f>SUM(CO57:CQ57)</f>
        <v>1</v>
      </c>
      <c r="CO57" s="839">
        <f t="shared" ref="CO57:CO59" si="19">CE48/CD48</f>
        <v>0.22311521066710621</v>
      </c>
      <c r="CP57" s="350">
        <f t="shared" ref="CP57:CP59" si="20">CF48/CD48</f>
        <v>0.20479451789710801</v>
      </c>
      <c r="CQ57" s="769">
        <f t="shared" ref="CQ57:CQ59" si="21">CG48/CD48</f>
        <v>0.57209027143578584</v>
      </c>
      <c r="CR57" s="557">
        <f t="shared" ref="CR57:CR59" si="22">CH48/CD48</f>
        <v>-0.23366026949910507</v>
      </c>
      <c r="CS57" s="331">
        <f t="shared" ref="CS57:CS59" si="23">CI48/CD48</f>
        <v>0.33843000193668071</v>
      </c>
    </row>
    <row r="58" spans="1:97">
      <c r="A58" s="417" t="s">
        <v>200</v>
      </c>
      <c r="B58" s="418">
        <f>SUM(B55:B57)</f>
        <v>316105</v>
      </c>
      <c r="C58" s="418">
        <f>SUM(C55:C57)</f>
        <v>824391</v>
      </c>
      <c r="D58" s="418">
        <f>SUM(D55:D57)</f>
        <v>319841</v>
      </c>
      <c r="E58" s="418">
        <f>SUM(E55:E57)</f>
        <v>453359</v>
      </c>
      <c r="F58" s="418">
        <f>SUM(F55:F57)</f>
        <v>1913696</v>
      </c>
      <c r="G58" s="383"/>
      <c r="V58" s="331" t="s">
        <v>307</v>
      </c>
      <c r="W58" s="340">
        <f>W56*1.25</f>
        <v>560569.74750000902</v>
      </c>
      <c r="X58" s="340">
        <f>X56*1.25</f>
        <v>1110145.3650000179</v>
      </c>
      <c r="Y58" s="340">
        <f>Y56*1.25</f>
        <v>486577.50750000787</v>
      </c>
      <c r="Z58" s="340">
        <f>Z56*1.25</f>
        <v>578849.67000000924</v>
      </c>
      <c r="AA58" s="350"/>
      <c r="CM58" s="331" t="s">
        <v>119</v>
      </c>
      <c r="CN58" s="383">
        <f>SUM(CO58:CQ58)</f>
        <v>1</v>
      </c>
      <c r="CO58" s="839">
        <f t="shared" si="19"/>
        <v>0.21564149962730211</v>
      </c>
      <c r="CP58" s="350">
        <f t="shared" si="20"/>
        <v>0.19228229349518022</v>
      </c>
      <c r="CQ58" s="769">
        <f t="shared" si="21"/>
        <v>0.59207620687751761</v>
      </c>
      <c r="CR58" s="557">
        <f t="shared" si="22"/>
        <v>-0.33421839127757752</v>
      </c>
      <c r="CS58" s="331">
        <f t="shared" si="23"/>
        <v>0.25785781559994014</v>
      </c>
    </row>
    <row r="59" spans="1:97">
      <c r="A59" s="417"/>
      <c r="B59" s="419"/>
      <c r="C59" s="419"/>
      <c r="D59" s="419"/>
      <c r="E59" s="419"/>
      <c r="F59" s="383"/>
      <c r="G59" s="383"/>
      <c r="V59" s="412" t="s">
        <v>308</v>
      </c>
      <c r="W59" s="420">
        <f>W23</f>
        <v>224348</v>
      </c>
      <c r="X59" s="340">
        <f>X23</f>
        <v>507513</v>
      </c>
      <c r="Y59" s="416">
        <f>Y23</f>
        <v>295100</v>
      </c>
      <c r="Z59" s="340">
        <f>Z23</f>
        <v>190250</v>
      </c>
      <c r="CM59" s="331" t="s">
        <v>118</v>
      </c>
      <c r="CN59" s="383">
        <f>SUM(CO59:CQ59)</f>
        <v>1</v>
      </c>
      <c r="CO59" s="839">
        <f t="shared" si="19"/>
        <v>0.12816283883215052</v>
      </c>
      <c r="CP59" s="350">
        <f t="shared" si="20"/>
        <v>0.40615817707636309</v>
      </c>
      <c r="CQ59" s="769">
        <f t="shared" si="21"/>
        <v>0.46567898409148645</v>
      </c>
      <c r="CR59" s="557">
        <f t="shared" si="22"/>
        <v>-0.200349594044546</v>
      </c>
      <c r="CS59" s="331">
        <f t="shared" si="23"/>
        <v>0.26532939004694045</v>
      </c>
    </row>
    <row r="60" spans="1:97">
      <c r="B60" s="331" t="s">
        <v>309</v>
      </c>
    </row>
    <row r="61" spans="1:97">
      <c r="B61" s="870" t="s">
        <v>310</v>
      </c>
      <c r="C61" s="871"/>
      <c r="D61" s="871"/>
      <c r="E61" s="871"/>
      <c r="F61" s="872"/>
      <c r="V61" s="405" t="s">
        <v>311</v>
      </c>
      <c r="W61" s="421">
        <f>W50-W51+W52+W53+W54</f>
        <v>287627.76326976717</v>
      </c>
      <c r="X61" s="422">
        <f>X50-X51+X52+X53+X54</f>
        <v>676572.17942606658</v>
      </c>
      <c r="Y61" s="422">
        <f>Y50-Y51+Y52+Y53+Y54</f>
        <v>304024.09985732951</v>
      </c>
      <c r="Z61" s="422">
        <f>Z50-Z51+Z52+Z53+Z54</f>
        <v>446761.22488492134</v>
      </c>
    </row>
    <row r="62" spans="1:97" ht="16">
      <c r="B62" s="377"/>
      <c r="C62" s="378" t="s">
        <v>264</v>
      </c>
      <c r="D62" s="378" t="s">
        <v>265</v>
      </c>
      <c r="E62" s="378" t="s">
        <v>266</v>
      </c>
      <c r="F62" s="378" t="s">
        <v>267</v>
      </c>
      <c r="G62" s="413" t="s">
        <v>200</v>
      </c>
      <c r="W62" s="331" t="s">
        <v>34</v>
      </c>
      <c r="X62" s="423" t="s">
        <v>35</v>
      </c>
      <c r="Y62" s="331" t="s">
        <v>43</v>
      </c>
      <c r="Z62" s="331" t="s">
        <v>63</v>
      </c>
    </row>
    <row r="63" spans="1:97" ht="16">
      <c r="B63" s="424" t="s">
        <v>312</v>
      </c>
      <c r="C63" s="425">
        <v>218270</v>
      </c>
      <c r="D63" s="425">
        <v>408738</v>
      </c>
      <c r="E63" s="425">
        <v>211175</v>
      </c>
      <c r="F63" s="425">
        <v>138748</v>
      </c>
      <c r="G63" s="339">
        <f>SUM(C63:F63)</f>
        <v>976931</v>
      </c>
      <c r="V63" s="331" t="s">
        <v>313</v>
      </c>
      <c r="W63" s="340">
        <f>W59</f>
        <v>224348</v>
      </c>
      <c r="X63" s="340">
        <f t="shared" ref="X63:Z63" si="24">X59</f>
        <v>507513</v>
      </c>
      <c r="Y63" s="340">
        <f t="shared" si="24"/>
        <v>295100</v>
      </c>
      <c r="Z63" s="340">
        <f t="shared" si="24"/>
        <v>190250</v>
      </c>
    </row>
    <row r="64" spans="1:97" ht="16">
      <c r="B64" s="424" t="s">
        <v>314</v>
      </c>
      <c r="C64" s="425">
        <v>105508</v>
      </c>
      <c r="D64" s="425">
        <v>233137</v>
      </c>
      <c r="E64" s="425">
        <v>87135</v>
      </c>
      <c r="F64" s="425">
        <v>53802</v>
      </c>
      <c r="G64" s="339"/>
      <c r="V64" s="331" t="s">
        <v>315</v>
      </c>
      <c r="W64" s="426">
        <f>W61</f>
        <v>287627.76326976717</v>
      </c>
      <c r="X64" s="426">
        <f t="shared" ref="X64:Z64" si="25">X61</f>
        <v>676572.17942606658</v>
      </c>
      <c r="Y64" s="426">
        <f t="shared" si="25"/>
        <v>304024.09985732951</v>
      </c>
      <c r="Z64" s="426">
        <f t="shared" si="25"/>
        <v>446761.22488492134</v>
      </c>
    </row>
    <row r="65" spans="1:80" ht="16">
      <c r="B65" s="424" t="s">
        <v>316</v>
      </c>
      <c r="C65" s="425">
        <v>111586</v>
      </c>
      <c r="D65" s="425">
        <v>331912</v>
      </c>
      <c r="E65" s="425">
        <v>171060</v>
      </c>
      <c r="F65" s="425">
        <v>105304</v>
      </c>
      <c r="G65" s="339"/>
      <c r="V65" s="331" t="s">
        <v>317</v>
      </c>
      <c r="W65" s="340">
        <f>W56</f>
        <v>448455.79800000723</v>
      </c>
      <c r="X65" s="340">
        <f t="shared" ref="X65:Z65" si="26">X56</f>
        <v>888116.29200001433</v>
      </c>
      <c r="Y65" s="340">
        <f t="shared" si="26"/>
        <v>389262.00600000628</v>
      </c>
      <c r="Z65" s="340">
        <f t="shared" si="26"/>
        <v>463079.73600000743</v>
      </c>
    </row>
    <row r="66" spans="1:80" ht="16">
      <c r="B66" s="424" t="s">
        <v>318</v>
      </c>
      <c r="C66" s="425">
        <f>C65-C64</f>
        <v>6078</v>
      </c>
      <c r="D66" s="425">
        <f>D65-D64</f>
        <v>98775</v>
      </c>
      <c r="E66" s="425">
        <f>E65-E64</f>
        <v>83925</v>
      </c>
      <c r="F66" s="425">
        <f>F65-F64</f>
        <v>51502</v>
      </c>
      <c r="G66" s="339">
        <f>SUM(C66:F66)</f>
        <v>240280</v>
      </c>
    </row>
    <row r="67" spans="1:80" ht="16">
      <c r="B67" s="427" t="s">
        <v>319</v>
      </c>
      <c r="C67" s="428">
        <f>C63+(C65-C64)</f>
        <v>224348</v>
      </c>
      <c r="D67" s="428">
        <f>D63+(D65-D64)</f>
        <v>507513</v>
      </c>
      <c r="E67" s="428">
        <f>E63+(E65-E64)</f>
        <v>295100</v>
      </c>
      <c r="F67" s="428">
        <f>F63+(F65-F64)</f>
        <v>190250</v>
      </c>
      <c r="G67" s="339">
        <f>SUM(C67:F67)</f>
        <v>1217211</v>
      </c>
    </row>
    <row r="68" spans="1:80">
      <c r="C68" s="383"/>
    </row>
    <row r="69" spans="1:80">
      <c r="C69" s="331" t="s">
        <v>320</v>
      </c>
    </row>
    <row r="70" spans="1:80">
      <c r="A70" s="377"/>
      <c r="B70" s="378" t="s">
        <v>321</v>
      </c>
      <c r="C70" s="378" t="s">
        <v>264</v>
      </c>
      <c r="D70" s="378" t="s">
        <v>265</v>
      </c>
      <c r="E70" s="378" t="s">
        <v>266</v>
      </c>
      <c r="F70" s="378" t="s">
        <v>267</v>
      </c>
    </row>
    <row r="71" spans="1:80">
      <c r="A71" s="429">
        <v>41562</v>
      </c>
      <c r="B71" s="430">
        <f>'[2]Runoff_Rain Gauge_corrected'!J22</f>
        <v>57.236000000001241</v>
      </c>
      <c r="C71" s="340">
        <f>B71/1000*$W$15</f>
        <v>576475.26840001252</v>
      </c>
      <c r="D71" s="340">
        <f>B71/1000*$X$15</f>
        <v>475459.45200001029</v>
      </c>
      <c r="E71" s="340">
        <f>B71/1000*$Y$15</f>
        <v>221657.8572000048</v>
      </c>
      <c r="F71" s="340">
        <f>B71/1000*$Z$15</f>
        <v>341733.26160000736</v>
      </c>
    </row>
    <row r="72" spans="1:80">
      <c r="A72" s="429">
        <f>A71+1</f>
        <v>41563</v>
      </c>
      <c r="B72" s="430">
        <f>'[2]Runoff_Rain Gauge_corrected'!J23</f>
        <v>0.95399999999999996</v>
      </c>
      <c r="C72" s="340">
        <f t="shared" ref="C72:C75" si="27">B72/1000*$W$15</f>
        <v>9608.5925999999999</v>
      </c>
      <c r="D72" s="340">
        <f t="shared" ref="D72:D77" si="28">B72/1000*$X$15</f>
        <v>7924.8779999999997</v>
      </c>
      <c r="E72" s="340">
        <f t="shared" ref="E72:E77" si="29">B72/1000*$Y$15</f>
        <v>3694.5558000000001</v>
      </c>
      <c r="F72" s="340">
        <f t="shared" ref="F72:F76" si="30">B72/1000*$Z$15</f>
        <v>5695.9523999999992</v>
      </c>
    </row>
    <row r="73" spans="1:80">
      <c r="A73" s="429">
        <f t="shared" ref="A73:A77" si="31">A72+1</f>
        <v>41564</v>
      </c>
      <c r="B73" s="430">
        <f>'[2]Runoff_Rain Gauge_corrected'!J24</f>
        <v>0.42749999999999999</v>
      </c>
      <c r="C73" s="340">
        <f t="shared" si="27"/>
        <v>4305.7372500000001</v>
      </c>
      <c r="D73" s="340">
        <f t="shared" si="28"/>
        <v>3551.2424999999998</v>
      </c>
      <c r="E73" s="340">
        <f t="shared" si="29"/>
        <v>1655.57925</v>
      </c>
      <c r="F73" s="340">
        <f t="shared" si="30"/>
        <v>2552.4314999999997</v>
      </c>
    </row>
    <row r="74" spans="1:80">
      <c r="A74" s="429">
        <f t="shared" si="31"/>
        <v>41565</v>
      </c>
      <c r="B74" s="430">
        <f>'[2]Runoff_Rain Gauge_corrected'!J25</f>
        <v>4.3289999999999953</v>
      </c>
      <c r="C74" s="340">
        <f t="shared" si="27"/>
        <v>43601.255099999951</v>
      </c>
      <c r="D74" s="340">
        <f t="shared" si="28"/>
        <v>35961.002999999961</v>
      </c>
      <c r="E74" s="340">
        <f t="shared" si="29"/>
        <v>16764.918299999983</v>
      </c>
      <c r="F74" s="340">
        <f t="shared" si="30"/>
        <v>25846.727399999967</v>
      </c>
    </row>
    <row r="75" spans="1:80">
      <c r="A75" s="429">
        <f t="shared" si="31"/>
        <v>41566</v>
      </c>
      <c r="B75" s="430">
        <f>'[2]Runoff_Rain Gauge_corrected'!J26</f>
        <v>5.1499999999999853</v>
      </c>
      <c r="C75" s="340">
        <f t="shared" si="27"/>
        <v>51870.284999999851</v>
      </c>
      <c r="D75" s="340">
        <f t="shared" si="28"/>
        <v>42781.049999999879</v>
      </c>
      <c r="E75" s="340">
        <f t="shared" si="29"/>
        <v>19944.404999999944</v>
      </c>
      <c r="F75" s="340">
        <f t="shared" si="30"/>
        <v>30748.589999999909</v>
      </c>
      <c r="CB75" s="431">
        <v>42275</v>
      </c>
    </row>
    <row r="76" spans="1:80">
      <c r="A76" s="429">
        <f t="shared" si="31"/>
        <v>41567</v>
      </c>
      <c r="B76" s="430">
        <f>'[2]Runoff_Rain Gauge_corrected'!J27</f>
        <v>0.10850000000000001</v>
      </c>
      <c r="C76" s="340"/>
      <c r="D76" s="340">
        <f t="shared" si="28"/>
        <v>901.30950000000007</v>
      </c>
      <c r="E76" s="340">
        <f t="shared" si="29"/>
        <v>420.18795000000006</v>
      </c>
      <c r="F76" s="340">
        <f t="shared" si="30"/>
        <v>647.81009999999992</v>
      </c>
      <c r="CB76" s="331" t="s">
        <v>634</v>
      </c>
    </row>
    <row r="77" spans="1:80">
      <c r="A77" s="429">
        <f t="shared" si="31"/>
        <v>41568</v>
      </c>
      <c r="B77" s="430">
        <f>'[2]Runoff_Rain Gauge_corrected'!J28</f>
        <v>1.1775</v>
      </c>
      <c r="C77" s="340"/>
      <c r="D77" s="340">
        <f t="shared" si="28"/>
        <v>9781.4925000000003</v>
      </c>
      <c r="E77" s="340">
        <f t="shared" si="29"/>
        <v>4560.1042499999994</v>
      </c>
      <c r="F77" s="340"/>
    </row>
    <row r="78" spans="1:80">
      <c r="C78" s="340">
        <f>SUM(C71:C77)</f>
        <v>685861.13835001225</v>
      </c>
      <c r="D78" s="340">
        <f>SUM(D71:D77)</f>
        <v>576360.42750001024</v>
      </c>
      <c r="E78" s="340">
        <f>SUM(E71:E77)</f>
        <v>268697.60775000474</v>
      </c>
      <c r="F78" s="340">
        <f>SUM(F71:F76)</f>
        <v>407224.77300000726</v>
      </c>
    </row>
    <row r="81" spans="1:6">
      <c r="A81" s="431">
        <v>42325</v>
      </c>
      <c r="B81" s="430">
        <f>'[2]Runoff_Rain Gauge_corrected'!J55</f>
        <v>7.0480000000000089</v>
      </c>
      <c r="C81" s="340">
        <f>$B$81/1000*$W$15</f>
        <v>70986.751200000086</v>
      </c>
      <c r="D81" s="340">
        <f>B81/1000*$X$15</f>
        <v>58547.736000000077</v>
      </c>
      <c r="E81" s="340">
        <f>B81/1000*$Y$15</f>
        <v>27294.789600000036</v>
      </c>
      <c r="F81" s="340">
        <f>B81/1000*$Z$15</f>
        <v>42080.788800000046</v>
      </c>
    </row>
    <row r="82" spans="1:6">
      <c r="C82" s="340">
        <f>C81/2</f>
        <v>35493.375600000043</v>
      </c>
    </row>
    <row r="86" spans="1:6">
      <c r="C86" s="331">
        <f>C71/C63</f>
        <v>2.6411108645256447</v>
      </c>
    </row>
    <row r="87" spans="1:6">
      <c r="C87" s="331">
        <f>C82/C66</f>
        <v>5.8396471865745383</v>
      </c>
    </row>
    <row r="88" spans="1:6">
      <c r="C88" s="331">
        <f>C81/C66</f>
        <v>11.679294373149077</v>
      </c>
    </row>
    <row r="90" spans="1:6">
      <c r="A90" s="331" t="s">
        <v>322</v>
      </c>
    </row>
    <row r="91" spans="1:6">
      <c r="A91" s="377"/>
      <c r="B91" s="378" t="s">
        <v>321</v>
      </c>
      <c r="C91" s="378" t="s">
        <v>264</v>
      </c>
      <c r="D91" s="378" t="s">
        <v>265</v>
      </c>
      <c r="E91" s="378" t="s">
        <v>266</v>
      </c>
      <c r="F91" s="378" t="s">
        <v>267</v>
      </c>
    </row>
    <row r="92" spans="1:6">
      <c r="A92" s="429">
        <v>41562</v>
      </c>
      <c r="B92" s="430">
        <f>B71</f>
        <v>57.236000000001241</v>
      </c>
      <c r="C92" s="340">
        <f>B92/1000*$W$16</f>
        <v>330941.41380000714</v>
      </c>
      <c r="D92" s="340">
        <f>B92/1000*$X$16</f>
        <v>655392.26520001411</v>
      </c>
      <c r="E92" s="340">
        <f>B92/1000*$Y$16</f>
        <v>287258.89860000619</v>
      </c>
      <c r="F92" s="340">
        <f>B92/1000*$Z$16</f>
        <v>341733.26160000736</v>
      </c>
    </row>
    <row r="93" spans="1:6">
      <c r="A93" s="429">
        <f>A92+1</f>
        <v>41563</v>
      </c>
      <c r="B93" s="430">
        <f t="shared" ref="B93:B98" si="32">B72</f>
        <v>0.95399999999999996</v>
      </c>
      <c r="C93" s="340">
        <f t="shared" ref="C93:C96" si="33">B93/1000*$W$16</f>
        <v>5516.0757000000003</v>
      </c>
      <c r="D93" s="340">
        <f t="shared" ref="D93:D98" si="34">B93/1000*$X$16</f>
        <v>10923.9678</v>
      </c>
      <c r="E93" s="340">
        <f t="shared" ref="E93:E98" si="35">B93/1000*$Y$16</f>
        <v>4787.9829</v>
      </c>
      <c r="F93" s="340">
        <f t="shared" ref="F93:F97" si="36">B93/1000*$Z$16</f>
        <v>5695.9523999999992</v>
      </c>
    </row>
    <row r="94" spans="1:6">
      <c r="A94" s="429">
        <f t="shared" ref="A94:A98" si="37">A93+1</f>
        <v>41564</v>
      </c>
      <c r="B94" s="430">
        <f t="shared" si="32"/>
        <v>0.42749999999999999</v>
      </c>
      <c r="C94" s="340">
        <f t="shared" si="33"/>
        <v>2471.8263750000001</v>
      </c>
      <c r="D94" s="340">
        <f t="shared" si="34"/>
        <v>4895.17425</v>
      </c>
      <c r="E94" s="340">
        <f t="shared" si="35"/>
        <v>2145.5583750000001</v>
      </c>
      <c r="F94" s="340">
        <f t="shared" si="36"/>
        <v>2552.4314999999997</v>
      </c>
    </row>
    <row r="95" spans="1:6">
      <c r="A95" s="429">
        <f t="shared" si="37"/>
        <v>41565</v>
      </c>
      <c r="B95" s="430">
        <f t="shared" si="32"/>
        <v>4.3289999999999953</v>
      </c>
      <c r="C95" s="340">
        <f t="shared" si="33"/>
        <v>25030.494449999973</v>
      </c>
      <c r="D95" s="340">
        <f t="shared" si="34"/>
        <v>49570.080299999943</v>
      </c>
      <c r="E95" s="340">
        <f t="shared" si="35"/>
        <v>21726.601649999975</v>
      </c>
      <c r="F95" s="340">
        <f t="shared" si="36"/>
        <v>25846.727399999967</v>
      </c>
    </row>
    <row r="96" spans="1:6">
      <c r="A96" s="429">
        <f t="shared" si="37"/>
        <v>41566</v>
      </c>
      <c r="B96" s="430">
        <f t="shared" si="32"/>
        <v>5.1499999999999853</v>
      </c>
      <c r="C96" s="340">
        <f t="shared" si="33"/>
        <v>29777.557499999915</v>
      </c>
      <c r="D96" s="340">
        <f t="shared" si="34"/>
        <v>58971.104999999829</v>
      </c>
      <c r="E96" s="340">
        <f t="shared" si="35"/>
        <v>25847.077499999927</v>
      </c>
      <c r="F96" s="340">
        <f t="shared" si="36"/>
        <v>30748.589999999909</v>
      </c>
    </row>
    <row r="97" spans="1:7">
      <c r="A97" s="429">
        <f t="shared" si="37"/>
        <v>41567</v>
      </c>
      <c r="B97" s="430">
        <f t="shared" si="32"/>
        <v>0.10850000000000001</v>
      </c>
      <c r="C97" s="340"/>
      <c r="D97" s="340">
        <f t="shared" si="34"/>
        <v>1242.4009500000002</v>
      </c>
      <c r="E97" s="340">
        <f t="shared" si="35"/>
        <v>544.54522500000007</v>
      </c>
      <c r="F97" s="340">
        <f t="shared" si="36"/>
        <v>647.81009999999992</v>
      </c>
    </row>
    <row r="98" spans="1:7">
      <c r="A98" s="429">
        <f t="shared" si="37"/>
        <v>41568</v>
      </c>
      <c r="B98" s="430">
        <f t="shared" si="32"/>
        <v>1.1775</v>
      </c>
      <c r="C98" s="340"/>
      <c r="D98" s="340">
        <f t="shared" si="34"/>
        <v>13483.19925</v>
      </c>
      <c r="E98" s="340">
        <f t="shared" si="35"/>
        <v>5909.6958749999994</v>
      </c>
      <c r="F98" s="340"/>
    </row>
    <row r="99" spans="1:7">
      <c r="B99" s="430"/>
      <c r="C99" s="340">
        <f>SUM(C92:C98)</f>
        <v>393737.36782500707</v>
      </c>
      <c r="D99" s="340">
        <f>SUM(D92:D98)</f>
        <v>794478.1927500139</v>
      </c>
      <c r="E99" s="340">
        <f>SUM(E92:E98)</f>
        <v>348220.36012500606</v>
      </c>
      <c r="F99" s="340">
        <f>SUM(F92:F97)</f>
        <v>407224.77300000726</v>
      </c>
      <c r="G99" s="340">
        <f>C99*0.75</f>
        <v>295303.0258687553</v>
      </c>
    </row>
    <row r="100" spans="1:7">
      <c r="A100" s="432" t="s">
        <v>323</v>
      </c>
      <c r="B100" s="433"/>
      <c r="C100" s="434">
        <f>C63</f>
        <v>218270</v>
      </c>
      <c r="D100" s="434">
        <f t="shared" ref="D100:F100" si="38">D63</f>
        <v>408738</v>
      </c>
      <c r="E100" s="434">
        <f t="shared" si="38"/>
        <v>211175</v>
      </c>
      <c r="F100" s="434">
        <f t="shared" si="38"/>
        <v>138748</v>
      </c>
    </row>
    <row r="101" spans="1:7">
      <c r="A101" s="333" t="s">
        <v>324</v>
      </c>
      <c r="B101" s="430"/>
      <c r="C101" s="340">
        <f>C99-C100</f>
        <v>175467.36782500707</v>
      </c>
      <c r="D101" s="340">
        <f t="shared" ref="D101:F101" si="39">D99-D100</f>
        <v>385740.1927500139</v>
      </c>
      <c r="E101" s="340">
        <f t="shared" si="39"/>
        <v>137045.36012500606</v>
      </c>
      <c r="F101" s="340">
        <f t="shared" si="39"/>
        <v>268476.77300000726</v>
      </c>
    </row>
    <row r="102" spans="1:7">
      <c r="A102" s="333"/>
      <c r="B102" s="430"/>
      <c r="C102" s="340"/>
      <c r="D102" s="340"/>
      <c r="E102" s="340"/>
      <c r="F102" s="340"/>
    </row>
    <row r="103" spans="1:7">
      <c r="A103" s="431">
        <v>42325</v>
      </c>
      <c r="B103" s="430">
        <f>B81</f>
        <v>7.0480000000000089</v>
      </c>
      <c r="C103" s="340">
        <f>$B$81/1000*$W$16</f>
        <v>40751.888400000054</v>
      </c>
      <c r="D103" s="340">
        <f>B103/1000*$X$16</f>
        <v>80704.533600000112</v>
      </c>
      <c r="E103" s="340">
        <f>B103/1000*$Y$16</f>
        <v>35372.854800000045</v>
      </c>
      <c r="F103" s="340">
        <f>B103/1000*$Z$16</f>
        <v>42080.788800000046</v>
      </c>
    </row>
    <row r="104" spans="1:7">
      <c r="B104" s="430"/>
      <c r="C104" s="340">
        <f>C103/2</f>
        <v>20375.944200000027</v>
      </c>
      <c r="D104" s="350">
        <f>D103/2</f>
        <v>40352.266800000056</v>
      </c>
    </row>
    <row r="105" spans="1:7">
      <c r="A105" s="432" t="s">
        <v>323</v>
      </c>
      <c r="B105" s="433"/>
      <c r="C105" s="434">
        <f>C66</f>
        <v>6078</v>
      </c>
      <c r="D105" s="434">
        <f t="shared" ref="D105:F105" si="40">D66</f>
        <v>98775</v>
      </c>
      <c r="E105" s="434">
        <f t="shared" si="40"/>
        <v>83925</v>
      </c>
      <c r="F105" s="434">
        <f t="shared" si="40"/>
        <v>51502</v>
      </c>
    </row>
    <row r="106" spans="1:7">
      <c r="A106" s="333" t="s">
        <v>324</v>
      </c>
      <c r="B106" s="430"/>
      <c r="C106" s="340">
        <f>C103-C105</f>
        <v>34673.888400000054</v>
      </c>
      <c r="D106" s="340">
        <f>D103-D105</f>
        <v>-18070.466399999888</v>
      </c>
      <c r="E106" s="340">
        <f t="shared" ref="E106:F106" si="41">E103-E105</f>
        <v>-48552.145199999955</v>
      </c>
      <c r="F106" s="340">
        <f t="shared" si="41"/>
        <v>-9421.2111999999543</v>
      </c>
    </row>
    <row r="107" spans="1:7">
      <c r="C107" s="340">
        <f>C104-C105</f>
        <v>14297.944200000027</v>
      </c>
      <c r="D107" s="340">
        <f>D104-D105</f>
        <v>-58422.733199999944</v>
      </c>
    </row>
  </sheetData>
  <mergeCells count="9">
    <mergeCell ref="B61:F61"/>
    <mergeCell ref="W13:Z13"/>
    <mergeCell ref="AA13:AD13"/>
    <mergeCell ref="A31:E31"/>
    <mergeCell ref="BU34:BW34"/>
    <mergeCell ref="W38:Z38"/>
    <mergeCell ref="AA38:AD38"/>
    <mergeCell ref="A47:E47"/>
    <mergeCell ref="A53:E53"/>
  </mergeCells>
  <pageMargins left="0.7" right="0.7" top="0.75" bottom="0.75" header="0.3" footer="0.3"/>
  <pageSetup orientation="portrait" horizontalDpi="4294967292" verticalDpi="429496729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1:MD2112"/>
  <sheetViews>
    <sheetView topLeftCell="GA45" zoomScale="125" zoomScaleNormal="125" zoomScalePageLayoutView="125" workbookViewId="0">
      <selection activeCell="GL57" sqref="GL57"/>
    </sheetView>
  </sheetViews>
  <sheetFormatPr baseColWidth="10" defaultColWidth="7.5703125" defaultRowHeight="14"/>
  <cols>
    <col min="1" max="1" width="7.5703125" style="331"/>
    <col min="2" max="2" width="8.7109375" style="331" customWidth="1"/>
    <col min="3" max="3" width="8.5703125" style="331" customWidth="1"/>
    <col min="4" max="9" width="7.5703125" style="331"/>
    <col min="10" max="10" width="11" style="331" bestFit="1" customWidth="1"/>
    <col min="11" max="22" width="7.5703125" style="331"/>
    <col min="23" max="23" width="11" style="331" bestFit="1" customWidth="1"/>
    <col min="24" max="28" width="7.5703125" style="331"/>
    <col min="29" max="32" width="9.5703125" style="331" customWidth="1"/>
    <col min="33" max="33" width="13.140625" style="331" bestFit="1" customWidth="1"/>
    <col min="34" max="37" width="6.42578125" style="352" customWidth="1"/>
    <col min="38" max="38" width="2.140625" style="352" customWidth="1"/>
    <col min="39" max="39" width="9.85546875" style="331" bestFit="1" customWidth="1"/>
    <col min="40" max="40" width="10.85546875" style="331" bestFit="1" customWidth="1"/>
    <col min="41" max="42" width="9.85546875" style="331" bestFit="1" customWidth="1"/>
    <col min="43" max="43" width="2.42578125" style="331" customWidth="1"/>
    <col min="44" max="47" width="9.85546875" style="331" bestFit="1" customWidth="1"/>
    <col min="48" max="48" width="9.5703125" style="352" bestFit="1" customWidth="1"/>
    <col min="49" max="49" width="3" style="352" customWidth="1"/>
    <col min="50" max="50" width="9.85546875" style="352" customWidth="1"/>
    <col min="51" max="54" width="9.85546875" style="331" bestFit="1" customWidth="1"/>
    <col min="55" max="55" width="9.85546875" style="352" customWidth="1"/>
    <col min="56" max="56" width="7.5703125" style="331"/>
    <col min="57" max="57" width="11" style="331" bestFit="1" customWidth="1"/>
    <col min="58" max="61" width="9.85546875" style="331" bestFit="1" customWidth="1"/>
    <col min="62" max="62" width="3.42578125" style="384" customWidth="1"/>
    <col min="63" max="66" width="9.85546875" style="331" customWidth="1"/>
    <col min="67" max="67" width="8.7109375" style="331" bestFit="1" customWidth="1"/>
    <col min="68" max="70" width="8.7109375" style="331" customWidth="1"/>
    <col min="71" max="71" width="8.7109375" style="384" customWidth="1"/>
    <col min="72" max="73" width="8.7109375" style="331" customWidth="1"/>
    <col min="74" max="74" width="11" style="331" bestFit="1" customWidth="1"/>
    <col min="75" max="76" width="8.7109375" style="331" customWidth="1"/>
    <col min="77" max="80" width="7.5703125" style="352"/>
    <col min="81" max="81" width="8.7109375" style="352" bestFit="1" customWidth="1"/>
    <col min="82" max="82" width="8.7109375" style="352" customWidth="1"/>
    <col min="83" max="92" width="7.5703125" style="331"/>
    <col min="93" max="93" width="11" style="429" bestFit="1" customWidth="1"/>
    <col min="94" max="94" width="1.7109375" style="352" customWidth="1"/>
    <col min="95" max="95" width="13.140625" style="352" bestFit="1" customWidth="1"/>
    <col min="96" max="97" width="8.28515625" style="352" customWidth="1"/>
    <col min="98" max="98" width="7.5703125" style="352"/>
    <col min="99" max="99" width="7.5703125" style="331"/>
    <col min="100" max="100" width="4.7109375" style="331" customWidth="1"/>
    <col min="101" max="101" width="4.7109375" style="352" bestFit="1" customWidth="1"/>
    <col min="102" max="102" width="4.7109375" style="331" bestFit="1" customWidth="1"/>
    <col min="103" max="103" width="5" style="352" bestFit="1" customWidth="1"/>
    <col min="104" max="104" width="5.85546875" style="331" bestFit="1" customWidth="1"/>
    <col min="105" max="105" width="6.42578125" style="352" bestFit="1" customWidth="1"/>
    <col min="106" max="106" width="7.42578125" style="331" bestFit="1" customWidth="1"/>
    <col min="107" max="107" width="5.42578125" style="352" bestFit="1" customWidth="1"/>
    <col min="108" max="108" width="4.140625" style="352" customWidth="1"/>
    <col min="109" max="109" width="9.85546875" style="352" customWidth="1"/>
    <col min="110" max="113" width="7.5703125" style="352"/>
    <col min="114" max="133" width="9.85546875" style="331" bestFit="1" customWidth="1"/>
    <col min="134" max="137" width="9.85546875" style="331" customWidth="1"/>
    <col min="138" max="141" width="9.85546875" style="352" bestFit="1" customWidth="1"/>
    <col min="142" max="143" width="7.5703125" style="331"/>
    <col min="144" max="144" width="9.85546875" style="352" customWidth="1"/>
    <col min="145" max="148" width="9.85546875" style="352" bestFit="1" customWidth="1"/>
    <col min="149" max="16384" width="7.5703125" style="331"/>
  </cols>
  <sheetData>
    <row r="1" spans="3:342">
      <c r="GO1" s="331" t="s">
        <v>339</v>
      </c>
      <c r="GP1" s="331" t="s">
        <v>264</v>
      </c>
      <c r="GQ1" s="353"/>
      <c r="GR1" s="558"/>
      <c r="GS1" s="558"/>
      <c r="GT1" s="558"/>
      <c r="GU1" s="558"/>
      <c r="GV1" s="558"/>
      <c r="GW1" s="558"/>
      <c r="GX1" s="558"/>
      <c r="GY1" s="558"/>
      <c r="GZ1" s="558"/>
      <c r="HA1" s="558"/>
      <c r="HB1" s="558"/>
      <c r="HC1" s="558"/>
      <c r="HD1" s="558"/>
      <c r="HE1" s="558"/>
      <c r="HF1" s="559">
        <v>0.23414157189432708</v>
      </c>
      <c r="HG1" s="559">
        <v>0.23670087680469415</v>
      </c>
      <c r="HH1" s="559">
        <v>0.24034207793189077</v>
      </c>
      <c r="HI1" s="559">
        <v>0.24378604174245241</v>
      </c>
      <c r="HJ1" s="559">
        <v>0.24734777275600187</v>
      </c>
      <c r="HK1" s="559">
        <v>0.2452711476764052</v>
      </c>
      <c r="HL1" s="560">
        <v>0.24619281004355029</v>
      </c>
      <c r="HM1" s="560">
        <v>0.24993727424646073</v>
      </c>
      <c r="HN1" s="560">
        <v>0.25361885732846035</v>
      </c>
      <c r="HO1" s="560">
        <v>0.25725246930475787</v>
      </c>
      <c r="HP1" s="560">
        <v>0.26140888843287341</v>
      </c>
      <c r="HQ1" s="560">
        <v>0.26596542791673367</v>
      </c>
      <c r="HR1" s="560">
        <v>0.27049742633961926</v>
      </c>
      <c r="HS1" s="558"/>
      <c r="HT1" s="560">
        <v>0.2787694196490304</v>
      </c>
      <c r="HU1" s="560">
        <v>0.28431803562694008</v>
      </c>
      <c r="HV1" s="560">
        <v>0.29056413016040361</v>
      </c>
      <c r="HW1" s="558"/>
      <c r="HX1" s="560">
        <v>0.28796721505857253</v>
      </c>
      <c r="HY1" s="560">
        <v>0.29406536812400585</v>
      </c>
      <c r="HZ1" s="560">
        <v>0.30069666509609083</v>
      </c>
      <c r="IA1" s="560">
        <v>0.30755317776790897</v>
      </c>
      <c r="IB1" s="560">
        <v>0.31644694891337161</v>
      </c>
      <c r="IC1" s="560">
        <v>0.32598145324050731</v>
      </c>
      <c r="ID1" s="560">
        <v>0.33468940044639511</v>
      </c>
      <c r="IE1" s="560">
        <v>0.34396299989471729</v>
      </c>
      <c r="IF1" s="560">
        <v>0.3530620085599413</v>
      </c>
      <c r="IG1" s="560">
        <v>0.3609333659189381</v>
      </c>
      <c r="IH1" s="560">
        <v>0.36916522944506969</v>
      </c>
      <c r="II1" s="560">
        <v>0.37750310213353355</v>
      </c>
      <c r="IJ1" s="559">
        <v>0.3892137812513452</v>
      </c>
      <c r="IK1" s="559">
        <v>0.40022409074342091</v>
      </c>
      <c r="IL1" s="559">
        <v>0.4091802024810875</v>
      </c>
      <c r="IM1" s="559">
        <v>0.41159792404198042</v>
      </c>
      <c r="IN1" s="560">
        <v>0.42064684689359577</v>
      </c>
      <c r="IO1" s="560">
        <v>0.42974276393388505</v>
      </c>
      <c r="IP1" s="560">
        <v>0.43963621232829031</v>
      </c>
      <c r="IQ1" s="560">
        <v>0.44971567078835883</v>
      </c>
      <c r="IR1" s="559">
        <v>0.45896463270976462</v>
      </c>
      <c r="IS1" s="559">
        <v>0.46864559050344745</v>
      </c>
      <c r="IT1" s="559">
        <v>0.47837983162042058</v>
      </c>
      <c r="IU1" s="560">
        <v>0.48858526940488328</v>
      </c>
      <c r="IV1" s="560">
        <v>0.49787100550038171</v>
      </c>
      <c r="IW1" s="558"/>
      <c r="IX1" s="560">
        <v>0.49638525672867112</v>
      </c>
      <c r="IY1" s="560">
        <v>0.50792439262414424</v>
      </c>
      <c r="IZ1" s="560">
        <v>0.520349305693102</v>
      </c>
      <c r="JA1" s="560">
        <v>0.53328479807018547</v>
      </c>
      <c r="JB1" s="560">
        <v>0.54623343363326538</v>
      </c>
      <c r="JC1" s="561">
        <v>0.56037099970865389</v>
      </c>
      <c r="JD1" s="561">
        <v>0.57326908875819671</v>
      </c>
      <c r="JE1" s="561">
        <v>0.58633021028358923</v>
      </c>
      <c r="JF1" s="561">
        <v>0.60052907126315513</v>
      </c>
      <c r="JG1" s="561">
        <v>0.61598866282795406</v>
      </c>
      <c r="JH1" s="560">
        <v>0.63237701787604539</v>
      </c>
      <c r="JI1" s="560">
        <v>0.64810500573429952</v>
      </c>
      <c r="JJ1" s="560">
        <v>0.6664529452970005</v>
      </c>
      <c r="JK1" s="560">
        <v>0.68830213700329068</v>
      </c>
      <c r="JL1" s="560">
        <v>0.7102254742603864</v>
      </c>
      <c r="JM1" s="560">
        <v>0.73162123754088293</v>
      </c>
      <c r="JN1" s="560">
        <v>0.74777005306791877</v>
      </c>
      <c r="JO1" s="560">
        <v>0.76517317549393415</v>
      </c>
      <c r="JP1" s="560">
        <v>0.78413284045114506</v>
      </c>
      <c r="JQ1" s="560">
        <v>0.80444527902220841</v>
      </c>
      <c r="JR1" s="560">
        <v>0.83519821070765254</v>
      </c>
      <c r="JS1" s="560">
        <v>0.86635245891827728</v>
      </c>
      <c r="JT1" s="560">
        <v>0.9068492771586818</v>
      </c>
      <c r="JU1" s="560">
        <v>0.94501956425185663</v>
      </c>
      <c r="JV1" s="560">
        <v>0.97569581661234095</v>
      </c>
      <c r="JW1" s="562">
        <v>1.0006408895945167</v>
      </c>
      <c r="JX1" s="562">
        <v>1.0080833418697432</v>
      </c>
      <c r="JY1" s="562">
        <v>1.0352022715334763</v>
      </c>
      <c r="JZ1" s="562">
        <v>1.0729943416282393</v>
      </c>
      <c r="KA1" s="562">
        <v>1.1161406004626035</v>
      </c>
      <c r="KB1" s="558">
        <v>1.2074445068264688</v>
      </c>
      <c r="KC1" s="558">
        <v>1.3959051703081182</v>
      </c>
      <c r="KD1" s="562">
        <v>1.6739512644725663</v>
      </c>
      <c r="KE1" s="558">
        <v>1.8946220794029622</v>
      </c>
      <c r="KF1" s="558">
        <v>2.5559282896490849</v>
      </c>
      <c r="KG1" s="558"/>
      <c r="KH1" s="558"/>
      <c r="KI1" s="563"/>
      <c r="KJ1" s="564"/>
      <c r="KK1" s="564"/>
      <c r="KL1" s="564"/>
      <c r="KM1" s="564"/>
      <c r="KN1" s="564"/>
      <c r="KO1" s="564"/>
      <c r="KP1" s="564"/>
      <c r="KQ1" s="564"/>
      <c r="KR1" s="564"/>
      <c r="KS1" s="564"/>
      <c r="KT1" s="564"/>
      <c r="KU1" s="564"/>
      <c r="KV1" s="564"/>
      <c r="KW1" s="564"/>
      <c r="KX1" s="564"/>
      <c r="KY1" s="564"/>
      <c r="KZ1" s="564"/>
      <c r="LA1" s="564"/>
      <c r="LB1" s="564"/>
      <c r="LC1" s="564"/>
      <c r="LD1" s="564"/>
      <c r="LE1" s="564"/>
      <c r="LF1" s="564"/>
      <c r="LG1" s="564"/>
      <c r="LH1" s="564"/>
      <c r="LI1" s="564"/>
      <c r="LJ1" s="564"/>
      <c r="LK1" s="564"/>
      <c r="LL1" s="564"/>
      <c r="LM1" s="564"/>
      <c r="LN1" s="564"/>
      <c r="LO1" s="564"/>
    </row>
    <row r="2" spans="3:342" ht="52.5" customHeight="1">
      <c r="J2" s="874" t="s">
        <v>340</v>
      </c>
      <c r="K2" s="901"/>
      <c r="L2" s="901"/>
      <c r="M2" s="901"/>
      <c r="N2" s="901"/>
      <c r="O2" s="901"/>
      <c r="P2" s="901"/>
      <c r="Q2" s="901"/>
      <c r="R2" s="901"/>
      <c r="S2" s="901"/>
      <c r="T2" s="901"/>
      <c r="U2" s="901"/>
      <c r="V2" s="901"/>
      <c r="W2" s="901"/>
      <c r="X2" s="901"/>
      <c r="Y2" s="901"/>
      <c r="Z2" s="901"/>
      <c r="AA2" s="902"/>
      <c r="AM2" s="903" t="s">
        <v>341</v>
      </c>
      <c r="AN2" s="903"/>
      <c r="AO2" s="903"/>
      <c r="AP2" s="903"/>
      <c r="AR2" s="904" t="s">
        <v>342</v>
      </c>
      <c r="AS2" s="905"/>
      <c r="AT2" s="905"/>
      <c r="AU2" s="906"/>
      <c r="AV2" s="565"/>
      <c r="AW2" s="565"/>
      <c r="AX2" s="565"/>
      <c r="AY2" s="566"/>
      <c r="AZ2" s="566"/>
      <c r="BA2" s="566"/>
      <c r="BB2" s="566"/>
      <c r="BC2" s="565"/>
      <c r="BE2" s="904" t="s">
        <v>343</v>
      </c>
      <c r="BF2" s="905"/>
      <c r="BG2" s="905"/>
      <c r="BH2" s="905"/>
      <c r="BI2" s="906"/>
      <c r="BJ2" s="565"/>
      <c r="BK2" s="903" t="s">
        <v>344</v>
      </c>
      <c r="BL2" s="903"/>
      <c r="BM2" s="903"/>
      <c r="BN2" s="903"/>
      <c r="CV2" s="899" t="s">
        <v>339</v>
      </c>
      <c r="CW2" s="899"/>
      <c r="CX2" s="899"/>
      <c r="CY2" s="899"/>
      <c r="CZ2" s="899"/>
      <c r="DA2" s="899"/>
      <c r="DB2" s="899"/>
      <c r="DC2" s="899"/>
      <c r="DJ2" s="566"/>
      <c r="DK2" s="566"/>
      <c r="DL2" s="566"/>
      <c r="DM2" s="566"/>
      <c r="DN2" s="833"/>
      <c r="DO2" s="833"/>
      <c r="DP2" s="833"/>
      <c r="DQ2" s="833"/>
      <c r="DR2" s="566"/>
      <c r="DS2" s="566"/>
      <c r="DT2" s="566"/>
      <c r="DU2" s="566"/>
      <c r="DV2" s="566"/>
      <c r="DW2" s="566"/>
      <c r="DX2" s="566"/>
      <c r="DY2" s="566"/>
      <c r="DZ2" s="566"/>
      <c r="EA2" s="566"/>
      <c r="EB2" s="566"/>
      <c r="EC2" s="566"/>
      <c r="ED2" s="833"/>
      <c r="EE2" s="833"/>
      <c r="EF2" s="833"/>
      <c r="EG2" s="833"/>
      <c r="EH2" s="565"/>
      <c r="EI2" s="565"/>
      <c r="EJ2" s="565"/>
      <c r="EK2" s="565"/>
      <c r="EO2" s="565"/>
      <c r="EP2" s="565"/>
      <c r="EQ2" s="565"/>
      <c r="ER2" s="565"/>
      <c r="GM2" s="567"/>
      <c r="GO2" s="331" t="s">
        <v>345</v>
      </c>
      <c r="GP2" s="331" t="s">
        <v>264</v>
      </c>
      <c r="GQ2" s="353"/>
      <c r="GR2" s="558"/>
      <c r="GS2" s="558"/>
      <c r="GT2" s="558"/>
      <c r="GU2" s="558"/>
      <c r="GV2" s="558"/>
      <c r="GW2" s="558"/>
      <c r="GX2" s="558"/>
      <c r="GY2" s="558"/>
      <c r="GZ2" s="558"/>
      <c r="HA2" s="558"/>
      <c r="HB2" s="558"/>
      <c r="HC2" s="558"/>
      <c r="HD2" s="558"/>
      <c r="HE2" s="558"/>
      <c r="HF2" s="559">
        <v>0.27377977502885031</v>
      </c>
      <c r="HG2" s="559">
        <v>5.0117445422527274E-2</v>
      </c>
      <c r="HH2" s="559">
        <v>1.2549628958581041</v>
      </c>
      <c r="HI2" s="559">
        <v>1.2497486087595566</v>
      </c>
      <c r="HJ2" s="559">
        <v>1.3745108143808082</v>
      </c>
      <c r="HK2" s="559">
        <v>0</v>
      </c>
      <c r="HL2" s="560">
        <v>0</v>
      </c>
      <c r="HM2" s="560">
        <v>9.5581712518860329E-2</v>
      </c>
      <c r="HN2" s="560">
        <v>0.88605581502386643</v>
      </c>
      <c r="HO2" s="560">
        <v>1.0990213428824176</v>
      </c>
      <c r="HP2" s="560">
        <v>1.3120479451659581</v>
      </c>
      <c r="HQ2" s="560">
        <v>0.8206613543522252</v>
      </c>
      <c r="HR2" s="560">
        <v>0.87649406804413788</v>
      </c>
      <c r="HS2" s="558"/>
      <c r="HT2" s="560">
        <v>1.0149671470535335</v>
      </c>
      <c r="HU2" s="560">
        <v>1.3907274751595049</v>
      </c>
      <c r="HV2" s="560">
        <v>1.5814060796878364</v>
      </c>
      <c r="HW2" s="558"/>
      <c r="HX2" s="560">
        <v>1.285955477144382</v>
      </c>
      <c r="HY2" s="560">
        <v>1.4330893150189925</v>
      </c>
      <c r="HZ2" s="560">
        <v>1.6251035024327836</v>
      </c>
      <c r="IA2" s="560">
        <v>1.256325130508128</v>
      </c>
      <c r="IB2" s="560">
        <v>3.2985196220494446</v>
      </c>
      <c r="IC2" s="560">
        <v>1.5988679900558163</v>
      </c>
      <c r="ID2" s="560">
        <v>1.7257873380430295</v>
      </c>
      <c r="IE2" s="560">
        <v>2.1282308496684261</v>
      </c>
      <c r="IF2" s="560">
        <v>0.78796317005615701</v>
      </c>
      <c r="IG2" s="560">
        <v>1.0569188970994938</v>
      </c>
      <c r="IH2" s="560">
        <v>0.43433757204688783</v>
      </c>
      <c r="II2" s="560">
        <v>0.66184001163422823</v>
      </c>
      <c r="IJ2" s="559">
        <v>1.6632737697976525</v>
      </c>
      <c r="IK2" s="559">
        <v>0</v>
      </c>
      <c r="IL2" s="559">
        <v>0</v>
      </c>
      <c r="IM2" s="559">
        <v>0.40926492224986305</v>
      </c>
      <c r="IN2" s="560">
        <v>0.48134995947137416</v>
      </c>
      <c r="IO2" s="560">
        <v>0.6257306546476904</v>
      </c>
      <c r="IP2" s="560">
        <v>0.24002889761694779</v>
      </c>
      <c r="IQ2" s="560">
        <v>0</v>
      </c>
      <c r="IR2" s="559">
        <v>0.18759928019970629</v>
      </c>
      <c r="IS2" s="559">
        <v>0</v>
      </c>
      <c r="IT2" s="559">
        <v>0</v>
      </c>
      <c r="IU2" s="560">
        <v>0.2704635756724672</v>
      </c>
      <c r="IV2" s="560">
        <v>0</v>
      </c>
      <c r="IW2" s="558"/>
      <c r="IX2" s="560">
        <v>2.2675410269212326E-2</v>
      </c>
      <c r="IY2" s="560">
        <v>0.36340376132064567</v>
      </c>
      <c r="IZ2" s="560">
        <v>0.37605743633989064</v>
      </c>
      <c r="JA2" s="560">
        <v>0.17460733608701229</v>
      </c>
      <c r="JB2" s="560">
        <v>0.29018931556846017</v>
      </c>
      <c r="JC2" s="561">
        <v>3.5577882173887909E-2</v>
      </c>
      <c r="JD2" s="561">
        <v>0</v>
      </c>
      <c r="JE2" s="561">
        <v>2.3050968307833819E-2</v>
      </c>
      <c r="JF2" s="561">
        <v>0.50098849757939823</v>
      </c>
      <c r="JG2" s="561">
        <v>0</v>
      </c>
      <c r="JH2" s="560">
        <v>0</v>
      </c>
      <c r="JI2" s="560">
        <v>0</v>
      </c>
      <c r="JJ2" s="560">
        <v>0.96911842657026459</v>
      </c>
      <c r="JK2" s="560">
        <v>0.18947079166475689</v>
      </c>
      <c r="JL2" s="560">
        <v>5.8206808902991347E-2</v>
      </c>
      <c r="JM2" s="560">
        <v>0</v>
      </c>
      <c r="JN2" s="560">
        <v>0</v>
      </c>
      <c r="JO2" s="560">
        <v>0</v>
      </c>
      <c r="JP2" s="560">
        <v>0</v>
      </c>
      <c r="JQ2" s="560">
        <v>0</v>
      </c>
      <c r="JR2" s="560">
        <v>0</v>
      </c>
      <c r="JS2" s="560">
        <v>0</v>
      </c>
      <c r="JT2" s="560">
        <v>0</v>
      </c>
      <c r="JU2" s="560">
        <v>0.39130043574814333</v>
      </c>
      <c r="JV2" s="560">
        <v>0</v>
      </c>
      <c r="JW2" s="562">
        <v>0</v>
      </c>
      <c r="JX2" s="562">
        <v>0.33687665813025691</v>
      </c>
      <c r="JY2" s="562">
        <v>0.28527772846652377</v>
      </c>
      <c r="JZ2" s="562">
        <v>0</v>
      </c>
      <c r="KA2" s="562">
        <v>0</v>
      </c>
      <c r="KB2" s="558">
        <v>2.6661554931735312</v>
      </c>
      <c r="KC2" s="558">
        <v>2.8808948296918815</v>
      </c>
      <c r="KD2" s="562">
        <v>0</v>
      </c>
      <c r="KE2" s="558">
        <v>4.513377920597037</v>
      </c>
      <c r="KF2" s="558">
        <v>5.5944717103509163</v>
      </c>
      <c r="KG2" s="558"/>
      <c r="KH2" s="558"/>
      <c r="KI2" s="563"/>
      <c r="KJ2" s="564"/>
      <c r="KK2" s="564"/>
      <c r="KL2" s="564"/>
      <c r="KM2" s="564"/>
      <c r="KN2" s="564"/>
      <c r="KO2" s="564"/>
      <c r="KP2" s="564"/>
      <c r="KQ2" s="564"/>
      <c r="KR2" s="564"/>
      <c r="KS2" s="564"/>
      <c r="KT2" s="564"/>
      <c r="KU2" s="564"/>
      <c r="KV2" s="564"/>
      <c r="KW2" s="564"/>
      <c r="KX2" s="564"/>
      <c r="KY2" s="564"/>
      <c r="KZ2" s="564"/>
      <c r="LA2" s="564"/>
      <c r="LB2" s="564"/>
      <c r="LC2" s="564"/>
      <c r="LD2" s="564"/>
      <c r="LE2" s="564"/>
      <c r="LF2" s="564"/>
      <c r="LG2" s="564"/>
      <c r="LH2" s="564"/>
      <c r="LI2" s="564"/>
      <c r="LJ2" s="564"/>
      <c r="LK2" s="564"/>
      <c r="LL2" s="564"/>
      <c r="LM2" s="564"/>
      <c r="LN2" s="564"/>
      <c r="LO2" s="564"/>
    </row>
    <row r="3" spans="3:342" ht="15" customHeight="1">
      <c r="J3" s="897" t="s">
        <v>346</v>
      </c>
      <c r="K3" s="898"/>
      <c r="L3" s="898"/>
      <c r="M3" s="898"/>
      <c r="N3" s="898"/>
      <c r="O3" s="898"/>
      <c r="P3" s="898"/>
      <c r="Q3" s="898"/>
      <c r="R3" s="898"/>
      <c r="S3" s="898"/>
      <c r="T3" s="898"/>
      <c r="U3" s="891"/>
      <c r="AM3" s="903"/>
      <c r="AN3" s="903"/>
      <c r="AO3" s="903"/>
      <c r="AP3" s="903"/>
      <c r="AR3" s="907"/>
      <c r="AS3" s="908"/>
      <c r="AT3" s="908"/>
      <c r="AU3" s="909"/>
      <c r="AV3" s="565"/>
      <c r="AW3" s="565"/>
      <c r="AX3" s="565"/>
      <c r="AY3" s="566"/>
      <c r="AZ3" s="566"/>
      <c r="BA3" s="566"/>
      <c r="BB3" s="566"/>
      <c r="BC3" s="565"/>
      <c r="BE3" s="907"/>
      <c r="BF3" s="908"/>
      <c r="BG3" s="908"/>
      <c r="BH3" s="908"/>
      <c r="BI3" s="909"/>
      <c r="BJ3" s="565"/>
      <c r="BK3" s="903"/>
      <c r="BL3" s="903"/>
      <c r="BM3" s="903"/>
      <c r="BN3" s="903"/>
      <c r="CQ3" s="897" t="s">
        <v>347</v>
      </c>
      <c r="CR3" s="898"/>
      <c r="CS3" s="898"/>
      <c r="CT3" s="898"/>
      <c r="CU3" s="898"/>
      <c r="CV3" s="900"/>
      <c r="CW3" s="900"/>
      <c r="CX3" s="900"/>
      <c r="CY3" s="900"/>
      <c r="CZ3" s="900"/>
      <c r="DA3" s="900"/>
      <c r="DB3" s="900"/>
      <c r="DC3" s="900"/>
      <c r="DJ3" s="566"/>
      <c r="DK3" s="566"/>
      <c r="DL3" s="566"/>
      <c r="DM3" s="566"/>
      <c r="DN3" s="833"/>
      <c r="DO3" s="833"/>
      <c r="DP3" s="833"/>
      <c r="DQ3" s="833"/>
      <c r="DR3" s="566"/>
      <c r="DS3" s="566"/>
      <c r="DT3" s="566"/>
      <c r="DU3" s="566"/>
      <c r="DV3" s="566"/>
      <c r="DW3" s="566"/>
      <c r="DX3" s="566"/>
      <c r="DY3" s="566"/>
      <c r="DZ3" s="566"/>
      <c r="EA3" s="566"/>
      <c r="EB3" s="566"/>
      <c r="EC3" s="566"/>
      <c r="ED3" s="833"/>
      <c r="EE3" s="833"/>
      <c r="EF3" s="833"/>
      <c r="EG3" s="833"/>
      <c r="EH3" s="565"/>
      <c r="EI3" s="565"/>
      <c r="EJ3" s="565"/>
      <c r="EK3" s="565"/>
      <c r="EO3" s="565"/>
      <c r="EP3" s="565"/>
      <c r="EQ3" s="565"/>
      <c r="ER3" s="565"/>
      <c r="ET3" s="879" t="s">
        <v>591</v>
      </c>
      <c r="EU3" s="879"/>
      <c r="EV3" s="879"/>
      <c r="EW3" s="879"/>
      <c r="EX3" s="879"/>
      <c r="EY3" s="879"/>
      <c r="EZ3" s="879"/>
      <c r="FA3" s="879"/>
      <c r="FB3" s="879"/>
      <c r="FC3" s="879"/>
      <c r="FD3" s="879"/>
      <c r="FE3" s="879"/>
      <c r="FF3" s="879"/>
      <c r="FG3" s="879"/>
      <c r="FH3" s="879"/>
      <c r="FI3" s="879"/>
      <c r="FJ3" s="879"/>
      <c r="FL3" s="879" t="s">
        <v>594</v>
      </c>
      <c r="FM3" s="879"/>
      <c r="FN3" s="879"/>
      <c r="FO3" s="879"/>
      <c r="FP3" s="879"/>
      <c r="FQ3" s="879"/>
      <c r="FR3" s="879"/>
      <c r="FS3" s="879"/>
      <c r="FT3" s="879"/>
      <c r="FU3" s="879"/>
      <c r="FV3" s="879"/>
      <c r="FW3" s="879"/>
      <c r="FX3" s="879"/>
      <c r="FY3" s="879"/>
      <c r="FZ3" s="879"/>
      <c r="GA3" s="879"/>
      <c r="GB3" s="879"/>
      <c r="GM3" s="568"/>
      <c r="GP3" s="331" t="s">
        <v>265</v>
      </c>
      <c r="GQ3" s="353"/>
      <c r="GR3" s="450"/>
      <c r="GS3" s="450"/>
      <c r="GT3" s="450"/>
      <c r="GU3" s="450"/>
      <c r="GV3" s="450"/>
      <c r="GW3" s="450"/>
      <c r="GX3" s="450"/>
      <c r="GY3" s="450"/>
      <c r="GZ3" s="450"/>
      <c r="HA3" s="450"/>
      <c r="HB3" s="450"/>
      <c r="HC3" s="450"/>
      <c r="HD3" s="450"/>
      <c r="HE3" s="450"/>
      <c r="HF3" s="450"/>
      <c r="HG3" s="569">
        <v>7.1131665065171101E-2</v>
      </c>
      <c r="HH3" s="569">
        <v>7.2370187076419457E-2</v>
      </c>
      <c r="HI3" s="569">
        <v>7.348497325675192E-2</v>
      </c>
      <c r="HJ3" s="569">
        <v>7.4698781954347024E-2</v>
      </c>
      <c r="HK3" s="569">
        <v>7.4132991222055911E-2</v>
      </c>
      <c r="HL3" s="513">
        <v>7.4058184846743841E-2</v>
      </c>
      <c r="HM3" s="513">
        <v>7.5538395676156E-2</v>
      </c>
      <c r="HN3" s="513">
        <v>7.6713474630190001E-2</v>
      </c>
      <c r="HO3" s="513">
        <v>7.8191683954782279E-2</v>
      </c>
      <c r="HP3" s="513">
        <v>7.9517139218662963E-2</v>
      </c>
      <c r="HQ3" s="513">
        <v>8.1096575490981371E-2</v>
      </c>
      <c r="HR3" s="570">
        <v>8.2700279753760722E-2</v>
      </c>
      <c r="HS3" s="570">
        <v>8.454290607691238E-2</v>
      </c>
      <c r="HT3" s="570">
        <v>8.6209323440402455E-2</v>
      </c>
      <c r="HU3" s="513">
        <v>8.8385519637080454E-2</v>
      </c>
      <c r="HV3" s="513">
        <v>9.0520255290963469E-2</v>
      </c>
      <c r="HW3" s="450"/>
      <c r="HX3" s="513">
        <v>7.006270173744937E-2</v>
      </c>
      <c r="HY3" s="513">
        <v>7.1244812340249403E-2</v>
      </c>
      <c r="HZ3" s="513">
        <v>7.2516112995369877E-2</v>
      </c>
      <c r="IA3" s="513">
        <v>7.3917756446772315E-2</v>
      </c>
      <c r="IB3" s="513">
        <v>7.5436467454301562E-2</v>
      </c>
      <c r="IC3" s="513">
        <v>7.7101761571407884E-2</v>
      </c>
      <c r="ID3" s="513">
        <v>7.8575163996925712E-2</v>
      </c>
      <c r="IE3" s="513">
        <v>8.0293775296724573E-2</v>
      </c>
      <c r="IF3" s="513">
        <v>8.2407323583684619E-2</v>
      </c>
      <c r="IG3" s="513">
        <v>8.4691013232896364E-2</v>
      </c>
      <c r="IH3" s="513">
        <v>8.7025732557840255E-2</v>
      </c>
      <c r="II3" s="513">
        <v>8.9109559551517128E-2</v>
      </c>
      <c r="IJ3" s="569">
        <v>9.1041589625642072E-2</v>
      </c>
      <c r="IK3" s="569">
        <v>9.3383482377745755E-2</v>
      </c>
      <c r="IL3" s="569">
        <v>9.5536351137595815E-2</v>
      </c>
      <c r="IM3" s="569">
        <v>9.5989601042717601E-2</v>
      </c>
      <c r="IN3" s="513">
        <v>9.8007845145949096E-2</v>
      </c>
      <c r="IO3" s="513">
        <v>0.10076106643161574</v>
      </c>
      <c r="IP3" s="513">
        <v>0.10391849520769632</v>
      </c>
      <c r="IQ3" s="513">
        <v>0.10808206322528686</v>
      </c>
      <c r="IR3" s="569">
        <v>0.11204415440555821</v>
      </c>
      <c r="IS3" s="569">
        <v>0.11620113717877333</v>
      </c>
      <c r="IT3" s="569">
        <v>0.12077271101725059</v>
      </c>
      <c r="IU3" s="513">
        <v>0.12604407810035723</v>
      </c>
      <c r="IV3" s="513">
        <v>0.13225240945560984</v>
      </c>
      <c r="IW3" s="450"/>
      <c r="IX3" s="513">
        <v>0.12791714325399889</v>
      </c>
      <c r="IY3" s="513">
        <v>0.13144707897678948</v>
      </c>
      <c r="IZ3" s="513">
        <v>0.13473687951727259</v>
      </c>
      <c r="JA3" s="513">
        <v>0.13804771039661665</v>
      </c>
      <c r="JB3" s="513">
        <v>0.1423119048241851</v>
      </c>
      <c r="JC3" s="571">
        <v>0.14766480489073025</v>
      </c>
      <c r="JD3" s="571">
        <v>0.15431504800861165</v>
      </c>
      <c r="JE3" s="571">
        <v>0.15998619674672485</v>
      </c>
      <c r="JF3" s="571">
        <v>0.16635718079127981</v>
      </c>
      <c r="JG3" s="571">
        <v>0.17528845436514184</v>
      </c>
      <c r="JH3" s="513">
        <v>0.1838968313169046</v>
      </c>
      <c r="JI3" s="513">
        <v>0.19218438273390134</v>
      </c>
      <c r="JJ3" s="513">
        <v>0.20087182803712492</v>
      </c>
      <c r="JK3" s="513">
        <v>0.21052588270433509</v>
      </c>
      <c r="JL3" s="513">
        <v>0.22081694974283289</v>
      </c>
      <c r="JM3" s="513">
        <v>0.23347288275767913</v>
      </c>
      <c r="JN3" s="513">
        <v>0.2463282154449889</v>
      </c>
      <c r="JO3" s="513">
        <v>0.26060139890384199</v>
      </c>
      <c r="JP3" s="513">
        <v>0.27744574203420114</v>
      </c>
      <c r="JQ3" s="513">
        <v>0.28710639505317503</v>
      </c>
      <c r="JR3" s="513">
        <v>0.29695105402378374</v>
      </c>
      <c r="JS3" s="513">
        <v>0.30667494173783622</v>
      </c>
      <c r="JT3" s="513">
        <v>0.31824793946431185</v>
      </c>
      <c r="JU3" s="450"/>
      <c r="JV3" s="513">
        <v>0.33928519272867319</v>
      </c>
      <c r="JW3" s="450"/>
      <c r="JX3" s="513">
        <v>0.37409265938246977</v>
      </c>
      <c r="JY3" s="513">
        <v>0.37813038475999905</v>
      </c>
      <c r="JZ3" s="513">
        <v>0.39529288986479744</v>
      </c>
      <c r="KA3" s="572">
        <v>1.3279417406315535</v>
      </c>
      <c r="KB3" s="572">
        <v>1.4923511100194604</v>
      </c>
      <c r="KC3" s="573"/>
      <c r="KD3" s="573"/>
      <c r="KE3" s="573"/>
      <c r="KF3" s="573"/>
      <c r="KG3" s="573"/>
      <c r="KH3" s="573"/>
      <c r="KI3" s="573"/>
      <c r="KJ3" s="573"/>
      <c r="KK3" s="573"/>
      <c r="KL3" s="573"/>
      <c r="KM3" s="573"/>
      <c r="KN3" s="573"/>
      <c r="KO3" s="573"/>
      <c r="KP3" s="573"/>
      <c r="KQ3" s="573"/>
      <c r="KR3" s="573"/>
      <c r="KS3" s="573"/>
      <c r="KT3" s="573"/>
      <c r="KU3" s="573"/>
      <c r="KV3" s="573"/>
      <c r="KW3" s="573"/>
      <c r="KX3" s="573"/>
      <c r="KY3" s="573"/>
      <c r="KZ3" s="573"/>
      <c r="LA3" s="573"/>
      <c r="LB3" s="573"/>
      <c r="LC3" s="573"/>
      <c r="LD3" s="573"/>
      <c r="LE3" s="573"/>
      <c r="LF3" s="573"/>
      <c r="LG3" s="573"/>
      <c r="LH3" s="573"/>
      <c r="LI3" s="573"/>
      <c r="LJ3" s="573"/>
      <c r="LK3" s="573"/>
      <c r="LL3" s="573"/>
      <c r="LM3" s="573"/>
      <c r="LN3" s="573"/>
      <c r="LO3" s="573"/>
    </row>
    <row r="4" spans="3:342" ht="16">
      <c r="J4" s="435" t="s">
        <v>0</v>
      </c>
      <c r="K4" s="435" t="s">
        <v>349</v>
      </c>
      <c r="L4" s="435" t="s">
        <v>264</v>
      </c>
      <c r="M4" s="435" t="s">
        <v>265</v>
      </c>
      <c r="N4" s="435" t="s">
        <v>266</v>
      </c>
      <c r="O4" s="435" t="s">
        <v>267</v>
      </c>
      <c r="P4" s="435" t="s">
        <v>350</v>
      </c>
      <c r="Q4" s="435" t="s">
        <v>351</v>
      </c>
      <c r="R4" s="435" t="s">
        <v>264</v>
      </c>
      <c r="S4" s="435" t="s">
        <v>265</v>
      </c>
      <c r="T4" s="435" t="s">
        <v>266</v>
      </c>
      <c r="U4" s="435" t="s">
        <v>267</v>
      </c>
      <c r="W4" s="894" t="s">
        <v>352</v>
      </c>
      <c r="X4" s="895"/>
      <c r="Y4" s="895"/>
      <c r="Z4" s="895"/>
      <c r="AA4" s="895"/>
      <c r="AC4" s="894" t="s">
        <v>353</v>
      </c>
      <c r="AD4" s="895"/>
      <c r="AE4" s="895"/>
      <c r="AF4" s="895"/>
      <c r="AH4" s="894" t="s">
        <v>354</v>
      </c>
      <c r="AI4" s="895"/>
      <c r="AJ4" s="895"/>
      <c r="AK4" s="895"/>
      <c r="AM4" s="881" t="s">
        <v>355</v>
      </c>
      <c r="AN4" s="882"/>
      <c r="AO4" s="882"/>
      <c r="AP4" s="883"/>
      <c r="AR4" s="881" t="s">
        <v>356</v>
      </c>
      <c r="AS4" s="882"/>
      <c r="AT4" s="882"/>
      <c r="AU4" s="883"/>
      <c r="AV4" s="574"/>
      <c r="AW4" s="574"/>
      <c r="AX4" s="574"/>
      <c r="AY4" s="880" t="s">
        <v>357</v>
      </c>
      <c r="AZ4" s="880"/>
      <c r="BA4" s="880"/>
      <c r="BB4" s="880"/>
      <c r="BC4" s="574"/>
      <c r="BE4" s="894" t="s">
        <v>358</v>
      </c>
      <c r="BF4" s="895"/>
      <c r="BG4" s="895"/>
      <c r="BH4" s="895"/>
      <c r="BI4" s="895"/>
      <c r="BJ4" s="574"/>
      <c r="BK4" s="575"/>
      <c r="BL4" s="575"/>
      <c r="BM4" s="575"/>
      <c r="BN4" s="575"/>
      <c r="BT4" s="896"/>
      <c r="BU4" s="896"/>
      <c r="BV4" s="896"/>
      <c r="BY4" s="574"/>
      <c r="BZ4" s="574"/>
      <c r="CA4" s="574"/>
      <c r="CB4" s="574"/>
      <c r="CC4" s="574"/>
      <c r="CD4" s="574"/>
      <c r="CP4" s="576"/>
      <c r="CQ4" s="577" t="s">
        <v>0</v>
      </c>
      <c r="CR4" s="577" t="s">
        <v>264</v>
      </c>
      <c r="CS4" s="577" t="s">
        <v>265</v>
      </c>
      <c r="CT4" s="578" t="s">
        <v>266</v>
      </c>
      <c r="CU4" s="577" t="s">
        <v>267</v>
      </c>
      <c r="CV4" s="577" t="s">
        <v>264</v>
      </c>
      <c r="CW4" s="577" t="s">
        <v>264</v>
      </c>
      <c r="CX4" s="577" t="s">
        <v>265</v>
      </c>
      <c r="CY4" s="577" t="s">
        <v>265</v>
      </c>
      <c r="CZ4" s="578" t="s">
        <v>266</v>
      </c>
      <c r="DA4" s="578" t="s">
        <v>266</v>
      </c>
      <c r="DB4" s="577" t="s">
        <v>267</v>
      </c>
      <c r="DC4" s="577" t="s">
        <v>267</v>
      </c>
      <c r="DD4" s="579"/>
      <c r="DE4" s="579"/>
      <c r="DF4" s="897" t="s">
        <v>348</v>
      </c>
      <c r="DG4" s="898"/>
      <c r="DH4" s="898"/>
      <c r="DI4" s="898"/>
      <c r="DJ4" s="880" t="s">
        <v>630</v>
      </c>
      <c r="DK4" s="880"/>
      <c r="DL4" s="880"/>
      <c r="DM4" s="880"/>
      <c r="DN4" s="880" t="s">
        <v>631</v>
      </c>
      <c r="DO4" s="880"/>
      <c r="DP4" s="880"/>
      <c r="DQ4" s="880"/>
      <c r="DR4" s="880" t="s">
        <v>590</v>
      </c>
      <c r="DS4" s="880"/>
      <c r="DT4" s="880"/>
      <c r="DU4" s="880"/>
      <c r="DV4" s="880" t="s">
        <v>336</v>
      </c>
      <c r="DW4" s="880"/>
      <c r="DX4" s="880"/>
      <c r="DY4" s="880"/>
      <c r="DZ4" s="880" t="s">
        <v>595</v>
      </c>
      <c r="EA4" s="880"/>
      <c r="EB4" s="880"/>
      <c r="EC4" s="880"/>
      <c r="ED4" s="834"/>
      <c r="EE4" s="834"/>
      <c r="EF4" s="834"/>
      <c r="EG4" s="834"/>
      <c r="EH4" s="881" t="s">
        <v>359</v>
      </c>
      <c r="EI4" s="882"/>
      <c r="EJ4" s="882"/>
      <c r="EK4" s="883"/>
      <c r="EL4" s="678"/>
      <c r="EM4" s="153" t="s">
        <v>122</v>
      </c>
      <c r="EN4" s="579"/>
      <c r="EO4" s="881" t="s">
        <v>359</v>
      </c>
      <c r="EP4" s="882"/>
      <c r="EQ4" s="882"/>
      <c r="ER4" s="883"/>
      <c r="GM4" s="568"/>
      <c r="GP4" s="331" t="s">
        <v>265</v>
      </c>
      <c r="GQ4" s="353"/>
      <c r="GR4" s="450"/>
      <c r="GS4" s="450"/>
      <c r="GT4" s="450"/>
      <c r="GU4" s="450"/>
      <c r="GV4" s="450"/>
      <c r="GW4" s="450"/>
      <c r="GX4" s="450"/>
      <c r="GY4" s="450"/>
      <c r="GZ4" s="450"/>
      <c r="HA4" s="450"/>
      <c r="HB4" s="450"/>
      <c r="HC4" s="450"/>
      <c r="HD4" s="450"/>
      <c r="HE4" s="450"/>
      <c r="HF4" s="450"/>
      <c r="HG4" s="569">
        <v>0.50162206402235088</v>
      </c>
      <c r="HH4" s="569">
        <v>0.48470291656203784</v>
      </c>
      <c r="HI4" s="569">
        <v>1.6264280882273778</v>
      </c>
      <c r="HJ4" s="569">
        <v>1.4614659792013984</v>
      </c>
      <c r="HK4" s="569">
        <v>0.39362550566783716</v>
      </c>
      <c r="HL4" s="513">
        <v>0</v>
      </c>
      <c r="HM4" s="513">
        <v>1.0494135322443381</v>
      </c>
      <c r="HN4" s="513">
        <v>1.2301472232208899</v>
      </c>
      <c r="HO4" s="513">
        <v>0.83720284854064531</v>
      </c>
      <c r="HP4" s="513">
        <v>1.3362535954933323</v>
      </c>
      <c r="HQ4" s="513">
        <v>1.0022222430548224</v>
      </c>
      <c r="HR4" s="570">
        <v>1.4607016906563315</v>
      </c>
      <c r="HS4" s="570">
        <v>1.4749838095253345</v>
      </c>
      <c r="HT4" s="570">
        <v>1.7330612395185567</v>
      </c>
      <c r="HU4" s="513">
        <v>0</v>
      </c>
      <c r="HV4" s="513">
        <v>0.43693698855509461</v>
      </c>
      <c r="HW4" s="450"/>
      <c r="HX4" s="513">
        <v>0.88552814318778561</v>
      </c>
      <c r="HY4" s="513">
        <v>-1.499367405283071</v>
      </c>
      <c r="HZ4" s="513">
        <v>1.2315292265566435</v>
      </c>
      <c r="IA4" s="513">
        <v>1.5283977529609236</v>
      </c>
      <c r="IB4" s="513">
        <v>1.4663346367105776</v>
      </c>
      <c r="IC4" s="513">
        <v>1.5352116720721476</v>
      </c>
      <c r="ID4" s="513">
        <v>2.3519126193854683</v>
      </c>
      <c r="IE4" s="513">
        <v>1.8891008768346937</v>
      </c>
      <c r="IF4" s="513">
        <v>1.4872704260777243</v>
      </c>
      <c r="IG4" s="513">
        <v>2.5417501357402048</v>
      </c>
      <c r="IH4" s="513">
        <v>1.6532884463799511</v>
      </c>
      <c r="II4" s="513">
        <v>1.8721601844254701</v>
      </c>
      <c r="IJ4" s="569">
        <v>1.7446200411227548</v>
      </c>
      <c r="IK4" s="569">
        <v>-0.22826355030133871</v>
      </c>
      <c r="IL4" s="569">
        <v>-1.2385011216926443</v>
      </c>
      <c r="IM4" s="569">
        <v>0</v>
      </c>
      <c r="IN4" s="513">
        <v>1.2457478279492509</v>
      </c>
      <c r="IO4" s="513">
        <v>1.7903196227754936</v>
      </c>
      <c r="IP4" s="513">
        <v>1.6916412447633034</v>
      </c>
      <c r="IQ4" s="513">
        <v>2.0074346753604764</v>
      </c>
      <c r="IR4" s="569">
        <v>2.1786146987599024</v>
      </c>
      <c r="IS4" s="569">
        <v>2.3964641820598338</v>
      </c>
      <c r="IT4" s="569">
        <v>1.9868085107568891</v>
      </c>
      <c r="IU4" s="513">
        <v>2.7389573525712012</v>
      </c>
      <c r="IV4" s="513">
        <v>3.7230170985412712</v>
      </c>
      <c r="IW4" s="450"/>
      <c r="IX4" s="513">
        <v>1.637902287021459</v>
      </c>
      <c r="IY4" s="513">
        <v>1.1793190174621433</v>
      </c>
      <c r="IZ4" s="513">
        <v>0.79597698484244206</v>
      </c>
      <c r="JA4" s="513">
        <v>1.0851264247652306</v>
      </c>
      <c r="JB4" s="513">
        <v>1.5534082679247554</v>
      </c>
      <c r="JC4" s="571">
        <v>4.961208512405797</v>
      </c>
      <c r="JD4" s="571">
        <v>1.9166993504744747</v>
      </c>
      <c r="JE4" s="571">
        <v>2.1995746281451796</v>
      </c>
      <c r="JF4" s="571">
        <v>4.5555059739688399</v>
      </c>
      <c r="JG4" s="571">
        <v>2.4597080958007211</v>
      </c>
      <c r="JH4" s="513">
        <v>1.8763465749482608</v>
      </c>
      <c r="JI4" s="513">
        <v>2.6613936596478447</v>
      </c>
      <c r="JJ4" s="513">
        <v>2.0206382514377332</v>
      </c>
      <c r="JK4" s="513">
        <v>1.6384369836485726</v>
      </c>
      <c r="JL4" s="513">
        <v>1.4430846337250853</v>
      </c>
      <c r="JM4" s="513">
        <v>3.2476753365947437</v>
      </c>
      <c r="JN4" s="513">
        <v>0.65745926099864604</v>
      </c>
      <c r="JO4" s="513">
        <v>1.3121790150977046</v>
      </c>
      <c r="JP4" s="513">
        <v>1.6888291754125253</v>
      </c>
      <c r="JQ4" s="513">
        <v>0.70568358235672712</v>
      </c>
      <c r="JR4" s="513">
        <v>0.2034688887627718</v>
      </c>
      <c r="JS4" s="513">
        <v>0.65039388236778839</v>
      </c>
      <c r="JT4" s="513">
        <v>0.69008777293544732</v>
      </c>
      <c r="JU4" s="450"/>
      <c r="JV4" s="513">
        <v>0</v>
      </c>
      <c r="JW4" s="450"/>
      <c r="JX4" s="513">
        <v>-1.8465061675635941</v>
      </c>
      <c r="JY4" s="513">
        <v>1.1179905797973202</v>
      </c>
      <c r="JZ4" s="513">
        <v>0.40757795515388479</v>
      </c>
      <c r="KA4" s="572">
        <v>0.58725825936844633</v>
      </c>
      <c r="KB4" s="572">
        <v>1.6756488899805397</v>
      </c>
      <c r="KC4" s="573"/>
      <c r="KD4" s="573"/>
      <c r="KE4" s="573"/>
      <c r="KF4" s="573"/>
      <c r="KG4" s="573"/>
      <c r="KH4" s="573"/>
      <c r="KI4" s="573"/>
      <c r="KJ4" s="573"/>
      <c r="KK4" s="573"/>
      <c r="KL4" s="573"/>
      <c r="KM4" s="573"/>
      <c r="KN4" s="573"/>
      <c r="KO4" s="573"/>
      <c r="KP4" s="573"/>
      <c r="KQ4" s="573"/>
      <c r="KR4" s="573"/>
      <c r="KS4" s="573"/>
      <c r="KT4" s="573"/>
      <c r="KU4" s="573"/>
      <c r="KV4" s="573"/>
      <c r="KW4" s="573"/>
      <c r="KX4" s="573"/>
      <c r="KY4" s="573"/>
      <c r="KZ4" s="573"/>
      <c r="LA4" s="573"/>
      <c r="LB4" s="573"/>
      <c r="LC4" s="573"/>
      <c r="LD4" s="573"/>
      <c r="LE4" s="573"/>
      <c r="LF4" s="573"/>
      <c r="LG4" s="573"/>
      <c r="LH4" s="573"/>
      <c r="LI4" s="573"/>
      <c r="LJ4" s="573"/>
      <c r="LK4" s="573"/>
      <c r="LL4" s="573"/>
      <c r="LM4" s="573"/>
      <c r="LN4" s="573"/>
      <c r="LO4" s="573"/>
    </row>
    <row r="5" spans="3:342" ht="16">
      <c r="J5" s="435"/>
      <c r="K5" s="435"/>
      <c r="L5" s="435"/>
      <c r="M5" s="435"/>
      <c r="N5" s="435"/>
      <c r="O5" s="435"/>
      <c r="P5" s="435"/>
      <c r="Q5" s="435"/>
      <c r="R5" s="435"/>
      <c r="S5" s="435"/>
      <c r="T5" s="435"/>
      <c r="U5" s="435"/>
      <c r="W5" s="845"/>
      <c r="X5" s="846"/>
      <c r="Y5" s="846"/>
      <c r="Z5" s="846"/>
      <c r="AA5" s="846"/>
      <c r="AC5" s="845"/>
      <c r="AD5" s="846"/>
      <c r="AE5" s="846"/>
      <c r="AF5" s="846"/>
      <c r="AH5" s="845"/>
      <c r="AI5" s="846"/>
      <c r="AJ5" s="846"/>
      <c r="AK5" s="846"/>
      <c r="AM5" s="842"/>
      <c r="AN5" s="843"/>
      <c r="AO5" s="843"/>
      <c r="AP5" s="844"/>
      <c r="AR5" s="842"/>
      <c r="AS5" s="843"/>
      <c r="AT5" s="843"/>
      <c r="AU5" s="844"/>
      <c r="AV5" s="574"/>
      <c r="AW5" s="574"/>
      <c r="AX5" s="574"/>
      <c r="AY5" s="841"/>
      <c r="AZ5" s="841"/>
      <c r="BA5" s="841"/>
      <c r="BB5" s="841"/>
      <c r="BC5" s="574"/>
      <c r="BE5" s="845"/>
      <c r="BF5" s="846"/>
      <c r="BG5" s="846"/>
      <c r="BH5" s="846"/>
      <c r="BI5" s="846"/>
      <c r="BJ5" s="574"/>
      <c r="BK5" s="575"/>
      <c r="BL5" s="575"/>
      <c r="BM5" s="575"/>
      <c r="BN5" s="575"/>
      <c r="BT5" s="847"/>
      <c r="BU5" s="847"/>
      <c r="BV5" s="847"/>
      <c r="BY5" s="574"/>
      <c r="BZ5" s="574"/>
      <c r="CA5" s="574"/>
      <c r="CB5" s="574"/>
      <c r="CC5" s="574"/>
      <c r="CD5" s="574"/>
      <c r="CP5" s="576"/>
      <c r="CQ5" s="851"/>
      <c r="CR5" s="852"/>
      <c r="CS5" s="577"/>
      <c r="CT5" s="578"/>
      <c r="CU5" s="577"/>
      <c r="CV5" s="577"/>
      <c r="CW5" s="577"/>
      <c r="CX5" s="577"/>
      <c r="CY5" s="577"/>
      <c r="CZ5" s="578"/>
      <c r="DA5" s="578"/>
      <c r="DB5" s="577"/>
      <c r="DC5" s="577"/>
      <c r="DD5" s="588"/>
      <c r="DE5" s="588"/>
      <c r="DF5" s="848"/>
      <c r="DG5" s="849"/>
      <c r="DH5" s="849"/>
      <c r="DI5" s="849"/>
      <c r="DJ5" s="841"/>
      <c r="DK5" s="841"/>
      <c r="DL5" s="841"/>
      <c r="DM5" s="841"/>
      <c r="DN5" s="841"/>
      <c r="DO5" s="841"/>
      <c r="DP5" s="841"/>
      <c r="DQ5" s="841"/>
      <c r="DR5" s="841"/>
      <c r="DS5" s="841"/>
      <c r="DT5" s="841"/>
      <c r="DU5" s="841"/>
      <c r="DV5" s="841"/>
      <c r="DW5" s="841"/>
      <c r="DX5" s="841"/>
      <c r="DY5" s="841"/>
      <c r="DZ5" s="841"/>
      <c r="EA5" s="841"/>
      <c r="EB5" s="841"/>
      <c r="EC5" s="841"/>
      <c r="ED5" s="842"/>
      <c r="EE5" s="842"/>
      <c r="EF5" s="842"/>
      <c r="EG5" s="842"/>
      <c r="EH5" s="842"/>
      <c r="EI5" s="843"/>
      <c r="EJ5" s="843"/>
      <c r="EK5" s="844"/>
      <c r="EL5" s="678"/>
      <c r="EM5" s="493">
        <v>0</v>
      </c>
      <c r="EN5" s="588"/>
      <c r="EO5" s="860"/>
      <c r="EP5" s="861"/>
      <c r="EQ5" s="861"/>
      <c r="ER5" s="862"/>
      <c r="GM5" s="853"/>
      <c r="GQ5" s="364"/>
      <c r="GR5" s="450"/>
      <c r="GS5" s="450"/>
      <c r="GT5" s="450"/>
      <c r="GU5" s="450"/>
      <c r="GV5" s="450"/>
      <c r="GW5" s="450"/>
      <c r="GX5" s="450"/>
      <c r="GY5" s="450"/>
      <c r="GZ5" s="450"/>
      <c r="HA5" s="450"/>
      <c r="HB5" s="450"/>
      <c r="HC5" s="450"/>
      <c r="HD5" s="450"/>
      <c r="HE5" s="450"/>
      <c r="HF5" s="450"/>
      <c r="HG5" s="569"/>
      <c r="HH5" s="569"/>
      <c r="HI5" s="569"/>
      <c r="HJ5" s="569"/>
      <c r="HK5" s="569"/>
      <c r="HL5" s="513"/>
      <c r="HM5" s="513"/>
      <c r="HN5" s="513"/>
      <c r="HO5" s="513"/>
      <c r="HP5" s="513"/>
      <c r="HQ5" s="513"/>
      <c r="HR5" s="570"/>
      <c r="HS5" s="570"/>
      <c r="HT5" s="570"/>
      <c r="HU5" s="513"/>
      <c r="HV5" s="513"/>
      <c r="HW5" s="450"/>
      <c r="HX5" s="513"/>
      <c r="HY5" s="513"/>
      <c r="HZ5" s="513"/>
      <c r="IA5" s="513"/>
      <c r="IB5" s="513"/>
      <c r="IC5" s="513"/>
      <c r="ID5" s="513"/>
      <c r="IE5" s="513"/>
      <c r="IF5" s="513"/>
      <c r="IG5" s="513"/>
      <c r="IH5" s="513"/>
      <c r="II5" s="513"/>
      <c r="IJ5" s="569"/>
      <c r="IK5" s="569"/>
      <c r="IL5" s="569"/>
      <c r="IM5" s="569"/>
      <c r="IN5" s="513"/>
      <c r="IO5" s="513"/>
      <c r="IP5" s="513"/>
      <c r="IQ5" s="513"/>
      <c r="IR5" s="569"/>
      <c r="IS5" s="569"/>
      <c r="IT5" s="569"/>
      <c r="IU5" s="513"/>
      <c r="IV5" s="513"/>
      <c r="IW5" s="450"/>
      <c r="IX5" s="513"/>
      <c r="IY5" s="513"/>
      <c r="IZ5" s="513"/>
      <c r="JA5" s="513"/>
      <c r="JB5" s="513"/>
      <c r="JC5" s="571"/>
      <c r="JD5" s="571"/>
      <c r="JE5" s="571"/>
      <c r="JF5" s="571"/>
      <c r="JG5" s="571"/>
      <c r="JH5" s="513"/>
      <c r="JI5" s="513"/>
      <c r="JJ5" s="513"/>
      <c r="JK5" s="513"/>
      <c r="JL5" s="513"/>
      <c r="JM5" s="513"/>
      <c r="JN5" s="513"/>
      <c r="JO5" s="513"/>
      <c r="JP5" s="513"/>
      <c r="JQ5" s="513"/>
      <c r="JR5" s="513"/>
      <c r="JS5" s="513"/>
      <c r="JT5" s="513"/>
      <c r="JU5" s="450"/>
      <c r="JV5" s="513"/>
      <c r="JW5" s="450"/>
      <c r="JX5" s="513"/>
      <c r="JY5" s="513"/>
      <c r="JZ5" s="513"/>
      <c r="KA5" s="572"/>
      <c r="KB5" s="572"/>
      <c r="KC5" s="573"/>
      <c r="KD5" s="573"/>
      <c r="KE5" s="573"/>
      <c r="KF5" s="573"/>
      <c r="KG5" s="573"/>
      <c r="KH5" s="573"/>
      <c r="KI5" s="573"/>
      <c r="KJ5" s="573"/>
      <c r="KK5" s="573"/>
      <c r="KL5" s="573"/>
      <c r="KM5" s="573"/>
      <c r="KN5" s="573"/>
      <c r="KO5" s="573"/>
      <c r="KP5" s="573"/>
      <c r="KQ5" s="573"/>
      <c r="KR5" s="573"/>
      <c r="KS5" s="573"/>
      <c r="KT5" s="573"/>
      <c r="KU5" s="573"/>
      <c r="KV5" s="573"/>
      <c r="KW5" s="573"/>
      <c r="KX5" s="573"/>
      <c r="KY5" s="573"/>
      <c r="KZ5" s="573"/>
      <c r="LA5" s="573"/>
      <c r="LB5" s="573"/>
      <c r="LC5" s="573"/>
      <c r="LD5" s="573"/>
      <c r="LE5" s="573"/>
      <c r="LF5" s="573"/>
      <c r="LG5" s="573"/>
      <c r="LH5" s="573"/>
      <c r="LI5" s="573"/>
      <c r="LJ5" s="573"/>
      <c r="LK5" s="573"/>
      <c r="LL5" s="573"/>
      <c r="LM5" s="573"/>
      <c r="LN5" s="573"/>
      <c r="LO5" s="573"/>
    </row>
    <row r="6" spans="3:342" ht="17" thickBot="1"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W6" s="845"/>
      <c r="X6" s="846"/>
      <c r="Y6" s="846"/>
      <c r="Z6" s="846"/>
      <c r="AA6" s="846"/>
      <c r="AC6" s="845"/>
      <c r="AD6" s="846"/>
      <c r="AE6" s="846"/>
      <c r="AF6" s="846"/>
      <c r="AH6" s="845"/>
      <c r="AI6" s="846"/>
      <c r="AJ6" s="846"/>
      <c r="AK6" s="846"/>
      <c r="AM6" s="842"/>
      <c r="AN6" s="843"/>
      <c r="AO6" s="843"/>
      <c r="AP6" s="844"/>
      <c r="AR6" s="842"/>
      <c r="AS6" s="843"/>
      <c r="AT6" s="843"/>
      <c r="AU6" s="844"/>
      <c r="AV6" s="574"/>
      <c r="AW6" s="574"/>
      <c r="AX6" s="574"/>
      <c r="AY6" s="841"/>
      <c r="AZ6" s="841"/>
      <c r="BA6" s="841"/>
      <c r="BB6" s="841"/>
      <c r="BC6" s="574"/>
      <c r="BE6" s="845"/>
      <c r="BF6" s="846"/>
      <c r="BG6" s="846"/>
      <c r="BH6" s="846"/>
      <c r="BI6" s="846"/>
      <c r="BJ6" s="574"/>
      <c r="BK6" s="575"/>
      <c r="BL6" s="575"/>
      <c r="BM6" s="575"/>
      <c r="BN6" s="575"/>
      <c r="BT6" s="847"/>
      <c r="BU6" s="847"/>
      <c r="BV6" s="847"/>
      <c r="BY6" s="574"/>
      <c r="BZ6" s="574"/>
      <c r="CA6" s="574"/>
      <c r="CB6" s="574"/>
      <c r="CC6" s="574"/>
      <c r="CD6" s="574"/>
      <c r="CP6" s="576"/>
      <c r="CQ6" s="595">
        <v>41562</v>
      </c>
      <c r="CR6" s="852"/>
      <c r="CS6" s="577"/>
      <c r="CT6" s="578"/>
      <c r="CU6" s="577"/>
      <c r="CV6" s="577"/>
      <c r="CW6" s="577"/>
      <c r="CX6" s="577"/>
      <c r="CY6" s="577"/>
      <c r="CZ6" s="578"/>
      <c r="DA6" s="578"/>
      <c r="DB6" s="577"/>
      <c r="DC6" s="577"/>
      <c r="DD6" s="588"/>
      <c r="DE6" s="588"/>
      <c r="DF6" s="848"/>
      <c r="DG6" s="849"/>
      <c r="DH6" s="849"/>
      <c r="DI6" s="849"/>
      <c r="DJ6" s="841"/>
      <c r="DK6" s="841"/>
      <c r="DL6" s="841"/>
      <c r="DM6" s="841"/>
      <c r="DN6" s="841"/>
      <c r="DO6" s="841"/>
      <c r="DP6" s="841"/>
      <c r="DQ6" s="841"/>
      <c r="DR6" s="841"/>
      <c r="DS6" s="841"/>
      <c r="DT6" s="841"/>
      <c r="DU6" s="841"/>
      <c r="DV6" s="841"/>
      <c r="DW6" s="841"/>
      <c r="DX6" s="841"/>
      <c r="DY6" s="841"/>
      <c r="DZ6" s="841"/>
      <c r="EA6" s="841"/>
      <c r="EB6" s="841"/>
      <c r="EC6" s="841"/>
      <c r="ED6" s="842"/>
      <c r="EE6" s="842"/>
      <c r="EF6" s="842"/>
      <c r="EG6" s="842"/>
      <c r="EH6" s="842"/>
      <c r="EI6" s="843"/>
      <c r="EJ6" s="843"/>
      <c r="EK6" s="844"/>
      <c r="EL6" s="678"/>
      <c r="EM6" s="494">
        <v>127.800000000002</v>
      </c>
      <c r="EN6" s="863">
        <v>41560</v>
      </c>
      <c r="EO6" s="435">
        <v>0</v>
      </c>
      <c r="EP6" s="435">
        <v>0</v>
      </c>
      <c r="EQ6" s="435">
        <v>0</v>
      </c>
      <c r="ER6" s="435">
        <v>0</v>
      </c>
      <c r="GM6" s="853"/>
      <c r="GQ6" s="364"/>
      <c r="GR6" s="450"/>
      <c r="GS6" s="450"/>
      <c r="GT6" s="450"/>
      <c r="GU6" s="450"/>
      <c r="GV6" s="450"/>
      <c r="GW6" s="450"/>
      <c r="GX6" s="450"/>
      <c r="GY6" s="450"/>
      <c r="GZ6" s="450"/>
      <c r="HA6" s="450"/>
      <c r="HB6" s="450"/>
      <c r="HC6" s="450"/>
      <c r="HD6" s="450"/>
      <c r="HE6" s="450"/>
      <c r="HF6" s="450"/>
      <c r="HG6" s="569"/>
      <c r="HH6" s="569"/>
      <c r="HI6" s="569"/>
      <c r="HJ6" s="569"/>
      <c r="HK6" s="569"/>
      <c r="HL6" s="513"/>
      <c r="HM6" s="513"/>
      <c r="HN6" s="513"/>
      <c r="HO6" s="513"/>
      <c r="HP6" s="513"/>
      <c r="HQ6" s="513"/>
      <c r="HR6" s="570"/>
      <c r="HS6" s="570"/>
      <c r="HT6" s="570"/>
      <c r="HU6" s="513"/>
      <c r="HV6" s="513"/>
      <c r="HW6" s="450"/>
      <c r="HX6" s="513"/>
      <c r="HY6" s="513"/>
      <c r="HZ6" s="513"/>
      <c r="IA6" s="513"/>
      <c r="IB6" s="513"/>
      <c r="IC6" s="513"/>
      <c r="ID6" s="513"/>
      <c r="IE6" s="513"/>
      <c r="IF6" s="513"/>
      <c r="IG6" s="513"/>
      <c r="IH6" s="513"/>
      <c r="II6" s="513"/>
      <c r="IJ6" s="569"/>
      <c r="IK6" s="569"/>
      <c r="IL6" s="569"/>
      <c r="IM6" s="569"/>
      <c r="IN6" s="513"/>
      <c r="IO6" s="513"/>
      <c r="IP6" s="513"/>
      <c r="IQ6" s="513"/>
      <c r="IR6" s="569"/>
      <c r="IS6" s="569"/>
      <c r="IT6" s="569"/>
      <c r="IU6" s="513"/>
      <c r="IV6" s="513"/>
      <c r="IW6" s="450"/>
      <c r="IX6" s="513"/>
      <c r="IY6" s="513"/>
      <c r="IZ6" s="513"/>
      <c r="JA6" s="513"/>
      <c r="JB6" s="513"/>
      <c r="JC6" s="571"/>
      <c r="JD6" s="571"/>
      <c r="JE6" s="571"/>
      <c r="JF6" s="571"/>
      <c r="JG6" s="571"/>
      <c r="JH6" s="513"/>
      <c r="JI6" s="513"/>
      <c r="JJ6" s="513"/>
      <c r="JK6" s="513"/>
      <c r="JL6" s="513"/>
      <c r="JM6" s="513"/>
      <c r="JN6" s="513"/>
      <c r="JO6" s="513"/>
      <c r="JP6" s="513"/>
      <c r="JQ6" s="513"/>
      <c r="JR6" s="513"/>
      <c r="JS6" s="513"/>
      <c r="JT6" s="513"/>
      <c r="JU6" s="450"/>
      <c r="JV6" s="513"/>
      <c r="JW6" s="450"/>
      <c r="JX6" s="513"/>
      <c r="JY6" s="513"/>
      <c r="JZ6" s="513"/>
      <c r="KA6" s="572"/>
      <c r="KB6" s="572"/>
      <c r="KC6" s="573"/>
      <c r="KD6" s="573"/>
      <c r="KE6" s="573"/>
      <c r="KF6" s="573"/>
      <c r="KG6" s="573"/>
      <c r="KH6" s="573"/>
      <c r="KI6" s="573"/>
      <c r="KJ6" s="573"/>
      <c r="KK6" s="573"/>
      <c r="KL6" s="573"/>
      <c r="KM6" s="573"/>
      <c r="KN6" s="573"/>
      <c r="KO6" s="573"/>
      <c r="KP6" s="573"/>
      <c r="KQ6" s="573"/>
      <c r="KR6" s="573"/>
      <c r="KS6" s="573"/>
      <c r="KT6" s="573"/>
      <c r="KU6" s="573"/>
      <c r="KV6" s="573"/>
      <c r="KW6" s="573"/>
      <c r="KX6" s="573"/>
      <c r="KY6" s="573"/>
      <c r="KZ6" s="573"/>
      <c r="LA6" s="573"/>
      <c r="LB6" s="573"/>
      <c r="LC6" s="573"/>
      <c r="LD6" s="573"/>
      <c r="LE6" s="573"/>
      <c r="LF6" s="573"/>
      <c r="LG6" s="573"/>
      <c r="LH6" s="573"/>
      <c r="LI6" s="573"/>
      <c r="LJ6" s="573"/>
      <c r="LK6" s="573"/>
      <c r="LL6" s="573"/>
      <c r="LM6" s="573"/>
      <c r="LN6" s="573"/>
      <c r="LO6" s="573"/>
    </row>
    <row r="7" spans="3:342" ht="46" thickBot="1">
      <c r="C7" s="583"/>
      <c r="D7" s="584" t="s">
        <v>360</v>
      </c>
      <c r="E7" s="584" t="s">
        <v>361</v>
      </c>
      <c r="F7" s="585"/>
      <c r="G7" s="586" t="s">
        <v>362</v>
      </c>
      <c r="H7" s="587" t="s">
        <v>363</v>
      </c>
      <c r="J7" s="580">
        <v>41544</v>
      </c>
      <c r="K7" s="581">
        <v>0</v>
      </c>
      <c r="L7" s="582">
        <v>10.0549</v>
      </c>
      <c r="M7" s="582">
        <v>10.068899999999999</v>
      </c>
      <c r="N7" s="582">
        <v>10.077999999999999</v>
      </c>
      <c r="O7" s="582">
        <v>10.0899</v>
      </c>
      <c r="P7" s="582">
        <v>98.776399999999995</v>
      </c>
      <c r="Q7" s="582">
        <v>10.099831654516739</v>
      </c>
      <c r="R7" s="582">
        <v>0</v>
      </c>
      <c r="S7" s="582">
        <v>0.61906834548325995</v>
      </c>
      <c r="T7" s="582">
        <v>0.16816834548325998</v>
      </c>
      <c r="U7" s="582">
        <v>0.26006834548326058</v>
      </c>
      <c r="W7" s="435" t="s">
        <v>0</v>
      </c>
      <c r="X7" s="435" t="s">
        <v>264</v>
      </c>
      <c r="Y7" s="435" t="s">
        <v>265</v>
      </c>
      <c r="Z7" s="435" t="s">
        <v>266</v>
      </c>
      <c r="AA7" s="435" t="s">
        <v>267</v>
      </c>
      <c r="AC7" s="435" t="s">
        <v>264</v>
      </c>
      <c r="AD7" s="435" t="s">
        <v>265</v>
      </c>
      <c r="AE7" s="435" t="s">
        <v>266</v>
      </c>
      <c r="AF7" s="435" t="s">
        <v>267</v>
      </c>
      <c r="AH7" s="435" t="s">
        <v>264</v>
      </c>
      <c r="AI7" s="435" t="s">
        <v>265</v>
      </c>
      <c r="AJ7" s="435" t="s">
        <v>266</v>
      </c>
      <c r="AK7" s="435" t="s">
        <v>267</v>
      </c>
      <c r="AM7" s="435" t="s">
        <v>264</v>
      </c>
      <c r="AN7" s="435" t="s">
        <v>265</v>
      </c>
      <c r="AO7" s="435" t="s">
        <v>266</v>
      </c>
      <c r="AP7" s="435" t="s">
        <v>267</v>
      </c>
      <c r="AR7" s="435" t="s">
        <v>264</v>
      </c>
      <c r="AS7" s="435" t="s">
        <v>265</v>
      </c>
      <c r="AT7" s="435" t="s">
        <v>266</v>
      </c>
      <c r="AU7" s="435" t="s">
        <v>267</v>
      </c>
      <c r="AV7" s="588"/>
      <c r="AW7" s="588"/>
      <c r="AX7" s="588"/>
      <c r="AY7" s="435" t="s">
        <v>264</v>
      </c>
      <c r="AZ7" s="435" t="s">
        <v>265</v>
      </c>
      <c r="BA7" s="435" t="s">
        <v>266</v>
      </c>
      <c r="BB7" s="435" t="s">
        <v>267</v>
      </c>
      <c r="BC7" s="588"/>
      <c r="BE7" s="435" t="s">
        <v>0</v>
      </c>
      <c r="BF7" s="435" t="s">
        <v>264</v>
      </c>
      <c r="BG7" s="435" t="s">
        <v>265</v>
      </c>
      <c r="BH7" s="435" t="s">
        <v>266</v>
      </c>
      <c r="BI7" s="453" t="s">
        <v>267</v>
      </c>
      <c r="BJ7" s="588"/>
      <c r="BK7" s="435" t="s">
        <v>264</v>
      </c>
      <c r="BL7" s="435" t="s">
        <v>265</v>
      </c>
      <c r="BM7" s="435" t="s">
        <v>266</v>
      </c>
      <c r="BN7" s="435" t="s">
        <v>267</v>
      </c>
      <c r="BO7" s="589" t="s">
        <v>364</v>
      </c>
      <c r="BP7" s="885" t="s">
        <v>365</v>
      </c>
      <c r="BQ7" s="886"/>
      <c r="BR7" s="887"/>
      <c r="BS7" s="590"/>
      <c r="BT7" s="888" t="s">
        <v>366</v>
      </c>
      <c r="BU7" s="889"/>
      <c r="BV7" s="889"/>
      <c r="BW7" s="890"/>
      <c r="BX7" s="591"/>
      <c r="BY7" s="435" t="s">
        <v>0</v>
      </c>
      <c r="BZ7" s="435" t="s">
        <v>367</v>
      </c>
      <c r="CA7" s="435" t="s">
        <v>368</v>
      </c>
      <c r="CB7" s="435" t="s">
        <v>369</v>
      </c>
      <c r="CC7" s="435" t="s">
        <v>364</v>
      </c>
      <c r="CD7" s="592"/>
      <c r="CN7" s="593" t="s">
        <v>0</v>
      </c>
      <c r="CO7" s="593" t="str">
        <f>'[3]Plots R2&gt;.75 - UPDATED'!R3</f>
        <v>Date</v>
      </c>
      <c r="CP7" s="594"/>
      <c r="CQ7" s="595">
        <v>41563</v>
      </c>
      <c r="CR7" s="596">
        <v>109468.32704118993</v>
      </c>
      <c r="CS7" s="597">
        <v>336767.31100706127</v>
      </c>
      <c r="CT7" s="597">
        <v>91406.617200152745</v>
      </c>
      <c r="CU7" s="597">
        <v>125687.29497438397</v>
      </c>
      <c r="CV7" s="353"/>
      <c r="CW7" s="353"/>
      <c r="CX7" s="353"/>
      <c r="CY7" s="353"/>
      <c r="CZ7" s="567"/>
      <c r="DA7" s="567"/>
      <c r="DB7" s="567"/>
      <c r="DC7" s="567"/>
      <c r="DF7" s="435" t="s">
        <v>264</v>
      </c>
      <c r="DG7" s="435" t="s">
        <v>265</v>
      </c>
      <c r="DH7" s="435" t="s">
        <v>266</v>
      </c>
      <c r="DI7" s="435" t="s">
        <v>267</v>
      </c>
      <c r="DJ7" s="435" t="s">
        <v>264</v>
      </c>
      <c r="DK7" s="435" t="s">
        <v>265</v>
      </c>
      <c r="DL7" s="435" t="s">
        <v>266</v>
      </c>
      <c r="DM7" s="435" t="s">
        <v>267</v>
      </c>
      <c r="DN7" s="435" t="s">
        <v>264</v>
      </c>
      <c r="DO7" s="435" t="s">
        <v>265</v>
      </c>
      <c r="DP7" s="435" t="s">
        <v>266</v>
      </c>
      <c r="DQ7" s="435" t="s">
        <v>267</v>
      </c>
      <c r="DR7" s="435" t="s">
        <v>264</v>
      </c>
      <c r="DS7" s="435" t="s">
        <v>265</v>
      </c>
      <c r="DT7" s="435" t="s">
        <v>266</v>
      </c>
      <c r="DU7" s="435" t="s">
        <v>267</v>
      </c>
      <c r="DV7" s="435" t="s">
        <v>264</v>
      </c>
      <c r="DW7" s="435" t="s">
        <v>265</v>
      </c>
      <c r="DX7" s="435" t="s">
        <v>266</v>
      </c>
      <c r="DY7" s="435" t="s">
        <v>267</v>
      </c>
      <c r="DZ7" s="435" t="s">
        <v>264</v>
      </c>
      <c r="EA7" s="435" t="s">
        <v>265</v>
      </c>
      <c r="EB7" s="435" t="s">
        <v>266</v>
      </c>
      <c r="EC7" s="435" t="s">
        <v>267</v>
      </c>
      <c r="ED7" s="435"/>
      <c r="EE7" s="435"/>
      <c r="EF7" s="435"/>
      <c r="EG7" s="435"/>
      <c r="EH7" s="435" t="str">
        <f>'[3]Plots R2&gt;.75 - UPDATED'!S3</f>
        <v>t1</v>
      </c>
      <c r="EI7" s="435" t="str">
        <f>'[3]Plots R2&gt;.75 - UPDATED'!T3</f>
        <v>t2</v>
      </c>
      <c r="EJ7" s="435" t="str">
        <f>'[3]Plots R2&gt;.75 - UPDATED'!U3</f>
        <v>t3</v>
      </c>
      <c r="EK7" s="435" t="str">
        <f>'[3]Plots R2&gt;.75 - UPDATED'!V3</f>
        <v>t4</v>
      </c>
      <c r="EL7" s="435" t="s">
        <v>122</v>
      </c>
      <c r="EM7" s="494">
        <f>EI10</f>
        <v>3.3345159959313371</v>
      </c>
      <c r="EN7" s="863">
        <v>41561</v>
      </c>
      <c r="EO7" s="435">
        <v>0</v>
      </c>
      <c r="EP7" s="435">
        <v>0</v>
      </c>
      <c r="EQ7" s="435">
        <v>0</v>
      </c>
      <c r="ER7" s="435">
        <v>0</v>
      </c>
      <c r="GN7" s="568"/>
      <c r="GQ7" s="331" t="s">
        <v>266</v>
      </c>
      <c r="GR7" s="567"/>
      <c r="GS7" s="598"/>
      <c r="GT7" s="598"/>
      <c r="GU7" s="598"/>
      <c r="GV7" s="598"/>
      <c r="GW7" s="598"/>
      <c r="GX7" s="598"/>
      <c r="GY7" s="598"/>
      <c r="GZ7" s="598"/>
      <c r="HA7" s="598"/>
      <c r="HB7" s="598"/>
      <c r="HC7" s="598"/>
      <c r="HD7" s="598"/>
      <c r="HE7" s="598"/>
      <c r="HF7" s="598"/>
      <c r="HG7" s="598"/>
      <c r="HH7" s="598"/>
      <c r="HI7" s="599">
        <v>0.2724397046776002</v>
      </c>
      <c r="HJ7" s="599">
        <v>0.27705408987872937</v>
      </c>
      <c r="HK7" s="599">
        <v>0.28199827336704159</v>
      </c>
      <c r="HL7" s="599">
        <v>0.28243226307473235</v>
      </c>
      <c r="HM7" s="515">
        <v>0.28599128662244028</v>
      </c>
      <c r="HN7" s="515">
        <v>0.29116789429943757</v>
      </c>
      <c r="HO7" s="515">
        <v>0.2971632140804672</v>
      </c>
      <c r="HP7" s="515">
        <v>0.30373924577284223</v>
      </c>
      <c r="HQ7" s="515">
        <v>0.31024251660464197</v>
      </c>
      <c r="HR7" s="515">
        <v>0.31730696513797052</v>
      </c>
      <c r="HS7" s="600">
        <v>0.32478343743072496</v>
      </c>
      <c r="HT7" s="600">
        <v>0.33116616181692193</v>
      </c>
      <c r="HU7" s="600">
        <v>0.33710682885524479</v>
      </c>
      <c r="HV7" s="515">
        <v>0.34440479302207311</v>
      </c>
      <c r="HW7" s="515">
        <v>0.35292406729537013</v>
      </c>
      <c r="HX7" s="598"/>
      <c r="HY7" s="598"/>
      <c r="HZ7" s="515">
        <v>0.2392583587024304</v>
      </c>
      <c r="IA7" s="515">
        <v>0.24358877806224222</v>
      </c>
      <c r="IB7" s="515">
        <v>0.24834084026093803</v>
      </c>
      <c r="IC7" s="515">
        <v>0.25332123115910721</v>
      </c>
      <c r="ID7" s="515">
        <v>0.25809691537605928</v>
      </c>
      <c r="IE7" s="515">
        <v>0.26348751935489673</v>
      </c>
      <c r="IF7" s="515">
        <v>0.2689548942895279</v>
      </c>
      <c r="IG7" s="515">
        <v>0.27439488139713231</v>
      </c>
      <c r="IH7" s="515">
        <v>0.27954094481909986</v>
      </c>
      <c r="II7" s="515">
        <v>0.28636099409938798</v>
      </c>
      <c r="IJ7" s="515">
        <v>0.29310044085598236</v>
      </c>
      <c r="IK7" s="599">
        <v>0.29850424266983755</v>
      </c>
      <c r="IL7" s="599">
        <v>0.30295450939625962</v>
      </c>
      <c r="IM7" s="598"/>
      <c r="IN7" s="598"/>
      <c r="IO7" s="515">
        <v>0.31625889258977902</v>
      </c>
      <c r="IP7" s="515">
        <v>0.32176393502460754</v>
      </c>
      <c r="IQ7" s="515">
        <v>0.32851706147792858</v>
      </c>
      <c r="IR7" s="515">
        <v>0.33605436005562045</v>
      </c>
      <c r="IS7" s="599">
        <v>0.34183010762841703</v>
      </c>
      <c r="IT7" s="599">
        <v>0.3471885724531204</v>
      </c>
      <c r="IU7" s="599">
        <v>0.35515749385851098</v>
      </c>
      <c r="IV7" s="515">
        <v>0.36261174448331379</v>
      </c>
      <c r="IW7" s="515">
        <v>0.37203140371419219</v>
      </c>
      <c r="IX7" s="598"/>
      <c r="IY7" s="515">
        <v>0.37080863466223951</v>
      </c>
      <c r="IZ7" s="515">
        <v>0.37503008133350546</v>
      </c>
      <c r="JA7" s="515">
        <v>0.38221324362784137</v>
      </c>
      <c r="JB7" s="515">
        <v>0.38881830100618858</v>
      </c>
      <c r="JC7" s="515">
        <v>0.3979258702400178</v>
      </c>
      <c r="JD7" s="601">
        <v>0.4076693923789112</v>
      </c>
      <c r="JE7" s="601">
        <v>0.41851309708583029</v>
      </c>
      <c r="JF7" s="601">
        <v>0.43055954900958354</v>
      </c>
      <c r="JG7" s="601">
        <v>0.44347446131114754</v>
      </c>
      <c r="JH7" s="601">
        <v>0.45347461813087797</v>
      </c>
      <c r="JI7" s="515">
        <v>0.46346132356655184</v>
      </c>
      <c r="JJ7" s="515">
        <v>0.47465602696684861</v>
      </c>
      <c r="JK7" s="515">
        <v>0.48565161924529321</v>
      </c>
      <c r="JL7" s="515">
        <v>0.49859919348689941</v>
      </c>
      <c r="JM7" s="515">
        <v>0.51283814278367434</v>
      </c>
      <c r="JN7" s="515">
        <v>0.52776875860026162</v>
      </c>
      <c r="JO7" s="515">
        <v>0.5423550865540181</v>
      </c>
      <c r="JP7" s="515">
        <v>0.56022495142958895</v>
      </c>
      <c r="JQ7" s="515">
        <v>0.58128750015319541</v>
      </c>
      <c r="JR7" s="515">
        <v>0.59640355074191742</v>
      </c>
      <c r="JS7" s="515">
        <v>0.61070832604017267</v>
      </c>
      <c r="JT7" s="515">
        <v>0.624708793353001</v>
      </c>
      <c r="JU7" s="515">
        <v>0.63935058381617593</v>
      </c>
      <c r="JV7" s="515">
        <v>0.65575107383397135</v>
      </c>
      <c r="JW7" s="515">
        <v>0.67297123912632206</v>
      </c>
      <c r="JX7" s="515">
        <v>0.68675649461273391</v>
      </c>
      <c r="JY7" s="515">
        <v>0.6964104362784197</v>
      </c>
      <c r="JZ7" s="515">
        <v>0.71222023356122011</v>
      </c>
      <c r="KA7" s="515">
        <v>0.7290389760525513</v>
      </c>
      <c r="KB7" s="515">
        <v>0.74796493060811664</v>
      </c>
      <c r="KC7" s="515">
        <v>0.7673093809175221</v>
      </c>
      <c r="KD7" s="515">
        <v>0.78663472495900166</v>
      </c>
      <c r="KE7" s="515">
        <v>0.80503493366169043</v>
      </c>
      <c r="KF7" s="515">
        <v>0.82687190856582682</v>
      </c>
      <c r="KG7" s="515">
        <v>0.84747574339873055</v>
      </c>
      <c r="KH7" s="515">
        <v>0.86603301653632192</v>
      </c>
      <c r="KI7" s="515">
        <v>0.88599140993857339</v>
      </c>
      <c r="KJ7" s="515">
        <v>0.90660295614825825</v>
      </c>
      <c r="KK7" s="515">
        <v>0.92708284602000901</v>
      </c>
      <c r="KL7" s="515">
        <v>0.94991142176446619</v>
      </c>
      <c r="KM7" s="515">
        <v>0.97217483396481863</v>
      </c>
      <c r="KN7" s="515">
        <v>0.99427767028194469</v>
      </c>
      <c r="KO7" s="602">
        <v>1.0181301207462177</v>
      </c>
      <c r="KP7" s="603">
        <v>1.0406411887711147</v>
      </c>
      <c r="KQ7" s="603">
        <v>1.0650413766061371</v>
      </c>
      <c r="KR7" s="603">
        <v>1.0909692273024831</v>
      </c>
      <c r="KS7" s="603">
        <v>1.1168403119251678</v>
      </c>
      <c r="KT7" s="603">
        <v>1.1442355787094163</v>
      </c>
      <c r="KU7" s="603">
        <v>1.1724273915037977</v>
      </c>
      <c r="KV7" s="603">
        <v>1.2015811826204108</v>
      </c>
      <c r="KW7" s="603">
        <v>1.2300023171397465</v>
      </c>
      <c r="KX7" s="602">
        <v>1.2597698153572798</v>
      </c>
      <c r="KY7" s="603">
        <v>1.2952813942646979</v>
      </c>
      <c r="KZ7" s="603">
        <v>1.3267668465603786</v>
      </c>
      <c r="LA7" s="603">
        <v>1.360878826517919</v>
      </c>
      <c r="LB7" s="603">
        <v>1.3990581318963384</v>
      </c>
      <c r="LC7" s="603">
        <v>1.4374464673666665</v>
      </c>
      <c r="LD7" s="603">
        <v>1.478202294239308</v>
      </c>
      <c r="LE7" s="603">
        <v>1.5208889475521059</v>
      </c>
      <c r="LF7" s="603">
        <v>1.5626909747799809</v>
      </c>
      <c r="LG7" s="603">
        <v>1.6070687175867631</v>
      </c>
      <c r="LH7" s="602">
        <v>1.653269060059898</v>
      </c>
      <c r="LI7" s="602">
        <v>1.7076071762894156</v>
      </c>
      <c r="LJ7" s="602">
        <v>1.7567780211337258</v>
      </c>
      <c r="LK7" s="602">
        <v>1.8073461162832576</v>
      </c>
      <c r="LL7" s="602">
        <v>1.8631988327161275</v>
      </c>
      <c r="LM7" s="602">
        <v>1.9252062029021828</v>
      </c>
      <c r="LN7" s="602">
        <v>1.9673776349540872</v>
      </c>
      <c r="LO7" s="602">
        <v>2.0358229028558559</v>
      </c>
      <c r="LP7" s="602">
        <v>2.1034613869287542</v>
      </c>
      <c r="LQ7" s="331">
        <v>2.192680647647121E-2</v>
      </c>
      <c r="LR7" s="331">
        <v>2.2668808694102559E-2</v>
      </c>
      <c r="LS7" s="331">
        <v>2.3431686421429777E-2</v>
      </c>
      <c r="LT7" s="331">
        <v>2.3909196077633713E-2</v>
      </c>
      <c r="LU7" s="331">
        <v>2.494511571772063E-2</v>
      </c>
      <c r="LV7" s="331">
        <v>2.5964224321110122E-2</v>
      </c>
      <c r="LW7" s="331">
        <v>2.6974941980051539E-2</v>
      </c>
      <c r="LX7" s="331">
        <v>2.8125028504362996E-2</v>
      </c>
      <c r="LY7" s="331">
        <v>2.6002886290642218E-2</v>
      </c>
      <c r="LZ7" s="331">
        <v>2.6714606926770884E-2</v>
      </c>
      <c r="MA7" s="331">
        <v>2.768126531426494E-2</v>
      </c>
      <c r="MB7" s="331">
        <v>2.6617629259160801E-2</v>
      </c>
      <c r="MC7" s="331">
        <v>3.2143060494999529E-2</v>
      </c>
      <c r="MD7" s="331">
        <v>6.0168915479319338E-2</v>
      </c>
    </row>
    <row r="8" spans="3:342" ht="17" thickBot="1">
      <c r="C8" s="604" t="s">
        <v>264</v>
      </c>
      <c r="D8" s="353">
        <v>0.44</v>
      </c>
      <c r="E8" s="353">
        <v>0.255</v>
      </c>
      <c r="F8" s="364"/>
      <c r="G8" s="353">
        <v>9.8089999999999993</v>
      </c>
      <c r="H8" s="605">
        <v>0.99704400000000004</v>
      </c>
      <c r="J8" s="580">
        <v>41545</v>
      </c>
      <c r="K8" s="581">
        <v>0</v>
      </c>
      <c r="L8" s="582">
        <v>10.052199999999999</v>
      </c>
      <c r="M8" s="582">
        <v>10.0678</v>
      </c>
      <c r="N8" s="582">
        <v>10.0764</v>
      </c>
      <c r="O8" s="582">
        <v>10.088699999999999</v>
      </c>
      <c r="P8" s="582">
        <v>98.758600000000001</v>
      </c>
      <c r="Q8" s="582">
        <v>10.098011614472252</v>
      </c>
      <c r="R8" s="582">
        <v>0</v>
      </c>
      <c r="S8" s="582">
        <v>0.61978838552774795</v>
      </c>
      <c r="T8" s="582">
        <v>0.16838838552774738</v>
      </c>
      <c r="U8" s="582">
        <v>0.26068838552774704</v>
      </c>
      <c r="W8" s="580">
        <v>41563</v>
      </c>
      <c r="X8" s="582">
        <f>AVERAGE(R26,R188,R350,R512,R674,R836,R998,R1160,R1322,R1484,R1646,R1808,R1970)</f>
        <v>2.3431678084493957</v>
      </c>
      <c r="Y8" s="582">
        <f t="shared" ref="Y8:AA39" si="0">AVERAGE(S26,S188,S350,S512,S674,S836,S998,S1160,S1322,S1484,S1646,S1808,S1970)</f>
        <v>2.9662985776801643</v>
      </c>
      <c r="Z8" s="582">
        <f t="shared" si="0"/>
        <v>3.1533524238340118</v>
      </c>
      <c r="AA8" s="582">
        <f t="shared" si="0"/>
        <v>3.1684678084493947</v>
      </c>
      <c r="AB8" s="606"/>
      <c r="AC8" s="582">
        <f t="shared" ref="AC8:AC39" si="1">X8-X9</f>
        <v>-0.6558852134831481</v>
      </c>
      <c r="AD8" s="582">
        <f t="shared" ref="AD8:AD39" si="2">Y8-Y9</f>
        <v>-0.21151598271391814</v>
      </c>
      <c r="AE8" s="582">
        <f t="shared" ref="AE8:AE39" si="3">Z8-Z9</f>
        <v>-0.24956213656007042</v>
      </c>
      <c r="AF8" s="582">
        <f t="shared" ref="AF8:AF39" si="4">AA8-AA9</f>
        <v>-0.26550059809853233</v>
      </c>
      <c r="AX8" s="607">
        <v>0.2</v>
      </c>
      <c r="AY8" s="353"/>
      <c r="AZ8" s="353"/>
      <c r="BA8" s="353"/>
      <c r="BB8" s="353"/>
      <c r="BC8" s="608">
        <f t="shared" ref="BC8:BC71" si="5">BB8*10</f>
        <v>0</v>
      </c>
      <c r="BD8" s="429" t="s">
        <v>370</v>
      </c>
      <c r="BE8" s="580">
        <v>41563</v>
      </c>
      <c r="BF8" s="353"/>
      <c r="BG8" s="353"/>
      <c r="BH8" s="353"/>
      <c r="BI8" s="609"/>
      <c r="BK8" s="353"/>
      <c r="BL8" s="353"/>
      <c r="BM8" s="353"/>
      <c r="BN8" s="353"/>
      <c r="BO8" s="353">
        <v>74</v>
      </c>
      <c r="BP8" s="353">
        <f>BO8/5</f>
        <v>14.8</v>
      </c>
      <c r="BQ8" s="610">
        <f>BO8/1.4</f>
        <v>52.857142857142861</v>
      </c>
      <c r="BR8" s="610">
        <f>BO8/3.7</f>
        <v>20</v>
      </c>
      <c r="BT8" s="611">
        <v>0</v>
      </c>
      <c r="BU8" s="612">
        <v>0</v>
      </c>
      <c r="BV8" s="613">
        <v>41705</v>
      </c>
      <c r="BW8" s="614"/>
      <c r="BX8" s="615"/>
      <c r="BY8" s="616" t="s">
        <v>371</v>
      </c>
      <c r="BZ8" s="617">
        <v>32</v>
      </c>
      <c r="CA8" s="608">
        <v>0</v>
      </c>
      <c r="CB8" s="608">
        <f>CA8*10</f>
        <v>0</v>
      </c>
      <c r="CC8" s="608"/>
      <c r="CD8" s="618">
        <f>CB8</f>
        <v>0</v>
      </c>
      <c r="CE8" s="891"/>
      <c r="CF8" s="892"/>
      <c r="CG8" s="892"/>
      <c r="CH8" s="892"/>
      <c r="CI8" s="892"/>
      <c r="CJ8" s="892"/>
      <c r="CK8" s="892"/>
      <c r="CL8" s="892"/>
      <c r="CN8" s="619" t="s">
        <v>372</v>
      </c>
      <c r="CO8" s="580">
        <f>'[3]Plots R2&gt;.75 - UPDATED'!R5</f>
        <v>41564</v>
      </c>
      <c r="CP8" s="620"/>
      <c r="CQ8" s="595">
        <v>41564</v>
      </c>
      <c r="CR8" s="596">
        <v>143753.12506064045</v>
      </c>
      <c r="CS8" s="597">
        <v>412148.13343300053</v>
      </c>
      <c r="CT8" s="597">
        <v>104745.48976641474</v>
      </c>
      <c r="CU8" s="621">
        <v>166782.7740515148</v>
      </c>
      <c r="CV8" s="450"/>
      <c r="CW8" s="450"/>
      <c r="CX8" s="450"/>
      <c r="CY8" s="450"/>
      <c r="CZ8" s="450"/>
      <c r="DA8" s="450"/>
      <c r="DB8" s="450"/>
      <c r="DC8" s="450"/>
      <c r="DD8" s="622"/>
      <c r="DE8" s="464">
        <v>41562</v>
      </c>
      <c r="DF8" s="483">
        <v>10.946832704118993</v>
      </c>
      <c r="DG8" s="483">
        <v>33.676731100706128</v>
      </c>
      <c r="DH8" s="483">
        <v>9.1406617200152738</v>
      </c>
      <c r="DI8" s="483">
        <v>12.568729497438397</v>
      </c>
      <c r="DJ8" s="503"/>
      <c r="DK8" s="503"/>
      <c r="DL8" s="503"/>
      <c r="DM8" s="543"/>
      <c r="DN8" s="503"/>
      <c r="DO8" s="503"/>
      <c r="DP8" s="503"/>
      <c r="DQ8" s="543"/>
      <c r="DR8" s="483">
        <v>0.55400000000000005</v>
      </c>
      <c r="DS8" s="483">
        <v>0.45900000000000002</v>
      </c>
      <c r="DT8" s="483">
        <v>0.83199999999999996</v>
      </c>
      <c r="DU8" s="483">
        <v>0.49299999999999999</v>
      </c>
      <c r="DV8" s="483">
        <v>3.36</v>
      </c>
      <c r="DW8" s="483">
        <v>-89.39282983298591</v>
      </c>
      <c r="DX8" s="483">
        <v>-63.712071503864109</v>
      </c>
      <c r="DY8" s="483">
        <v>-19.286208981748132</v>
      </c>
      <c r="DZ8" s="483"/>
      <c r="EA8" s="483"/>
      <c r="EB8" s="483"/>
      <c r="EC8" s="483"/>
      <c r="ED8" s="483"/>
      <c r="EE8" s="483"/>
      <c r="EF8" s="483"/>
      <c r="EG8" s="483"/>
      <c r="EH8" s="503">
        <f>'[3]Plots R2&gt;.75 - UPDATED'!S5</f>
        <v>3.001481022440164</v>
      </c>
      <c r="EI8" s="503">
        <f>'[3]Plots R2&gt;.75 - UPDATED'!T5</f>
        <v>3.1793810224401646</v>
      </c>
      <c r="EJ8" s="503">
        <f>'[3]Plots R2&gt;.75 - UPDATED'!U5</f>
        <v>3.402581022440164</v>
      </c>
      <c r="EK8" s="543">
        <f>'[3]Plots R2&gt;.75 - UPDATED'!V5</f>
        <v>3.1435810224401641</v>
      </c>
      <c r="EL8" s="675">
        <v>0</v>
      </c>
      <c r="EM8" s="494">
        <v>11.4</v>
      </c>
      <c r="EN8" s="464">
        <v>41562</v>
      </c>
      <c r="EO8" s="503">
        <v>3.001481022440164</v>
      </c>
      <c r="EP8" s="503">
        <v>3.1793810224401646</v>
      </c>
      <c r="EQ8" s="503">
        <v>3.402581022440164</v>
      </c>
      <c r="ER8" s="543">
        <v>3.1435810224401641</v>
      </c>
      <c r="GN8" s="568"/>
      <c r="GQ8" s="331" t="s">
        <v>266</v>
      </c>
      <c r="GR8" s="567"/>
      <c r="GS8" s="598"/>
      <c r="GT8" s="598"/>
      <c r="GU8" s="598"/>
      <c r="GV8" s="598"/>
      <c r="GW8" s="598"/>
      <c r="GX8" s="598"/>
      <c r="GY8" s="598"/>
      <c r="GZ8" s="598"/>
      <c r="HA8" s="598"/>
      <c r="HB8" s="598"/>
      <c r="HC8" s="598"/>
      <c r="HD8" s="598"/>
      <c r="HE8" s="598"/>
      <c r="HF8" s="598"/>
      <c r="HG8" s="598"/>
      <c r="HH8" s="598"/>
      <c r="HI8" s="599">
        <v>2.131718245697876</v>
      </c>
      <c r="HJ8" s="599">
        <v>2.5459395800533131</v>
      </c>
      <c r="HK8" s="599">
        <v>2.2400552427099476</v>
      </c>
      <c r="HL8" s="599">
        <v>2.1101559783829331</v>
      </c>
      <c r="HM8" s="515">
        <v>2.0645412262108125</v>
      </c>
      <c r="HN8" s="515">
        <v>2.1187523529244174</v>
      </c>
      <c r="HO8" s="515">
        <v>2.2878054999346142</v>
      </c>
      <c r="HP8" s="515">
        <v>2.0535086437628207</v>
      </c>
      <c r="HQ8" s="515">
        <v>2.1074668740335127</v>
      </c>
      <c r="HR8" s="515">
        <v>2.1613417090637341</v>
      </c>
      <c r="HS8" s="600">
        <v>2.2152521718580815</v>
      </c>
      <c r="HT8" s="600">
        <v>0</v>
      </c>
      <c r="HU8" s="600">
        <v>2.1953143404000213</v>
      </c>
      <c r="HV8" s="515">
        <v>2.1635405397483862</v>
      </c>
      <c r="HW8" s="515">
        <v>2.0739446385624456</v>
      </c>
      <c r="HX8" s="598"/>
      <c r="HY8" s="598"/>
      <c r="HZ8" s="515">
        <v>1.3823342608490892</v>
      </c>
      <c r="IA8" s="515">
        <v>3.2646341619356143</v>
      </c>
      <c r="IB8" s="515">
        <v>2.4826863830999284</v>
      </c>
      <c r="IC8" s="515">
        <v>2.2334949092146847</v>
      </c>
      <c r="ID8" s="515">
        <v>2.2582380382118856</v>
      </c>
      <c r="IE8" s="515">
        <v>2.6138345712988484</v>
      </c>
      <c r="IF8" s="515">
        <v>2.2207529612015913</v>
      </c>
      <c r="IG8" s="515">
        <v>1.4822715047939239</v>
      </c>
      <c r="IH8" s="515">
        <v>2.0401696786318673</v>
      </c>
      <c r="II8" s="515">
        <v>2.0930943821574197</v>
      </c>
      <c r="IJ8" s="515">
        <v>1.4983239815998386</v>
      </c>
      <c r="IK8" s="599">
        <v>1.35099297680881</v>
      </c>
      <c r="IL8" s="599">
        <v>0.59956219972309266</v>
      </c>
      <c r="IM8" s="598"/>
      <c r="IN8" s="598"/>
      <c r="IO8" s="515">
        <v>0.30427949659257758</v>
      </c>
      <c r="IP8" s="515">
        <v>0.80551153458610525</v>
      </c>
      <c r="IQ8" s="515">
        <v>1.205504192954177</v>
      </c>
      <c r="IR8" s="515">
        <v>1.8069616408441804</v>
      </c>
      <c r="IS8" s="599">
        <v>1.8333643950337417</v>
      </c>
      <c r="IT8" s="599">
        <v>1.6296640819437709</v>
      </c>
      <c r="IU8" s="599">
        <v>1.5547545965651477</v>
      </c>
      <c r="IV8" s="515">
        <v>1.7970577078770602</v>
      </c>
      <c r="IW8" s="515">
        <v>1.8230021637345</v>
      </c>
      <c r="IX8" s="598"/>
      <c r="IY8" s="515">
        <v>-0.31646836786199833</v>
      </c>
      <c r="IZ8" s="515">
        <v>0.3965613786020753</v>
      </c>
      <c r="JA8" s="515">
        <v>1.1290777691943155</v>
      </c>
      <c r="JB8" s="515">
        <v>1.1851044987832065</v>
      </c>
      <c r="JC8" s="515">
        <v>1.2119770268829564</v>
      </c>
      <c r="JD8" s="601">
        <v>1.383015184823438</v>
      </c>
      <c r="JE8" s="601">
        <v>1.5830056058815285</v>
      </c>
      <c r="JF8" s="601">
        <v>2.4888338870110158</v>
      </c>
      <c r="JG8" s="601">
        <v>1.1342292442191244</v>
      </c>
      <c r="JH8" s="601">
        <v>1.0329690546038286</v>
      </c>
      <c r="JI8" s="515">
        <v>0.94637585316774619</v>
      </c>
      <c r="JJ8" s="515">
        <v>1.0184647421796695</v>
      </c>
      <c r="JK8" s="515">
        <v>0.68765537229446949</v>
      </c>
      <c r="JL8" s="515">
        <v>0.89008637391373813</v>
      </c>
      <c r="JM8" s="515">
        <v>1.4962453020000865</v>
      </c>
      <c r="JN8" s="515">
        <v>0.44694976869907044</v>
      </c>
      <c r="JO8" s="515">
        <v>1.5148641064262816</v>
      </c>
      <c r="JP8" s="515">
        <v>1.734283286943014</v>
      </c>
      <c r="JQ8" s="515">
        <v>2.6606984053449052</v>
      </c>
      <c r="JR8" s="515">
        <v>0.21665246995239018</v>
      </c>
      <c r="JS8" s="515">
        <v>0.24956107363906666</v>
      </c>
      <c r="JT8" s="515">
        <v>0.46991493644252802</v>
      </c>
      <c r="JU8" s="515">
        <v>0.71960779416266774</v>
      </c>
      <c r="JV8" s="515">
        <v>0.56708560816987785</v>
      </c>
      <c r="JW8" s="515">
        <v>0.4296918041593234</v>
      </c>
      <c r="JX8" s="515">
        <v>0</v>
      </c>
      <c r="JY8" s="515">
        <v>0.64096814169759131</v>
      </c>
      <c r="JZ8" s="515">
        <v>0.53272171949205116</v>
      </c>
      <c r="KA8" s="515">
        <v>0.31008121736337602</v>
      </c>
      <c r="KB8" s="515">
        <v>0.29044309056174344</v>
      </c>
      <c r="KC8" s="515">
        <v>0</v>
      </c>
      <c r="KD8" s="515">
        <v>0.55530759388542783</v>
      </c>
      <c r="KE8" s="515">
        <v>0.5222571133637568</v>
      </c>
      <c r="KF8" s="515">
        <v>0.18342076289239817</v>
      </c>
      <c r="KG8" s="515">
        <v>0.17265524622802864</v>
      </c>
      <c r="KH8" s="515">
        <v>0</v>
      </c>
      <c r="KI8" s="515">
        <v>0</v>
      </c>
      <c r="KJ8" s="515">
        <v>0</v>
      </c>
      <c r="KK8" s="515">
        <v>0</v>
      </c>
      <c r="KL8" s="515">
        <v>0</v>
      </c>
      <c r="KM8" s="515">
        <v>0</v>
      </c>
      <c r="KN8" s="515">
        <v>0</v>
      </c>
      <c r="KO8" s="602">
        <v>0</v>
      </c>
      <c r="KP8" s="603">
        <v>0</v>
      </c>
      <c r="KQ8" s="603">
        <v>0</v>
      </c>
      <c r="KR8" s="603">
        <v>0</v>
      </c>
      <c r="KS8" s="603">
        <v>0</v>
      </c>
      <c r="KT8" s="603">
        <v>0</v>
      </c>
      <c r="KU8" s="603">
        <v>0</v>
      </c>
      <c r="KV8" s="603">
        <v>0</v>
      </c>
      <c r="KW8" s="603">
        <v>0</v>
      </c>
      <c r="KX8" s="602">
        <v>0</v>
      </c>
      <c r="KY8" s="603">
        <v>0</v>
      </c>
      <c r="KZ8" s="603">
        <v>0</v>
      </c>
      <c r="LA8" s="603">
        <v>0</v>
      </c>
      <c r="LB8" s="603">
        <v>0</v>
      </c>
      <c r="LC8" s="603">
        <v>0</v>
      </c>
      <c r="LD8" s="603">
        <v>0</v>
      </c>
      <c r="LE8" s="603">
        <v>0</v>
      </c>
      <c r="LF8" s="603">
        <v>0</v>
      </c>
      <c r="LG8" s="603">
        <v>0</v>
      </c>
      <c r="LH8" s="602">
        <v>0</v>
      </c>
      <c r="LI8" s="602">
        <v>0</v>
      </c>
      <c r="LJ8" s="602">
        <v>0</v>
      </c>
      <c r="LK8" s="602">
        <v>0</v>
      </c>
      <c r="LL8" s="602">
        <v>0</v>
      </c>
      <c r="LM8" s="602">
        <v>0</v>
      </c>
      <c r="LN8" s="602">
        <v>0</v>
      </c>
      <c r="LO8" s="602">
        <v>0</v>
      </c>
      <c r="LP8" s="602">
        <v>0</v>
      </c>
      <c r="LQ8" s="331">
        <v>-2.192680647647121E-2</v>
      </c>
      <c r="LR8" s="331">
        <v>-2.2668808694102559E-2</v>
      </c>
      <c r="LS8" s="331">
        <v>-2.3431686421429777E-2</v>
      </c>
      <c r="LT8" s="331">
        <v>-2.3909196077633713E-2</v>
      </c>
      <c r="LU8" s="331">
        <v>-2.494511571772063E-2</v>
      </c>
      <c r="LV8" s="331">
        <v>-2.5964224321110122E-2</v>
      </c>
      <c r="LW8" s="331">
        <v>-2.6974941980051539E-2</v>
      </c>
      <c r="LX8" s="331">
        <v>-2.8125028504362996E-2</v>
      </c>
      <c r="LY8" s="331">
        <v>-2.6002886290642218E-2</v>
      </c>
      <c r="LZ8" s="331">
        <v>-2.6714606926770884E-2</v>
      </c>
      <c r="MA8" s="331">
        <v>-2.768126531426494E-2</v>
      </c>
      <c r="MB8" s="331">
        <v>-2.6617629259160801E-2</v>
      </c>
      <c r="MC8" s="331">
        <v>-3.2143060494999529E-2</v>
      </c>
      <c r="MD8" s="331">
        <v>-6.0168915479319338E-2</v>
      </c>
    </row>
    <row r="9" spans="3:342" ht="16">
      <c r="C9" s="604" t="s">
        <v>265</v>
      </c>
      <c r="D9" s="353">
        <v>0.46</v>
      </c>
      <c r="E9" s="353">
        <v>1.1100000000000001</v>
      </c>
      <c r="F9" s="364"/>
      <c r="G9" s="364"/>
      <c r="H9" s="623"/>
      <c r="J9" s="580">
        <v>41546</v>
      </c>
      <c r="K9" s="581">
        <v>0</v>
      </c>
      <c r="L9" s="582">
        <v>10.0344</v>
      </c>
      <c r="M9" s="582">
        <v>10.0486</v>
      </c>
      <c r="N9" s="582">
        <v>10.056699999999999</v>
      </c>
      <c r="O9" s="582">
        <v>10.0693</v>
      </c>
      <c r="P9" s="582">
        <v>98.571899999999999</v>
      </c>
      <c r="Q9" s="582">
        <v>10.078921643893265</v>
      </c>
      <c r="R9" s="582">
        <v>0</v>
      </c>
      <c r="S9" s="582">
        <v>0.61967835610673538</v>
      </c>
      <c r="T9" s="582">
        <v>0.16777835610673419</v>
      </c>
      <c r="U9" s="582">
        <v>0.26037835610673493</v>
      </c>
      <c r="W9" s="580">
        <v>41564</v>
      </c>
      <c r="X9" s="582">
        <f t="shared" ref="X9:AA40" si="6">AVERAGE(R27,R189,R351,R513,R675,R837,R999,R1161,R1323,R1485,R1647,R1809,R1971)</f>
        <v>2.9990530219325437</v>
      </c>
      <c r="Y9" s="582">
        <f t="shared" si="0"/>
        <v>3.1778145603940824</v>
      </c>
      <c r="Z9" s="582">
        <f t="shared" si="0"/>
        <v>3.4029145603940822</v>
      </c>
      <c r="AA9" s="582">
        <f t="shared" si="0"/>
        <v>3.433968406547927</v>
      </c>
      <c r="AB9" s="606"/>
      <c r="AC9" s="436">
        <f t="shared" si="1"/>
        <v>-2.8602156849598437E-2</v>
      </c>
      <c r="AD9" s="437">
        <f t="shared" si="2"/>
        <v>-9.7448310695751772E-2</v>
      </c>
      <c r="AE9" s="437">
        <f t="shared" si="3"/>
        <v>-0.1923483106957522</v>
      </c>
      <c r="AF9" s="437">
        <f t="shared" si="4"/>
        <v>-5.9256003003444579E-2</v>
      </c>
      <c r="AG9" s="624">
        <v>41564</v>
      </c>
      <c r="AH9" s="509">
        <v>-2.5142681675349093E-2</v>
      </c>
      <c r="AI9" s="510">
        <v>-6.9132068659071358E-3</v>
      </c>
      <c r="AJ9" s="510">
        <v>-9.173501461906609E-3</v>
      </c>
      <c r="AK9" s="510">
        <v>-2.4631300553781193E-2</v>
      </c>
      <c r="AL9" s="625"/>
      <c r="AM9" s="436">
        <v>1.84E-4</v>
      </c>
      <c r="AN9" s="437">
        <v>2.7399999999999999E-4</v>
      </c>
      <c r="AO9" s="437">
        <v>5.4900000000000001E-4</v>
      </c>
      <c r="AP9" s="437">
        <v>3.5399999999999999E-4</v>
      </c>
      <c r="AR9" s="436">
        <f t="shared" ref="AR9:AU23" si="7">-AM9*1440</f>
        <v>-0.26495999999999997</v>
      </c>
      <c r="AS9" s="437">
        <f t="shared" si="7"/>
        <v>-0.39455999999999997</v>
      </c>
      <c r="AT9" s="437">
        <f t="shared" si="7"/>
        <v>-0.79056000000000004</v>
      </c>
      <c r="AU9" s="437">
        <f t="shared" si="7"/>
        <v>-0.50975999999999999</v>
      </c>
      <c r="AV9" s="624">
        <v>41564</v>
      </c>
      <c r="AW9" s="626"/>
      <c r="AX9" s="608">
        <v>0</v>
      </c>
      <c r="AY9" s="436">
        <f t="shared" ref="AY9:BB12" si="8">AC9-AR9</f>
        <v>0.23635784315040154</v>
      </c>
      <c r="AZ9" s="437">
        <f t="shared" si="8"/>
        <v>0.29711168930424819</v>
      </c>
      <c r="BA9" s="437">
        <f t="shared" si="8"/>
        <v>0.59821168930424784</v>
      </c>
      <c r="BB9" s="437">
        <f t="shared" si="8"/>
        <v>0.45050399699655541</v>
      </c>
      <c r="BC9" s="608">
        <f t="shared" si="5"/>
        <v>4.5050399699655541</v>
      </c>
      <c r="BD9" s="627" t="s">
        <v>373</v>
      </c>
      <c r="BE9" s="580">
        <v>41564</v>
      </c>
      <c r="BF9" s="436"/>
      <c r="BG9" s="437"/>
      <c r="BH9" s="437"/>
      <c r="BI9" s="437"/>
      <c r="BJ9" s="628"/>
      <c r="BK9" s="436"/>
      <c r="BL9" s="437"/>
      <c r="BM9" s="437"/>
      <c r="BN9" s="437"/>
      <c r="BO9" s="353">
        <v>71</v>
      </c>
      <c r="BP9" s="353">
        <f t="shared" ref="BP9:BP72" si="9">BO9/5</f>
        <v>14.2</v>
      </c>
      <c r="BQ9" s="610">
        <f t="shared" ref="BQ9:BQ72" si="10">BO9/1.4</f>
        <v>50.714285714285715</v>
      </c>
      <c r="BR9" s="610">
        <f t="shared" ref="BR9:BR72" si="11">BO9/3.7</f>
        <v>19.189189189189189</v>
      </c>
      <c r="BT9" s="629">
        <v>10</v>
      </c>
      <c r="BU9" s="630">
        <v>2</v>
      </c>
      <c r="BV9" s="580">
        <v>41705</v>
      </c>
      <c r="BW9" s="605"/>
      <c r="BX9" s="615"/>
      <c r="BY9" s="616" t="s">
        <v>374</v>
      </c>
      <c r="BZ9" s="617">
        <v>33</v>
      </c>
      <c r="CA9" s="608">
        <v>0</v>
      </c>
      <c r="CB9" s="608">
        <f t="shared" ref="CB9:CB72" si="12">CA9*10</f>
        <v>0</v>
      </c>
      <c r="CC9" s="608"/>
      <c r="CD9" s="631">
        <f>CD8+CB9</f>
        <v>0</v>
      </c>
      <c r="CE9" s="364"/>
      <c r="CF9" s="364"/>
      <c r="CG9" s="364"/>
      <c r="CH9" s="364"/>
      <c r="CI9" s="364"/>
      <c r="CJ9" s="364"/>
      <c r="CK9" s="364"/>
      <c r="CL9" s="623"/>
      <c r="CM9" s="364"/>
      <c r="CN9" s="632" t="s">
        <v>375</v>
      </c>
      <c r="CO9" s="580">
        <f>'[3]Plots R2&gt;.75 - UPDATED'!R6</f>
        <v>41565</v>
      </c>
      <c r="CP9" s="620"/>
      <c r="CQ9" s="595">
        <v>41565</v>
      </c>
      <c r="CR9" s="596">
        <v>145229.76107902956</v>
      </c>
      <c r="CS9" s="597">
        <v>449826.41771272925</v>
      </c>
      <c r="CT9" s="597">
        <v>115630.59489258809</v>
      </c>
      <c r="CU9" s="621">
        <v>177343.84750325637</v>
      </c>
      <c r="CV9" s="450"/>
      <c r="CW9" s="450"/>
      <c r="CX9" s="450"/>
      <c r="CY9" s="450"/>
      <c r="CZ9" s="450"/>
      <c r="DA9" s="450"/>
      <c r="DB9" s="450"/>
      <c r="DC9" s="450"/>
      <c r="DD9" s="622"/>
      <c r="DE9" s="464">
        <v>41563</v>
      </c>
      <c r="DF9" s="483">
        <v>10.946832704118993</v>
      </c>
      <c r="DG9" s="483">
        <v>33.676731100706128</v>
      </c>
      <c r="DH9" s="483">
        <v>9.1406617200152738</v>
      </c>
      <c r="DI9" s="483">
        <v>12.568729497438397</v>
      </c>
      <c r="DJ9" s="527"/>
      <c r="DK9" s="527"/>
      <c r="DL9" s="527"/>
      <c r="DM9" s="544"/>
      <c r="DN9" s="527"/>
      <c r="DO9" s="527"/>
      <c r="DP9" s="527"/>
      <c r="DQ9" s="544"/>
      <c r="DR9" s="483">
        <v>0.55400000000000005</v>
      </c>
      <c r="DS9" s="483">
        <v>0.45900000000000002</v>
      </c>
      <c r="DT9" s="483">
        <v>0.83199999999999996</v>
      </c>
      <c r="DU9" s="483">
        <v>0.49299999999999999</v>
      </c>
      <c r="DV9" s="483">
        <v>3.37</v>
      </c>
      <c r="DW9" s="483">
        <v>-13.813091071491653</v>
      </c>
      <c r="DX9" s="483">
        <v>-16.310089858164794</v>
      </c>
      <c r="DY9" s="483">
        <v>-18.983798523233965</v>
      </c>
      <c r="DZ9" s="483"/>
      <c r="EA9" s="483"/>
      <c r="EB9" s="483"/>
      <c r="EC9" s="483"/>
      <c r="ED9" s="483"/>
      <c r="EE9" s="483"/>
      <c r="EF9" s="483"/>
      <c r="EG9" s="483"/>
      <c r="EH9" s="527">
        <f>'[3]Plots R2&gt;.75 - UPDATED'!S6</f>
        <v>3.0295143565567302</v>
      </c>
      <c r="EI9" s="527">
        <f>'[3]Plots R2&gt;.75 - UPDATED'!T6</f>
        <v>3.2773143565567313</v>
      </c>
      <c r="EJ9" s="527">
        <f>'[3]Plots R2&gt;.75 - UPDATED'!U6</f>
        <v>3.5956143565567311</v>
      </c>
      <c r="EK9" s="544">
        <f>'[3]Plots R2&gt;.75 - UPDATED'!V6</f>
        <v>3.2043143565567305</v>
      </c>
      <c r="EL9" s="675">
        <v>127.800000000002</v>
      </c>
      <c r="EM9" s="494">
        <v>24.049999999999976</v>
      </c>
      <c r="EN9" s="464">
        <v>41563</v>
      </c>
      <c r="EO9" s="527">
        <v>3.0295143565567302</v>
      </c>
      <c r="EP9" s="527">
        <v>3.2773143565567313</v>
      </c>
      <c r="EQ9" s="527">
        <v>3.5956143565567311</v>
      </c>
      <c r="ER9" s="544">
        <v>3.2043143565567305</v>
      </c>
      <c r="GN9" s="568"/>
      <c r="GQ9" s="331" t="s">
        <v>267</v>
      </c>
      <c r="GR9" s="567"/>
      <c r="GS9" s="598"/>
      <c r="GT9" s="598"/>
      <c r="GU9" s="598"/>
      <c r="GV9" s="598"/>
      <c r="GW9" s="598"/>
      <c r="GX9" s="598"/>
      <c r="GY9" s="598"/>
      <c r="GZ9" s="515">
        <v>0.18040014537147653</v>
      </c>
      <c r="HA9" s="515">
        <v>0.18390229497668745</v>
      </c>
      <c r="HB9" s="515">
        <v>0.18581737384891736</v>
      </c>
      <c r="HC9" s="515">
        <v>0.19002471757776207</v>
      </c>
      <c r="HD9" s="515">
        <v>0.19481225277395425</v>
      </c>
      <c r="HE9" s="515">
        <v>0.20012035430483696</v>
      </c>
      <c r="HF9" s="515">
        <v>0.20394423146544455</v>
      </c>
      <c r="HG9" s="599">
        <v>0.20803217321788103</v>
      </c>
      <c r="HH9" s="599">
        <v>0.2120709009937024</v>
      </c>
      <c r="HI9" s="599">
        <v>0.21677055095451458</v>
      </c>
      <c r="HJ9" s="599">
        <v>0.22098511613886559</v>
      </c>
      <c r="HK9" s="599">
        <v>0.2255324505526683</v>
      </c>
      <c r="HL9" s="599">
        <v>0.22244540000722399</v>
      </c>
      <c r="HM9" s="515">
        <v>0.22465952757538607</v>
      </c>
      <c r="HN9" s="515">
        <v>0.23000626383229283</v>
      </c>
      <c r="HO9" s="515">
        <v>0.23568512823622756</v>
      </c>
      <c r="HP9" s="515">
        <v>0.24215668158941075</v>
      </c>
      <c r="HQ9" s="515">
        <v>0.2485897559264757</v>
      </c>
      <c r="HR9" s="515">
        <v>0.25642363576477989</v>
      </c>
      <c r="HS9" s="515">
        <v>0.26809845750753158</v>
      </c>
      <c r="HT9" s="598"/>
      <c r="HU9" s="515">
        <v>0.28128787705997566</v>
      </c>
      <c r="HV9" s="515">
        <v>0.2894670763791245</v>
      </c>
      <c r="HW9" s="515">
        <v>0.3021484406203121</v>
      </c>
      <c r="HX9" s="598"/>
      <c r="HY9" s="515">
        <v>0.17843990411371108</v>
      </c>
      <c r="HZ9" s="515">
        <v>0.1817027915736239</v>
      </c>
      <c r="IA9" s="515">
        <v>0.18606490380424506</v>
      </c>
      <c r="IB9" s="515">
        <v>0.19091811007462467</v>
      </c>
      <c r="IC9" s="515">
        <v>0.1960542720609445</v>
      </c>
      <c r="ID9" s="515">
        <v>0.20153615049425638</v>
      </c>
      <c r="IE9" s="515">
        <v>0.20710923728722228</v>
      </c>
      <c r="IF9" s="515">
        <v>0.21264889689947289</v>
      </c>
      <c r="IG9" s="515">
        <v>0.2183686020572726</v>
      </c>
      <c r="IH9" s="515">
        <v>0.22445621380833264</v>
      </c>
      <c r="II9" s="515">
        <v>0.23134874265266533</v>
      </c>
      <c r="IJ9" s="515">
        <v>0.23825539114043334</v>
      </c>
      <c r="IK9" s="599">
        <v>0.24547264008508651</v>
      </c>
      <c r="IL9" s="599">
        <v>0.25273420315372558</v>
      </c>
      <c r="IM9" s="598"/>
      <c r="IN9" s="599">
        <v>0.26346051066571879</v>
      </c>
      <c r="IO9" s="515">
        <v>0.27016444309643423</v>
      </c>
      <c r="IP9" s="515">
        <v>0.27831460126291868</v>
      </c>
      <c r="IQ9" s="515">
        <v>0.28838914657322906</v>
      </c>
      <c r="IR9" s="515">
        <v>0.30157089528999298</v>
      </c>
      <c r="IS9" s="599">
        <v>0.3146989884937631</v>
      </c>
      <c r="IT9" s="599">
        <v>0.32873792070138674</v>
      </c>
      <c r="IU9" s="599">
        <v>0.34334033132777964</v>
      </c>
      <c r="IV9" s="515">
        <v>0.35948658383997439</v>
      </c>
      <c r="IW9" s="515">
        <v>0.37719602596821417</v>
      </c>
      <c r="IX9" s="598"/>
      <c r="IY9" s="515">
        <v>0.36743308143280473</v>
      </c>
      <c r="IZ9" s="515">
        <v>0.37802153048851828</v>
      </c>
      <c r="JA9" s="515">
        <v>0.39044528367114112</v>
      </c>
      <c r="JB9" s="515">
        <v>0.40623231062806592</v>
      </c>
      <c r="JC9" s="515">
        <v>0.4271158249308471</v>
      </c>
      <c r="JD9" s="601">
        <v>0.44873110837313618</v>
      </c>
      <c r="JE9" s="601">
        <v>0.483923273214658</v>
      </c>
      <c r="JF9" s="601">
        <v>0.5459190969789951</v>
      </c>
      <c r="JG9" s="601">
        <v>0.61827830671729056</v>
      </c>
      <c r="JH9" s="601">
        <v>0.68605785105747419</v>
      </c>
      <c r="JI9" s="602">
        <v>0.7461821796317275</v>
      </c>
      <c r="JJ9" s="602">
        <v>0.80343678007133368</v>
      </c>
      <c r="JK9" s="602">
        <v>0.84487892511919938</v>
      </c>
      <c r="JL9" s="602">
        <v>0.87307052240339045</v>
      </c>
      <c r="JM9" s="602">
        <v>0.90084802330295033</v>
      </c>
      <c r="JN9" s="602">
        <v>0.92935875011555624</v>
      </c>
      <c r="JO9" s="602">
        <v>0.98460723204761913</v>
      </c>
      <c r="JP9" s="602">
        <v>1.0540858812534593</v>
      </c>
      <c r="JQ9" s="602">
        <v>1.1275050750157665</v>
      </c>
      <c r="JR9" s="602">
        <v>1.1987773032416595</v>
      </c>
      <c r="JS9" s="602">
        <v>1.261054835055486</v>
      </c>
      <c r="JT9" s="602">
        <v>1.3211888533651364</v>
      </c>
      <c r="JU9" s="602">
        <v>1.3696861510015268</v>
      </c>
      <c r="JV9" s="602">
        <v>1.4231173077408648</v>
      </c>
      <c r="JW9" s="602">
        <v>1.4792351686122069</v>
      </c>
      <c r="JX9" s="602">
        <v>1.5302421409579798</v>
      </c>
      <c r="JY9" s="602">
        <v>1.5405514596259435</v>
      </c>
      <c r="JZ9" s="602">
        <v>1.5919322516316119</v>
      </c>
      <c r="KA9" s="602">
        <v>1.6482181446929856</v>
      </c>
      <c r="KB9" s="602">
        <v>1.7022893949021876</v>
      </c>
      <c r="KC9" s="602">
        <v>1.7623106030715749</v>
      </c>
      <c r="KD9" s="602">
        <v>1.8327469837060497</v>
      </c>
      <c r="KE9" s="602">
        <v>1.9038809401361223</v>
      </c>
      <c r="KF9" s="602">
        <v>1.9796550489446814</v>
      </c>
      <c r="KG9" s="602">
        <v>2.0609550888197909</v>
      </c>
      <c r="KH9" s="602">
        <v>2.1481796613487631</v>
      </c>
      <c r="KI9" s="602">
        <v>2.2461879166261958</v>
      </c>
      <c r="KJ9" s="602">
        <v>2.3539846585862296</v>
      </c>
      <c r="KK9" s="602">
        <v>2.4661215947050819</v>
      </c>
      <c r="KL9" s="602">
        <v>2.593645048342653</v>
      </c>
      <c r="KM9" s="602">
        <v>2.7309982279219756</v>
      </c>
      <c r="KN9" s="602">
        <v>2.8812379791023708</v>
      </c>
      <c r="KO9" s="602">
        <v>3.0416372185760681</v>
      </c>
      <c r="KP9" s="603">
        <v>3.2155661006054292</v>
      </c>
      <c r="KQ9" s="603">
        <v>3.4127624709131625</v>
      </c>
      <c r="KR9" s="602">
        <v>3.6291225317626656</v>
      </c>
      <c r="KS9" s="602">
        <v>3.8552372902037919</v>
      </c>
      <c r="KT9" s="603">
        <v>4.1182508601652099</v>
      </c>
      <c r="KU9" s="602">
        <v>4.4126540755671479</v>
      </c>
      <c r="KV9" s="602">
        <v>4.7286612482983701</v>
      </c>
      <c r="KW9" s="603">
        <v>5.0854325801986509</v>
      </c>
      <c r="KX9" s="603">
        <v>5.4363310122684902</v>
      </c>
      <c r="KY9" s="602">
        <v>5.8500808005506322</v>
      </c>
      <c r="KZ9" s="603">
        <v>6.3077451103745537</v>
      </c>
      <c r="LA9" s="603">
        <v>6.7863358849514501</v>
      </c>
      <c r="LB9" s="603">
        <v>7.273922389523559</v>
      </c>
      <c r="LC9" s="603">
        <v>7.8602018957900404</v>
      </c>
      <c r="LD9" s="603">
        <v>8.5726713856702421</v>
      </c>
      <c r="LE9" s="603">
        <v>9.3217717759127758</v>
      </c>
      <c r="LF9" s="603">
        <v>10.260091142565805</v>
      </c>
      <c r="LG9" s="603">
        <v>11.261255775514284</v>
      </c>
      <c r="LH9" s="602">
        <v>12.353349656969645</v>
      </c>
      <c r="LI9" s="602">
        <v>13.771079424548867</v>
      </c>
      <c r="LJ9" s="602">
        <v>15.269862332598191</v>
      </c>
      <c r="LK9" s="602">
        <v>16.882097883801137</v>
      </c>
      <c r="LL9" s="602">
        <v>18.714945236872158</v>
      </c>
      <c r="LM9" s="602">
        <v>20.936756756631976</v>
      </c>
      <c r="LN9" s="602">
        <v>22.802459434621774</v>
      </c>
      <c r="LO9" s="602">
        <v>25.595129683240348</v>
      </c>
      <c r="LP9" s="602">
        <v>55.305880676801799</v>
      </c>
      <c r="LQ9" s="331">
        <v>0.86578118525076297</v>
      </c>
      <c r="LR9" s="331">
        <v>1.5065956374925968</v>
      </c>
      <c r="LS9" s="331">
        <v>1.4955741988062716</v>
      </c>
      <c r="LT9" s="331">
        <v>1.4100138083008993</v>
      </c>
      <c r="LU9" s="331">
        <v>1.5265589010144105</v>
      </c>
      <c r="LV9" s="331">
        <v>1.5364471539599491</v>
      </c>
      <c r="LW9" s="331">
        <v>1.5630924101794095</v>
      </c>
      <c r="LX9" s="331">
        <v>1.5647145742704978</v>
      </c>
      <c r="LY9" s="331">
        <v>0.88964349254551967</v>
      </c>
      <c r="LZ9" s="331">
        <v>0.69751886591193768</v>
      </c>
      <c r="MA9" s="331">
        <v>1.4317637964640251</v>
      </c>
      <c r="MB9" s="331">
        <v>1.4612362417922837</v>
      </c>
      <c r="MC9" s="331">
        <v>1.4694201528733473</v>
      </c>
      <c r="MD9" s="331">
        <v>1.4607882607290115</v>
      </c>
    </row>
    <row r="10" spans="3:342" ht="16">
      <c r="C10" s="604" t="s">
        <v>266</v>
      </c>
      <c r="D10" s="353">
        <v>0.36</v>
      </c>
      <c r="E10" s="353">
        <v>0.55000000000000004</v>
      </c>
      <c r="F10" s="364"/>
      <c r="G10" s="364"/>
      <c r="H10" s="623"/>
      <c r="J10" s="580">
        <v>41547</v>
      </c>
      <c r="K10" s="581">
        <v>0</v>
      </c>
      <c r="L10" s="582">
        <v>10.0129</v>
      </c>
      <c r="M10" s="582">
        <v>10.026199999999999</v>
      </c>
      <c r="N10" s="582">
        <v>10.0337</v>
      </c>
      <c r="O10" s="582">
        <v>10.0464</v>
      </c>
      <c r="P10" s="582">
        <v>98.356300000000005</v>
      </c>
      <c r="Q10" s="582">
        <v>10.056876664478002</v>
      </c>
      <c r="R10" s="582">
        <v>0</v>
      </c>
      <c r="S10" s="582">
        <v>0.61932333552199714</v>
      </c>
      <c r="T10" s="582">
        <v>0.16682333552199735</v>
      </c>
      <c r="U10" s="582">
        <v>0.25952333552199786</v>
      </c>
      <c r="W10" s="580">
        <v>41565</v>
      </c>
      <c r="X10" s="582">
        <f t="shared" si="6"/>
        <v>3.0276551787821422</v>
      </c>
      <c r="Y10" s="582">
        <f t="shared" si="0"/>
        <v>3.2752628710898342</v>
      </c>
      <c r="Z10" s="582">
        <f t="shared" si="0"/>
        <v>3.5952628710898344</v>
      </c>
      <c r="AA10" s="582">
        <f t="shared" si="0"/>
        <v>3.4932244095513716</v>
      </c>
      <c r="AB10" s="606"/>
      <c r="AC10" s="436">
        <f t="shared" si="1"/>
        <v>-0.15579495265940713</v>
      </c>
      <c r="AD10" s="436">
        <f t="shared" si="2"/>
        <v>-5.9925721890177197E-2</v>
      </c>
      <c r="AE10" s="436">
        <f t="shared" si="3"/>
        <v>-0.12116418342863877</v>
      </c>
      <c r="AF10" s="436">
        <f t="shared" si="4"/>
        <v>-7.1687260351717352E-2</v>
      </c>
      <c r="AG10" s="633">
        <v>41565</v>
      </c>
      <c r="AH10" s="509">
        <v>-2.5217035459546282E-2</v>
      </c>
      <c r="AI10" s="509">
        <v>-7.3356408989079646E-3</v>
      </c>
      <c r="AJ10" s="509">
        <v>-9.2465898722130981E-3</v>
      </c>
      <c r="AK10" s="509">
        <v>-2.4482763718270767E-2</v>
      </c>
      <c r="AL10" s="634"/>
      <c r="AM10" s="436">
        <v>-3.7100000000000001E-5</v>
      </c>
      <c r="AN10" s="436">
        <v>-5.3600000000000004E-7</v>
      </c>
      <c r="AO10" s="436">
        <v>-2.4600000000000002E-5</v>
      </c>
      <c r="AP10" s="436">
        <v>-1.47E-5</v>
      </c>
      <c r="AR10" s="436">
        <f t="shared" si="7"/>
        <v>5.3423999999999999E-2</v>
      </c>
      <c r="AS10" s="436">
        <f t="shared" si="7"/>
        <v>7.7184000000000009E-4</v>
      </c>
      <c r="AT10" s="436">
        <f t="shared" si="7"/>
        <v>3.5424000000000004E-2</v>
      </c>
      <c r="AU10" s="436">
        <f t="shared" si="7"/>
        <v>2.1167999999999999E-2</v>
      </c>
      <c r="AV10" s="633">
        <v>41565</v>
      </c>
      <c r="AW10" s="626"/>
      <c r="AX10" s="607">
        <v>0.05</v>
      </c>
      <c r="AY10" s="436">
        <f t="shared" si="8"/>
        <v>-0.20921895265940713</v>
      </c>
      <c r="AZ10" s="436">
        <f t="shared" si="8"/>
        <v>-6.06975618901772E-2</v>
      </c>
      <c r="BA10" s="436">
        <f t="shared" si="8"/>
        <v>-0.15658818342863878</v>
      </c>
      <c r="BB10" s="436">
        <f t="shared" si="8"/>
        <v>-9.2855260351717345E-2</v>
      </c>
      <c r="BC10" s="608">
        <f t="shared" si="5"/>
        <v>-0.92855260351717339</v>
      </c>
      <c r="BD10" s="627" t="s">
        <v>376</v>
      </c>
      <c r="BE10" s="580">
        <v>41565</v>
      </c>
      <c r="BF10" s="436">
        <f>DR10*10</f>
        <v>5.5400000000000009</v>
      </c>
      <c r="BG10" s="436">
        <f>DS10*10</f>
        <v>4.59</v>
      </c>
      <c r="BH10" s="436">
        <f>DT10*10</f>
        <v>8.32</v>
      </c>
      <c r="BI10" s="436">
        <f>DU10*10</f>
        <v>4.93</v>
      </c>
      <c r="BJ10" s="628"/>
      <c r="BK10" s="436"/>
      <c r="BL10" s="436"/>
      <c r="BM10" s="436"/>
      <c r="BN10" s="436"/>
      <c r="BO10" s="353">
        <v>77</v>
      </c>
      <c r="BP10" s="353">
        <f t="shared" si="9"/>
        <v>15.4</v>
      </c>
      <c r="BQ10" s="610">
        <f t="shared" si="10"/>
        <v>55</v>
      </c>
      <c r="BR10" s="610">
        <f t="shared" si="11"/>
        <v>20.810810810810811</v>
      </c>
      <c r="BT10" s="629">
        <v>20</v>
      </c>
      <c r="BU10" s="630">
        <v>4</v>
      </c>
      <c r="BV10" s="580">
        <v>41705</v>
      </c>
      <c r="BW10" s="605"/>
      <c r="BX10" s="615"/>
      <c r="BY10" s="616" t="s">
        <v>377</v>
      </c>
      <c r="BZ10" s="617">
        <v>32</v>
      </c>
      <c r="CA10" s="608">
        <v>0</v>
      </c>
      <c r="CB10" s="608">
        <f t="shared" si="12"/>
        <v>0</v>
      </c>
      <c r="CC10" s="608"/>
      <c r="CD10" s="631">
        <f t="shared" ref="CD10:CD73" si="13">CD9+CB10</f>
        <v>0</v>
      </c>
      <c r="CE10" s="364"/>
      <c r="CF10" s="364"/>
      <c r="CG10" s="364"/>
      <c r="CH10" s="364"/>
      <c r="CI10" s="364"/>
      <c r="CJ10" s="364"/>
      <c r="CK10" s="364"/>
      <c r="CL10" s="623"/>
      <c r="CM10" s="364"/>
      <c r="CN10" s="632" t="s">
        <v>378</v>
      </c>
      <c r="CO10" s="580">
        <f>'[3]Plots R2&gt;.75 - UPDATED'!R7</f>
        <v>41566</v>
      </c>
      <c r="CP10" s="620"/>
      <c r="CQ10" s="595">
        <v>41566</v>
      </c>
      <c r="CR10" s="596">
        <v>153402.67665978591</v>
      </c>
      <c r="CS10" s="597">
        <v>472839.34630679234</v>
      </c>
      <c r="CT10" s="597">
        <v>122701.15242268812</v>
      </c>
      <c r="CU10" s="621">
        <v>190207.76020799021</v>
      </c>
      <c r="CV10" s="450"/>
      <c r="CW10" s="450"/>
      <c r="CX10" s="450"/>
      <c r="CY10" s="450"/>
      <c r="CZ10" s="450"/>
      <c r="DA10" s="450"/>
      <c r="DB10" s="450"/>
      <c r="DC10" s="450"/>
      <c r="DD10" s="622"/>
      <c r="DE10" s="464">
        <v>41564</v>
      </c>
      <c r="DF10" s="483">
        <v>10.946832704118993</v>
      </c>
      <c r="DG10" s="483">
        <v>33.676731100706128</v>
      </c>
      <c r="DH10" s="483">
        <v>9.1406617200152738</v>
      </c>
      <c r="DI10" s="483">
        <v>12.568729497438397</v>
      </c>
      <c r="DJ10" s="473"/>
      <c r="DK10" s="473"/>
      <c r="DL10" s="473"/>
      <c r="DM10" s="545"/>
      <c r="DN10" s="473"/>
      <c r="DO10" s="473"/>
      <c r="DP10" s="473"/>
      <c r="DQ10" s="545"/>
      <c r="DR10" s="483">
        <v>0.55400000000000005</v>
      </c>
      <c r="DS10" s="483">
        <v>0.45900000000000002</v>
      </c>
      <c r="DT10" s="483">
        <v>0.83199999999999996</v>
      </c>
      <c r="DU10" s="483">
        <v>0.49299999999999999</v>
      </c>
      <c r="DV10" s="483">
        <v>-2.6264864613752326</v>
      </c>
      <c r="DW10" s="483">
        <v>-8.7588965094032858</v>
      </c>
      <c r="DX10" s="483">
        <v>-18.193066934729412</v>
      </c>
      <c r="DY10" s="483">
        <v>-6.1038436513770584</v>
      </c>
      <c r="DZ10" s="483"/>
      <c r="EA10" s="483"/>
      <c r="EB10" s="483"/>
      <c r="EC10" s="483"/>
      <c r="ED10" s="483"/>
      <c r="EE10" s="483"/>
      <c r="EF10" s="483"/>
      <c r="EG10" s="483"/>
      <c r="EH10" s="473">
        <f>'[3]Plots R2&gt;.75 - UPDATED'!S7</f>
        <v>3.1842159959313361</v>
      </c>
      <c r="EI10" s="473">
        <f>'[3]Plots R2&gt;.75 - UPDATED'!T7</f>
        <v>3.3345159959313371</v>
      </c>
      <c r="EJ10" s="473">
        <f>'[3]Plots R2&gt;.75 - UPDATED'!U7</f>
        <v>3.7167159959313372</v>
      </c>
      <c r="EK10" s="545">
        <f>'[3]Plots R2&gt;.75 - UPDATED'!V7</f>
        <v>3.2750159959313367</v>
      </c>
      <c r="EL10" s="675">
        <f>EH10</f>
        <v>3.1842159959313361</v>
      </c>
      <c r="EM10" s="494">
        <v>25.749999999999925</v>
      </c>
      <c r="EN10" s="464">
        <v>41564</v>
      </c>
      <c r="EO10" s="473">
        <v>3.1842159959313361</v>
      </c>
      <c r="EP10" s="473">
        <v>3.3345159959313371</v>
      </c>
      <c r="EQ10" s="473">
        <v>3.7167159959313372</v>
      </c>
      <c r="ER10" s="545">
        <v>3.2750159959313367</v>
      </c>
      <c r="GN10" s="568"/>
      <c r="GQ10" s="331" t="s">
        <v>267</v>
      </c>
      <c r="GR10" s="567"/>
      <c r="GS10" s="598"/>
      <c r="GT10" s="598"/>
      <c r="GU10" s="598"/>
      <c r="GV10" s="598"/>
      <c r="GW10" s="598"/>
      <c r="GX10" s="598"/>
      <c r="GY10" s="598"/>
      <c r="GZ10" s="515">
        <v>0</v>
      </c>
      <c r="HA10" s="515">
        <v>-0.61155161331317309</v>
      </c>
      <c r="HB10" s="515">
        <v>5.371433422322916E-2</v>
      </c>
      <c r="HC10" s="515">
        <v>0</v>
      </c>
      <c r="HD10" s="515">
        <v>0</v>
      </c>
      <c r="HE10" s="515">
        <v>-0.27432954447539348</v>
      </c>
      <c r="HF10" s="515">
        <v>-1.1640701939994418</v>
      </c>
      <c r="HG10" s="599">
        <v>-0.35374366456822248</v>
      </c>
      <c r="HH10" s="599">
        <v>-1.2060154629979101</v>
      </c>
      <c r="HI10" s="599">
        <v>-0.87739563153021249</v>
      </c>
      <c r="HJ10" s="599">
        <v>-0.36581686026238791</v>
      </c>
      <c r="HK10" s="599">
        <v>-1.2866168834952146E-2</v>
      </c>
      <c r="HL10" s="599">
        <v>-1.8092976948817021</v>
      </c>
      <c r="HM10" s="515">
        <v>-1.3448948725995886</v>
      </c>
      <c r="HN10" s="515">
        <v>-1.2634765341538965</v>
      </c>
      <c r="HO10" s="515">
        <v>-0.31062868535042854</v>
      </c>
      <c r="HP10" s="515">
        <v>0</v>
      </c>
      <c r="HQ10" s="515">
        <v>0.47416082986970787</v>
      </c>
      <c r="HR10" s="515">
        <v>0.16196691111957151</v>
      </c>
      <c r="HS10" s="515">
        <v>0.77703251355541103</v>
      </c>
      <c r="HT10" s="598"/>
      <c r="HU10" s="515">
        <v>0.14526894466900103</v>
      </c>
      <c r="HV10" s="515">
        <v>0</v>
      </c>
      <c r="HW10" s="515">
        <v>0</v>
      </c>
      <c r="HX10" s="598"/>
      <c r="HY10" s="515">
        <v>-1.3769743173251805</v>
      </c>
      <c r="HZ10" s="515">
        <v>-0.62585681253442693</v>
      </c>
      <c r="IA10" s="515">
        <v>-0.1938255829600315</v>
      </c>
      <c r="IB10" s="515">
        <v>0</v>
      </c>
      <c r="IC10" s="515">
        <v>-0.11851498703205737</v>
      </c>
      <c r="ID10" s="515">
        <v>-0.10046692570985433</v>
      </c>
      <c r="IE10" s="515">
        <v>-0.35468851802764878</v>
      </c>
      <c r="IF10" s="515">
        <v>-0.37731560957509236</v>
      </c>
      <c r="IG10" s="515">
        <v>-0.13930537931302667</v>
      </c>
      <c r="IH10" s="515">
        <v>-0.23067304510029413</v>
      </c>
      <c r="II10" s="515">
        <v>-0.14639492746654878</v>
      </c>
      <c r="IJ10" s="515">
        <v>0</v>
      </c>
      <c r="IK10" s="599">
        <v>0</v>
      </c>
      <c r="IL10" s="599">
        <v>-1.353848312728305</v>
      </c>
      <c r="IM10" s="598"/>
      <c r="IN10" s="599">
        <v>-1.3213998080764393</v>
      </c>
      <c r="IO10" s="515">
        <v>0</v>
      </c>
      <c r="IP10" s="515">
        <v>-0.23817669553255133</v>
      </c>
      <c r="IQ10" s="515">
        <v>0.34314723502523586</v>
      </c>
      <c r="IR10" s="515">
        <v>0.63998201292139889</v>
      </c>
      <c r="IS10" s="599">
        <v>0.53771988122330572</v>
      </c>
      <c r="IT10" s="599">
        <v>0.32653173922695788</v>
      </c>
      <c r="IU10" s="599">
        <v>0.35162801809378696</v>
      </c>
      <c r="IV10" s="515">
        <v>1.4227794945482526</v>
      </c>
      <c r="IW10" s="515">
        <v>0.6180268331752965</v>
      </c>
      <c r="IX10" s="598"/>
      <c r="IY10" s="515">
        <v>-0.4905749297172538</v>
      </c>
      <c r="IZ10" s="515">
        <v>0</v>
      </c>
      <c r="JA10" s="515">
        <v>0</v>
      </c>
      <c r="JB10" s="515">
        <v>0</v>
      </c>
      <c r="JC10" s="515">
        <v>0.74256606403855119</v>
      </c>
      <c r="JD10" s="601">
        <v>1.1135432448629781</v>
      </c>
      <c r="JE10" s="601">
        <v>6.9023283663241672</v>
      </c>
      <c r="JF10" s="601">
        <v>7.2740329577354412</v>
      </c>
      <c r="JG10" s="601">
        <v>6.5474317178147468</v>
      </c>
      <c r="JH10" s="601">
        <v>4.2819421489425249</v>
      </c>
      <c r="JI10" s="602">
        <v>2.7962178203682728</v>
      </c>
      <c r="JJ10" s="602">
        <v>2.6381632199286664</v>
      </c>
      <c r="JK10" s="602">
        <v>0.83992107488080048</v>
      </c>
      <c r="JL10" s="602">
        <v>4.5649477596609533E-2</v>
      </c>
      <c r="JM10" s="602">
        <v>6.9711976697049649E-2</v>
      </c>
      <c r="JN10" s="602">
        <v>6.8561249884443676E-2</v>
      </c>
      <c r="JO10" s="602">
        <v>2.5433927679523807</v>
      </c>
      <c r="JP10" s="602">
        <v>1.7971141187465407</v>
      </c>
      <c r="JQ10" s="602">
        <v>1.4500949249842334</v>
      </c>
      <c r="JR10" s="602">
        <v>0.5580226967583406</v>
      </c>
      <c r="JS10" s="602">
        <v>0.62534516494451386</v>
      </c>
      <c r="JT10" s="602">
        <v>0.11161114663486349</v>
      </c>
      <c r="JU10" s="602">
        <v>0</v>
      </c>
      <c r="JV10" s="602">
        <v>0</v>
      </c>
      <c r="JW10" s="602">
        <v>0</v>
      </c>
      <c r="JX10" s="602">
        <v>0</v>
      </c>
      <c r="JY10" s="602">
        <v>0</v>
      </c>
      <c r="JZ10" s="602">
        <v>0</v>
      </c>
      <c r="KA10" s="602">
        <v>0</v>
      </c>
      <c r="KB10" s="602">
        <v>0</v>
      </c>
      <c r="KC10" s="602">
        <v>0</v>
      </c>
      <c r="KD10" s="602">
        <v>0</v>
      </c>
      <c r="KE10" s="602">
        <v>0</v>
      </c>
      <c r="KF10" s="602">
        <v>0</v>
      </c>
      <c r="KG10" s="602">
        <v>0</v>
      </c>
      <c r="KH10" s="602">
        <v>0</v>
      </c>
      <c r="KI10" s="602">
        <v>0</v>
      </c>
      <c r="KJ10" s="602">
        <v>0</v>
      </c>
      <c r="KK10" s="602">
        <v>0</v>
      </c>
      <c r="KL10" s="602">
        <v>0</v>
      </c>
      <c r="KM10" s="602">
        <v>0</v>
      </c>
      <c r="KN10" s="602">
        <v>0</v>
      </c>
      <c r="KO10" s="602">
        <v>0</v>
      </c>
      <c r="KP10" s="603">
        <v>0</v>
      </c>
      <c r="KQ10" s="603">
        <v>0</v>
      </c>
      <c r="KR10" s="602">
        <v>0</v>
      </c>
      <c r="KS10" s="602">
        <v>0</v>
      </c>
      <c r="KT10" s="603">
        <v>0</v>
      </c>
      <c r="KU10" s="602">
        <v>0</v>
      </c>
      <c r="KV10" s="602">
        <v>0</v>
      </c>
      <c r="KW10" s="603">
        <v>0</v>
      </c>
      <c r="KX10" s="603">
        <v>0</v>
      </c>
      <c r="KY10" s="602">
        <v>0</v>
      </c>
      <c r="KZ10" s="603">
        <v>0</v>
      </c>
      <c r="LA10" s="603">
        <v>0</v>
      </c>
      <c r="LB10" s="603">
        <v>0</v>
      </c>
      <c r="LC10" s="603">
        <v>0</v>
      </c>
      <c r="LD10" s="603">
        <v>0</v>
      </c>
      <c r="LE10" s="603">
        <v>0</v>
      </c>
      <c r="LF10" s="603">
        <v>0</v>
      </c>
      <c r="LG10" s="603">
        <v>0</v>
      </c>
      <c r="LH10" s="602">
        <v>0</v>
      </c>
      <c r="LI10" s="602">
        <v>0</v>
      </c>
      <c r="LJ10" s="602">
        <v>0</v>
      </c>
      <c r="LK10" s="602">
        <v>0</v>
      </c>
      <c r="LL10" s="602">
        <v>0</v>
      </c>
      <c r="LM10" s="602">
        <v>0</v>
      </c>
      <c r="LN10" s="602">
        <v>0</v>
      </c>
      <c r="LO10" s="602">
        <v>0</v>
      </c>
      <c r="LP10" s="602">
        <v>0</v>
      </c>
      <c r="LQ10" s="331">
        <v>-0.86578118525076297</v>
      </c>
      <c r="LR10" s="331">
        <v>-1.5065956374925968</v>
      </c>
      <c r="LS10" s="331">
        <v>-1.4955741988062716</v>
      </c>
      <c r="LT10" s="331">
        <v>-1.4100138083008993</v>
      </c>
      <c r="LU10" s="331">
        <v>-1.5265589010144105</v>
      </c>
      <c r="LV10" s="331">
        <v>-1.5364471539599491</v>
      </c>
      <c r="LW10" s="331">
        <v>-1.5630924101794095</v>
      </c>
      <c r="LX10" s="331">
        <v>-1.5647145742704978</v>
      </c>
      <c r="LY10" s="331">
        <v>-0.88964349254551967</v>
      </c>
      <c r="LZ10" s="331">
        <v>-0.69751886591193768</v>
      </c>
      <c r="MA10" s="331">
        <v>-1.4317637964640251</v>
      </c>
      <c r="MB10" s="331">
        <v>-1.4612362417922837</v>
      </c>
      <c r="MC10" s="331">
        <v>-1.4694201528733473</v>
      </c>
      <c r="MD10" s="331">
        <v>-1.4607882607290115</v>
      </c>
    </row>
    <row r="11" spans="3:342" ht="17" thickBot="1">
      <c r="C11" s="635" t="s">
        <v>267</v>
      </c>
      <c r="D11" s="636">
        <v>0.43</v>
      </c>
      <c r="E11" s="636">
        <v>0.7</v>
      </c>
      <c r="F11" s="637"/>
      <c r="G11" s="637"/>
      <c r="H11" s="638"/>
      <c r="J11" s="580">
        <v>41548</v>
      </c>
      <c r="K11" s="581">
        <v>0</v>
      </c>
      <c r="L11" s="582">
        <v>10.011799999999999</v>
      </c>
      <c r="M11" s="582">
        <v>10.026199999999999</v>
      </c>
      <c r="N11" s="582">
        <v>10.0336</v>
      </c>
      <c r="O11" s="582">
        <v>10.0467</v>
      </c>
      <c r="P11" s="582">
        <v>98.349900000000005</v>
      </c>
      <c r="Q11" s="582">
        <v>10.056222268057512</v>
      </c>
      <c r="R11" s="582">
        <v>0</v>
      </c>
      <c r="S11" s="582">
        <v>0.61997773194248729</v>
      </c>
      <c r="T11" s="582">
        <v>0.16737773194248773</v>
      </c>
      <c r="U11" s="582">
        <v>0.2604777319424873</v>
      </c>
      <c r="W11" s="580">
        <v>41566</v>
      </c>
      <c r="X11" s="582">
        <f t="shared" si="6"/>
        <v>3.1834501314415493</v>
      </c>
      <c r="Y11" s="582">
        <f t="shared" si="0"/>
        <v>3.3351885929800114</v>
      </c>
      <c r="Z11" s="582">
        <f t="shared" si="0"/>
        <v>3.7164270545184732</v>
      </c>
      <c r="AA11" s="582">
        <f t="shared" si="0"/>
        <v>3.5649116699030889</v>
      </c>
      <c r="AB11" s="606">
        <v>7.6923076923076927E-2</v>
      </c>
      <c r="AC11" s="436">
        <f t="shared" si="1"/>
        <v>1.0367606977093935E-2</v>
      </c>
      <c r="AD11" s="436">
        <f t="shared" si="2"/>
        <v>-6.697854686905913E-2</v>
      </c>
      <c r="AE11" s="436">
        <f t="shared" si="3"/>
        <v>-0.25392470071521345</v>
      </c>
      <c r="AF11" s="436">
        <f t="shared" si="4"/>
        <v>-0.12061700840751932</v>
      </c>
      <c r="AG11" s="633">
        <v>41566</v>
      </c>
      <c r="AH11" s="509">
        <v>-2.5597581073393313E-2</v>
      </c>
      <c r="AI11" s="509">
        <v>-7.5351097334902624E-3</v>
      </c>
      <c r="AJ11" s="509">
        <v>-9.2675212943336676E-3</v>
      </c>
      <c r="AK11" s="509">
        <v>-2.4257848569911266E-2</v>
      </c>
      <c r="AL11" s="634"/>
      <c r="AM11" s="436">
        <v>2.94E-5</v>
      </c>
      <c r="AN11" s="436">
        <v>4.21E-5</v>
      </c>
      <c r="AO11" s="436">
        <v>-2.52E-6</v>
      </c>
      <c r="AP11" s="436">
        <v>-1.0399999999999999E-4</v>
      </c>
      <c r="AR11" s="436">
        <f t="shared" si="7"/>
        <v>-4.2335999999999999E-2</v>
      </c>
      <c r="AS11" s="436">
        <f t="shared" si="7"/>
        <v>-6.0623999999999997E-2</v>
      </c>
      <c r="AT11" s="436">
        <f t="shared" si="7"/>
        <v>3.6288000000000002E-3</v>
      </c>
      <c r="AU11" s="436">
        <f t="shared" si="7"/>
        <v>0.14976</v>
      </c>
      <c r="AV11" s="633">
        <v>41566</v>
      </c>
      <c r="AW11" s="626"/>
      <c r="AX11" s="607">
        <v>0.05</v>
      </c>
      <c r="AY11" s="436">
        <f t="shared" si="8"/>
        <v>5.2703606977093934E-2</v>
      </c>
      <c r="AZ11" s="436">
        <f t="shared" si="8"/>
        <v>-6.3545468690591328E-3</v>
      </c>
      <c r="BA11" s="436">
        <f t="shared" si="8"/>
        <v>-0.25755350071521343</v>
      </c>
      <c r="BB11" s="436">
        <f t="shared" si="8"/>
        <v>-0.27037700840751933</v>
      </c>
      <c r="BC11" s="608">
        <f t="shared" si="5"/>
        <v>-2.7037700840751935</v>
      </c>
      <c r="BD11" s="627" t="s">
        <v>379</v>
      </c>
      <c r="BE11" s="580">
        <v>41566</v>
      </c>
      <c r="BF11" s="436"/>
      <c r="BG11" s="436"/>
      <c r="BH11" s="436">
        <f>DT11*10</f>
        <v>8.32</v>
      </c>
      <c r="BI11" s="436"/>
      <c r="BJ11" s="628"/>
      <c r="BK11" s="436"/>
      <c r="BL11" s="436"/>
      <c r="BM11" s="436"/>
      <c r="BN11" s="436"/>
      <c r="BO11" s="353">
        <v>79</v>
      </c>
      <c r="BP11" s="353">
        <f t="shared" si="9"/>
        <v>15.8</v>
      </c>
      <c r="BQ11" s="610">
        <f t="shared" si="10"/>
        <v>56.428571428571431</v>
      </c>
      <c r="BR11" s="610">
        <f t="shared" si="11"/>
        <v>21.351351351351351</v>
      </c>
      <c r="BT11" s="629">
        <v>30</v>
      </c>
      <c r="BU11" s="630">
        <v>6</v>
      </c>
      <c r="BV11" s="580">
        <v>41705</v>
      </c>
      <c r="BW11" s="605"/>
      <c r="BX11" s="615"/>
      <c r="BY11" s="616" t="s">
        <v>380</v>
      </c>
      <c r="BZ11" s="617">
        <v>32</v>
      </c>
      <c r="CA11" s="608">
        <v>0.03</v>
      </c>
      <c r="CB11" s="608">
        <f t="shared" si="12"/>
        <v>0.3</v>
      </c>
      <c r="CC11" s="608"/>
      <c r="CD11" s="631">
        <f t="shared" si="13"/>
        <v>0.3</v>
      </c>
      <c r="CE11" s="364"/>
      <c r="CF11" s="364"/>
      <c r="CG11" s="364"/>
      <c r="CH11" s="364"/>
      <c r="CI11" s="364"/>
      <c r="CJ11" s="364"/>
      <c r="CK11" s="364"/>
      <c r="CL11" s="623"/>
      <c r="CM11" s="364"/>
      <c r="CN11" s="632" t="s">
        <v>381</v>
      </c>
      <c r="CO11" s="580">
        <f>'[3]Plots R2&gt;.75 - UPDATED'!R8</f>
        <v>41567</v>
      </c>
      <c r="CP11" s="620"/>
      <c r="CQ11" s="595">
        <v>41567</v>
      </c>
      <c r="CR11" s="596">
        <v>152793.23920742734</v>
      </c>
      <c r="CS11" s="597">
        <v>501219.07334035716</v>
      </c>
      <c r="CT11" s="597">
        <v>138303.76114268778</v>
      </c>
      <c r="CU11" s="621">
        <v>214415.58927759767</v>
      </c>
      <c r="CV11" s="450"/>
      <c r="CW11" s="450"/>
      <c r="CX11" s="450"/>
      <c r="CY11" s="450"/>
      <c r="CZ11" s="450"/>
      <c r="DA11" s="450"/>
      <c r="DB11" s="450"/>
      <c r="DC11" s="450"/>
      <c r="DD11" s="622"/>
      <c r="DE11" s="464">
        <v>41565</v>
      </c>
      <c r="DF11" s="483">
        <v>14.375312506064045</v>
      </c>
      <c r="DG11" s="483">
        <v>41.214813343300051</v>
      </c>
      <c r="DH11" s="483">
        <v>10.474548976641474</v>
      </c>
      <c r="DI11" s="483">
        <v>16.67827740515148</v>
      </c>
      <c r="DJ11" s="473"/>
      <c r="DK11" s="473"/>
      <c r="DL11" s="473"/>
      <c r="DM11" s="545"/>
      <c r="DN11" s="473"/>
      <c r="DO11" s="473"/>
      <c r="DP11" s="473"/>
      <c r="DQ11" s="545"/>
      <c r="DR11" s="483">
        <v>0.55400000000000005</v>
      </c>
      <c r="DS11" s="483">
        <v>0.45900000000000002</v>
      </c>
      <c r="DT11" s="483">
        <v>0.83199999999999996</v>
      </c>
      <c r="DU11" s="483">
        <v>0.49299999999999999</v>
      </c>
      <c r="DV11" s="483">
        <v>5.1761929727876463</v>
      </c>
      <c r="DW11" s="483">
        <v>6.0718172407330346</v>
      </c>
      <c r="DX11" s="483">
        <v>5.9515580378388471</v>
      </c>
      <c r="DY11" s="483">
        <v>10.475309824003876</v>
      </c>
      <c r="DZ11" s="483"/>
      <c r="EA11" s="483"/>
      <c r="EB11" s="483"/>
      <c r="EC11" s="483"/>
      <c r="ED11" s="483"/>
      <c r="EE11" s="483"/>
      <c r="EF11" s="483"/>
      <c r="EG11" s="483"/>
      <c r="EH11" s="473">
        <f>'[3]Plots R2&gt;.75 - UPDATED'!S8</f>
        <v>3.1727063881024375</v>
      </c>
      <c r="EI11" s="473">
        <f>'[3]Plots R2&gt;.75 - UPDATED'!T8</f>
        <v>3.4026063881024378</v>
      </c>
      <c r="EJ11" s="473">
        <f>'[3]Plots R2&gt;.75 - UPDATED'!U8</f>
        <v>3.9735063881024368</v>
      </c>
      <c r="EK11" s="545">
        <f>'[3]Plots R2&gt;.75 - UPDATED'!V8</f>
        <v>3.3996063881024372</v>
      </c>
      <c r="EL11" s="675">
        <v>11.4</v>
      </c>
      <c r="EM11" s="494">
        <v>2</v>
      </c>
      <c r="EN11" s="464">
        <v>41565</v>
      </c>
      <c r="EO11" s="473">
        <v>3.1727063881024375</v>
      </c>
      <c r="EP11" s="473">
        <v>3.4026063881024378</v>
      </c>
      <c r="EQ11" s="473">
        <v>3.9735063881024368</v>
      </c>
      <c r="ER11" s="545">
        <v>3.3996063881024372</v>
      </c>
      <c r="GN11" s="639"/>
      <c r="GO11" s="639"/>
      <c r="GP11" s="639"/>
      <c r="GQ11" s="639"/>
      <c r="GR11" s="639"/>
      <c r="GS11" s="639"/>
      <c r="GT11" s="639"/>
      <c r="GU11" s="639"/>
      <c r="GV11" s="639"/>
    </row>
    <row r="12" spans="3:342" ht="16">
      <c r="J12" s="580">
        <v>41549</v>
      </c>
      <c r="K12" s="581">
        <v>0</v>
      </c>
      <c r="L12" s="582">
        <v>10.019299999999999</v>
      </c>
      <c r="M12" s="582">
        <v>10.0337</v>
      </c>
      <c r="N12" s="582">
        <v>10.042199999999999</v>
      </c>
      <c r="O12" s="582">
        <v>10.0558</v>
      </c>
      <c r="P12" s="582">
        <v>98.424300000000002</v>
      </c>
      <c r="Q12" s="582">
        <v>10.06382962644571</v>
      </c>
      <c r="R12" s="582">
        <v>0</v>
      </c>
      <c r="S12" s="582">
        <v>0.61987037355429009</v>
      </c>
      <c r="T12" s="582">
        <v>0.16837037355428974</v>
      </c>
      <c r="U12" s="582">
        <v>0.26197037355428993</v>
      </c>
      <c r="W12" s="580">
        <v>41567</v>
      </c>
      <c r="X12" s="582">
        <f t="shared" si="6"/>
        <v>3.1730825244644554</v>
      </c>
      <c r="Y12" s="582">
        <f t="shared" si="0"/>
        <v>3.4021671398490705</v>
      </c>
      <c r="Z12" s="582">
        <f t="shared" si="0"/>
        <v>3.9703517552336867</v>
      </c>
      <c r="AA12" s="582">
        <f t="shared" si="0"/>
        <v>3.6855286783106083</v>
      </c>
      <c r="AB12" s="606"/>
      <c r="AC12" s="436">
        <f t="shared" si="1"/>
        <v>4.1261036349919955E-2</v>
      </c>
      <c r="AD12" s="437">
        <f t="shared" si="2"/>
        <v>-2.0438963650081021E-2</v>
      </c>
      <c r="AE12" s="437">
        <f t="shared" si="3"/>
        <v>-9.9854348265465465E-2</v>
      </c>
      <c r="AF12" s="437">
        <f t="shared" si="4"/>
        <v>0.19063795942684258</v>
      </c>
      <c r="AG12" s="633">
        <v>41567</v>
      </c>
      <c r="AH12" s="509">
        <v>-2.5570902106380518E-2</v>
      </c>
      <c r="AI12" s="510">
        <v>-7.7333781526270117E-3</v>
      </c>
      <c r="AJ12" s="510">
        <v>-9.2637660593316538E-3</v>
      </c>
      <c r="AK12" s="510">
        <v>-2.3755910145628431E-2</v>
      </c>
      <c r="AL12" s="634"/>
      <c r="AM12" s="436">
        <v>-1.7799999999999999E-5</v>
      </c>
      <c r="AN12" s="437">
        <v>5.2500000000000002E-5</v>
      </c>
      <c r="AO12" s="437">
        <v>3.9800000000000002E-4</v>
      </c>
      <c r="AP12" s="437">
        <v>-3.57E-4</v>
      </c>
      <c r="AR12" s="436">
        <f t="shared" si="7"/>
        <v>2.5631999999999999E-2</v>
      </c>
      <c r="AS12" s="437">
        <f t="shared" si="7"/>
        <v>-7.5600000000000001E-2</v>
      </c>
      <c r="AT12" s="437">
        <f t="shared" si="7"/>
        <v>-0.57312000000000007</v>
      </c>
      <c r="AU12" s="437">
        <f t="shared" si="7"/>
        <v>0.51407999999999998</v>
      </c>
      <c r="AV12" s="633">
        <v>41567</v>
      </c>
      <c r="AW12" s="626"/>
      <c r="AX12" s="608">
        <v>0</v>
      </c>
      <c r="AY12" s="436">
        <f t="shared" si="8"/>
        <v>1.5629036349919957E-2</v>
      </c>
      <c r="AZ12" s="437">
        <f t="shared" si="8"/>
        <v>5.5161036349918979E-2</v>
      </c>
      <c r="BA12" s="437">
        <f t="shared" si="8"/>
        <v>0.47326565173453461</v>
      </c>
      <c r="BB12" s="437">
        <f t="shared" si="8"/>
        <v>-0.3234420405731574</v>
      </c>
      <c r="BC12" s="608">
        <f t="shared" si="5"/>
        <v>-3.2344204057315737</v>
      </c>
      <c r="BD12" s="627" t="s">
        <v>382</v>
      </c>
      <c r="BE12" s="580">
        <v>41567</v>
      </c>
      <c r="BF12" s="436">
        <f>DR12*10</f>
        <v>5.5400000000000009</v>
      </c>
      <c r="BG12" s="437"/>
      <c r="BH12" s="437"/>
      <c r="BI12" s="437"/>
      <c r="BJ12" s="628"/>
      <c r="BK12" s="436"/>
      <c r="BL12" s="437"/>
      <c r="BM12" s="437"/>
      <c r="BN12" s="437"/>
      <c r="BO12" s="353">
        <v>79</v>
      </c>
      <c r="BP12" s="353">
        <f t="shared" si="9"/>
        <v>15.8</v>
      </c>
      <c r="BQ12" s="610">
        <f t="shared" si="10"/>
        <v>56.428571428571431</v>
      </c>
      <c r="BR12" s="610">
        <f t="shared" si="11"/>
        <v>21.351351351351351</v>
      </c>
      <c r="BT12" s="629">
        <v>40</v>
      </c>
      <c r="BU12" s="630">
        <v>8</v>
      </c>
      <c r="BV12" s="580">
        <v>41705</v>
      </c>
      <c r="BW12" s="605"/>
      <c r="BX12" s="615"/>
      <c r="BY12" s="616" t="s">
        <v>383</v>
      </c>
      <c r="BZ12" s="617">
        <v>31</v>
      </c>
      <c r="CA12" s="608">
        <v>0</v>
      </c>
      <c r="CB12" s="608">
        <f t="shared" si="12"/>
        <v>0</v>
      </c>
      <c r="CC12" s="608"/>
      <c r="CD12" s="631">
        <f t="shared" si="13"/>
        <v>0.3</v>
      </c>
      <c r="CE12" s="364"/>
      <c r="CF12" s="364"/>
      <c r="CG12" s="364"/>
      <c r="CH12" s="364"/>
      <c r="CI12" s="364"/>
      <c r="CJ12" s="364"/>
      <c r="CK12" s="364"/>
      <c r="CL12" s="623"/>
      <c r="CM12" s="364"/>
      <c r="CN12" s="632" t="s">
        <v>384</v>
      </c>
      <c r="CO12" s="580">
        <f>'[3]Plots R2&gt;.75 - UPDATED'!R9</f>
        <v>41568</v>
      </c>
      <c r="CP12" s="620"/>
      <c r="CQ12" s="595">
        <v>41568</v>
      </c>
      <c r="CR12" s="596">
        <v>150636.96288914641</v>
      </c>
      <c r="CS12" s="597">
        <v>509866.00211189309</v>
      </c>
      <c r="CT12" s="597">
        <v>144414.10030668529</v>
      </c>
      <c r="CU12" s="621">
        <v>177563.42791401636</v>
      </c>
      <c r="CV12" s="450"/>
      <c r="CW12" s="450"/>
      <c r="CX12" s="450"/>
      <c r="CY12" s="450"/>
      <c r="CZ12" s="450"/>
      <c r="DA12" s="450"/>
      <c r="DB12" s="450"/>
      <c r="DC12" s="450"/>
      <c r="DD12" s="622"/>
      <c r="DE12" s="464">
        <v>41566</v>
      </c>
      <c r="DF12" s="483">
        <v>14.522976107902956</v>
      </c>
      <c r="DG12" s="483">
        <v>44.982641771272924</v>
      </c>
      <c r="DH12" s="483">
        <v>11.56305948925881</v>
      </c>
      <c r="DI12" s="483">
        <v>17.734384750325638</v>
      </c>
      <c r="DJ12" s="473"/>
      <c r="DK12" s="473"/>
      <c r="DL12" s="473"/>
      <c r="DM12" s="545"/>
      <c r="DN12" s="473"/>
      <c r="DO12" s="473"/>
      <c r="DP12" s="473"/>
      <c r="DQ12" s="545"/>
      <c r="DR12" s="483">
        <v>0.55400000000000005</v>
      </c>
      <c r="DS12" s="483">
        <v>0.45900000000000002</v>
      </c>
      <c r="DT12" s="483">
        <v>0.83199999999999996</v>
      </c>
      <c r="DU12" s="483">
        <v>0.49299999999999999</v>
      </c>
      <c r="DV12" s="483">
        <v>25.97206900713854</v>
      </c>
      <c r="DW12" s="483">
        <v>7.1394184236861093</v>
      </c>
      <c r="DX12" s="483">
        <v>-4.1469419686311753</v>
      </c>
      <c r="DY12" s="483">
        <v>8.7081514829446753</v>
      </c>
      <c r="DZ12" s="483"/>
      <c r="EA12" s="483"/>
      <c r="EB12" s="483"/>
      <c r="EC12" s="483"/>
      <c r="ED12" s="483"/>
      <c r="EE12" s="483"/>
      <c r="EF12" s="483"/>
      <c r="EG12" s="483"/>
      <c r="EH12" s="473">
        <f>'[3]Plots R2&gt;.75 - UPDATED'!S9</f>
        <v>3.1319503382091853</v>
      </c>
      <c r="EI12" s="473">
        <f>'[3]Plots R2&gt;.75 - UPDATED'!T9</f>
        <v>3.4228503382091855</v>
      </c>
      <c r="EJ12" s="473">
        <f>'[3]Plots R2&gt;.75 - UPDATED'!U9</f>
        <v>4.0705503382091868</v>
      </c>
      <c r="EK12" s="545">
        <f>'[3]Plots R2&gt;.75 - UPDATED'!V9</f>
        <v>3.2055503382091852</v>
      </c>
      <c r="EL12" s="675">
        <v>24.049999999999976</v>
      </c>
      <c r="EM12" s="494">
        <v>10.466666666666667</v>
      </c>
      <c r="EN12" s="464">
        <v>41566</v>
      </c>
      <c r="EO12" s="473">
        <v>3.1319503382091853</v>
      </c>
      <c r="EP12" s="473">
        <v>3.4228503382091855</v>
      </c>
      <c r="EQ12" s="473">
        <v>4.0705503382091868</v>
      </c>
      <c r="ER12" s="545">
        <v>3.2055503382091852</v>
      </c>
      <c r="GN12" s="640"/>
      <c r="GO12" s="640"/>
      <c r="GP12" s="640"/>
      <c r="GQ12" s="640"/>
      <c r="GR12" s="640"/>
      <c r="GS12" s="640"/>
      <c r="GT12" s="640"/>
      <c r="GU12" s="640"/>
      <c r="GV12" s="640"/>
    </row>
    <row r="13" spans="3:342" ht="16">
      <c r="J13" s="580">
        <v>41550</v>
      </c>
      <c r="K13" s="581">
        <v>0</v>
      </c>
      <c r="L13" s="582">
        <v>10.0343</v>
      </c>
      <c r="M13" s="582">
        <v>10.045999999999999</v>
      </c>
      <c r="N13" s="582">
        <v>10.0535</v>
      </c>
      <c r="O13" s="582">
        <v>10.066000000000001</v>
      </c>
      <c r="P13" s="582">
        <v>98.555999999999997</v>
      </c>
      <c r="Q13" s="582">
        <v>10.07729587778611</v>
      </c>
      <c r="R13" s="582">
        <v>0</v>
      </c>
      <c r="S13" s="582">
        <v>0.6187041222138896</v>
      </c>
      <c r="T13" s="582">
        <v>0.1662041222138898</v>
      </c>
      <c r="U13" s="582">
        <v>0.25870412221389077</v>
      </c>
      <c r="W13" s="580">
        <v>41568</v>
      </c>
      <c r="X13" s="582">
        <f t="shared" si="6"/>
        <v>3.1318214881145354</v>
      </c>
      <c r="Y13" s="582">
        <f t="shared" si="0"/>
        <v>3.4226061034991515</v>
      </c>
      <c r="Z13" s="582">
        <f t="shared" si="0"/>
        <v>4.0702061034991521</v>
      </c>
      <c r="AA13" s="582">
        <f t="shared" si="0"/>
        <v>3.4948907188837657</v>
      </c>
      <c r="AB13" s="606"/>
      <c r="AC13" s="438">
        <f t="shared" si="1"/>
        <v>4.4725241183241948E-2</v>
      </c>
      <c r="AD13" s="439">
        <f t="shared" si="2"/>
        <v>1.3786779644780811E-2</v>
      </c>
      <c r="AE13" s="439">
        <f t="shared" si="3"/>
        <v>3.32713950293968E-2</v>
      </c>
      <c r="AF13" s="439">
        <f t="shared" si="4"/>
        <v>-9.4286049706027164E-3</v>
      </c>
      <c r="AG13" s="633">
        <v>41568</v>
      </c>
      <c r="AH13" s="511">
        <v>-2.5474395743311042E-2</v>
      </c>
      <c r="AI13" s="512">
        <v>-7.7848691881859727E-3</v>
      </c>
      <c r="AJ13" s="512">
        <v>-9.2488366568884029E-3</v>
      </c>
      <c r="AK13" s="512">
        <v>-2.4479282897542632E-2</v>
      </c>
      <c r="AL13" s="634"/>
      <c r="AM13" s="438"/>
      <c r="AN13" s="439"/>
      <c r="AO13" s="439"/>
      <c r="AP13" s="439"/>
      <c r="AR13" s="438"/>
      <c r="AS13" s="439"/>
      <c r="AT13" s="439"/>
      <c r="AU13" s="439"/>
      <c r="AV13" s="633">
        <v>41568</v>
      </c>
      <c r="AW13" s="626"/>
      <c r="AX13" s="607">
        <v>4.8</v>
      </c>
      <c r="AY13" s="438"/>
      <c r="AZ13" s="439"/>
      <c r="BA13" s="439"/>
      <c r="BB13" s="439"/>
      <c r="BC13" s="608">
        <f t="shared" si="5"/>
        <v>0</v>
      </c>
      <c r="BD13" s="627" t="s">
        <v>385</v>
      </c>
      <c r="BE13" s="580">
        <v>41568</v>
      </c>
      <c r="BF13" s="438"/>
      <c r="BG13" s="439"/>
      <c r="BH13" s="439"/>
      <c r="BI13" s="439"/>
      <c r="BJ13" s="628"/>
      <c r="BK13" s="438"/>
      <c r="BL13" s="439"/>
      <c r="BM13" s="439"/>
      <c r="BN13" s="439"/>
      <c r="BO13" s="353">
        <v>76</v>
      </c>
      <c r="BP13" s="353">
        <f t="shared" si="9"/>
        <v>15.2</v>
      </c>
      <c r="BQ13" s="610">
        <f t="shared" si="10"/>
        <v>54.285714285714292</v>
      </c>
      <c r="BR13" s="610">
        <f t="shared" si="11"/>
        <v>20.54054054054054</v>
      </c>
      <c r="BT13" s="629">
        <v>50</v>
      </c>
      <c r="BU13" s="630">
        <v>10</v>
      </c>
      <c r="BV13" s="580">
        <v>41705</v>
      </c>
      <c r="BW13" s="605"/>
      <c r="BX13" s="615"/>
      <c r="BY13" s="616" t="s">
        <v>386</v>
      </c>
      <c r="BZ13" s="617">
        <v>32</v>
      </c>
      <c r="CA13" s="608">
        <v>0</v>
      </c>
      <c r="CB13" s="608">
        <f t="shared" si="12"/>
        <v>0</v>
      </c>
      <c r="CC13" s="608"/>
      <c r="CD13" s="631">
        <f t="shared" si="13"/>
        <v>0.3</v>
      </c>
      <c r="CE13" s="364"/>
      <c r="CF13" s="364"/>
      <c r="CG13" s="364"/>
      <c r="CH13" s="364"/>
      <c r="CI13" s="364"/>
      <c r="CJ13" s="364"/>
      <c r="CK13" s="364"/>
      <c r="CL13" s="623"/>
      <c r="CM13" s="364"/>
      <c r="CN13" s="632" t="s">
        <v>387</v>
      </c>
      <c r="CO13" s="580">
        <f>'[3]Plots R2&gt;.75 - UPDATED'!R10</f>
        <v>41569</v>
      </c>
      <c r="CP13" s="620"/>
      <c r="CQ13" s="633">
        <v>41569</v>
      </c>
      <c r="CR13" s="641">
        <v>148256.45102915785</v>
      </c>
      <c r="CS13" s="642">
        <v>503894.70226361288</v>
      </c>
      <c r="CT13" s="642">
        <v>142313.34371914095</v>
      </c>
      <c r="CU13" s="643">
        <v>179211.68957613886</v>
      </c>
      <c r="CV13" s="450"/>
      <c r="CW13" s="450"/>
      <c r="CX13" s="450"/>
      <c r="CY13" s="450"/>
      <c r="CZ13" s="450"/>
      <c r="DA13" s="450"/>
      <c r="DB13" s="450"/>
      <c r="DC13" s="450"/>
      <c r="DD13" s="622"/>
      <c r="DE13" s="464">
        <v>41567</v>
      </c>
      <c r="DF13" s="483">
        <v>15.34026766597859</v>
      </c>
      <c r="DG13" s="483">
        <v>47.283934630679234</v>
      </c>
      <c r="DH13" s="483">
        <v>12.270115242268812</v>
      </c>
      <c r="DI13" s="483">
        <v>19.020776020799023</v>
      </c>
      <c r="DJ13" s="473"/>
      <c r="DK13" s="473"/>
      <c r="DL13" s="473"/>
      <c r="DM13" s="545"/>
      <c r="DN13" s="473"/>
      <c r="DO13" s="473"/>
      <c r="DP13" s="473"/>
      <c r="DQ13" s="545"/>
      <c r="DR13" s="483">
        <v>0.55400000000000005</v>
      </c>
      <c r="DS13" s="483">
        <v>0.45900000000000002</v>
      </c>
      <c r="DT13" s="483">
        <v>0.83199999999999996</v>
      </c>
      <c r="DU13" s="483">
        <v>0.49299999999999999</v>
      </c>
      <c r="DV13" s="483">
        <v>1.6987954577118893</v>
      </c>
      <c r="DW13" s="483">
        <v>-2.7915721279501424</v>
      </c>
      <c r="DX13" s="483">
        <v>-10.826330906413309</v>
      </c>
      <c r="DY13" s="483">
        <v>17.190206372420505</v>
      </c>
      <c r="DZ13" s="483"/>
      <c r="EA13" s="483"/>
      <c r="EB13" s="483"/>
      <c r="EC13" s="483"/>
      <c r="ED13" s="483"/>
      <c r="EE13" s="483"/>
      <c r="EF13" s="483"/>
      <c r="EG13" s="483"/>
      <c r="EH13" s="473">
        <f>'[3]Plots R2&gt;.75 - UPDATED'!S10</f>
        <v>3.0868947052086626</v>
      </c>
      <c r="EI13" s="473">
        <f>'[3]Plots R2&gt;.75 - UPDATED'!T10</f>
        <v>3.4088947052086631</v>
      </c>
      <c r="EJ13" s="473">
        <f>'[3]Plots R2&gt;.75 - UPDATED'!U10</f>
        <v>4.0373947052086629</v>
      </c>
      <c r="EK13" s="545">
        <f>'[3]Plots R2&gt;.75 - UPDATED'!V10</f>
        <v>3.2147947052086621</v>
      </c>
      <c r="EL13" s="675">
        <v>25.749999999999925</v>
      </c>
      <c r="EM13" s="495">
        <v>0</v>
      </c>
      <c r="EN13" s="464">
        <v>41567</v>
      </c>
      <c r="EO13" s="473">
        <v>3.0868947052086626</v>
      </c>
      <c r="EP13" s="473">
        <v>3.4088947052086631</v>
      </c>
      <c r="EQ13" s="473">
        <v>4.0373947052086629</v>
      </c>
      <c r="ER13" s="545">
        <v>3.2147947052086621</v>
      </c>
      <c r="GN13" s="640"/>
      <c r="GO13" s="640"/>
      <c r="GP13" s="640"/>
      <c r="GQ13" s="640"/>
      <c r="GR13" s="640"/>
      <c r="GS13" s="640"/>
      <c r="GT13" s="640"/>
      <c r="GU13" s="640"/>
      <c r="GV13" s="640"/>
    </row>
    <row r="14" spans="3:342" ht="16">
      <c r="J14" s="580">
        <v>41551</v>
      </c>
      <c r="K14" s="581">
        <v>0</v>
      </c>
      <c r="L14" s="582">
        <v>10.041499999999999</v>
      </c>
      <c r="M14" s="582">
        <v>10.0526</v>
      </c>
      <c r="N14" s="582">
        <v>10.0594</v>
      </c>
      <c r="O14" s="582">
        <v>10.071199999999999</v>
      </c>
      <c r="P14" s="582">
        <v>98.583399999999997</v>
      </c>
      <c r="Q14" s="582">
        <v>10.080097512461332</v>
      </c>
      <c r="R14" s="582">
        <v>0</v>
      </c>
      <c r="S14" s="582">
        <v>0.62250248753866777</v>
      </c>
      <c r="T14" s="582">
        <v>0.16930248753866783</v>
      </c>
      <c r="U14" s="582">
        <v>0.26110248753866688</v>
      </c>
      <c r="W14" s="580">
        <v>41569</v>
      </c>
      <c r="X14" s="582">
        <f t="shared" si="6"/>
        <v>3.0870962469312935</v>
      </c>
      <c r="Y14" s="582">
        <f t="shared" si="0"/>
        <v>3.4088193238543707</v>
      </c>
      <c r="Z14" s="582">
        <f t="shared" si="0"/>
        <v>4.0369347084697553</v>
      </c>
      <c r="AA14" s="582">
        <f t="shared" si="0"/>
        <v>3.5043193238543684</v>
      </c>
      <c r="AB14" s="606"/>
      <c r="AC14" s="438">
        <f t="shared" si="1"/>
        <v>4.4882869824633964E-2</v>
      </c>
      <c r="AD14" s="439">
        <f t="shared" si="2"/>
        <v>1.6598254440019389E-2</v>
      </c>
      <c r="AE14" s="439">
        <f t="shared" si="3"/>
        <v>4.9936715978480262E-2</v>
      </c>
      <c r="AF14" s="439">
        <f t="shared" si="4"/>
        <v>3.3867485209247761E-2</v>
      </c>
      <c r="AG14" s="633">
        <v>41569</v>
      </c>
      <c r="AH14" s="511">
        <v>-2.5363886575912691E-2</v>
      </c>
      <c r="AI14" s="512">
        <v>-7.7497208942863358E-3</v>
      </c>
      <c r="AJ14" s="512">
        <v>-9.2546465504949656E-3</v>
      </c>
      <c r="AK14" s="512">
        <v>-2.4452708789741553E-2</v>
      </c>
      <c r="AL14" s="634"/>
      <c r="AM14" s="438"/>
      <c r="AN14" s="439"/>
      <c r="AO14" s="439"/>
      <c r="AP14" s="439"/>
      <c r="AR14" s="438"/>
      <c r="AS14" s="439"/>
      <c r="AT14" s="439"/>
      <c r="AU14" s="439"/>
      <c r="AV14" s="633">
        <v>41569</v>
      </c>
      <c r="AW14" s="644"/>
      <c r="AX14" s="607">
        <v>0.1</v>
      </c>
      <c r="AY14" s="438"/>
      <c r="AZ14" s="439"/>
      <c r="BA14" s="439"/>
      <c r="BB14" s="439"/>
      <c r="BC14" s="608">
        <f t="shared" si="5"/>
        <v>0</v>
      </c>
      <c r="BD14" s="627" t="s">
        <v>388</v>
      </c>
      <c r="BE14" s="580">
        <v>41569</v>
      </c>
      <c r="BF14" s="438"/>
      <c r="BG14" s="439"/>
      <c r="BH14" s="439"/>
      <c r="BI14" s="439"/>
      <c r="BJ14" s="628"/>
      <c r="BK14" s="438"/>
      <c r="BL14" s="439"/>
      <c r="BM14" s="439"/>
      <c r="BN14" s="439"/>
      <c r="BO14" s="353">
        <v>81</v>
      </c>
      <c r="BP14" s="353">
        <f t="shared" si="9"/>
        <v>16.2</v>
      </c>
      <c r="BQ14" s="610">
        <f t="shared" si="10"/>
        <v>57.857142857142861</v>
      </c>
      <c r="BR14" s="610">
        <f t="shared" si="11"/>
        <v>21.891891891891891</v>
      </c>
      <c r="BT14" s="629">
        <v>60</v>
      </c>
      <c r="BU14" s="630">
        <v>12</v>
      </c>
      <c r="BV14" s="580">
        <v>41705</v>
      </c>
      <c r="BW14" s="605"/>
      <c r="BX14" s="615"/>
      <c r="BY14" s="616" t="s">
        <v>389</v>
      </c>
      <c r="BZ14" s="617">
        <v>31</v>
      </c>
      <c r="CA14" s="608">
        <v>0</v>
      </c>
      <c r="CB14" s="608">
        <f t="shared" si="12"/>
        <v>0</v>
      </c>
      <c r="CC14" s="608"/>
      <c r="CD14" s="631">
        <f t="shared" si="13"/>
        <v>0.3</v>
      </c>
      <c r="CE14" s="364"/>
      <c r="CF14" s="364"/>
      <c r="CG14" s="364"/>
      <c r="CH14" s="364"/>
      <c r="CI14" s="364"/>
      <c r="CJ14" s="364"/>
      <c r="CK14" s="364"/>
      <c r="CL14" s="623"/>
      <c r="CM14" s="364"/>
      <c r="CN14" s="632" t="s">
        <v>390</v>
      </c>
      <c r="CO14" s="580">
        <f>'[3]Plots R2&gt;.75 - UPDATED'!R11</f>
        <v>41570</v>
      </c>
      <c r="CP14" s="620"/>
      <c r="CQ14" s="633">
        <v>41570</v>
      </c>
      <c r="CR14" s="641">
        <v>145898.01743237124</v>
      </c>
      <c r="CS14" s="642">
        <v>496512.91099891171</v>
      </c>
      <c r="CT14" s="642">
        <v>139152.17238096253</v>
      </c>
      <c r="CU14" s="643">
        <v>173060.83137466275</v>
      </c>
      <c r="CV14" s="450"/>
      <c r="CW14" s="450"/>
      <c r="CX14" s="450"/>
      <c r="CY14" s="450"/>
      <c r="CZ14" s="450"/>
      <c r="DA14" s="450"/>
      <c r="DB14" s="450"/>
      <c r="DC14" s="450"/>
      <c r="DD14" s="622"/>
      <c r="DE14" s="464">
        <v>41568</v>
      </c>
      <c r="DF14" s="483">
        <v>15.279323920742733</v>
      </c>
      <c r="DG14" s="483">
        <v>50.121907334035718</v>
      </c>
      <c r="DH14" s="483">
        <v>13.830376114268779</v>
      </c>
      <c r="DI14" s="483">
        <v>21.441558927759768</v>
      </c>
      <c r="DJ14" s="473"/>
      <c r="DK14" s="473"/>
      <c r="DL14" s="473"/>
      <c r="DM14" s="545"/>
      <c r="DN14" s="473"/>
      <c r="DO14" s="473"/>
      <c r="DP14" s="473"/>
      <c r="DQ14" s="545"/>
      <c r="DR14" s="483">
        <v>0.55400000000000005</v>
      </c>
      <c r="DS14" s="483">
        <v>0.45900000000000002</v>
      </c>
      <c r="DT14" s="483">
        <v>0.83199999999999996</v>
      </c>
      <c r="DU14" s="483">
        <v>0.49299999999999999</v>
      </c>
      <c r="DV14" s="483">
        <v>8.2490899274256968</v>
      </c>
      <c r="DW14" s="483">
        <v>4.0824086873480798</v>
      </c>
      <c r="DX14" s="483">
        <v>7.341834192776159</v>
      </c>
      <c r="DY14" s="483">
        <v>2.0995878358815263</v>
      </c>
      <c r="DZ14" s="483"/>
      <c r="EA14" s="483"/>
      <c r="EB14" s="483"/>
      <c r="EC14" s="483"/>
      <c r="ED14" s="483"/>
      <c r="EE14" s="483"/>
      <c r="EF14" s="483"/>
      <c r="EG14" s="483"/>
      <c r="EH14" s="473">
        <f>'[3]Plots R2&gt;.75 - UPDATED'!S11</f>
        <v>3.0421924557679625</v>
      </c>
      <c r="EI14" s="473">
        <f>'[3]Plots R2&gt;.75 - UPDATED'!T11</f>
        <v>3.3914924557679615</v>
      </c>
      <c r="EJ14" s="473">
        <f>'[3]Plots R2&gt;.75 - UPDATED'!U11</f>
        <v>3.9870924557679617</v>
      </c>
      <c r="EK14" s="545">
        <f>'[3]Plots R2&gt;.75 - UPDATED'!V11</f>
        <v>3.179992455767962</v>
      </c>
      <c r="EL14" s="675">
        <v>2</v>
      </c>
      <c r="EM14" s="495">
        <v>0</v>
      </c>
      <c r="EN14" s="464">
        <v>41568</v>
      </c>
      <c r="EO14" s="473">
        <v>3.0421924557679625</v>
      </c>
      <c r="EP14" s="473">
        <v>3.3914924557679615</v>
      </c>
      <c r="EQ14" s="473">
        <v>3.9870924557679617</v>
      </c>
      <c r="ER14" s="545">
        <v>3.179992455767962</v>
      </c>
      <c r="GN14" s="640"/>
      <c r="GO14" s="640"/>
      <c r="GP14" s="640"/>
      <c r="GQ14" s="640"/>
      <c r="GR14" s="640"/>
      <c r="GS14" s="640"/>
      <c r="GT14" s="640"/>
      <c r="GU14" s="640"/>
      <c r="GV14" s="640"/>
    </row>
    <row r="15" spans="3:342" ht="16">
      <c r="J15" s="580">
        <v>41552</v>
      </c>
      <c r="K15" s="581">
        <v>0</v>
      </c>
      <c r="L15" s="582">
        <v>10.0512</v>
      </c>
      <c r="M15" s="582">
        <v>10.062900000000001</v>
      </c>
      <c r="N15" s="582">
        <v>10.0708</v>
      </c>
      <c r="O15" s="582">
        <v>10.082599999999999</v>
      </c>
      <c r="P15" s="582">
        <v>98.718800000000002</v>
      </c>
      <c r="Q15" s="582">
        <v>10.093942086732328</v>
      </c>
      <c r="R15" s="582">
        <v>0</v>
      </c>
      <c r="S15" s="582">
        <v>0.6189579132676728</v>
      </c>
      <c r="T15" s="582">
        <v>0.16685791326767208</v>
      </c>
      <c r="U15" s="582">
        <v>0.25865791326767112</v>
      </c>
      <c r="W15" s="580">
        <v>41570</v>
      </c>
      <c r="X15" s="582">
        <f t="shared" si="6"/>
        <v>3.0422133771066595</v>
      </c>
      <c r="Y15" s="582">
        <f t="shared" si="0"/>
        <v>3.3922210694143513</v>
      </c>
      <c r="Z15" s="582">
        <f t="shared" si="0"/>
        <v>3.9869979924912751</v>
      </c>
      <c r="AA15" s="582">
        <f t="shared" si="0"/>
        <v>3.4704518386451206</v>
      </c>
      <c r="AB15" s="606"/>
      <c r="AC15" s="436">
        <f t="shared" si="1"/>
        <v>4.2070879219470392E-2</v>
      </c>
      <c r="AD15" s="437">
        <f t="shared" si="2"/>
        <v>2.0024725373316787E-2</v>
      </c>
      <c r="AE15" s="437">
        <f t="shared" si="3"/>
        <v>5.0570879219470566E-2</v>
      </c>
      <c r="AF15" s="437">
        <f t="shared" si="4"/>
        <v>3.1163186911779217E-2</v>
      </c>
      <c r="AG15" s="633">
        <v>41570</v>
      </c>
      <c r="AH15" s="509">
        <v>-2.5250090501361535E-2</v>
      </c>
      <c r="AI15" s="510">
        <v>-7.7037106768128054E-3</v>
      </c>
      <c r="AJ15" s="510">
        <v>-9.2620649861139062E-3</v>
      </c>
      <c r="AK15" s="510">
        <v>-2.454767587300671E-2</v>
      </c>
      <c r="AL15" s="634"/>
      <c r="AM15" s="436">
        <v>-3.3300000000000003E-5</v>
      </c>
      <c r="AN15" s="437">
        <v>-1.34E-5</v>
      </c>
      <c r="AO15" s="437">
        <v>-3.5500000000000002E-5</v>
      </c>
      <c r="AP15" s="437">
        <v>-1.1399999999999999E-5</v>
      </c>
      <c r="AR15" s="436">
        <f t="shared" si="7"/>
        <v>4.7952000000000002E-2</v>
      </c>
      <c r="AS15" s="437">
        <f t="shared" si="7"/>
        <v>1.9296000000000001E-2</v>
      </c>
      <c r="AT15" s="437">
        <f t="shared" si="7"/>
        <v>5.1120000000000006E-2</v>
      </c>
      <c r="AU15" s="437">
        <f t="shared" si="7"/>
        <v>1.6416E-2</v>
      </c>
      <c r="AV15" s="633">
        <v>41570</v>
      </c>
      <c r="AW15" s="644"/>
      <c r="AX15" s="608">
        <v>0</v>
      </c>
      <c r="AY15" s="436">
        <f t="shared" ref="AY15:BB16" si="14">AC15-AR15</f>
        <v>-5.8811207805296098E-3</v>
      </c>
      <c r="AZ15" s="437">
        <f t="shared" si="14"/>
        <v>7.2872537331678672E-4</v>
      </c>
      <c r="BA15" s="437">
        <f t="shared" si="14"/>
        <v>-5.4912078052943986E-4</v>
      </c>
      <c r="BB15" s="437">
        <f t="shared" si="14"/>
        <v>1.4747186911779217E-2</v>
      </c>
      <c r="BC15" s="608">
        <f t="shared" si="5"/>
        <v>0.14747186911779217</v>
      </c>
      <c r="BD15" s="627" t="s">
        <v>391</v>
      </c>
      <c r="BE15" s="580">
        <v>41570</v>
      </c>
      <c r="BF15" s="436">
        <f t="shared" ref="BF15:BI16" si="15">DR15*10</f>
        <v>5.18384666274609</v>
      </c>
      <c r="BG15" s="437">
        <f t="shared" si="15"/>
        <v>4.59</v>
      </c>
      <c r="BH15" s="437">
        <f t="shared" si="15"/>
        <v>8.32</v>
      </c>
      <c r="BI15" s="437">
        <f t="shared" si="15"/>
        <v>4.93</v>
      </c>
      <c r="BJ15" s="628"/>
      <c r="BK15" s="436"/>
      <c r="BL15" s="437"/>
      <c r="BM15" s="437"/>
      <c r="BN15" s="437"/>
      <c r="BO15" s="353">
        <v>77</v>
      </c>
      <c r="BP15" s="353">
        <f t="shared" si="9"/>
        <v>15.4</v>
      </c>
      <c r="BQ15" s="610">
        <f t="shared" si="10"/>
        <v>55</v>
      </c>
      <c r="BR15" s="610">
        <f t="shared" si="11"/>
        <v>20.810810810810811</v>
      </c>
      <c r="BT15" s="629">
        <v>70</v>
      </c>
      <c r="BU15" s="630">
        <v>14</v>
      </c>
      <c r="BV15" s="580">
        <v>41705</v>
      </c>
      <c r="BW15" s="605"/>
      <c r="BX15" s="615"/>
      <c r="BY15" s="616" t="s">
        <v>392</v>
      </c>
      <c r="BZ15" s="617">
        <v>33</v>
      </c>
      <c r="CA15" s="608">
        <v>0</v>
      </c>
      <c r="CB15" s="608">
        <f t="shared" si="12"/>
        <v>0</v>
      </c>
      <c r="CC15" s="608"/>
      <c r="CD15" s="631">
        <f t="shared" si="13"/>
        <v>0.3</v>
      </c>
      <c r="CE15" s="364"/>
      <c r="CF15" s="364"/>
      <c r="CG15" s="364"/>
      <c r="CH15" s="364"/>
      <c r="CI15" s="364"/>
      <c r="CJ15" s="364"/>
      <c r="CK15" s="364"/>
      <c r="CL15" s="623"/>
      <c r="CM15" s="364"/>
      <c r="CN15" s="632" t="s">
        <v>393</v>
      </c>
      <c r="CO15" s="580">
        <f>'[3]Plots R2&gt;.75 - UPDATED'!R12</f>
        <v>41571</v>
      </c>
      <c r="CP15" s="620"/>
      <c r="CQ15" s="633">
        <v>41571</v>
      </c>
      <c r="CR15" s="641">
        <v>143655.87017483279</v>
      </c>
      <c r="CS15" s="642">
        <v>488259.35666765185</v>
      </c>
      <c r="CT15" s="642">
        <v>135994.16407751772</v>
      </c>
      <c r="CU15" s="643">
        <v>167627.35937784513</v>
      </c>
      <c r="CV15" s="450"/>
      <c r="CW15" s="450"/>
      <c r="CX15" s="450"/>
      <c r="CY15" s="450"/>
      <c r="CZ15" s="450"/>
      <c r="DA15" s="450"/>
      <c r="DB15" s="513">
        <f>(302.4/CU15)*100</f>
        <v>0.18040014537147653</v>
      </c>
      <c r="DC15" s="513">
        <f t="shared" ref="DC15:DC34" si="16">IF(ABS(DY16)&lt;=DB15,0,IF(DY16&gt;0,DY16-DB15,DY16+DB15))</f>
        <v>-0.63276744192919465</v>
      </c>
      <c r="DD15" s="622"/>
      <c r="DE15" s="299">
        <v>41569</v>
      </c>
      <c r="DF15" s="463">
        <v>15.063696288914642</v>
      </c>
      <c r="DG15" s="463">
        <v>50.986600211189312</v>
      </c>
      <c r="DH15" s="463">
        <v>14.441410030668528</v>
      </c>
      <c r="DI15" s="463">
        <v>17.756342791401636</v>
      </c>
      <c r="DJ15" s="528"/>
      <c r="DK15" s="528"/>
      <c r="DL15" s="528"/>
      <c r="DM15" s="546"/>
      <c r="DN15" s="528">
        <f>DJ15*10</f>
        <v>0</v>
      </c>
      <c r="DO15" s="528">
        <f t="shared" ref="DO15:DQ15" si="17">DK15*10</f>
        <v>0</v>
      </c>
      <c r="DP15" s="528">
        <f t="shared" si="17"/>
        <v>0</v>
      </c>
      <c r="DQ15" s="528">
        <f t="shared" si="17"/>
        <v>0</v>
      </c>
      <c r="DR15" s="463">
        <v>0.518384666274609</v>
      </c>
      <c r="DS15" s="463">
        <v>0.45900000000000002</v>
      </c>
      <c r="DT15" s="463">
        <v>0.83199999999999996</v>
      </c>
      <c r="DU15" s="463">
        <v>0.49299999999999999</v>
      </c>
      <c r="DV15" s="463">
        <v>1.4154516202041334</v>
      </c>
      <c r="DW15" s="463">
        <v>0.50625285464152303</v>
      </c>
      <c r="DX15" s="463">
        <v>3.2727602890206309</v>
      </c>
      <c r="DY15" s="463">
        <v>0.54195406509585409</v>
      </c>
      <c r="DZ15" s="463">
        <v>1.4154516202041334</v>
      </c>
      <c r="EA15" s="463">
        <v>0.50625285464152303</v>
      </c>
      <c r="EB15" s="463">
        <v>3.2727602890206309</v>
      </c>
      <c r="EC15" s="463">
        <v>0.54195406509585409</v>
      </c>
      <c r="ED15" s="463">
        <f>DZ15*10</f>
        <v>14.154516202041334</v>
      </c>
      <c r="EE15" s="463">
        <f t="shared" ref="EE15:EG15" si="18">EA15*10</f>
        <v>5.0625285464152299</v>
      </c>
      <c r="EF15" s="463">
        <f t="shared" si="18"/>
        <v>32.727602890206306</v>
      </c>
      <c r="EG15" s="463">
        <f t="shared" si="18"/>
        <v>5.4195406509585409</v>
      </c>
      <c r="EH15" s="528">
        <f>'[3]Plots R2&gt;.75 - UPDATED'!S12</f>
        <v>2.9996337677375871</v>
      </c>
      <c r="EI15" s="528">
        <f>'[3]Plots R2&gt;.75 - UPDATED'!T12</f>
        <v>3.371833767737586</v>
      </c>
      <c r="EJ15" s="528">
        <f>'[3]Plots R2&gt;.75 - UPDATED'!U12</f>
        <v>3.9363337677375876</v>
      </c>
      <c r="EK15" s="546">
        <f>'[3]Plots R2&gt;.75 - UPDATED'!V12</f>
        <v>3.1485337677375855</v>
      </c>
      <c r="EL15" s="676">
        <v>10.466666666666667</v>
      </c>
      <c r="EM15" s="495">
        <v>0</v>
      </c>
      <c r="EN15" s="299">
        <v>41569</v>
      </c>
      <c r="EO15" s="528">
        <v>2.9996337677375871</v>
      </c>
      <c r="EP15" s="528">
        <v>3.371833767737586</v>
      </c>
      <c r="EQ15" s="528">
        <v>3.9363337677375876</v>
      </c>
      <c r="ER15" s="546">
        <v>3.1485337677375855</v>
      </c>
      <c r="GN15" s="640"/>
      <c r="GO15" s="640"/>
      <c r="GP15" s="640"/>
      <c r="GQ15" s="640"/>
      <c r="GR15" s="640"/>
      <c r="GS15" s="640"/>
      <c r="GT15" s="640"/>
      <c r="GU15" s="640"/>
      <c r="GV15" s="640"/>
    </row>
    <row r="16" spans="3:342" ht="16">
      <c r="J16" s="580">
        <v>41553</v>
      </c>
      <c r="K16" s="581">
        <v>0</v>
      </c>
      <c r="L16" s="582">
        <v>10.0436</v>
      </c>
      <c r="M16" s="582">
        <v>10.051600000000001</v>
      </c>
      <c r="N16" s="582">
        <v>10.060700000000001</v>
      </c>
      <c r="O16" s="582">
        <v>10.0746</v>
      </c>
      <c r="P16" s="582">
        <v>98.623999999999995</v>
      </c>
      <c r="Q16" s="582">
        <v>10.084248839753817</v>
      </c>
      <c r="R16" s="582">
        <v>0</v>
      </c>
      <c r="S16" s="582">
        <v>0.61735116024618342</v>
      </c>
      <c r="T16" s="582">
        <v>0.16645116024618345</v>
      </c>
      <c r="U16" s="582">
        <v>0.26035116024618293</v>
      </c>
      <c r="W16" s="580">
        <v>41571</v>
      </c>
      <c r="X16" s="582">
        <f t="shared" si="6"/>
        <v>3.0001424978871891</v>
      </c>
      <c r="Y16" s="582">
        <f t="shared" si="0"/>
        <v>3.3721963440410345</v>
      </c>
      <c r="Z16" s="582">
        <f t="shared" si="0"/>
        <v>3.9364271132718045</v>
      </c>
      <c r="AA16" s="582">
        <f t="shared" si="0"/>
        <v>3.4392886517333414</v>
      </c>
      <c r="AB16" s="606"/>
      <c r="AC16" s="436">
        <f t="shared" si="1"/>
        <v>3.8811374393720843E-2</v>
      </c>
      <c r="AD16" s="436">
        <f t="shared" si="2"/>
        <v>2.0619066701412336E-2</v>
      </c>
      <c r="AE16" s="436">
        <f t="shared" si="3"/>
        <v>5.3511374393720779E-2</v>
      </c>
      <c r="AF16" s="440">
        <f t="shared" si="4"/>
        <v>1.9026759009104222E-2</v>
      </c>
      <c r="AG16" s="633">
        <v>41571</v>
      </c>
      <c r="AH16" s="509">
        <v>-2.5137720066670192E-2</v>
      </c>
      <c r="AI16" s="509">
        <v>-7.6487229749702445E-3</v>
      </c>
      <c r="AJ16" s="509">
        <v>-9.2677295732636559E-3</v>
      </c>
      <c r="AK16" s="513">
        <v>-2.4620933437251885E-2</v>
      </c>
      <c r="AL16" s="634"/>
      <c r="AM16" s="436">
        <v>-3.5299999999999997E-5</v>
      </c>
      <c r="AN16" s="436">
        <v>-1.5299999999999999E-5</v>
      </c>
      <c r="AO16" s="436">
        <v>-4.49E-5</v>
      </c>
      <c r="AP16" s="440">
        <v>-1.7499999999999998E-5</v>
      </c>
      <c r="AR16" s="436">
        <f t="shared" si="7"/>
        <v>5.0831999999999995E-2</v>
      </c>
      <c r="AS16" s="436">
        <f t="shared" si="7"/>
        <v>2.2032E-2</v>
      </c>
      <c r="AT16" s="436">
        <f t="shared" si="7"/>
        <v>6.4656000000000005E-2</v>
      </c>
      <c r="AU16" s="440">
        <f t="shared" si="7"/>
        <v>2.5199999999999997E-2</v>
      </c>
      <c r="AV16" s="633">
        <v>41571</v>
      </c>
      <c r="AW16" s="644"/>
      <c r="AX16" s="607">
        <v>0.08</v>
      </c>
      <c r="AY16" s="436">
        <f t="shared" si="14"/>
        <v>-1.2020625606279152E-2</v>
      </c>
      <c r="AZ16" s="436">
        <f t="shared" si="14"/>
        <v>-1.4129332985876632E-3</v>
      </c>
      <c r="BA16" s="436">
        <f t="shared" si="14"/>
        <v>-1.1144625606279226E-2</v>
      </c>
      <c r="BB16" s="440">
        <f t="shared" si="14"/>
        <v>-6.1732409908957751E-3</v>
      </c>
      <c r="BC16" s="608">
        <f t="shared" si="5"/>
        <v>-6.1732409908957751E-2</v>
      </c>
      <c r="BD16" s="627" t="s">
        <v>394</v>
      </c>
      <c r="BE16" s="580">
        <v>41571</v>
      </c>
      <c r="BF16" s="436">
        <f t="shared" si="15"/>
        <v>4.827693325492179</v>
      </c>
      <c r="BG16" s="436">
        <f t="shared" si="15"/>
        <v>0.36268803037551534</v>
      </c>
      <c r="BH16" s="436">
        <f t="shared" si="15"/>
        <v>8.32</v>
      </c>
      <c r="BI16" s="440">
        <f t="shared" si="15"/>
        <v>15.042688030376436</v>
      </c>
      <c r="BJ16" s="645"/>
      <c r="BK16" s="436"/>
      <c r="BL16" s="436"/>
      <c r="BM16" s="436"/>
      <c r="BN16" s="440"/>
      <c r="BO16" s="353">
        <v>74</v>
      </c>
      <c r="BP16" s="353">
        <f t="shared" si="9"/>
        <v>14.8</v>
      </c>
      <c r="BQ16" s="610">
        <f t="shared" si="10"/>
        <v>52.857142857142861</v>
      </c>
      <c r="BR16" s="610">
        <f t="shared" si="11"/>
        <v>20</v>
      </c>
      <c r="BT16" s="629">
        <v>80</v>
      </c>
      <c r="BU16" s="630">
        <v>16</v>
      </c>
      <c r="BV16" s="580">
        <v>41705</v>
      </c>
      <c r="BW16" s="605"/>
      <c r="BX16" s="615"/>
      <c r="BY16" s="616" t="s">
        <v>395</v>
      </c>
      <c r="BZ16" s="617">
        <v>31</v>
      </c>
      <c r="CA16" s="608">
        <v>1.52</v>
      </c>
      <c r="CB16" s="608">
        <f t="shared" si="12"/>
        <v>15.2</v>
      </c>
      <c r="CC16" s="608"/>
      <c r="CD16" s="631">
        <f t="shared" si="13"/>
        <v>15.5</v>
      </c>
      <c r="CE16" s="364"/>
      <c r="CF16" s="364"/>
      <c r="CG16" s="364"/>
      <c r="CH16" s="364"/>
      <c r="CI16" s="364"/>
      <c r="CJ16" s="364"/>
      <c r="CK16" s="364"/>
      <c r="CL16" s="623"/>
      <c r="CM16" s="364"/>
      <c r="CN16" s="632" t="s">
        <v>396</v>
      </c>
      <c r="CO16" s="580">
        <f>'[3]Plots R2&gt;.75 - UPDATED'!R13</f>
        <v>41572</v>
      </c>
      <c r="CP16" s="620"/>
      <c r="CQ16" s="633">
        <v>41572</v>
      </c>
      <c r="CR16" s="641">
        <v>141619.18211394607</v>
      </c>
      <c r="CS16" s="642">
        <v>479661.55989572551</v>
      </c>
      <c r="CT16" s="642">
        <v>132699.661547667</v>
      </c>
      <c r="CU16" s="643">
        <v>164435.14206189432</v>
      </c>
      <c r="CV16" s="450"/>
      <c r="CW16" s="450"/>
      <c r="CX16" s="450"/>
      <c r="CY16" s="450"/>
      <c r="CZ16" s="450"/>
      <c r="DA16" s="450"/>
      <c r="DB16" s="513">
        <f t="shared" ref="DB16:DB79" si="19">(302.4/CU16)*100</f>
        <v>0.18390229497668745</v>
      </c>
      <c r="DC16" s="513">
        <f t="shared" si="16"/>
        <v>-1.6555508897672959</v>
      </c>
      <c r="DD16" s="622"/>
      <c r="DE16" s="299">
        <v>41570</v>
      </c>
      <c r="DF16" s="463">
        <v>14.825645102915784</v>
      </c>
      <c r="DG16" s="463">
        <v>50.38947022636129</v>
      </c>
      <c r="DH16" s="463">
        <v>14.231334371914095</v>
      </c>
      <c r="DI16" s="463">
        <v>17.921168957613887</v>
      </c>
      <c r="DJ16" s="528"/>
      <c r="DK16" s="528">
        <v>3.6268803037551534E-2</v>
      </c>
      <c r="DL16" s="528"/>
      <c r="DM16" s="546">
        <v>1.5042688030376437</v>
      </c>
      <c r="DN16" s="528">
        <f t="shared" ref="DN16:DN23" si="20">DJ16*10</f>
        <v>0</v>
      </c>
      <c r="DO16" s="528">
        <f t="shared" ref="DO16:DO23" si="21">DK16*10</f>
        <v>0.36268803037551534</v>
      </c>
      <c r="DP16" s="528">
        <f t="shared" ref="DP16:DP23" si="22">DL16*10</f>
        <v>0</v>
      </c>
      <c r="DQ16" s="528">
        <f t="shared" ref="DQ16:DQ23" si="23">DM16*10</f>
        <v>15.042688030376436</v>
      </c>
      <c r="DR16" s="463">
        <v>0.48276933254921789</v>
      </c>
      <c r="DS16" s="463">
        <v>3.6268803037551534E-2</v>
      </c>
      <c r="DT16" s="463">
        <v>0.83199999999999996</v>
      </c>
      <c r="DU16" s="463">
        <v>1.5042688030376437</v>
      </c>
      <c r="DV16" s="463">
        <v>1.2480904203521725</v>
      </c>
      <c r="DW16" s="463">
        <v>1.1592289323187195</v>
      </c>
      <c r="DX16" s="463">
        <v>3.3176623044260181</v>
      </c>
      <c r="DY16" s="463">
        <v>-0.81316758730067118</v>
      </c>
      <c r="DZ16" s="463">
        <v>1.2480904203521725</v>
      </c>
      <c r="EA16" s="463">
        <v>1.1592289323187195</v>
      </c>
      <c r="EB16" s="463">
        <v>3.3176623044260181</v>
      </c>
      <c r="EC16" s="463">
        <v>-0.81316758730067118</v>
      </c>
      <c r="ED16" s="463">
        <f t="shared" ref="ED16:ED79" si="24">DZ16*10</f>
        <v>12.480904203521725</v>
      </c>
      <c r="EE16" s="463">
        <f t="shared" ref="EE16:EE79" si="25">EA16*10</f>
        <v>11.592289323187195</v>
      </c>
      <c r="EF16" s="463">
        <f t="shared" ref="EF16:EF79" si="26">EB16*10</f>
        <v>33.176623044260182</v>
      </c>
      <c r="EG16" s="463">
        <f t="shared" ref="EG16:EG79" si="27">EC16*10</f>
        <v>-8.1316758730067118</v>
      </c>
      <c r="EH16" s="528">
        <f>'[3]Plots R2&gt;.75 - UPDATED'!S13</f>
        <v>2.9609229280280371</v>
      </c>
      <c r="EI16" s="528">
        <f>'[3]Plots R2&gt;.75 - UPDATED'!T13</f>
        <v>3.3511229280280386</v>
      </c>
      <c r="EJ16" s="528">
        <f>'[3]Plots R2&gt;.75 - UPDATED'!U13</f>
        <v>3.8828229280280384</v>
      </c>
      <c r="EK16" s="546">
        <f>'[3]Plots R2&gt;.75 - UPDATED'!V13</f>
        <v>3.1297229280280372</v>
      </c>
      <c r="EL16" s="676">
        <v>0</v>
      </c>
      <c r="EM16" s="495">
        <v>0</v>
      </c>
      <c r="EN16" s="299">
        <v>41570</v>
      </c>
      <c r="EO16" s="528">
        <v>2.9609229280280371</v>
      </c>
      <c r="EP16" s="528">
        <v>3.3511229280280386</v>
      </c>
      <c r="EQ16" s="528">
        <v>3.8828229280280384</v>
      </c>
      <c r="ER16" s="546">
        <v>3.1297229280280372</v>
      </c>
      <c r="GN16" s="640"/>
      <c r="GO16" s="640"/>
      <c r="GP16" s="640"/>
      <c r="GQ16" s="640"/>
      <c r="GR16" s="640"/>
      <c r="GS16" s="640"/>
      <c r="GT16" s="640"/>
      <c r="GU16" s="640"/>
      <c r="GV16" s="640"/>
    </row>
    <row r="17" spans="8:221" ht="16">
      <c r="J17" s="580">
        <v>41554</v>
      </c>
      <c r="K17" s="581">
        <v>0</v>
      </c>
      <c r="L17" s="582">
        <v>10.043200000000001</v>
      </c>
      <c r="M17" s="582">
        <v>10.0541</v>
      </c>
      <c r="N17" s="582">
        <v>10.062200000000001</v>
      </c>
      <c r="O17" s="582">
        <v>10.0756</v>
      </c>
      <c r="P17" s="582">
        <v>98.634600000000006</v>
      </c>
      <c r="Q17" s="582">
        <v>10.085332683825255</v>
      </c>
      <c r="R17" s="582">
        <v>0</v>
      </c>
      <c r="S17" s="582">
        <v>0.6187673161747449</v>
      </c>
      <c r="T17" s="582">
        <v>0.16686731617474548</v>
      </c>
      <c r="U17" s="582">
        <v>0.26026731617474436</v>
      </c>
      <c r="W17" s="580">
        <v>41572</v>
      </c>
      <c r="X17" s="582">
        <f t="shared" si="6"/>
        <v>2.9613311234934683</v>
      </c>
      <c r="Y17" s="582">
        <f t="shared" si="0"/>
        <v>3.3515772773396222</v>
      </c>
      <c r="Z17" s="582">
        <f t="shared" si="0"/>
        <v>3.8829157388780837</v>
      </c>
      <c r="AA17" s="582">
        <f t="shared" si="0"/>
        <v>3.4202618927242372</v>
      </c>
      <c r="AB17" s="606"/>
      <c r="AC17" s="438">
        <f t="shared" si="1"/>
        <v>4.5392557011856738E-2</v>
      </c>
      <c r="AD17" s="439">
        <f t="shared" si="2"/>
        <v>1.9292557011856726E-2</v>
      </c>
      <c r="AE17" s="439">
        <f t="shared" si="3"/>
        <v>5.4777172396472729E-2</v>
      </c>
      <c r="AF17" s="439">
        <f t="shared" si="4"/>
        <v>1.1000249319549571E-2</v>
      </c>
      <c r="AG17" s="633">
        <v>41572</v>
      </c>
      <c r="AH17" s="511">
        <v>-2.5031934750398277E-2</v>
      </c>
      <c r="AI17" s="512">
        <v>-7.5872023986750334E-3</v>
      </c>
      <c r="AJ17" s="512">
        <v>-9.2715658550689729E-3</v>
      </c>
      <c r="AK17" s="512">
        <v>-2.4658539082898605E-2</v>
      </c>
      <c r="AL17" s="634"/>
      <c r="AM17" s="438"/>
      <c r="AN17" s="439"/>
      <c r="AO17" s="439"/>
      <c r="AP17" s="439"/>
      <c r="AR17" s="438"/>
      <c r="AS17" s="439"/>
      <c r="AT17" s="439"/>
      <c r="AU17" s="439"/>
      <c r="AV17" s="633">
        <v>41572</v>
      </c>
      <c r="AW17" s="644"/>
      <c r="AX17" s="607">
        <v>1.3</v>
      </c>
      <c r="AY17" s="438"/>
      <c r="AZ17" s="439"/>
      <c r="BA17" s="439"/>
      <c r="BB17" s="439"/>
      <c r="BC17" s="608">
        <f t="shared" si="5"/>
        <v>0</v>
      </c>
      <c r="BD17" s="627" t="s">
        <v>397</v>
      </c>
      <c r="BE17" s="580">
        <v>41572</v>
      </c>
      <c r="BF17" s="438"/>
      <c r="BG17" s="439"/>
      <c r="BH17" s="439"/>
      <c r="BI17" s="439"/>
      <c r="BJ17" s="645"/>
      <c r="BK17" s="438"/>
      <c r="BL17" s="439"/>
      <c r="BM17" s="439"/>
      <c r="BN17" s="439"/>
      <c r="BO17" s="353">
        <v>79</v>
      </c>
      <c r="BP17" s="353">
        <f t="shared" si="9"/>
        <v>15.8</v>
      </c>
      <c r="BQ17" s="610">
        <f t="shared" si="10"/>
        <v>56.428571428571431</v>
      </c>
      <c r="BR17" s="610">
        <f t="shared" si="11"/>
        <v>21.351351351351351</v>
      </c>
      <c r="BT17" s="629">
        <v>90</v>
      </c>
      <c r="BU17" s="630">
        <v>18</v>
      </c>
      <c r="BV17" s="580">
        <v>41705</v>
      </c>
      <c r="BW17" s="605"/>
      <c r="BX17" s="615"/>
      <c r="BY17" s="616" t="s">
        <v>398</v>
      </c>
      <c r="BZ17" s="617">
        <v>29</v>
      </c>
      <c r="CA17" s="608">
        <v>3.3</v>
      </c>
      <c r="CB17" s="608">
        <f t="shared" si="12"/>
        <v>33</v>
      </c>
      <c r="CC17" s="608"/>
      <c r="CD17" s="631">
        <f t="shared" si="13"/>
        <v>48.5</v>
      </c>
      <c r="CE17" s="364"/>
      <c r="CF17" s="364"/>
      <c r="CG17" s="364"/>
      <c r="CH17" s="364"/>
      <c r="CI17" s="364"/>
      <c r="CJ17" s="364"/>
      <c r="CK17" s="364"/>
      <c r="CL17" s="623"/>
      <c r="CM17" s="364"/>
      <c r="CN17" s="632" t="s">
        <v>399</v>
      </c>
      <c r="CO17" s="580">
        <f>'[3]Plots R2&gt;.75 - UPDATED'!R14</f>
        <v>41573</v>
      </c>
      <c r="CP17" s="620"/>
      <c r="CQ17" s="633">
        <v>41573</v>
      </c>
      <c r="CR17" s="641">
        <v>139229.26808567648</v>
      </c>
      <c r="CS17" s="642">
        <v>471906.94705611281</v>
      </c>
      <c r="CT17" s="642">
        <v>129387.74467579401</v>
      </c>
      <c r="CU17" s="643">
        <v>162740.43365066205</v>
      </c>
      <c r="CV17" s="450"/>
      <c r="CW17" s="450"/>
      <c r="CX17" s="450"/>
      <c r="CY17" s="450"/>
      <c r="CZ17" s="450"/>
      <c r="DA17" s="450"/>
      <c r="DB17" s="513">
        <f t="shared" si="19"/>
        <v>0.18581737384891736</v>
      </c>
      <c r="DC17" s="513">
        <f t="shared" si="16"/>
        <v>-2.2837803106707866</v>
      </c>
      <c r="DD17" s="622"/>
      <c r="DE17" s="299">
        <v>41571</v>
      </c>
      <c r="DF17" s="463">
        <v>14.589801743237125</v>
      </c>
      <c r="DG17" s="463">
        <v>49.651291099891168</v>
      </c>
      <c r="DH17" s="463">
        <v>13.915217238096252</v>
      </c>
      <c r="DI17" s="463">
        <v>17.306083137466274</v>
      </c>
      <c r="DJ17" s="528"/>
      <c r="DK17" s="528"/>
      <c r="DL17" s="528"/>
      <c r="DM17" s="546"/>
      <c r="DN17" s="528">
        <f t="shared" si="20"/>
        <v>0</v>
      </c>
      <c r="DO17" s="528">
        <f t="shared" si="21"/>
        <v>0</v>
      </c>
      <c r="DP17" s="528">
        <f t="shared" si="22"/>
        <v>0</v>
      </c>
      <c r="DQ17" s="528">
        <f t="shared" si="23"/>
        <v>0</v>
      </c>
      <c r="DR17" s="463">
        <v>0.44715399882382678</v>
      </c>
      <c r="DS17" s="463">
        <v>0.23113860169010575</v>
      </c>
      <c r="DT17" s="463">
        <v>0.83199999999999996</v>
      </c>
      <c r="DU17" s="463">
        <v>1.2584438119736281</v>
      </c>
      <c r="DV17" s="463">
        <v>0.9101579654641454</v>
      </c>
      <c r="DW17" s="463">
        <v>1.0750730717676156</v>
      </c>
      <c r="DX17" s="463">
        <v>3.5923110136285521</v>
      </c>
      <c r="DY17" s="463">
        <v>-1.8394531847439834</v>
      </c>
      <c r="DZ17" s="463">
        <v>0.9101579654641454</v>
      </c>
      <c r="EA17" s="463">
        <v>1.0750730717676156</v>
      </c>
      <c r="EB17" s="463">
        <v>3.5923110136285521</v>
      </c>
      <c r="EC17" s="463">
        <v>-1.8394531847439834</v>
      </c>
      <c r="ED17" s="463">
        <f t="shared" si="24"/>
        <v>9.1015796546414549</v>
      </c>
      <c r="EE17" s="463">
        <f t="shared" si="25"/>
        <v>10.750730717676156</v>
      </c>
      <c r="EF17" s="463">
        <f t="shared" si="26"/>
        <v>35.923110136285523</v>
      </c>
      <c r="EG17" s="463">
        <f t="shared" si="27"/>
        <v>-18.394531847439836</v>
      </c>
      <c r="EH17" s="528">
        <f>'[3]Plots R2&gt;.75 - UPDATED'!S14</f>
        <v>2.9154341775812385</v>
      </c>
      <c r="EI17" s="528">
        <f>'[3]Plots R2&gt;.75 - UPDATED'!T14</f>
        <v>3.3322341775812401</v>
      </c>
      <c r="EJ17" s="528">
        <f>'[3]Plots R2&gt;.75 - UPDATED'!U14</f>
        <v>3.8284341775812392</v>
      </c>
      <c r="EK17" s="546">
        <f>'[3]Plots R2&gt;.75 - UPDATED'!V14</f>
        <v>3.1196341775812395</v>
      </c>
      <c r="EL17" s="676">
        <v>0</v>
      </c>
      <c r="EM17" s="495">
        <v>0</v>
      </c>
      <c r="EN17" s="299">
        <v>41571</v>
      </c>
      <c r="EO17" s="528">
        <v>2.9154341775812385</v>
      </c>
      <c r="EP17" s="528">
        <v>3.3322341775812401</v>
      </c>
      <c r="EQ17" s="528">
        <v>3.8284341775812392</v>
      </c>
      <c r="ER17" s="546">
        <v>3.1196341775812395</v>
      </c>
      <c r="GN17" s="640"/>
      <c r="GO17" s="640"/>
      <c r="GP17" s="640"/>
      <c r="GQ17" s="640"/>
      <c r="GR17" s="640"/>
      <c r="GS17" s="640"/>
      <c r="GT17" s="640"/>
      <c r="GU17" s="640"/>
      <c r="GV17" s="640"/>
    </row>
    <row r="18" spans="8:221" ht="16">
      <c r="J18" s="580">
        <v>41555</v>
      </c>
      <c r="K18" s="581">
        <v>0</v>
      </c>
      <c r="L18" s="582">
        <v>10.0463</v>
      </c>
      <c r="M18" s="582">
        <v>10.057399999999999</v>
      </c>
      <c r="N18" s="582">
        <v>10.0655</v>
      </c>
      <c r="O18" s="582">
        <v>10.0808</v>
      </c>
      <c r="P18" s="582">
        <v>98.677400000000006</v>
      </c>
      <c r="Q18" s="582">
        <v>10.089708959887284</v>
      </c>
      <c r="R18" s="582">
        <v>0</v>
      </c>
      <c r="S18" s="582">
        <v>0.61769104011271536</v>
      </c>
      <c r="T18" s="582">
        <v>0.16579104011271595</v>
      </c>
      <c r="U18" s="582">
        <v>0.26109104011271572</v>
      </c>
      <c r="W18" s="580">
        <v>41573</v>
      </c>
      <c r="X18" s="582">
        <f t="shared" si="6"/>
        <v>2.9159385664816115</v>
      </c>
      <c r="Y18" s="582">
        <f t="shared" si="0"/>
        <v>3.3322847203277655</v>
      </c>
      <c r="Z18" s="582">
        <f t="shared" si="0"/>
        <v>3.828138566481611</v>
      </c>
      <c r="AA18" s="582">
        <f t="shared" si="0"/>
        <v>3.4092616434046876</v>
      </c>
      <c r="AB18" s="606"/>
      <c r="AC18" s="436">
        <f t="shared" si="1"/>
        <v>3.8141501708825132E-2</v>
      </c>
      <c r="AD18" s="436">
        <f t="shared" si="2"/>
        <v>1.8979963247285792E-2</v>
      </c>
      <c r="AE18" s="436">
        <f t="shared" si="3"/>
        <v>3.971842478574672E-2</v>
      </c>
      <c r="AF18" s="440">
        <f t="shared" si="4"/>
        <v>2.1487655554977891E-2</v>
      </c>
      <c r="AG18" s="633">
        <v>41573</v>
      </c>
      <c r="AH18" s="509">
        <v>-2.4903067656837977E-2</v>
      </c>
      <c r="AI18" s="509">
        <v>-7.5277549287981792E-3</v>
      </c>
      <c r="AJ18" s="509">
        <v>-9.2730389326056064E-3</v>
      </c>
      <c r="AK18" s="513">
        <v>-2.4676682919278534E-2</v>
      </c>
      <c r="AL18" s="634"/>
      <c r="AM18" s="436">
        <v>-3.57E-5</v>
      </c>
      <c r="AN18" s="436">
        <v>-2.1699999999999999E-5</v>
      </c>
      <c r="AO18" s="436">
        <v>-4.1399999999999997E-5</v>
      </c>
      <c r="AP18" s="440">
        <v>-1.88E-5</v>
      </c>
      <c r="AR18" s="436">
        <f t="shared" si="7"/>
        <v>5.1408000000000002E-2</v>
      </c>
      <c r="AS18" s="436">
        <f t="shared" si="7"/>
        <v>3.1247999999999998E-2</v>
      </c>
      <c r="AT18" s="436">
        <f t="shared" si="7"/>
        <v>5.9615999999999995E-2</v>
      </c>
      <c r="AU18" s="440">
        <f t="shared" si="7"/>
        <v>2.7071999999999999E-2</v>
      </c>
      <c r="AV18" s="633">
        <v>41573</v>
      </c>
      <c r="AW18" s="644"/>
      <c r="AX18" s="607">
        <v>0.08</v>
      </c>
      <c r="AY18" s="436">
        <f t="shared" ref="AY18:BB24" si="28">AC18-AR18</f>
        <v>-1.3266498291174871E-2</v>
      </c>
      <c r="AZ18" s="436">
        <f t="shared" si="28"/>
        <v>-1.2268036752714206E-2</v>
      </c>
      <c r="BA18" s="436">
        <f t="shared" si="28"/>
        <v>-1.9897575214253276E-2</v>
      </c>
      <c r="BB18" s="440">
        <f t="shared" si="28"/>
        <v>-5.5843444450221075E-3</v>
      </c>
      <c r="BC18" s="608">
        <f t="shared" si="5"/>
        <v>-5.5843444450221075E-2</v>
      </c>
      <c r="BD18" s="627" t="s">
        <v>400</v>
      </c>
      <c r="BE18" s="580">
        <v>41573</v>
      </c>
      <c r="BF18" s="436">
        <f t="shared" ref="BF18:BI24" si="29">DR18*10</f>
        <v>4.1153866509843571</v>
      </c>
      <c r="BG18" s="436">
        <f t="shared" si="29"/>
        <v>4.2600840034265994</v>
      </c>
      <c r="BH18" s="436">
        <f t="shared" si="29"/>
        <v>1.6887504467992542</v>
      </c>
      <c r="BI18" s="440">
        <f t="shared" si="29"/>
        <v>10.126188209096124</v>
      </c>
      <c r="BJ18" s="645"/>
      <c r="BK18" s="436"/>
      <c r="BL18" s="436"/>
      <c r="BM18" s="436"/>
      <c r="BN18" s="440"/>
      <c r="BO18" s="353">
        <v>77</v>
      </c>
      <c r="BP18" s="353">
        <f t="shared" si="9"/>
        <v>15.4</v>
      </c>
      <c r="BQ18" s="610">
        <f t="shared" si="10"/>
        <v>55</v>
      </c>
      <c r="BR18" s="610">
        <f t="shared" si="11"/>
        <v>20.810810810810811</v>
      </c>
      <c r="BT18" s="629">
        <v>100</v>
      </c>
      <c r="BU18" s="630">
        <v>20</v>
      </c>
      <c r="BV18" s="580">
        <v>41705</v>
      </c>
      <c r="BW18" s="605"/>
      <c r="BX18" s="615"/>
      <c r="BY18" s="616" t="s">
        <v>401</v>
      </c>
      <c r="BZ18" s="617">
        <v>29</v>
      </c>
      <c r="CA18" s="608">
        <v>0.1</v>
      </c>
      <c r="CB18" s="608">
        <f t="shared" si="12"/>
        <v>1</v>
      </c>
      <c r="CC18" s="608"/>
      <c r="CD18" s="631">
        <f t="shared" si="13"/>
        <v>49.5</v>
      </c>
      <c r="CE18" s="364"/>
      <c r="CF18" s="364"/>
      <c r="CG18" s="364"/>
      <c r="CH18" s="364"/>
      <c r="CI18" s="364"/>
      <c r="CJ18" s="364"/>
      <c r="CK18" s="364"/>
      <c r="CL18" s="623"/>
      <c r="CM18" s="364"/>
      <c r="CN18" s="632" t="s">
        <v>402</v>
      </c>
      <c r="CO18" s="580">
        <f>'[3]Plots R2&gt;.75 - UPDATED'!R15</f>
        <v>41574</v>
      </c>
      <c r="CP18" s="620"/>
      <c r="CQ18" s="633">
        <v>41574</v>
      </c>
      <c r="CR18" s="641">
        <v>137246.4770551874</v>
      </c>
      <c r="CS18" s="642">
        <v>464192.47338900494</v>
      </c>
      <c r="CT18" s="642">
        <v>126994.06286404666</v>
      </c>
      <c r="CU18" s="643">
        <v>159137.1921793551</v>
      </c>
      <c r="CV18" s="450"/>
      <c r="CW18" s="450"/>
      <c r="CX18" s="450"/>
      <c r="CY18" s="450"/>
      <c r="CZ18" s="450"/>
      <c r="DA18" s="450"/>
      <c r="DB18" s="513">
        <f t="shared" si="19"/>
        <v>0.19002471757776207</v>
      </c>
      <c r="DC18" s="513">
        <f t="shared" si="16"/>
        <v>-0.87511341125214881</v>
      </c>
      <c r="DD18" s="622"/>
      <c r="DE18" s="299">
        <v>41572</v>
      </c>
      <c r="DF18" s="463">
        <v>14.365587017483278</v>
      </c>
      <c r="DG18" s="463">
        <v>48.825935666765183</v>
      </c>
      <c r="DH18" s="463">
        <v>13.599416407751772</v>
      </c>
      <c r="DI18" s="463">
        <v>16.762735937784512</v>
      </c>
      <c r="DJ18" s="528"/>
      <c r="DK18" s="528"/>
      <c r="DL18" s="528">
        <v>0.16887504467992542</v>
      </c>
      <c r="DM18" s="546"/>
      <c r="DN18" s="528">
        <f t="shared" si="20"/>
        <v>0</v>
      </c>
      <c r="DO18" s="528">
        <f t="shared" si="21"/>
        <v>0</v>
      </c>
      <c r="DP18" s="528">
        <f t="shared" si="22"/>
        <v>1.6887504467992542</v>
      </c>
      <c r="DQ18" s="528">
        <f t="shared" si="23"/>
        <v>0</v>
      </c>
      <c r="DR18" s="463">
        <v>0.41153866509843567</v>
      </c>
      <c r="DS18" s="463">
        <v>0.42600840034265997</v>
      </c>
      <c r="DT18" s="463">
        <v>0.16887504467992542</v>
      </c>
      <c r="DU18" s="463">
        <v>1.0126188209096125</v>
      </c>
      <c r="DV18" s="463">
        <v>1.6341429045416045</v>
      </c>
      <c r="DW18" s="463">
        <v>0.70414640446968635</v>
      </c>
      <c r="DX18" s="463">
        <v>4.3428434144931023</v>
      </c>
      <c r="DY18" s="463">
        <v>-2.4695976845197039</v>
      </c>
      <c r="DZ18" s="463">
        <v>1.6341429045416045</v>
      </c>
      <c r="EA18" s="463">
        <v>0.70414640446968635</v>
      </c>
      <c r="EB18" s="463">
        <v>4.3428434144931023</v>
      </c>
      <c r="EC18" s="463">
        <v>-2.4695976845197039</v>
      </c>
      <c r="ED18" s="463">
        <f t="shared" si="24"/>
        <v>16.341429045416046</v>
      </c>
      <c r="EE18" s="463">
        <f t="shared" si="25"/>
        <v>7.0414640446968635</v>
      </c>
      <c r="EF18" s="463">
        <f t="shared" si="26"/>
        <v>43.428434144931025</v>
      </c>
      <c r="EG18" s="463">
        <f t="shared" si="27"/>
        <v>-24.695976845197038</v>
      </c>
      <c r="EH18" s="528">
        <f>'[3]Plots R2&gt;.75 - UPDATED'!S15</f>
        <v>2.8776409376518033</v>
      </c>
      <c r="EI18" s="528">
        <f>'[3]Plots R2&gt;.75 - UPDATED'!T15</f>
        <v>3.3132409376518037</v>
      </c>
      <c r="EJ18" s="528">
        <f>'[3]Plots R2&gt;.75 - UPDATED'!U15</f>
        <v>3.7887409376518049</v>
      </c>
      <c r="EK18" s="546">
        <f>'[3]Plots R2&gt;.75 - UPDATED'!V15</f>
        <v>3.0979409376518041</v>
      </c>
      <c r="EL18" s="676">
        <v>0</v>
      </c>
      <c r="EM18" s="495">
        <v>0</v>
      </c>
      <c r="EN18" s="299">
        <v>41572</v>
      </c>
      <c r="EO18" s="528">
        <v>2.8776409376518033</v>
      </c>
      <c r="EP18" s="528">
        <v>3.3132409376518037</v>
      </c>
      <c r="EQ18" s="528">
        <v>3.7887409376518049</v>
      </c>
      <c r="ER18" s="546">
        <v>3.0979409376518041</v>
      </c>
      <c r="GN18" s="640"/>
      <c r="GO18" s="640"/>
      <c r="GP18" s="640"/>
      <c r="GQ18" s="640"/>
      <c r="GR18" s="640"/>
      <c r="GS18" s="640"/>
      <c r="GT18" s="640"/>
      <c r="GU18" s="640"/>
      <c r="GV18" s="640"/>
      <c r="HF18" s="353"/>
      <c r="HG18" s="353"/>
      <c r="HH18" s="353"/>
      <c r="HI18" s="353"/>
      <c r="HJ18" s="567"/>
      <c r="HK18" s="567"/>
      <c r="HL18" s="567"/>
      <c r="HM18" s="567"/>
    </row>
    <row r="19" spans="8:221" ht="16">
      <c r="J19" s="580">
        <v>41556</v>
      </c>
      <c r="K19" s="581">
        <v>0</v>
      </c>
      <c r="L19" s="582">
        <v>10.054600000000001</v>
      </c>
      <c r="M19" s="582">
        <v>10.068</v>
      </c>
      <c r="N19" s="582">
        <v>10.073700000000001</v>
      </c>
      <c r="O19" s="582">
        <v>10.088100000000001</v>
      </c>
      <c r="P19" s="582">
        <v>98.783900000000003</v>
      </c>
      <c r="Q19" s="582">
        <v>10.100598525322003</v>
      </c>
      <c r="R19" s="582">
        <v>0</v>
      </c>
      <c r="S19" s="582">
        <v>0.61740147467799722</v>
      </c>
      <c r="T19" s="582">
        <v>0.16310147467799807</v>
      </c>
      <c r="U19" s="582">
        <v>0.25750147467799817</v>
      </c>
      <c r="W19" s="580">
        <v>41574</v>
      </c>
      <c r="X19" s="582">
        <f t="shared" si="6"/>
        <v>2.8777970647727864</v>
      </c>
      <c r="Y19" s="582">
        <f t="shared" si="0"/>
        <v>3.3133047570804797</v>
      </c>
      <c r="Z19" s="582">
        <f t="shared" si="0"/>
        <v>3.7884201416958643</v>
      </c>
      <c r="AA19" s="582">
        <f t="shared" si="0"/>
        <v>3.3877739878497097</v>
      </c>
      <c r="AB19" s="606"/>
      <c r="AC19" s="436">
        <f t="shared" si="1"/>
        <v>3.7582425201126313E-2</v>
      </c>
      <c r="AD19" s="437">
        <f t="shared" si="2"/>
        <v>2.0705502124203523E-2</v>
      </c>
      <c r="AE19" s="437">
        <f t="shared" si="3"/>
        <v>5.2343963662665693E-2</v>
      </c>
      <c r="AF19" s="440">
        <f t="shared" si="4"/>
        <v>2.3036271354972992E-2</v>
      </c>
      <c r="AG19" s="633">
        <v>41574</v>
      </c>
      <c r="AH19" s="509">
        <v>-2.4792080157636457E-2</v>
      </c>
      <c r="AI19" s="510">
        <v>-7.4646399837250826E-3</v>
      </c>
      <c r="AJ19" s="510">
        <v>-9.2724554487408975E-3</v>
      </c>
      <c r="AK19" s="513">
        <v>-2.4710670363282398E-2</v>
      </c>
      <c r="AL19" s="634"/>
      <c r="AM19" s="436">
        <v>-2.37E-5</v>
      </c>
      <c r="AN19" s="437">
        <v>-8.9400000000000008E-6</v>
      </c>
      <c r="AO19" s="437">
        <v>-3.3699999999999999E-5</v>
      </c>
      <c r="AP19" s="440">
        <v>-1.7900000000000001E-5</v>
      </c>
      <c r="AR19" s="436">
        <f t="shared" si="7"/>
        <v>3.4127999999999999E-2</v>
      </c>
      <c r="AS19" s="437">
        <f t="shared" si="7"/>
        <v>1.2873600000000001E-2</v>
      </c>
      <c r="AT19" s="437">
        <f t="shared" si="7"/>
        <v>4.8528000000000002E-2</v>
      </c>
      <c r="AU19" s="440">
        <f t="shared" si="7"/>
        <v>2.5776E-2</v>
      </c>
      <c r="AV19" s="633">
        <v>41574</v>
      </c>
      <c r="AW19" s="644"/>
      <c r="AX19" s="608">
        <v>0</v>
      </c>
      <c r="AY19" s="436">
        <f t="shared" si="28"/>
        <v>3.4544252011263141E-3</v>
      </c>
      <c r="AZ19" s="437">
        <f t="shared" si="28"/>
        <v>7.8319021242035224E-3</v>
      </c>
      <c r="BA19" s="437">
        <f t="shared" si="28"/>
        <v>3.8159636626656918E-3</v>
      </c>
      <c r="BB19" s="440">
        <f t="shared" si="28"/>
        <v>-2.7397286450270078E-3</v>
      </c>
      <c r="BC19" s="608">
        <f t="shared" si="5"/>
        <v>-2.7397286450270078E-2</v>
      </c>
      <c r="BD19" s="627" t="s">
        <v>403</v>
      </c>
      <c r="BE19" s="580">
        <v>41574</v>
      </c>
      <c r="BF19" s="436">
        <f t="shared" si="29"/>
        <v>3.7592333137304457</v>
      </c>
      <c r="BG19" s="437">
        <f t="shared" si="29"/>
        <v>6.2087819899521417</v>
      </c>
      <c r="BH19" s="437">
        <f t="shared" si="29"/>
        <v>2.9459152116388321</v>
      </c>
      <c r="BI19" s="440">
        <f t="shared" si="29"/>
        <v>7.6679382984559687</v>
      </c>
      <c r="BJ19" s="645"/>
      <c r="BK19" s="436"/>
      <c r="BL19" s="437"/>
      <c r="BM19" s="437"/>
      <c r="BN19" s="440"/>
      <c r="BO19" s="353">
        <v>72</v>
      </c>
      <c r="BP19" s="353">
        <f t="shared" si="9"/>
        <v>14.4</v>
      </c>
      <c r="BQ19" s="610">
        <f t="shared" si="10"/>
        <v>51.428571428571431</v>
      </c>
      <c r="BR19" s="610">
        <f t="shared" si="11"/>
        <v>19.45945945945946</v>
      </c>
      <c r="BT19" s="629"/>
      <c r="BU19" s="630"/>
      <c r="BV19" s="630"/>
      <c r="BW19" s="646"/>
      <c r="BX19" s="647"/>
      <c r="BY19" s="616" t="s">
        <v>404</v>
      </c>
      <c r="BZ19" s="617">
        <v>30</v>
      </c>
      <c r="CA19" s="608">
        <v>0.1</v>
      </c>
      <c r="CB19" s="608">
        <f t="shared" si="12"/>
        <v>1</v>
      </c>
      <c r="CC19" s="608"/>
      <c r="CD19" s="631">
        <f t="shared" si="13"/>
        <v>50.5</v>
      </c>
      <c r="CE19" s="364"/>
      <c r="CF19" s="364"/>
      <c r="CG19" s="364"/>
      <c r="CH19" s="364"/>
      <c r="CI19" s="364"/>
      <c r="CJ19" s="364"/>
      <c r="CK19" s="364"/>
      <c r="CL19" s="623"/>
      <c r="CM19" s="364"/>
      <c r="CN19" s="632" t="s">
        <v>405</v>
      </c>
      <c r="CO19" s="580">
        <f>'[3]Plots R2&gt;.75 - UPDATED'!R16</f>
        <v>41575</v>
      </c>
      <c r="CP19" s="620"/>
      <c r="CQ19" s="633">
        <v>41575</v>
      </c>
      <c r="CR19" s="641">
        <v>135279.99736963169</v>
      </c>
      <c r="CS19" s="642">
        <v>455746.93079846731</v>
      </c>
      <c r="CT19" s="642">
        <v>123844.72811572906</v>
      </c>
      <c r="CU19" s="643">
        <v>155226.37600771579</v>
      </c>
      <c r="CV19" s="450"/>
      <c r="CW19" s="450"/>
      <c r="CX19" s="450"/>
      <c r="CY19" s="450"/>
      <c r="CZ19" s="450"/>
      <c r="DA19" s="450"/>
      <c r="DB19" s="513">
        <f t="shared" si="19"/>
        <v>0.19481225277395425</v>
      </c>
      <c r="DC19" s="513">
        <f t="shared" si="16"/>
        <v>-0.40411562468806322</v>
      </c>
      <c r="DD19" s="622"/>
      <c r="DE19" s="299">
        <v>41573</v>
      </c>
      <c r="DF19" s="463">
        <v>14.161918211394607</v>
      </c>
      <c r="DG19" s="463">
        <v>47.966155989572549</v>
      </c>
      <c r="DH19" s="463">
        <v>13.269966154766699</v>
      </c>
      <c r="DI19" s="463">
        <v>16.443514206189434</v>
      </c>
      <c r="DJ19" s="528"/>
      <c r="DK19" s="528"/>
      <c r="DL19" s="528"/>
      <c r="DM19" s="546"/>
      <c r="DN19" s="528">
        <f t="shared" si="20"/>
        <v>0</v>
      </c>
      <c r="DO19" s="528">
        <f t="shared" si="21"/>
        <v>0</v>
      </c>
      <c r="DP19" s="528">
        <f t="shared" si="22"/>
        <v>0</v>
      </c>
      <c r="DQ19" s="528">
        <f t="shared" si="23"/>
        <v>0</v>
      </c>
      <c r="DR19" s="463">
        <v>0.37592333137304457</v>
      </c>
      <c r="DS19" s="463">
        <v>0.62087819899521413</v>
      </c>
      <c r="DT19" s="463">
        <v>0.29459152116388321</v>
      </c>
      <c r="DU19" s="463">
        <v>0.76679382984559685</v>
      </c>
      <c r="DV19" s="463">
        <v>0.913093895886675</v>
      </c>
      <c r="DW19" s="463">
        <v>0.52567030106860368</v>
      </c>
      <c r="DX19" s="463">
        <v>2.7474285785189858</v>
      </c>
      <c r="DY19" s="463">
        <v>-1.0651381288299109</v>
      </c>
      <c r="DZ19" s="463">
        <v>0.913093895886675</v>
      </c>
      <c r="EA19" s="463">
        <v>0.52567030106860368</v>
      </c>
      <c r="EB19" s="463">
        <v>2.7474285785189858</v>
      </c>
      <c r="EC19" s="463">
        <v>-1.0651381288299109</v>
      </c>
      <c r="ED19" s="463">
        <f t="shared" si="24"/>
        <v>9.13093895886675</v>
      </c>
      <c r="EE19" s="463">
        <f t="shared" si="25"/>
        <v>5.2567030106860368</v>
      </c>
      <c r="EF19" s="463">
        <f t="shared" si="26"/>
        <v>27.474285785189856</v>
      </c>
      <c r="EG19" s="463">
        <f t="shared" si="27"/>
        <v>-10.65138128829911</v>
      </c>
      <c r="EH19" s="528">
        <f>'[3]Plots R2&gt;.75 - UPDATED'!S16</f>
        <v>2.8401098576753268</v>
      </c>
      <c r="EI19" s="528">
        <f>'[3]Plots R2&gt;.75 - UPDATED'!T16</f>
        <v>3.292209857675326</v>
      </c>
      <c r="EJ19" s="528">
        <f>'[3]Plots R2&gt;.75 - UPDATED'!U16</f>
        <v>3.7360098576753265</v>
      </c>
      <c r="EK19" s="546">
        <f>'[3]Plots R2&gt;.75 - UPDATED'!V16</f>
        <v>3.0740098576753261</v>
      </c>
      <c r="EL19" s="676">
        <v>0</v>
      </c>
      <c r="EM19" s="495">
        <v>0</v>
      </c>
      <c r="EN19" s="299">
        <v>41573</v>
      </c>
      <c r="EO19" s="528">
        <v>2.8401098576753268</v>
      </c>
      <c r="EP19" s="528">
        <v>3.292209857675326</v>
      </c>
      <c r="EQ19" s="528">
        <v>3.7360098576753265</v>
      </c>
      <c r="ER19" s="546">
        <v>3.0740098576753261</v>
      </c>
      <c r="GN19" s="640"/>
      <c r="GO19" s="640"/>
      <c r="GP19" s="640"/>
      <c r="GQ19" s="640"/>
      <c r="GR19" s="640"/>
      <c r="GS19" s="640"/>
      <c r="GT19" s="640"/>
      <c r="GU19" s="640"/>
      <c r="GV19" s="640"/>
      <c r="HF19" s="558"/>
      <c r="HG19" s="558"/>
      <c r="HH19" s="450"/>
      <c r="HI19" s="450"/>
      <c r="HJ19" s="598"/>
      <c r="HK19" s="598"/>
      <c r="HL19" s="598"/>
      <c r="HM19" s="598"/>
    </row>
    <row r="20" spans="8:221" ht="16">
      <c r="J20" s="580">
        <v>41557</v>
      </c>
      <c r="K20" s="581">
        <v>0</v>
      </c>
      <c r="L20" s="582">
        <v>10.0458</v>
      </c>
      <c r="M20" s="582">
        <v>10.0589</v>
      </c>
      <c r="N20" s="582">
        <v>10.066000000000001</v>
      </c>
      <c r="O20" s="582">
        <v>10.079000000000001</v>
      </c>
      <c r="P20" s="582">
        <v>98.686400000000006</v>
      </c>
      <c r="Q20" s="582">
        <v>10.090629204853597</v>
      </c>
      <c r="R20" s="582">
        <v>0</v>
      </c>
      <c r="S20" s="582">
        <v>0.6182707951464026</v>
      </c>
      <c r="T20" s="582">
        <v>0.16537079514640374</v>
      </c>
      <c r="U20" s="582">
        <v>0.25837079514640354</v>
      </c>
      <c r="W20" s="580">
        <v>41575</v>
      </c>
      <c r="X20" s="582">
        <f t="shared" si="6"/>
        <v>2.8402146395716601</v>
      </c>
      <c r="Y20" s="582">
        <f t="shared" si="0"/>
        <v>3.2925992549562761</v>
      </c>
      <c r="Z20" s="582">
        <f t="shared" si="0"/>
        <v>3.7360761780331986</v>
      </c>
      <c r="AA20" s="582">
        <f t="shared" si="0"/>
        <v>3.3647377164947367</v>
      </c>
      <c r="AB20" s="606"/>
      <c r="AC20" s="436">
        <f t="shared" si="1"/>
        <v>4.091759710728482E-2</v>
      </c>
      <c r="AD20" s="437">
        <f t="shared" si="2"/>
        <v>1.9963750953438275E-2</v>
      </c>
      <c r="AE20" s="437">
        <f t="shared" si="3"/>
        <v>4.7232981722668654E-2</v>
      </c>
      <c r="AF20" s="440">
        <f t="shared" si="4"/>
        <v>2.6471443261131267E-2</v>
      </c>
      <c r="AG20" s="633">
        <v>41575</v>
      </c>
      <c r="AH20" s="509">
        <v>-2.4678176256618684E-2</v>
      </c>
      <c r="AI20" s="510">
        <v>-7.3906923378988815E-3</v>
      </c>
      <c r="AJ20" s="510">
        <v>-9.2693554622877497E-3</v>
      </c>
      <c r="AK20" s="513">
        <v>-2.4739769928991819E-2</v>
      </c>
      <c r="AL20" s="634"/>
      <c r="AM20" s="436">
        <v>-3.4900000000000001E-5</v>
      </c>
      <c r="AN20" s="437">
        <v>-8.9800000000000004E-6</v>
      </c>
      <c r="AO20" s="437">
        <v>-3.01E-5</v>
      </c>
      <c r="AP20" s="440">
        <v>-1.59E-5</v>
      </c>
      <c r="AR20" s="436">
        <f t="shared" si="7"/>
        <v>5.0256000000000002E-2</v>
      </c>
      <c r="AS20" s="437">
        <f t="shared" si="7"/>
        <v>1.29312E-2</v>
      </c>
      <c r="AT20" s="437">
        <f t="shared" si="7"/>
        <v>4.3344000000000001E-2</v>
      </c>
      <c r="AU20" s="440">
        <f t="shared" si="7"/>
        <v>2.2896E-2</v>
      </c>
      <c r="AV20" s="633">
        <v>41575</v>
      </c>
      <c r="AW20" s="644"/>
      <c r="AX20" s="608">
        <v>0</v>
      </c>
      <c r="AY20" s="436">
        <f t="shared" si="28"/>
        <v>-9.3384028927151821E-3</v>
      </c>
      <c r="AZ20" s="437">
        <f t="shared" si="28"/>
        <v>7.0325509534382748E-3</v>
      </c>
      <c r="BA20" s="437">
        <f t="shared" si="28"/>
        <v>3.8889817226686538E-3</v>
      </c>
      <c r="BB20" s="440">
        <f t="shared" si="28"/>
        <v>3.575443261131267E-3</v>
      </c>
      <c r="BC20" s="608">
        <f t="shared" si="5"/>
        <v>3.575443261131267E-2</v>
      </c>
      <c r="BD20" s="627" t="s">
        <v>406</v>
      </c>
      <c r="BE20" s="580">
        <v>41575</v>
      </c>
      <c r="BF20" s="436">
        <f t="shared" si="29"/>
        <v>3.4030799764765352</v>
      </c>
      <c r="BG20" s="437">
        <f t="shared" si="29"/>
        <v>8.1574799764776849</v>
      </c>
      <c r="BH20" s="437">
        <f t="shared" si="29"/>
        <v>4.2030799764784099</v>
      </c>
      <c r="BI20" s="440">
        <f t="shared" si="29"/>
        <v>5.2096883878158113</v>
      </c>
      <c r="BJ20" s="645"/>
      <c r="BK20" s="436"/>
      <c r="BL20" s="437"/>
      <c r="BM20" s="437"/>
      <c r="BN20" s="440">
        <v>3.5754432611312668</v>
      </c>
      <c r="BO20" s="353">
        <v>66</v>
      </c>
      <c r="BP20" s="353">
        <f t="shared" si="9"/>
        <v>13.2</v>
      </c>
      <c r="BQ20" s="610">
        <f t="shared" si="10"/>
        <v>47.142857142857146</v>
      </c>
      <c r="BR20" s="610">
        <f t="shared" si="11"/>
        <v>17.837837837837839</v>
      </c>
      <c r="BT20" s="893"/>
      <c r="BU20" s="873"/>
      <c r="BV20" s="873"/>
      <c r="BW20" s="605"/>
      <c r="BX20" s="648"/>
      <c r="BY20" s="616" t="s">
        <v>407</v>
      </c>
      <c r="BZ20" s="617">
        <v>31</v>
      </c>
      <c r="CA20" s="608">
        <v>0</v>
      </c>
      <c r="CB20" s="608">
        <f t="shared" si="12"/>
        <v>0</v>
      </c>
      <c r="CC20" s="608"/>
      <c r="CD20" s="631">
        <f t="shared" si="13"/>
        <v>50.5</v>
      </c>
      <c r="CE20" s="364"/>
      <c r="CF20" s="364"/>
      <c r="CG20" s="364"/>
      <c r="CH20" s="364"/>
      <c r="CI20" s="364"/>
      <c r="CJ20" s="364"/>
      <c r="CK20" s="364"/>
      <c r="CL20" s="623"/>
      <c r="CM20" s="364"/>
      <c r="CN20" s="632" t="s">
        <v>408</v>
      </c>
      <c r="CO20" s="580">
        <f>'[3]Plots R2&gt;.75 - UPDATED'!R17</f>
        <v>41576</v>
      </c>
      <c r="CP20" s="620"/>
      <c r="CQ20" s="633">
        <v>41576</v>
      </c>
      <c r="CR20" s="641">
        <v>133126.99951236945</v>
      </c>
      <c r="CS20" s="642">
        <v>448027.23659196345</v>
      </c>
      <c r="CT20" s="642">
        <v>121070.26414495675</v>
      </c>
      <c r="CU20" s="643">
        <v>151109.06686651357</v>
      </c>
      <c r="CV20" s="450"/>
      <c r="CW20" s="450"/>
      <c r="CX20" s="450"/>
      <c r="CY20" s="450"/>
      <c r="CZ20" s="450"/>
      <c r="DA20" s="450"/>
      <c r="DB20" s="513">
        <f t="shared" si="19"/>
        <v>0.20012035430483696</v>
      </c>
      <c r="DC20" s="513">
        <f t="shared" si="16"/>
        <v>0</v>
      </c>
      <c r="DD20" s="622"/>
      <c r="DE20" s="299">
        <v>41574</v>
      </c>
      <c r="DF20" s="463">
        <v>13.922926808567647</v>
      </c>
      <c r="DG20" s="463">
        <v>47.190694705611278</v>
      </c>
      <c r="DH20" s="463">
        <v>12.9387744675794</v>
      </c>
      <c r="DI20" s="463">
        <v>16.274043365066206</v>
      </c>
      <c r="DJ20" s="528">
        <v>0.34030799764765352</v>
      </c>
      <c r="DK20" s="528">
        <v>0.8157479976477684</v>
      </c>
      <c r="DL20" s="528">
        <v>0.42030799764784099</v>
      </c>
      <c r="DM20" s="546"/>
      <c r="DN20" s="528">
        <f t="shared" si="20"/>
        <v>3.4030799764765352</v>
      </c>
      <c r="DO20" s="528">
        <f t="shared" si="21"/>
        <v>8.1574799764776849</v>
      </c>
      <c r="DP20" s="528">
        <f t="shared" si="22"/>
        <v>4.2030799764784099</v>
      </c>
      <c r="DQ20" s="528">
        <f t="shared" si="23"/>
        <v>0</v>
      </c>
      <c r="DR20" s="463">
        <v>0.34030799764765352</v>
      </c>
      <c r="DS20" s="463">
        <v>0.8157479976477684</v>
      </c>
      <c r="DT20" s="463">
        <v>0.42030799764784099</v>
      </c>
      <c r="DU20" s="463">
        <v>0.52096883878158118</v>
      </c>
      <c r="DV20" s="463">
        <v>0.93359198423635403</v>
      </c>
      <c r="DW20" s="463">
        <v>0.54089600162749174</v>
      </c>
      <c r="DX20" s="463">
        <v>3.9255544551259103</v>
      </c>
      <c r="DY20" s="463">
        <v>-0.59892787746201748</v>
      </c>
      <c r="DZ20" s="463">
        <v>0.93359198423635403</v>
      </c>
      <c r="EA20" s="463">
        <v>0.54089600162749174</v>
      </c>
      <c r="EB20" s="463">
        <v>3.9255544551259103</v>
      </c>
      <c r="EC20" s="463">
        <v>-0.59892787746201748</v>
      </c>
      <c r="ED20" s="463">
        <f t="shared" si="24"/>
        <v>9.3359198423635412</v>
      </c>
      <c r="EE20" s="463">
        <f t="shared" si="25"/>
        <v>5.4089600162749178</v>
      </c>
      <c r="EF20" s="463">
        <f t="shared" si="26"/>
        <v>39.255544551259106</v>
      </c>
      <c r="EG20" s="463">
        <f t="shared" si="27"/>
        <v>-5.9892787746201748</v>
      </c>
      <c r="EH20" s="528">
        <f>'[3]Plots R2&gt;.75 - UPDATED'!S17</f>
        <v>2.7989624191981517</v>
      </c>
      <c r="EI20" s="528">
        <f>'[3]Plots R2&gt;.75 - UPDATED'!T17</f>
        <v>3.2727624191981519</v>
      </c>
      <c r="EJ20" s="528">
        <f>'[3]Plots R2&gt;.75 - UPDATED'!U17</f>
        <v>3.6890624191981507</v>
      </c>
      <c r="EK20" s="546">
        <f>'[3]Plots R2&gt;.75 - UPDATED'!V17</f>
        <v>3.0483624191981504</v>
      </c>
      <c r="EL20" s="676">
        <v>0</v>
      </c>
      <c r="EM20" s="495">
        <v>0</v>
      </c>
      <c r="EN20" s="299">
        <v>41574</v>
      </c>
      <c r="EO20" s="528">
        <v>2.7989624191981517</v>
      </c>
      <c r="EP20" s="528">
        <v>3.2727624191981519</v>
      </c>
      <c r="EQ20" s="528">
        <v>3.6890624191981507</v>
      </c>
      <c r="ER20" s="546">
        <v>3.0483624191981504</v>
      </c>
      <c r="GN20" s="640"/>
      <c r="GO20" s="640"/>
      <c r="GP20" s="640"/>
      <c r="GQ20" s="640"/>
      <c r="GR20" s="640"/>
      <c r="GS20" s="640"/>
      <c r="GT20" s="640"/>
      <c r="GU20" s="640"/>
      <c r="GV20" s="640"/>
      <c r="HF20" s="558"/>
      <c r="HG20" s="558"/>
      <c r="HH20" s="450"/>
      <c r="HI20" s="450"/>
      <c r="HJ20" s="598"/>
      <c r="HK20" s="598"/>
      <c r="HL20" s="598"/>
      <c r="HM20" s="598"/>
    </row>
    <row r="21" spans="8:221" ht="16">
      <c r="J21" s="580">
        <v>41558</v>
      </c>
      <c r="K21" s="581">
        <v>0</v>
      </c>
      <c r="L21" s="582">
        <v>10.0503</v>
      </c>
      <c r="M21" s="582">
        <v>10.0646</v>
      </c>
      <c r="N21" s="582">
        <v>10.071</v>
      </c>
      <c r="O21" s="582">
        <v>10.084</v>
      </c>
      <c r="P21" s="582">
        <v>98.736900000000006</v>
      </c>
      <c r="Q21" s="582">
        <v>10.095792801609027</v>
      </c>
      <c r="R21" s="582">
        <v>0</v>
      </c>
      <c r="S21" s="582">
        <v>0.61880719839097309</v>
      </c>
      <c r="T21" s="582">
        <v>0.16520719839097231</v>
      </c>
      <c r="U21" s="582">
        <v>0.25820719839097211</v>
      </c>
      <c r="W21" s="580">
        <v>41576</v>
      </c>
      <c r="X21" s="582">
        <f t="shared" si="6"/>
        <v>2.7992970424643753</v>
      </c>
      <c r="Y21" s="582">
        <f t="shared" si="0"/>
        <v>3.2726355040028379</v>
      </c>
      <c r="Z21" s="582">
        <f t="shared" si="0"/>
        <v>3.6888431963105299</v>
      </c>
      <c r="AA21" s="582">
        <f t="shared" si="0"/>
        <v>3.3382662732336055</v>
      </c>
      <c r="AB21" s="606"/>
      <c r="AC21" s="436">
        <f t="shared" si="1"/>
        <v>3.8396974727481492E-2</v>
      </c>
      <c r="AD21" s="437">
        <f t="shared" si="2"/>
        <v>1.9335436265943251E-2</v>
      </c>
      <c r="AE21" s="437">
        <f t="shared" si="3"/>
        <v>2.7443128573635622E-2</v>
      </c>
      <c r="AF21" s="440">
        <f t="shared" si="4"/>
        <v>1.8304667035172528E-2</v>
      </c>
      <c r="AG21" s="633">
        <v>41576</v>
      </c>
      <c r="AH21" s="509">
        <v>-2.4548883160037397E-2</v>
      </c>
      <c r="AI21" s="510">
        <v>-7.3183627889845419E-3</v>
      </c>
      <c r="AJ21" s="510">
        <v>-9.2642060103326294E-3</v>
      </c>
      <c r="AK21" s="513">
        <v>-2.4760498987802308E-2</v>
      </c>
      <c r="AL21" s="634"/>
      <c r="AM21" s="436">
        <v>-2.3499999999999999E-5</v>
      </c>
      <c r="AN21" s="437">
        <v>-1.1199999999999999E-5</v>
      </c>
      <c r="AO21" s="437">
        <v>-2.8399999999999999E-5</v>
      </c>
      <c r="AP21" s="440">
        <v>-1.3900000000000001E-5</v>
      </c>
      <c r="AR21" s="436">
        <f t="shared" si="7"/>
        <v>3.3839999999999995E-2</v>
      </c>
      <c r="AS21" s="437">
        <f t="shared" si="7"/>
        <v>1.6128E-2</v>
      </c>
      <c r="AT21" s="437">
        <f t="shared" si="7"/>
        <v>4.0896000000000002E-2</v>
      </c>
      <c r="AU21" s="440">
        <f t="shared" si="7"/>
        <v>2.0016000000000003E-2</v>
      </c>
      <c r="AV21" s="633">
        <v>41576</v>
      </c>
      <c r="AW21" s="644"/>
      <c r="AX21" s="608">
        <v>0</v>
      </c>
      <c r="AY21" s="436">
        <f t="shared" si="28"/>
        <v>4.556974727481497E-3</v>
      </c>
      <c r="AZ21" s="437">
        <f t="shared" si="28"/>
        <v>3.2074362659432511E-3</v>
      </c>
      <c r="BA21" s="437">
        <f t="shared" si="28"/>
        <v>-1.3452871426364379E-2</v>
      </c>
      <c r="BB21" s="440">
        <f t="shared" si="28"/>
        <v>-1.7113329648274743E-3</v>
      </c>
      <c r="BC21" s="608">
        <f t="shared" si="5"/>
        <v>-1.7113329648274743E-2</v>
      </c>
      <c r="BD21" s="627" t="s">
        <v>409</v>
      </c>
      <c r="BE21" s="580">
        <v>41576</v>
      </c>
      <c r="BF21" s="436">
        <f t="shared" si="29"/>
        <v>3.8962614640205739</v>
      </c>
      <c r="BG21" s="437">
        <f t="shared" si="29"/>
        <v>6.5162384771741166</v>
      </c>
      <c r="BH21" s="437">
        <f t="shared" si="29"/>
        <v>3.6034384771757466</v>
      </c>
      <c r="BI21" s="440">
        <f t="shared" si="29"/>
        <v>2.7514384771756539</v>
      </c>
      <c r="BJ21" s="645"/>
      <c r="BK21" s="436"/>
      <c r="BL21" s="437"/>
      <c r="BM21" s="437"/>
      <c r="BN21" s="440"/>
      <c r="BO21" s="353">
        <v>72</v>
      </c>
      <c r="BP21" s="353">
        <f t="shared" si="9"/>
        <v>14.4</v>
      </c>
      <c r="BQ21" s="610">
        <f t="shared" si="10"/>
        <v>51.428571428571431</v>
      </c>
      <c r="BR21" s="610">
        <f t="shared" si="11"/>
        <v>19.45945945945946</v>
      </c>
      <c r="BS21" s="649"/>
      <c r="BT21" s="650">
        <f t="shared" ref="BT21:BT27" si="30">(100/$BU$28)*BU21</f>
        <v>0</v>
      </c>
      <c r="BU21" s="353">
        <v>0</v>
      </c>
      <c r="BV21" s="341">
        <f t="shared" ref="BV21:BV26" si="31">(100/$BW$26)*BW21</f>
        <v>0</v>
      </c>
      <c r="BW21" s="605">
        <v>0</v>
      </c>
      <c r="BX21" s="648"/>
      <c r="BY21" s="616" t="s">
        <v>410</v>
      </c>
      <c r="BZ21" s="617">
        <v>30</v>
      </c>
      <c r="CA21" s="608">
        <v>0</v>
      </c>
      <c r="CB21" s="608">
        <f t="shared" si="12"/>
        <v>0</v>
      </c>
      <c r="CC21" s="608"/>
      <c r="CD21" s="631">
        <f t="shared" si="13"/>
        <v>50.5</v>
      </c>
      <c r="CE21" s="364"/>
      <c r="CF21" s="364"/>
      <c r="CG21" s="364"/>
      <c r="CH21" s="364"/>
      <c r="CI21" s="364"/>
      <c r="CJ21" s="364"/>
      <c r="CK21" s="364"/>
      <c r="CL21" s="623"/>
      <c r="CM21" s="364"/>
      <c r="CN21" s="632" t="s">
        <v>411</v>
      </c>
      <c r="CO21" s="580">
        <f>'[3]Plots R2&gt;.75 - UPDATED'!R18</f>
        <v>41577</v>
      </c>
      <c r="CP21" s="620"/>
      <c r="CQ21" s="633">
        <v>41577</v>
      </c>
      <c r="CR21" s="641">
        <v>131129.49649099869</v>
      </c>
      <c r="CS21" s="642">
        <v>440439.51975477661</v>
      </c>
      <c r="CT21" s="642">
        <v>119450.43670062639</v>
      </c>
      <c r="CU21" s="643">
        <v>148275.82904752926</v>
      </c>
      <c r="CV21" s="450"/>
      <c r="CW21" s="450"/>
      <c r="CX21" s="450"/>
      <c r="CY21" s="450"/>
      <c r="CZ21" s="450"/>
      <c r="DA21" s="450"/>
      <c r="DB21" s="513">
        <f t="shared" si="19"/>
        <v>0.20394423146544455</v>
      </c>
      <c r="DC21" s="513">
        <f t="shared" si="16"/>
        <v>-0.99664821771557177</v>
      </c>
      <c r="DD21" s="622"/>
      <c r="DE21" s="299">
        <v>41575</v>
      </c>
      <c r="DF21" s="463">
        <v>13.724647705518739</v>
      </c>
      <c r="DG21" s="463">
        <v>46.419247338900497</v>
      </c>
      <c r="DH21" s="463">
        <v>12.699406286404667</v>
      </c>
      <c r="DI21" s="463">
        <v>15.91371921793551</v>
      </c>
      <c r="DJ21" s="528"/>
      <c r="DK21" s="528">
        <v>0.65162384771741166</v>
      </c>
      <c r="DL21" s="528">
        <v>0.36034384771757466</v>
      </c>
      <c r="DM21" s="546">
        <v>0.27514384771756539</v>
      </c>
      <c r="DN21" s="528">
        <f t="shared" si="20"/>
        <v>0</v>
      </c>
      <c r="DO21" s="528">
        <f t="shared" si="21"/>
        <v>6.5162384771741166</v>
      </c>
      <c r="DP21" s="528">
        <f t="shared" si="22"/>
        <v>3.6034384771757466</v>
      </c>
      <c r="DQ21" s="528">
        <f t="shared" si="23"/>
        <v>2.7514384771756539</v>
      </c>
      <c r="DR21" s="463">
        <v>0.38962614640205739</v>
      </c>
      <c r="DS21" s="463">
        <v>0.65162384771741166</v>
      </c>
      <c r="DT21" s="463">
        <v>0.36034384771757466</v>
      </c>
      <c r="DU21" s="463">
        <v>0.27514384771756539</v>
      </c>
      <c r="DV21" s="463">
        <v>1.2573000756535802</v>
      </c>
      <c r="DW21" s="463">
        <v>0.55405076621011196</v>
      </c>
      <c r="DX21" s="463">
        <v>3.4074644537712255</v>
      </c>
      <c r="DY21" s="463">
        <v>-0.18437699289918186</v>
      </c>
      <c r="DZ21" s="463">
        <v>1.2573000756535802</v>
      </c>
      <c r="EA21" s="463">
        <v>0.55405076621011196</v>
      </c>
      <c r="EB21" s="463">
        <v>3.4074644537712255</v>
      </c>
      <c r="EC21" s="463">
        <v>-0.18437699289918186</v>
      </c>
      <c r="ED21" s="463">
        <f t="shared" si="24"/>
        <v>12.573000756535802</v>
      </c>
      <c r="EE21" s="463">
        <f t="shared" si="25"/>
        <v>5.5405076621011196</v>
      </c>
      <c r="EF21" s="463">
        <f t="shared" si="26"/>
        <v>34.074644537712253</v>
      </c>
      <c r="EG21" s="463">
        <f t="shared" si="27"/>
        <v>-1.8437699289918186</v>
      </c>
      <c r="EH21" s="528">
        <f>'[3]Plots R2&gt;.75 - UPDATED'!S18</f>
        <v>2.7607329762465871</v>
      </c>
      <c r="EI21" s="528">
        <f>'[3]Plots R2&gt;.75 - UPDATED'!T18</f>
        <v>3.2534329762465877</v>
      </c>
      <c r="EJ21" s="528">
        <f>'[3]Plots R2&gt;.75 - UPDATED'!U18</f>
        <v>3.661432976246588</v>
      </c>
      <c r="EK21" s="546">
        <f>'[3]Plots R2&gt;.75 - UPDATED'!V18</f>
        <v>3.0304329762465883</v>
      </c>
      <c r="EL21" s="676">
        <v>0</v>
      </c>
      <c r="EM21" s="495">
        <v>0</v>
      </c>
      <c r="EN21" s="299">
        <v>41575</v>
      </c>
      <c r="EO21" s="528">
        <v>2.7607329762465871</v>
      </c>
      <c r="EP21" s="528">
        <v>3.2534329762465877</v>
      </c>
      <c r="EQ21" s="528">
        <v>3.661432976246588</v>
      </c>
      <c r="ER21" s="546">
        <v>3.0304329762465883</v>
      </c>
      <c r="GN21" s="640"/>
      <c r="GO21" s="640"/>
      <c r="GP21" s="640"/>
      <c r="GQ21" s="640"/>
      <c r="GR21" s="640"/>
      <c r="GS21" s="640"/>
      <c r="GT21" s="640"/>
      <c r="GU21" s="640"/>
      <c r="GV21" s="640"/>
      <c r="HF21" s="558"/>
      <c r="HG21" s="558"/>
      <c r="HH21" s="450"/>
      <c r="HI21" s="450"/>
      <c r="HJ21" s="598"/>
      <c r="HK21" s="598"/>
      <c r="HL21" s="598"/>
      <c r="HM21" s="598"/>
    </row>
    <row r="22" spans="8:221" ht="16">
      <c r="J22" s="580">
        <v>41559</v>
      </c>
      <c r="K22" s="581">
        <v>0</v>
      </c>
      <c r="L22" s="582">
        <v>10.0291</v>
      </c>
      <c r="M22" s="582">
        <v>10.0425</v>
      </c>
      <c r="N22" s="582">
        <v>10.0487</v>
      </c>
      <c r="O22" s="582">
        <v>10.060700000000001</v>
      </c>
      <c r="P22" s="582">
        <v>98.5154</v>
      </c>
      <c r="Q22" s="582">
        <v>10.073144550493625</v>
      </c>
      <c r="R22" s="582">
        <v>0</v>
      </c>
      <c r="S22" s="582">
        <v>0.61935544950637555</v>
      </c>
      <c r="T22" s="582">
        <v>0.16555544950637524</v>
      </c>
      <c r="U22" s="582">
        <v>0.2575554495063756</v>
      </c>
      <c r="W22" s="580">
        <v>41577</v>
      </c>
      <c r="X22" s="582">
        <f t="shared" si="6"/>
        <v>2.7609000677368938</v>
      </c>
      <c r="Y22" s="582">
        <f t="shared" si="0"/>
        <v>3.2533000677368946</v>
      </c>
      <c r="Z22" s="582">
        <f t="shared" si="0"/>
        <v>3.6614000677368943</v>
      </c>
      <c r="AA22" s="582">
        <f t="shared" si="0"/>
        <v>3.3199616061984329</v>
      </c>
      <c r="AB22" s="606"/>
      <c r="AC22" s="436">
        <f t="shared" si="1"/>
        <v>3.800734605914613E-2</v>
      </c>
      <c r="AD22" s="437">
        <f t="shared" si="2"/>
        <v>1.9899653751453972E-2</v>
      </c>
      <c r="AE22" s="437">
        <f t="shared" si="3"/>
        <v>4.5545807597607624E-2</v>
      </c>
      <c r="AF22" s="440">
        <f t="shared" si="4"/>
        <v>1.8538115289916668E-2</v>
      </c>
      <c r="AG22" s="633">
        <v>41577</v>
      </c>
      <c r="AH22" s="509">
        <v>-2.4424430046269176E-2</v>
      </c>
      <c r="AI22" s="510">
        <v>-7.2425588714509328E-3</v>
      </c>
      <c r="AJ22" s="510">
        <v>-9.260056019690403E-3</v>
      </c>
      <c r="AK22" s="513">
        <v>-2.4768144254648863E-2</v>
      </c>
      <c r="AL22" s="634"/>
      <c r="AM22" s="436">
        <v>-1.77E-5</v>
      </c>
      <c r="AN22" s="437">
        <v>-9.1200000000000008E-6</v>
      </c>
      <c r="AO22" s="437">
        <v>-2.3499999999999999E-5</v>
      </c>
      <c r="AP22" s="440">
        <v>-7.7000000000000008E-6</v>
      </c>
      <c r="AR22" s="436">
        <f t="shared" si="7"/>
        <v>2.5488E-2</v>
      </c>
      <c r="AS22" s="437">
        <f t="shared" si="7"/>
        <v>1.3132800000000002E-2</v>
      </c>
      <c r="AT22" s="437">
        <f t="shared" si="7"/>
        <v>3.3839999999999995E-2</v>
      </c>
      <c r="AU22" s="440">
        <f t="shared" si="7"/>
        <v>1.1088000000000001E-2</v>
      </c>
      <c r="AV22" s="633">
        <v>41577</v>
      </c>
      <c r="AW22" s="644"/>
      <c r="AX22" s="608">
        <v>0</v>
      </c>
      <c r="AY22" s="436">
        <f t="shared" si="28"/>
        <v>1.251934605914613E-2</v>
      </c>
      <c r="AZ22" s="437">
        <f t="shared" si="28"/>
        <v>6.76685375145397E-3</v>
      </c>
      <c r="BA22" s="437">
        <f t="shared" si="28"/>
        <v>1.1705807597607629E-2</v>
      </c>
      <c r="BB22" s="440">
        <f t="shared" si="28"/>
        <v>7.4501152899166673E-3</v>
      </c>
      <c r="BC22" s="608">
        <f t="shared" si="5"/>
        <v>7.4501152899166673E-2</v>
      </c>
      <c r="BD22" s="627" t="s">
        <v>412</v>
      </c>
      <c r="BE22" s="580">
        <v>41577</v>
      </c>
      <c r="BF22" s="436">
        <f t="shared" si="29"/>
        <v>4.3894429515646127</v>
      </c>
      <c r="BG22" s="437">
        <f t="shared" si="29"/>
        <v>3.2014429515642462</v>
      </c>
      <c r="BH22" s="437">
        <f t="shared" si="29"/>
        <v>7.4748684555693989</v>
      </c>
      <c r="BI22" s="440">
        <f t="shared" si="29"/>
        <v>5.1748684555700315</v>
      </c>
      <c r="BJ22" s="645"/>
      <c r="BK22" s="436"/>
      <c r="BL22" s="437"/>
      <c r="BM22" s="437"/>
      <c r="BN22" s="440">
        <v>7.4501152899166678</v>
      </c>
      <c r="BO22" s="353">
        <v>76</v>
      </c>
      <c r="BP22" s="353">
        <f t="shared" si="9"/>
        <v>15.2</v>
      </c>
      <c r="BQ22" s="610">
        <f t="shared" si="10"/>
        <v>54.285714285714292</v>
      </c>
      <c r="BR22" s="610">
        <f t="shared" si="11"/>
        <v>20.54054054054054</v>
      </c>
      <c r="BS22" s="649"/>
      <c r="BT22" s="650">
        <f t="shared" si="30"/>
        <v>14.285714285714286</v>
      </c>
      <c r="BU22" s="353">
        <v>10</v>
      </c>
      <c r="BV22" s="341">
        <f t="shared" si="31"/>
        <v>20</v>
      </c>
      <c r="BW22" s="605">
        <v>5</v>
      </c>
      <c r="BX22" s="648"/>
      <c r="BY22" s="616" t="s">
        <v>413</v>
      </c>
      <c r="BZ22" s="617">
        <v>29</v>
      </c>
      <c r="CA22" s="608">
        <v>0</v>
      </c>
      <c r="CB22" s="608">
        <f t="shared" si="12"/>
        <v>0</v>
      </c>
      <c r="CC22" s="608"/>
      <c r="CD22" s="631">
        <f t="shared" si="13"/>
        <v>50.5</v>
      </c>
      <c r="CE22" s="364"/>
      <c r="CF22" s="364"/>
      <c r="CG22" s="364"/>
      <c r="CH22" s="364"/>
      <c r="CI22" s="364"/>
      <c r="CJ22" s="364"/>
      <c r="CK22" s="364"/>
      <c r="CL22" s="623"/>
      <c r="CM22" s="364"/>
      <c r="CN22" s="632" t="s">
        <v>414</v>
      </c>
      <c r="CO22" s="580">
        <f>'[3]Plots R2&gt;.75 - UPDATED'!R19</f>
        <v>41578</v>
      </c>
      <c r="CP22" s="620"/>
      <c r="CQ22" s="633">
        <v>41578</v>
      </c>
      <c r="CR22" s="596">
        <v>129152.63084356474</v>
      </c>
      <c r="CS22" s="597">
        <v>432682.73944584012</v>
      </c>
      <c r="CT22" s="597">
        <v>116822.10577398035</v>
      </c>
      <c r="CU22" s="621">
        <v>145362.1309254331</v>
      </c>
      <c r="CV22" s="569">
        <f>(302.4/CR22)*100</f>
        <v>0.23414157189432708</v>
      </c>
      <c r="CW22" s="569">
        <f t="shared" ref="CW22:CW34" si="32">IF(ABS(DV23)&lt;=CV22,0,IF(DV23&gt;0,DV23-CV22,DV23+CV22))</f>
        <v>0.68467750786094383</v>
      </c>
      <c r="CX22" s="450"/>
      <c r="CY22" s="450"/>
      <c r="CZ22" s="450"/>
      <c r="DA22" s="450"/>
      <c r="DB22" s="569">
        <f t="shared" si="19"/>
        <v>0.20803217321788103</v>
      </c>
      <c r="DC22" s="569">
        <f t="shared" si="16"/>
        <v>-1.1599822522470054</v>
      </c>
      <c r="DD22" s="622"/>
      <c r="DE22" s="299">
        <v>41576</v>
      </c>
      <c r="DF22" s="463">
        <v>13.527999736963169</v>
      </c>
      <c r="DG22" s="463">
        <v>45.574693079846732</v>
      </c>
      <c r="DH22" s="463">
        <v>12.384472811572905</v>
      </c>
      <c r="DI22" s="463">
        <v>15.52263760077158</v>
      </c>
      <c r="DJ22" s="528">
        <v>0.43894429515646127</v>
      </c>
      <c r="DK22" s="528">
        <v>0.32014429515642462</v>
      </c>
      <c r="DL22" s="528"/>
      <c r="DM22" s="546"/>
      <c r="DN22" s="528">
        <f t="shared" si="20"/>
        <v>4.3894429515646127</v>
      </c>
      <c r="DO22" s="528">
        <f t="shared" si="21"/>
        <v>3.2014429515642462</v>
      </c>
      <c r="DP22" s="528">
        <f t="shared" si="22"/>
        <v>0</v>
      </c>
      <c r="DQ22" s="528">
        <f t="shared" si="23"/>
        <v>0</v>
      </c>
      <c r="DR22" s="463">
        <v>0.43894429515646127</v>
      </c>
      <c r="DS22" s="463">
        <v>0.32014429515642462</v>
      </c>
      <c r="DT22" s="463">
        <v>0.74748684555693989</v>
      </c>
      <c r="DU22" s="463">
        <v>0.51748684555700319</v>
      </c>
      <c r="DV22" s="463">
        <v>0.92911168399625987</v>
      </c>
      <c r="DW22" s="463">
        <v>0.88096372110154597</v>
      </c>
      <c r="DX22" s="463">
        <v>1.0890368485660638</v>
      </c>
      <c r="DY22" s="463">
        <v>-1.2005924491810163</v>
      </c>
      <c r="DZ22" s="463">
        <v>0.92911168399625987</v>
      </c>
      <c r="EA22" s="463">
        <v>0.88096372110154597</v>
      </c>
      <c r="EB22" s="463">
        <v>1.0890368485660638</v>
      </c>
      <c r="EC22" s="463">
        <v>-1.2005924491810163</v>
      </c>
      <c r="ED22" s="463">
        <f t="shared" si="24"/>
        <v>9.2911168399625979</v>
      </c>
      <c r="EE22" s="463">
        <f t="shared" si="25"/>
        <v>8.8096372110154597</v>
      </c>
      <c r="EF22" s="463">
        <f t="shared" si="26"/>
        <v>10.890368485660638</v>
      </c>
      <c r="EG22" s="463">
        <f t="shared" si="27"/>
        <v>-12.005924491810163</v>
      </c>
      <c r="EH22" s="528">
        <f>'[3]Plots R2&gt;.75 - UPDATED'!S19</f>
        <v>2.7228466778126248</v>
      </c>
      <c r="EI22" s="528">
        <f>'[3]Plots R2&gt;.75 - UPDATED'!T19</f>
        <v>3.2334466778126245</v>
      </c>
      <c r="EJ22" s="528">
        <f>'[3]Plots R2&gt;.75 - UPDATED'!U19</f>
        <v>3.616246677812625</v>
      </c>
      <c r="EK22" s="546">
        <f>'[3]Plots R2&gt;.75 - UPDATED'!V19</f>
        <v>3.0117466778126238</v>
      </c>
      <c r="EL22" s="676">
        <v>0</v>
      </c>
      <c r="EM22" s="494">
        <v>2.0666666666666664</v>
      </c>
      <c r="EN22" s="299">
        <v>41576</v>
      </c>
      <c r="EO22" s="528">
        <v>2.7228466778126248</v>
      </c>
      <c r="EP22" s="528">
        <v>3.2334466778126245</v>
      </c>
      <c r="EQ22" s="528">
        <v>3.616246677812625</v>
      </c>
      <c r="ER22" s="546">
        <v>3.0117466778126238</v>
      </c>
      <c r="GN22" s="640"/>
      <c r="GO22" s="640"/>
      <c r="GP22" s="640"/>
      <c r="GQ22" s="640"/>
      <c r="GR22" s="640"/>
      <c r="GS22" s="640"/>
      <c r="GT22" s="640"/>
      <c r="GU22" s="640"/>
      <c r="GV22" s="640"/>
      <c r="HF22" s="558"/>
      <c r="HG22" s="558"/>
      <c r="HH22" s="450"/>
      <c r="HI22" s="450"/>
      <c r="HJ22" s="598"/>
      <c r="HK22" s="598"/>
      <c r="HL22" s="598"/>
      <c r="HM22" s="598"/>
    </row>
    <row r="23" spans="8:221" ht="16">
      <c r="J23" s="580">
        <v>41560</v>
      </c>
      <c r="K23" s="581">
        <v>0</v>
      </c>
      <c r="L23" s="582">
        <v>10.020200000000001</v>
      </c>
      <c r="M23" s="582">
        <v>10.0319</v>
      </c>
      <c r="N23" s="582">
        <v>10.040100000000001</v>
      </c>
      <c r="O23" s="582">
        <v>10.0526</v>
      </c>
      <c r="P23" s="582">
        <v>98.399699999999996</v>
      </c>
      <c r="Q23" s="582">
        <v>10.06131429020445</v>
      </c>
      <c r="R23" s="582">
        <v>0</v>
      </c>
      <c r="S23" s="582">
        <v>0.62058570979555028</v>
      </c>
      <c r="T23" s="582">
        <v>0.16878570979555063</v>
      </c>
      <c r="U23" s="582">
        <v>0.26128570979554983</v>
      </c>
      <c r="W23" s="580">
        <v>41578</v>
      </c>
      <c r="X23" s="582">
        <f t="shared" si="6"/>
        <v>2.7228927216777477</v>
      </c>
      <c r="Y23" s="582">
        <f t="shared" si="0"/>
        <v>3.2334004139854406</v>
      </c>
      <c r="Z23" s="582">
        <f t="shared" si="0"/>
        <v>3.6158542601392867</v>
      </c>
      <c r="AA23" s="582">
        <f t="shared" si="0"/>
        <v>3.3014234909085163</v>
      </c>
      <c r="AB23" s="606"/>
      <c r="AC23" s="440">
        <f t="shared" si="1"/>
        <v>2.6350023825571611E-2</v>
      </c>
      <c r="AD23" s="437">
        <f t="shared" si="2"/>
        <v>1.9565408440956666E-2</v>
      </c>
      <c r="AE23" s="437">
        <f t="shared" si="3"/>
        <v>5.0842331517880091E-2</v>
      </c>
      <c r="AF23" s="440">
        <f t="shared" si="4"/>
        <v>1.7534639210186942E-2</v>
      </c>
      <c r="AG23" s="633">
        <v>41578</v>
      </c>
      <c r="AH23" s="513">
        <v>-2.4296786530768229E-2</v>
      </c>
      <c r="AI23" s="510">
        <v>-7.1599132223482609E-3</v>
      </c>
      <c r="AJ23" s="510">
        <v>-9.2513734284287597E-3</v>
      </c>
      <c r="AK23" s="513">
        <v>-2.4769758377861033E-2</v>
      </c>
      <c r="AL23" s="634"/>
      <c r="AM23" s="440">
        <v>-2.0400000000000001E-5</v>
      </c>
      <c r="AN23" s="437">
        <v>-1.13E-5</v>
      </c>
      <c r="AO23" s="437">
        <v>-3.2700000000000002E-5</v>
      </c>
      <c r="AP23" s="440">
        <v>-1.33E-5</v>
      </c>
      <c r="AR23" s="440">
        <f t="shared" si="7"/>
        <v>2.9376000000000003E-2</v>
      </c>
      <c r="AS23" s="437">
        <f t="shared" si="7"/>
        <v>1.6272000000000002E-2</v>
      </c>
      <c r="AT23" s="437">
        <f t="shared" si="7"/>
        <v>4.7088000000000005E-2</v>
      </c>
      <c r="AU23" s="440">
        <f t="shared" si="7"/>
        <v>1.9151999999999999E-2</v>
      </c>
      <c r="AV23" s="633">
        <v>41578</v>
      </c>
      <c r="AW23" s="626"/>
      <c r="AX23" s="608">
        <v>0</v>
      </c>
      <c r="AY23" s="440">
        <f t="shared" si="28"/>
        <v>-3.0259761744283915E-3</v>
      </c>
      <c r="AZ23" s="437">
        <f t="shared" si="28"/>
        <v>3.2934084409566647E-3</v>
      </c>
      <c r="BA23" s="437">
        <f t="shared" si="28"/>
        <v>3.7543315178800857E-3</v>
      </c>
      <c r="BB23" s="440">
        <f t="shared" si="28"/>
        <v>-1.6173607898130569E-3</v>
      </c>
      <c r="BC23" s="608">
        <f t="shared" si="5"/>
        <v>-1.6173607898130569E-2</v>
      </c>
      <c r="BD23" s="627" t="s">
        <v>415</v>
      </c>
      <c r="BE23" s="580">
        <v>41578</v>
      </c>
      <c r="BF23" s="440">
        <f t="shared" si="29"/>
        <v>4.2736775901404105</v>
      </c>
      <c r="BG23" s="437">
        <f t="shared" si="29"/>
        <v>6.8534984339631544</v>
      </c>
      <c r="BH23" s="437">
        <f t="shared" si="29"/>
        <v>11.346298433963051</v>
      </c>
      <c r="BI23" s="440">
        <f t="shared" si="29"/>
        <v>7.59829843396441</v>
      </c>
      <c r="BJ23" s="645"/>
      <c r="BK23" s="440"/>
      <c r="BL23" s="437"/>
      <c r="BM23" s="437"/>
      <c r="BN23" s="440"/>
      <c r="BO23" s="353">
        <v>69</v>
      </c>
      <c r="BP23" s="353">
        <f t="shared" si="9"/>
        <v>13.8</v>
      </c>
      <c r="BQ23" s="610">
        <f t="shared" si="10"/>
        <v>49.285714285714292</v>
      </c>
      <c r="BR23" s="610">
        <f t="shared" si="11"/>
        <v>18.648648648648649</v>
      </c>
      <c r="BS23" s="649"/>
      <c r="BT23" s="650">
        <f t="shared" si="30"/>
        <v>28.571428571428573</v>
      </c>
      <c r="BU23" s="353">
        <v>20</v>
      </c>
      <c r="BV23" s="341">
        <f t="shared" si="31"/>
        <v>40</v>
      </c>
      <c r="BW23" s="605">
        <v>10</v>
      </c>
      <c r="BX23" s="648"/>
      <c r="BY23" s="616" t="s">
        <v>416</v>
      </c>
      <c r="BZ23" s="617">
        <v>31</v>
      </c>
      <c r="CA23" s="608">
        <v>0.79</v>
      </c>
      <c r="CB23" s="608">
        <f t="shared" si="12"/>
        <v>7.9</v>
      </c>
      <c r="CC23" s="608"/>
      <c r="CD23" s="631">
        <f t="shared" si="13"/>
        <v>58.4</v>
      </c>
      <c r="CE23" s="364"/>
      <c r="CF23" s="364"/>
      <c r="CG23" s="364"/>
      <c r="CH23" s="364"/>
      <c r="CI23" s="364"/>
      <c r="CJ23" s="364"/>
      <c r="CK23" s="364"/>
      <c r="CL23" s="623"/>
      <c r="CM23" s="364"/>
      <c r="CN23" s="632" t="s">
        <v>417</v>
      </c>
      <c r="CO23" s="580">
        <f>'[3]Plots R2&gt;.75 - UPDATED'!R20</f>
        <v>41579</v>
      </c>
      <c r="CP23" s="620"/>
      <c r="CQ23" s="633">
        <v>41579</v>
      </c>
      <c r="CR23" s="596">
        <v>127756.18074685683</v>
      </c>
      <c r="CS23" s="597">
        <v>425127.12126581027</v>
      </c>
      <c r="CT23" s="597">
        <v>113881.30045951577</v>
      </c>
      <c r="CU23" s="621">
        <v>142593.8205491851</v>
      </c>
      <c r="CV23" s="569">
        <f t="shared" ref="CV23:CV86" si="33">(302.4/CR23)*100</f>
        <v>0.23670087680469415</v>
      </c>
      <c r="CW23" s="569">
        <f t="shared" si="32"/>
        <v>0</v>
      </c>
      <c r="CX23" s="569">
        <f>(302.4/CS23)*100</f>
        <v>7.1131665065171101E-2</v>
      </c>
      <c r="CY23" s="569">
        <f t="shared" ref="CY23:CY38" si="34">IF(ABS(DW24)&lt;=CX23,0,IF(DW24&gt;0,DW24-CX23,DW24+CX23))</f>
        <v>0.77772272437271639</v>
      </c>
      <c r="CZ23" s="450"/>
      <c r="DA23" s="450"/>
      <c r="DB23" s="569">
        <f t="shared" si="19"/>
        <v>0.2120709009937024</v>
      </c>
      <c r="DC23" s="569">
        <f t="shared" si="16"/>
        <v>-1.0782857226013252</v>
      </c>
      <c r="DD23" s="622"/>
      <c r="DE23" s="299">
        <v>41577</v>
      </c>
      <c r="DF23" s="463">
        <v>13.312699951236945</v>
      </c>
      <c r="DG23" s="463">
        <v>44.802723659196346</v>
      </c>
      <c r="DH23" s="463">
        <v>12.107026414495675</v>
      </c>
      <c r="DI23" s="463">
        <v>15.110906686651358</v>
      </c>
      <c r="DJ23" s="528"/>
      <c r="DK23" s="528">
        <v>0.68534984339631544</v>
      </c>
      <c r="DL23" s="528">
        <v>1.1346298433963051</v>
      </c>
      <c r="DM23" s="546">
        <v>0.759829843396441</v>
      </c>
      <c r="DN23" s="528">
        <f t="shared" si="20"/>
        <v>0</v>
      </c>
      <c r="DO23" s="528">
        <f t="shared" si="21"/>
        <v>6.8534984339631544</v>
      </c>
      <c r="DP23" s="528">
        <f t="shared" si="22"/>
        <v>11.346298433963051</v>
      </c>
      <c r="DQ23" s="528">
        <f t="shared" si="23"/>
        <v>7.59829843396441</v>
      </c>
      <c r="DR23" s="463">
        <v>0.42736775901404106</v>
      </c>
      <c r="DS23" s="463">
        <v>0.68534984339631544</v>
      </c>
      <c r="DT23" s="463">
        <v>1.1346298433963051</v>
      </c>
      <c r="DU23" s="463">
        <v>0.759829843396441</v>
      </c>
      <c r="DV23" s="463">
        <v>0.91881907975527088</v>
      </c>
      <c r="DW23" s="463">
        <v>0.58902411285490697</v>
      </c>
      <c r="DX23" s="463">
        <v>2.4579943980309591</v>
      </c>
      <c r="DY23" s="463">
        <v>-1.3680144254648865</v>
      </c>
      <c r="DZ23" s="463">
        <v>0.91881907975527088</v>
      </c>
      <c r="EA23" s="463">
        <v>0.58902411285490697</v>
      </c>
      <c r="EB23" s="463">
        <v>2.4579943980309591</v>
      </c>
      <c r="EC23" s="463">
        <v>-1.3680144254648865</v>
      </c>
      <c r="ED23" s="463">
        <f t="shared" si="24"/>
        <v>9.1881907975527088</v>
      </c>
      <c r="EE23" s="463">
        <f t="shared" si="25"/>
        <v>5.8902411285490697</v>
      </c>
      <c r="EF23" s="463">
        <f t="shared" si="26"/>
        <v>24.57994398030959</v>
      </c>
      <c r="EG23" s="463">
        <f t="shared" si="27"/>
        <v>-13.680144254648866</v>
      </c>
      <c r="EH23" s="528">
        <f>'[3]Plots R2&gt;.75 - UPDATED'!S20</f>
        <v>2.6960524038752909</v>
      </c>
      <c r="EI23" s="528">
        <f>'[3]Plots R2&gt;.75 - UPDATED'!T20</f>
        <v>3.2137524038752918</v>
      </c>
      <c r="EJ23" s="528">
        <f>'[3]Plots R2&gt;.75 - UPDATED'!U20</f>
        <v>3.5651524038752909</v>
      </c>
      <c r="EK23" s="546">
        <f>'[3]Plots R2&gt;.75 - UPDATED'!V20</f>
        <v>2.9937524038752907</v>
      </c>
      <c r="EL23" s="676">
        <v>0</v>
      </c>
      <c r="EM23" s="494">
        <v>0.1</v>
      </c>
      <c r="EN23" s="299">
        <v>41577</v>
      </c>
      <c r="EO23" s="528">
        <v>2.6960524038752909</v>
      </c>
      <c r="EP23" s="528">
        <v>3.2137524038752918</v>
      </c>
      <c r="EQ23" s="528">
        <v>3.5651524038752909</v>
      </c>
      <c r="ER23" s="546">
        <v>2.9937524038752907</v>
      </c>
      <c r="GN23" s="640"/>
      <c r="GO23" s="640"/>
      <c r="GP23" s="640"/>
      <c r="GQ23" s="640"/>
      <c r="GR23" s="640"/>
      <c r="GS23" s="640"/>
      <c r="GT23" s="640"/>
      <c r="GU23" s="640"/>
      <c r="GV23" s="640"/>
      <c r="HF23" s="558"/>
      <c r="HG23" s="558"/>
      <c r="HH23" s="450"/>
      <c r="HI23" s="450"/>
      <c r="HJ23" s="598"/>
      <c r="HK23" s="598"/>
      <c r="HL23" s="598"/>
      <c r="HM23" s="598"/>
    </row>
    <row r="24" spans="8:221" ht="16">
      <c r="J24" s="580">
        <v>41561</v>
      </c>
      <c r="K24" s="581">
        <v>0</v>
      </c>
      <c r="L24" s="582">
        <v>10.0289</v>
      </c>
      <c r="M24" s="582">
        <v>10.040800000000001</v>
      </c>
      <c r="N24" s="582">
        <v>10.0497</v>
      </c>
      <c r="O24" s="582">
        <v>10.061500000000001</v>
      </c>
      <c r="P24" s="582">
        <v>98.502399999999994</v>
      </c>
      <c r="Q24" s="582">
        <v>10.071815307764503</v>
      </c>
      <c r="R24" s="582">
        <v>0</v>
      </c>
      <c r="S24" s="582">
        <v>0.61898469223549824</v>
      </c>
      <c r="T24" s="582">
        <v>0.16788469223549696</v>
      </c>
      <c r="U24" s="582">
        <v>0.25968469223549778</v>
      </c>
      <c r="W24" s="580">
        <v>41579</v>
      </c>
      <c r="X24" s="582">
        <f t="shared" si="6"/>
        <v>2.696542697852176</v>
      </c>
      <c r="Y24" s="582">
        <f t="shared" si="0"/>
        <v>3.213835005544484</v>
      </c>
      <c r="Z24" s="582">
        <f t="shared" si="0"/>
        <v>3.5650119286214066</v>
      </c>
      <c r="AA24" s="582">
        <f t="shared" si="0"/>
        <v>3.2838888516983293</v>
      </c>
      <c r="AB24" s="606"/>
      <c r="AC24" s="440">
        <f t="shared" si="1"/>
        <v>3.7740478688050416E-2</v>
      </c>
      <c r="AD24" s="440">
        <f t="shared" si="2"/>
        <v>1.9509709457280699E-2</v>
      </c>
      <c r="AE24" s="437">
        <f t="shared" si="3"/>
        <v>5.0602017149588452E-2</v>
      </c>
      <c r="AF24" s="440">
        <f t="shared" si="4"/>
        <v>2.0617401764973398E-2</v>
      </c>
      <c r="AG24" s="633">
        <v>41579</v>
      </c>
      <c r="AH24" s="513">
        <v>-2.4203816777727784E-2</v>
      </c>
      <c r="AI24" s="513">
        <v>-7.0740627091247805E-3</v>
      </c>
      <c r="AJ24" s="510">
        <v>-9.2385431624697721E-3</v>
      </c>
      <c r="AK24" s="513">
        <v>-2.4764863639916125E-2</v>
      </c>
      <c r="AL24" s="634"/>
      <c r="AM24" s="440">
        <v>-1.88E-5</v>
      </c>
      <c r="AN24" s="440">
        <v>-8.8899999999999996E-6</v>
      </c>
      <c r="AO24" s="437">
        <v>-3.9199999999999997E-5</v>
      </c>
      <c r="AP24" s="440">
        <v>-7.3499999999999999E-6</v>
      </c>
      <c r="AR24" s="440">
        <f>-AM24*1440</f>
        <v>2.7071999999999999E-2</v>
      </c>
      <c r="AS24" s="440">
        <f>-AN24*1440</f>
        <v>1.28016E-2</v>
      </c>
      <c r="AT24" s="437">
        <f>-AO24*1440</f>
        <v>5.6447999999999998E-2</v>
      </c>
      <c r="AU24" s="440">
        <f>-AP24*1440</f>
        <v>1.0584E-2</v>
      </c>
      <c r="AV24" s="633">
        <v>41579</v>
      </c>
      <c r="AW24" s="626"/>
      <c r="AX24" s="608">
        <v>0</v>
      </c>
      <c r="AY24" s="440">
        <f t="shared" si="28"/>
        <v>1.0668478688050417E-2</v>
      </c>
      <c r="AZ24" s="440">
        <f t="shared" si="28"/>
        <v>6.7081094572806997E-3</v>
      </c>
      <c r="BA24" s="437">
        <f t="shared" si="28"/>
        <v>-5.8459828504115463E-3</v>
      </c>
      <c r="BB24" s="440">
        <f t="shared" si="28"/>
        <v>1.0033401764973398E-2</v>
      </c>
      <c r="BC24" s="608">
        <f t="shared" si="5"/>
        <v>0.10033401764973399</v>
      </c>
      <c r="BD24" s="627" t="s">
        <v>418</v>
      </c>
      <c r="BE24" s="580">
        <v>41579</v>
      </c>
      <c r="BF24" s="440">
        <f t="shared" si="29"/>
        <v>4.1579122287162082</v>
      </c>
      <c r="BG24" s="440">
        <f t="shared" si="29"/>
        <v>6.1124834872722253</v>
      </c>
      <c r="BH24" s="437">
        <f t="shared" si="29"/>
        <v>10.55804846208799</v>
      </c>
      <c r="BI24" s="440">
        <f t="shared" si="29"/>
        <v>8.1947484620890148</v>
      </c>
      <c r="BJ24" s="645"/>
      <c r="BK24" s="440">
        <v>10.668478688050417</v>
      </c>
      <c r="BL24" s="440">
        <v>6.7081094572806998</v>
      </c>
      <c r="BM24" s="437"/>
      <c r="BN24" s="440">
        <v>10.033401764973398</v>
      </c>
      <c r="BO24" s="353">
        <v>72</v>
      </c>
      <c r="BP24" s="353">
        <f t="shared" si="9"/>
        <v>14.4</v>
      </c>
      <c r="BQ24" s="610">
        <f t="shared" si="10"/>
        <v>51.428571428571431</v>
      </c>
      <c r="BR24" s="610">
        <f t="shared" si="11"/>
        <v>19.45945945945946</v>
      </c>
      <c r="BS24" s="649"/>
      <c r="BT24" s="650">
        <f t="shared" si="30"/>
        <v>42.857142857142861</v>
      </c>
      <c r="BU24" s="353">
        <v>30</v>
      </c>
      <c r="BV24" s="341">
        <f t="shared" si="31"/>
        <v>60</v>
      </c>
      <c r="BW24" s="605">
        <v>15</v>
      </c>
      <c r="BX24" s="648"/>
      <c r="BY24" s="616" t="s">
        <v>419</v>
      </c>
      <c r="BZ24" s="617">
        <v>29</v>
      </c>
      <c r="CA24" s="608">
        <v>0.05</v>
      </c>
      <c r="CB24" s="608">
        <f t="shared" si="12"/>
        <v>0.5</v>
      </c>
      <c r="CC24" s="608"/>
      <c r="CD24" s="631">
        <f t="shared" si="13"/>
        <v>58.9</v>
      </c>
      <c r="CE24" s="364"/>
      <c r="CF24" s="364"/>
      <c r="CG24" s="364"/>
      <c r="CH24" s="364"/>
      <c r="CI24" s="364"/>
      <c r="CJ24" s="364"/>
      <c r="CK24" s="364"/>
      <c r="CL24" s="623"/>
      <c r="CM24" s="364"/>
      <c r="CN24" s="632" t="s">
        <v>420</v>
      </c>
      <c r="CO24" s="580">
        <f>'[3]Plots R2&gt;.75 - UPDATED'!R21</f>
        <v>41580</v>
      </c>
      <c r="CP24" s="620"/>
      <c r="CQ24" s="633">
        <v>41580</v>
      </c>
      <c r="CR24" s="596">
        <v>125820.66469679748</v>
      </c>
      <c r="CS24" s="597">
        <v>417851.62124934129</v>
      </c>
      <c r="CT24" s="597">
        <v>110997.03707205753</v>
      </c>
      <c r="CU24" s="621">
        <v>139502.34414611661</v>
      </c>
      <c r="CV24" s="569">
        <f t="shared" si="33"/>
        <v>0.24034207793189077</v>
      </c>
      <c r="CW24" s="569">
        <f t="shared" si="32"/>
        <v>0.66320099839561264</v>
      </c>
      <c r="CX24" s="569">
        <f t="shared" ref="CX24:CX87" si="35">(302.4/CS24)*100</f>
        <v>7.2370187076419457E-2</v>
      </c>
      <c r="CY24" s="569">
        <f t="shared" si="34"/>
        <v>0.61121612878238674</v>
      </c>
      <c r="CZ24" s="569">
        <f>(302.4/CT24)*100</f>
        <v>0.2724397046776002</v>
      </c>
      <c r="DA24" s="569">
        <f t="shared" ref="DA24:DA38" si="36">IF(ABS(DX25)&lt;=CZ24,0,IF(DX25&gt;0,DX25-CZ24,DX25+CZ24))</f>
        <v>2.8872489437166378</v>
      </c>
      <c r="DB24" s="569">
        <f t="shared" si="19"/>
        <v>0.21677055095451458</v>
      </c>
      <c r="DC24" s="569">
        <f t="shared" si="16"/>
        <v>-0.99363409839602457</v>
      </c>
      <c r="DD24" s="622"/>
      <c r="DE24" s="464">
        <v>41578</v>
      </c>
      <c r="DF24" s="483">
        <v>13.112949649099869</v>
      </c>
      <c r="DG24" s="483">
        <v>44.043951975477661</v>
      </c>
      <c r="DH24" s="483">
        <v>11.94504367006264</v>
      </c>
      <c r="DI24" s="483">
        <v>14.827582904752926</v>
      </c>
      <c r="DJ24" s="473"/>
      <c r="DK24" s="473"/>
      <c r="DL24" s="473"/>
      <c r="DM24" s="545"/>
      <c r="DN24" s="528">
        <f t="shared" ref="DN24:DN87" si="37">DJ24*10</f>
        <v>0</v>
      </c>
      <c r="DO24" s="528">
        <f t="shared" ref="DO24:DO87" si="38">DK24*10</f>
        <v>0</v>
      </c>
      <c r="DP24" s="528">
        <f t="shared" ref="DP24:DP87" si="39">DL24*10</f>
        <v>0</v>
      </c>
      <c r="DQ24" s="528">
        <f t="shared" ref="DQ24:DQ87" si="40">DM24*10</f>
        <v>0</v>
      </c>
      <c r="DR24" s="483">
        <v>0.41579122287162085</v>
      </c>
      <c r="DS24" s="483">
        <v>0.61124834872722256</v>
      </c>
      <c r="DT24" s="483">
        <v>1.055804846208799</v>
      </c>
      <c r="DU24" s="483">
        <v>0.81947484620890143</v>
      </c>
      <c r="DV24" s="483">
        <v>4.0624184451614198E-2</v>
      </c>
      <c r="DW24" s="483">
        <v>0.84885438943788749</v>
      </c>
      <c r="DX24" s="483">
        <v>3.3351518713484039</v>
      </c>
      <c r="DY24" s="483">
        <v>-1.2903566235950277</v>
      </c>
      <c r="DZ24" s="483"/>
      <c r="EA24" s="483"/>
      <c r="EB24" s="483"/>
      <c r="EC24" s="483"/>
      <c r="ED24" s="463">
        <f t="shared" si="24"/>
        <v>0</v>
      </c>
      <c r="EE24" s="463">
        <f t="shared" si="25"/>
        <v>0</v>
      </c>
      <c r="EF24" s="463">
        <f t="shared" si="26"/>
        <v>0</v>
      </c>
      <c r="EG24" s="463">
        <f t="shared" si="27"/>
        <v>0</v>
      </c>
      <c r="EH24" s="473">
        <f>'[3]Plots R2&gt;.75 - UPDATED'!S21</f>
        <v>2.6588710094669961</v>
      </c>
      <c r="EI24" s="473">
        <f>'[3]Plots R2&gt;.75 - UPDATED'!T21</f>
        <v>3.1945710094669977</v>
      </c>
      <c r="EJ24" s="473">
        <f>'[3]Plots R2&gt;.75 - UPDATED'!U21</f>
        <v>3.5144710094669973</v>
      </c>
      <c r="EK24" s="545">
        <f>'[3]Plots R2&gt;.75 - UPDATED'!V21</f>
        <v>2.9733710094669976</v>
      </c>
      <c r="EL24" s="675">
        <v>0</v>
      </c>
      <c r="EM24" s="494">
        <v>2.1</v>
      </c>
      <c r="EN24" s="464">
        <v>41578</v>
      </c>
      <c r="EO24" s="473">
        <v>2.6588710094669961</v>
      </c>
      <c r="EP24" s="473">
        <v>3.1945710094669977</v>
      </c>
      <c r="EQ24" s="473">
        <v>3.5144710094669973</v>
      </c>
      <c r="ER24" s="545">
        <v>2.9733710094669976</v>
      </c>
      <c r="GN24" s="640"/>
      <c r="GO24" s="640"/>
      <c r="GP24" s="640"/>
      <c r="GQ24" s="640"/>
      <c r="GR24" s="640"/>
      <c r="GS24" s="640"/>
      <c r="GT24" s="640"/>
      <c r="GU24" s="640"/>
      <c r="GV24" s="640"/>
      <c r="HF24" s="558"/>
      <c r="HG24" s="558"/>
      <c r="HH24" s="450"/>
      <c r="HI24" s="450"/>
      <c r="HJ24" s="598"/>
      <c r="HK24" s="598"/>
      <c r="HL24" s="598"/>
      <c r="HM24" s="598"/>
    </row>
    <row r="25" spans="8:221" ht="16">
      <c r="J25" s="580">
        <v>41562</v>
      </c>
      <c r="K25" s="581">
        <v>0</v>
      </c>
      <c r="L25" s="582">
        <v>10.0464</v>
      </c>
      <c r="M25" s="582">
        <v>10.057499999999999</v>
      </c>
      <c r="N25" s="582">
        <v>10.0662</v>
      </c>
      <c r="O25" s="582">
        <v>10.0783</v>
      </c>
      <c r="P25" s="582">
        <v>98.669300000000007</v>
      </c>
      <c r="Q25" s="582">
        <v>10.088880739417601</v>
      </c>
      <c r="R25" s="582">
        <v>0</v>
      </c>
      <c r="S25" s="582">
        <v>0.6186192605823988</v>
      </c>
      <c r="T25" s="582">
        <v>0.16731926058239976</v>
      </c>
      <c r="U25" s="582">
        <v>0.25941926058239989</v>
      </c>
      <c r="W25" s="580">
        <v>41580</v>
      </c>
      <c r="X25" s="582">
        <f t="shared" si="6"/>
        <v>2.6588022191641256</v>
      </c>
      <c r="Y25" s="582">
        <f t="shared" si="0"/>
        <v>3.1943252960872033</v>
      </c>
      <c r="Z25" s="582">
        <f t="shared" si="0"/>
        <v>3.5144099114718181</v>
      </c>
      <c r="AA25" s="582">
        <f t="shared" si="0"/>
        <v>3.2632714499333559</v>
      </c>
      <c r="AB25" s="606"/>
      <c r="AC25" s="438">
        <f t="shared" si="1"/>
        <v>3.3261334262694842E-2</v>
      </c>
      <c r="AD25" s="439">
        <f t="shared" si="2"/>
        <v>1.6122872724233961E-2</v>
      </c>
      <c r="AE25" s="439">
        <f t="shared" si="3"/>
        <v>3.2361334262694719E-2</v>
      </c>
      <c r="AF25" s="439">
        <f t="shared" si="4"/>
        <v>1.7315180416540787E-2</v>
      </c>
      <c r="AG25" s="633">
        <v>41580</v>
      </c>
      <c r="AH25" s="511">
        <v>-2.4070950262100054E-2</v>
      </c>
      <c r="AI25" s="512">
        <v>-6.9860689636154268E-3</v>
      </c>
      <c r="AJ25" s="512">
        <v>-9.2224204962452414E-3</v>
      </c>
      <c r="AK25" s="512">
        <v>-2.475126182484727E-2</v>
      </c>
      <c r="AL25" s="634"/>
      <c r="AM25" s="438">
        <v>-2.7100000000000001E-5</v>
      </c>
      <c r="AN25" s="439">
        <v>-8.7199999999999995E-6</v>
      </c>
      <c r="AO25" s="439">
        <v>-2.3099999999999999E-5</v>
      </c>
      <c r="AP25" s="439">
        <v>-9.5899999999999997E-6</v>
      </c>
      <c r="AR25" s="438"/>
      <c r="AS25" s="439"/>
      <c r="AT25" s="439"/>
      <c r="AU25" s="439"/>
      <c r="AV25" s="633">
        <v>41580</v>
      </c>
      <c r="AW25" s="626"/>
      <c r="AX25" s="607">
        <v>0.61</v>
      </c>
      <c r="AY25" s="438"/>
      <c r="AZ25" s="439"/>
      <c r="BA25" s="439"/>
      <c r="BB25" s="439"/>
      <c r="BC25" s="608">
        <f t="shared" si="5"/>
        <v>0</v>
      </c>
      <c r="BD25" s="627" t="s">
        <v>421</v>
      </c>
      <c r="BE25" s="580">
        <v>41580</v>
      </c>
      <c r="BF25" s="438"/>
      <c r="BG25" s="439"/>
      <c r="BH25" s="439"/>
      <c r="BI25" s="439"/>
      <c r="BJ25" s="645"/>
      <c r="BK25" s="438"/>
      <c r="BL25" s="439">
        <v>3.5660727242339609</v>
      </c>
      <c r="BM25" s="439"/>
      <c r="BN25" s="439">
        <v>3.5055804165407873</v>
      </c>
      <c r="BO25" s="353">
        <v>84</v>
      </c>
      <c r="BP25" s="353">
        <f t="shared" si="9"/>
        <v>16.8</v>
      </c>
      <c r="BQ25" s="610">
        <f t="shared" si="10"/>
        <v>60.000000000000007</v>
      </c>
      <c r="BR25" s="610">
        <f t="shared" si="11"/>
        <v>22.702702702702702</v>
      </c>
      <c r="BS25" s="649"/>
      <c r="BT25" s="650">
        <f t="shared" si="30"/>
        <v>57.142857142857146</v>
      </c>
      <c r="BU25" s="353">
        <v>40</v>
      </c>
      <c r="BV25" s="341">
        <f t="shared" si="31"/>
        <v>80</v>
      </c>
      <c r="BW25" s="605">
        <v>20</v>
      </c>
      <c r="BX25" s="648"/>
      <c r="BY25" s="616" t="s">
        <v>422</v>
      </c>
      <c r="BZ25" s="617">
        <v>31</v>
      </c>
      <c r="CA25" s="608">
        <v>0</v>
      </c>
      <c r="CB25" s="608">
        <f t="shared" si="12"/>
        <v>0</v>
      </c>
      <c r="CC25" s="608"/>
      <c r="CD25" s="631">
        <f t="shared" si="13"/>
        <v>58.9</v>
      </c>
      <c r="CE25" s="364"/>
      <c r="CF25" s="364"/>
      <c r="CG25" s="364"/>
      <c r="CH25" s="364"/>
      <c r="CI25" s="364"/>
      <c r="CJ25" s="364"/>
      <c r="CK25" s="364"/>
      <c r="CL25" s="623"/>
      <c r="CM25" s="364"/>
      <c r="CN25" s="632" t="s">
        <v>423</v>
      </c>
      <c r="CO25" s="580">
        <f>'[3]Plots R2&gt;.75 - UPDATED'!R22</f>
        <v>41581</v>
      </c>
      <c r="CP25" s="620"/>
      <c r="CQ25" s="633">
        <v>41581</v>
      </c>
      <c r="CR25" s="596">
        <v>124043.19699298873</v>
      </c>
      <c r="CS25" s="597">
        <v>411512.70334335323</v>
      </c>
      <c r="CT25" s="597">
        <v>109148.36165470969</v>
      </c>
      <c r="CU25" s="621">
        <v>136841.79517772311</v>
      </c>
      <c r="CV25" s="569">
        <f t="shared" si="33"/>
        <v>0.24378604174245241</v>
      </c>
      <c r="CW25" s="569">
        <f t="shared" si="32"/>
        <v>0.58556051299739598</v>
      </c>
      <c r="CX25" s="569">
        <f t="shared" si="35"/>
        <v>7.348497325675192E-2</v>
      </c>
      <c r="CY25" s="569">
        <f t="shared" si="34"/>
        <v>0.66394250252942633</v>
      </c>
      <c r="CZ25" s="569">
        <f t="shared" ref="CZ25:CZ88" si="41">(302.4/CT25)*100</f>
        <v>0.27705408987872937</v>
      </c>
      <c r="DA25" s="569">
        <f t="shared" si="36"/>
        <v>1.3421504812826024</v>
      </c>
      <c r="DB25" s="569">
        <f t="shared" si="19"/>
        <v>0.22098511613886559</v>
      </c>
      <c r="DC25" s="569">
        <f t="shared" si="16"/>
        <v>-1.0359244132877834</v>
      </c>
      <c r="DD25" s="622"/>
      <c r="DE25" s="464">
        <v>41579</v>
      </c>
      <c r="DF25" s="483">
        <v>12.915263084356473</v>
      </c>
      <c r="DG25" s="483">
        <v>43.26827394458401</v>
      </c>
      <c r="DH25" s="483">
        <v>11.682210577398035</v>
      </c>
      <c r="DI25" s="483">
        <v>14.53621309254331</v>
      </c>
      <c r="DJ25" s="473"/>
      <c r="DK25" s="473"/>
      <c r="DL25" s="473"/>
      <c r="DM25" s="545"/>
      <c r="DN25" s="528">
        <f t="shared" si="37"/>
        <v>0</v>
      </c>
      <c r="DO25" s="528">
        <f t="shared" si="38"/>
        <v>0</v>
      </c>
      <c r="DP25" s="528">
        <f t="shared" si="39"/>
        <v>0</v>
      </c>
      <c r="DQ25" s="528">
        <f t="shared" si="40"/>
        <v>0</v>
      </c>
      <c r="DR25" s="483">
        <v>0.40421468672920063</v>
      </c>
      <c r="DS25" s="483">
        <v>0.53714685405812967</v>
      </c>
      <c r="DT25" s="483">
        <v>0.99459647618814029</v>
      </c>
      <c r="DU25" s="483">
        <v>0.78205772618823854</v>
      </c>
      <c r="DV25" s="483">
        <v>0.90354307632750341</v>
      </c>
      <c r="DW25" s="483">
        <v>0.68358631585880625</v>
      </c>
      <c r="DX25" s="483">
        <v>3.1596886483942379</v>
      </c>
      <c r="DY25" s="483">
        <v>-1.2104046493505392</v>
      </c>
      <c r="DZ25" s="483"/>
      <c r="EA25" s="483"/>
      <c r="EB25" s="483"/>
      <c r="EC25" s="483"/>
      <c r="ED25" s="463">
        <f t="shared" si="24"/>
        <v>0</v>
      </c>
      <c r="EE25" s="463">
        <f t="shared" si="25"/>
        <v>0</v>
      </c>
      <c r="EF25" s="463">
        <f t="shared" si="26"/>
        <v>0</v>
      </c>
      <c r="EG25" s="463">
        <f t="shared" si="27"/>
        <v>0</v>
      </c>
      <c r="EH25" s="473">
        <f>'[3]Plots R2&gt;.75 - UPDATED'!S22</f>
        <v>2.6246802121516297</v>
      </c>
      <c r="EI25" s="473">
        <f>'[3]Plots R2&gt;.75 - UPDATED'!T22</f>
        <v>3.1776802121516301</v>
      </c>
      <c r="EJ25" s="473">
        <f>'[3]Plots R2&gt;.75 - UPDATED'!U22</f>
        <v>3.4816802121516313</v>
      </c>
      <c r="EK25" s="545">
        <f>'[3]Plots R2&gt;.75 - UPDATED'!V22</f>
        <v>2.9555802121516304</v>
      </c>
      <c r="EL25" s="675">
        <v>2.0666666666666664</v>
      </c>
      <c r="EM25" s="494">
        <v>0.4</v>
      </c>
      <c r="EN25" s="464">
        <v>41579</v>
      </c>
      <c r="EO25" s="473">
        <v>2.6246802121516297</v>
      </c>
      <c r="EP25" s="473">
        <v>3.1776802121516301</v>
      </c>
      <c r="EQ25" s="473">
        <v>3.4816802121516313</v>
      </c>
      <c r="ER25" s="545">
        <v>2.9555802121516304</v>
      </c>
      <c r="GN25" s="640"/>
      <c r="GO25" s="640"/>
      <c r="GP25" s="640"/>
      <c r="GQ25" s="640"/>
      <c r="GR25" s="640"/>
      <c r="GS25" s="640"/>
      <c r="GT25" s="640"/>
      <c r="GU25" s="640"/>
      <c r="GV25" s="640"/>
      <c r="HF25" s="558"/>
      <c r="HG25" s="558"/>
      <c r="HH25" s="450"/>
      <c r="HI25" s="450"/>
      <c r="HJ25" s="598"/>
      <c r="HK25" s="598"/>
      <c r="HL25" s="598"/>
      <c r="HM25" s="598"/>
    </row>
    <row r="26" spans="8:221" ht="16">
      <c r="J26" s="580">
        <v>41563</v>
      </c>
      <c r="K26" s="581">
        <v>0</v>
      </c>
      <c r="L26" s="582">
        <v>12.622999999999999</v>
      </c>
      <c r="M26" s="582">
        <v>12.409700000000001</v>
      </c>
      <c r="N26" s="582">
        <v>13.0589</v>
      </c>
      <c r="O26" s="582">
        <v>12.9937</v>
      </c>
      <c r="P26" s="582">
        <v>98.733199999999997</v>
      </c>
      <c r="Q26" s="582">
        <v>10.095414478678432</v>
      </c>
      <c r="R26" s="582">
        <v>2.3425855213215674</v>
      </c>
      <c r="S26" s="582">
        <v>2.9642855213215693</v>
      </c>
      <c r="T26" s="582">
        <v>3.153485521321568</v>
      </c>
      <c r="U26" s="582">
        <v>3.1682855213215682</v>
      </c>
      <c r="W26" s="580">
        <v>41581</v>
      </c>
      <c r="X26" s="582">
        <f t="shared" si="6"/>
        <v>2.6255408849014308</v>
      </c>
      <c r="Y26" s="582">
        <f t="shared" si="0"/>
        <v>3.1782024233629693</v>
      </c>
      <c r="Z26" s="582">
        <f t="shared" si="0"/>
        <v>3.4820485772091234</v>
      </c>
      <c r="AA26" s="582">
        <f t="shared" si="0"/>
        <v>3.2459562695168152</v>
      </c>
      <c r="AB26" s="606"/>
      <c r="AC26" s="441">
        <f t="shared" si="1"/>
        <v>3.5418810513531795E-2</v>
      </c>
      <c r="AD26" s="441">
        <f t="shared" si="2"/>
        <v>1.8588041282762369E-2</v>
      </c>
      <c r="AE26" s="441">
        <f t="shared" si="3"/>
        <v>3.4426502821224947E-2</v>
      </c>
      <c r="AF26" s="441">
        <f t="shared" si="4"/>
        <v>1.8972656667378462E-2</v>
      </c>
      <c r="AG26" s="633">
        <v>41581</v>
      </c>
      <c r="AH26" s="560">
        <v>-2.3944653494979908E-2</v>
      </c>
      <c r="AI26" s="560">
        <v>-6.9048693851587054E-3</v>
      </c>
      <c r="AJ26" s="560">
        <v>-9.2100633006795777E-3</v>
      </c>
      <c r="AK26" s="560">
        <v>-2.4732019764012535E-2</v>
      </c>
      <c r="AL26" s="634"/>
      <c r="AM26" s="441">
        <v>-2.6999999999999999E-5</v>
      </c>
      <c r="AN26" s="441">
        <v>-1.66E-5</v>
      </c>
      <c r="AO26" s="441">
        <v>-2.5999999999999998E-5</v>
      </c>
      <c r="AP26" s="441">
        <v>-1.31E-5</v>
      </c>
      <c r="AR26" s="441">
        <f t="shared" ref="AR26:AU88" si="42">-AM26*1440</f>
        <v>3.8879999999999998E-2</v>
      </c>
      <c r="AS26" s="441">
        <f t="shared" si="42"/>
        <v>2.3904000000000002E-2</v>
      </c>
      <c r="AT26" s="441">
        <f t="shared" si="42"/>
        <v>3.7440000000000001E-2</v>
      </c>
      <c r="AU26" s="441">
        <f t="shared" si="42"/>
        <v>1.8863999999999999E-2</v>
      </c>
      <c r="AV26" s="633">
        <v>41581</v>
      </c>
      <c r="AW26" s="626"/>
      <c r="AX26" s="608">
        <v>0</v>
      </c>
      <c r="AY26" s="441">
        <f>AC26-AR26</f>
        <v>-3.4611894864682025E-3</v>
      </c>
      <c r="AZ26" s="441">
        <f>AD26-AS26</f>
        <v>-5.315958717237633E-3</v>
      </c>
      <c r="BA26" s="441">
        <f>AE26-AT26</f>
        <v>-3.0134971787750542E-3</v>
      </c>
      <c r="BB26" s="441">
        <f>AF26-AU26</f>
        <v>1.0865666737846363E-4</v>
      </c>
      <c r="BC26" s="608">
        <f t="shared" si="5"/>
        <v>1.0865666737846363E-3</v>
      </c>
      <c r="BD26" s="627" t="s">
        <v>424</v>
      </c>
      <c r="BE26" s="580">
        <v>41581</v>
      </c>
      <c r="BF26" s="441">
        <f>DR26*10</f>
        <v>3.9263815058678042</v>
      </c>
      <c r="BG26" s="441">
        <f>DS26*10</f>
        <v>4.6304535938903681</v>
      </c>
      <c r="BH26" s="441">
        <f>DT26*10</f>
        <v>9.476331107507491</v>
      </c>
      <c r="BI26" s="441">
        <f>DU26*10</f>
        <v>7.7086307847864743</v>
      </c>
      <c r="BJ26" s="645"/>
      <c r="BK26" s="441"/>
      <c r="BL26" s="441"/>
      <c r="BM26" s="441"/>
      <c r="BN26" s="441">
        <v>0.10865666737846363</v>
      </c>
      <c r="BO26" s="353">
        <v>80</v>
      </c>
      <c r="BP26" s="353">
        <f t="shared" si="9"/>
        <v>16</v>
      </c>
      <c r="BQ26" s="610">
        <f t="shared" si="10"/>
        <v>57.142857142857146</v>
      </c>
      <c r="BR26" s="610">
        <f t="shared" si="11"/>
        <v>21.621621621621621</v>
      </c>
      <c r="BS26" s="649"/>
      <c r="BT26" s="650">
        <f t="shared" si="30"/>
        <v>71.428571428571431</v>
      </c>
      <c r="BU26" s="353">
        <v>50</v>
      </c>
      <c r="BV26" s="341">
        <f t="shared" si="31"/>
        <v>100</v>
      </c>
      <c r="BW26" s="605">
        <v>25</v>
      </c>
      <c r="BX26" s="648"/>
      <c r="BY26" s="616" t="s">
        <v>425</v>
      </c>
      <c r="BZ26" s="617">
        <v>32</v>
      </c>
      <c r="CA26" s="608">
        <v>0</v>
      </c>
      <c r="CB26" s="608">
        <f t="shared" si="12"/>
        <v>0</v>
      </c>
      <c r="CC26" s="608"/>
      <c r="CD26" s="631">
        <f t="shared" si="13"/>
        <v>58.9</v>
      </c>
      <c r="CE26" s="364"/>
      <c r="CF26" s="364"/>
      <c r="CG26" s="364"/>
      <c r="CH26" s="364"/>
      <c r="CI26" s="364"/>
      <c r="CJ26" s="364"/>
      <c r="CK26" s="364"/>
      <c r="CL26" s="623"/>
      <c r="CM26" s="364"/>
      <c r="CN26" s="632" t="s">
        <v>426</v>
      </c>
      <c r="CO26" s="580">
        <f>'[3]Plots R2&gt;.75 - UPDATED'!R23</f>
        <v>41582</v>
      </c>
      <c r="CP26" s="620"/>
      <c r="CQ26" s="633">
        <v>41582</v>
      </c>
      <c r="CR26" s="596">
        <v>122257.01352819732</v>
      </c>
      <c r="CS26" s="597">
        <v>404825.87813120574</v>
      </c>
      <c r="CT26" s="597">
        <v>107234.6991310844</v>
      </c>
      <c r="CU26" s="621">
        <v>134082.70040917277</v>
      </c>
      <c r="CV26" s="569">
        <f t="shared" si="33"/>
        <v>0.24734777275600187</v>
      </c>
      <c r="CW26" s="569">
        <f t="shared" si="32"/>
        <v>0.45743170616364281</v>
      </c>
      <c r="CX26" s="569">
        <f t="shared" si="35"/>
        <v>7.4698781954347024E-2</v>
      </c>
      <c r="CY26" s="569">
        <f t="shared" si="34"/>
        <v>0.68617685767192604</v>
      </c>
      <c r="CZ26" s="569">
        <f t="shared" si="41"/>
        <v>0.28199827336704159</v>
      </c>
      <c r="DA26" s="569">
        <f t="shared" si="36"/>
        <v>1.3336979528213062</v>
      </c>
      <c r="DB26" s="569">
        <f t="shared" si="19"/>
        <v>0.2255324505526683</v>
      </c>
      <c r="DC26" s="569">
        <f t="shared" si="16"/>
        <v>-1.1199761770277274</v>
      </c>
      <c r="DD26" s="622"/>
      <c r="DE26" s="464">
        <v>41580</v>
      </c>
      <c r="DF26" s="483">
        <v>12.775618074685683</v>
      </c>
      <c r="DG26" s="483">
        <v>42.512712126581029</v>
      </c>
      <c r="DH26" s="483">
        <v>11.388130045951577</v>
      </c>
      <c r="DI26" s="483">
        <v>14.259382054918509</v>
      </c>
      <c r="DJ26" s="473"/>
      <c r="DK26" s="473"/>
      <c r="DL26" s="473"/>
      <c r="DM26" s="545"/>
      <c r="DN26" s="528">
        <f t="shared" si="37"/>
        <v>0</v>
      </c>
      <c r="DO26" s="528">
        <f t="shared" si="38"/>
        <v>0</v>
      </c>
      <c r="DP26" s="528">
        <f t="shared" si="39"/>
        <v>0</v>
      </c>
      <c r="DQ26" s="528">
        <f t="shared" si="40"/>
        <v>0</v>
      </c>
      <c r="DR26" s="483">
        <v>0.39263815058678042</v>
      </c>
      <c r="DS26" s="483">
        <v>0.46304535938903679</v>
      </c>
      <c r="DT26" s="483">
        <v>0.94763311075074907</v>
      </c>
      <c r="DU26" s="483">
        <v>0.77086307847864743</v>
      </c>
      <c r="DV26" s="483">
        <v>0.82934655473984842</v>
      </c>
      <c r="DW26" s="483">
        <v>0.73742747578617829</v>
      </c>
      <c r="DX26" s="483">
        <v>1.6192045711613319</v>
      </c>
      <c r="DY26" s="483">
        <v>-1.256909529426649</v>
      </c>
      <c r="DZ26" s="483"/>
      <c r="EA26" s="483"/>
      <c r="EB26" s="483"/>
      <c r="EC26" s="483"/>
      <c r="ED26" s="463">
        <f t="shared" si="24"/>
        <v>0</v>
      </c>
      <c r="EE26" s="463">
        <f t="shared" si="25"/>
        <v>0</v>
      </c>
      <c r="EF26" s="463">
        <f t="shared" si="26"/>
        <v>0</v>
      </c>
      <c r="EG26" s="463">
        <f t="shared" si="27"/>
        <v>0</v>
      </c>
      <c r="EH26" s="473">
        <f>'[3]Plots R2&gt;.75 - UPDATED'!S23</f>
        <v>2.5902771477230098</v>
      </c>
      <c r="EI26" s="473">
        <f>'[3]Plots R2&gt;.75 - UPDATED'!T23</f>
        <v>3.1596771477230092</v>
      </c>
      <c r="EJ26" s="473">
        <f>'[3]Plots R2&gt;.75 - UPDATED'!U23</f>
        <v>3.4474771477230091</v>
      </c>
      <c r="EK26" s="545">
        <f>'[3]Plots R2&gt;.75 - UPDATED'!V23</f>
        <v>2.9368771477230093</v>
      </c>
      <c r="EL26" s="675">
        <v>0.1</v>
      </c>
      <c r="EM26" s="494">
        <v>22.5</v>
      </c>
      <c r="EN26" s="464">
        <v>41580</v>
      </c>
      <c r="EO26" s="473">
        <v>2.5902771477230098</v>
      </c>
      <c r="EP26" s="473">
        <v>3.1596771477230092</v>
      </c>
      <c r="EQ26" s="473">
        <v>3.4474771477230091</v>
      </c>
      <c r="ER26" s="545">
        <v>2.9368771477230093</v>
      </c>
      <c r="GN26" s="640"/>
      <c r="GO26" s="640"/>
      <c r="GP26" s="640"/>
      <c r="GQ26" s="640"/>
      <c r="GR26" s="640"/>
      <c r="GS26" s="640"/>
      <c r="GT26" s="640"/>
      <c r="GU26" s="640"/>
      <c r="GV26" s="640"/>
      <c r="HF26" s="558"/>
      <c r="HG26" s="558"/>
      <c r="HH26" s="450"/>
      <c r="HI26" s="450"/>
      <c r="HJ26" s="598"/>
      <c r="HK26" s="598"/>
      <c r="HL26" s="515">
        <v>0.18040014537147653</v>
      </c>
      <c r="HM26" s="515">
        <v>0</v>
      </c>
    </row>
    <row r="27" spans="8:221" ht="16">
      <c r="J27" s="580">
        <v>41564</v>
      </c>
      <c r="K27" s="581">
        <v>0</v>
      </c>
      <c r="L27" s="582">
        <v>13.2821</v>
      </c>
      <c r="M27" s="582">
        <v>12.625</v>
      </c>
      <c r="N27" s="582">
        <v>13.308199999999999</v>
      </c>
      <c r="O27" s="582">
        <v>13.2592</v>
      </c>
      <c r="P27" s="582">
        <v>98.735200000000006</v>
      </c>
      <c r="Q27" s="582">
        <v>10.095618977559836</v>
      </c>
      <c r="R27" s="582">
        <v>3.001481022440164</v>
      </c>
      <c r="S27" s="582">
        <v>3.1793810224401646</v>
      </c>
      <c r="T27" s="582">
        <v>3.402581022440164</v>
      </c>
      <c r="U27" s="582">
        <v>3.4335810224401637</v>
      </c>
      <c r="W27" s="580">
        <v>41582</v>
      </c>
      <c r="X27" s="582">
        <f t="shared" si="6"/>
        <v>2.590122074387899</v>
      </c>
      <c r="Y27" s="582">
        <f t="shared" si="0"/>
        <v>3.159614382080207</v>
      </c>
      <c r="Z27" s="582">
        <f t="shared" si="0"/>
        <v>3.4476220743878985</v>
      </c>
      <c r="AA27" s="582">
        <f t="shared" si="0"/>
        <v>3.2269836128494367</v>
      </c>
      <c r="AB27" s="606"/>
      <c r="AC27" s="438">
        <f t="shared" si="1"/>
        <v>-2.0412999089584272E-2</v>
      </c>
      <c r="AD27" s="439">
        <f t="shared" si="2"/>
        <v>-8.5514606280452377E-3</v>
      </c>
      <c r="AE27" s="439">
        <f t="shared" si="3"/>
        <v>2.6100778334918751E-3</v>
      </c>
      <c r="AF27" s="439">
        <f t="shared" si="4"/>
        <v>-1.2451460628045918E-2</v>
      </c>
      <c r="AG27" s="633">
        <v>41582</v>
      </c>
      <c r="AH27" s="511">
        <v>-2.3813414128631905E-2</v>
      </c>
      <c r="AI27" s="512">
        <v>-6.8143523884425482E-3</v>
      </c>
      <c r="AJ27" s="512">
        <v>-9.1954648392301077E-3</v>
      </c>
      <c r="AK27" s="512">
        <v>-2.4703986193876204E-2</v>
      </c>
      <c r="AL27" s="634"/>
      <c r="AM27" s="438">
        <v>-2.7800000000000001E-5</v>
      </c>
      <c r="AN27" s="439">
        <v>-1.5400000000000002E-5</v>
      </c>
      <c r="AO27" s="439">
        <v>-2.3900000000000002E-5</v>
      </c>
      <c r="AP27" s="439">
        <v>-1.5500000000000001E-5</v>
      </c>
      <c r="AR27" s="438"/>
      <c r="AS27" s="439"/>
      <c r="AT27" s="439"/>
      <c r="AU27" s="439"/>
      <c r="AV27" s="633">
        <v>41582</v>
      </c>
      <c r="AW27" s="626"/>
      <c r="AX27" s="607">
        <v>0.64</v>
      </c>
      <c r="AY27" s="438"/>
      <c r="AZ27" s="439"/>
      <c r="BA27" s="439"/>
      <c r="BB27" s="439"/>
      <c r="BC27" s="608">
        <f t="shared" si="5"/>
        <v>0</v>
      </c>
      <c r="BD27" s="627" t="s">
        <v>427</v>
      </c>
      <c r="BE27" s="580">
        <v>41582</v>
      </c>
      <c r="BF27" s="438"/>
      <c r="BG27" s="439"/>
      <c r="BH27" s="439"/>
      <c r="BI27" s="439"/>
      <c r="BJ27" s="645"/>
      <c r="BK27" s="438"/>
      <c r="BL27" s="439"/>
      <c r="BM27" s="439"/>
      <c r="BN27" s="439"/>
      <c r="BO27" s="353">
        <v>87</v>
      </c>
      <c r="BP27" s="353">
        <f t="shared" si="9"/>
        <v>17.399999999999999</v>
      </c>
      <c r="BQ27" s="610">
        <f t="shared" si="10"/>
        <v>62.142857142857146</v>
      </c>
      <c r="BR27" s="610">
        <f t="shared" si="11"/>
        <v>23.513513513513512</v>
      </c>
      <c r="BS27" s="649"/>
      <c r="BT27" s="650">
        <f t="shared" si="30"/>
        <v>85.714285714285722</v>
      </c>
      <c r="BU27" s="353">
        <v>60</v>
      </c>
      <c r="BV27" s="353"/>
      <c r="BW27" s="605"/>
      <c r="BX27" s="648"/>
      <c r="BY27" s="616" t="s">
        <v>428</v>
      </c>
      <c r="BZ27" s="617">
        <v>32</v>
      </c>
      <c r="CA27" s="608">
        <v>0</v>
      </c>
      <c r="CB27" s="608">
        <f t="shared" si="12"/>
        <v>0</v>
      </c>
      <c r="CC27" s="608"/>
      <c r="CD27" s="631">
        <f t="shared" si="13"/>
        <v>58.9</v>
      </c>
      <c r="CE27" s="364"/>
      <c r="CF27" s="364"/>
      <c r="CG27" s="364"/>
      <c r="CH27" s="364"/>
      <c r="CI27" s="364"/>
      <c r="CJ27" s="364"/>
      <c r="CK27" s="364"/>
      <c r="CL27" s="623"/>
      <c r="CM27" s="364"/>
      <c r="CN27" s="632" t="s">
        <v>429</v>
      </c>
      <c r="CO27" s="580">
        <f>'[3]Plots R2&gt;.75 - UPDATED'!R24</f>
        <v>41583</v>
      </c>
      <c r="CP27" s="620"/>
      <c r="CQ27" s="633">
        <v>41583</v>
      </c>
      <c r="CR27" s="596">
        <v>123292.12093016617</v>
      </c>
      <c r="CS27" s="597">
        <v>407915.55151767639</v>
      </c>
      <c r="CT27" s="597">
        <v>107069.92066270563</v>
      </c>
      <c r="CU27" s="621">
        <v>135943.47196668462</v>
      </c>
      <c r="CV27" s="569">
        <f t="shared" si="33"/>
        <v>0.2452711476764052</v>
      </c>
      <c r="CW27" s="569">
        <f t="shared" si="32"/>
        <v>-0.58785601361447559</v>
      </c>
      <c r="CX27" s="569">
        <f t="shared" si="35"/>
        <v>7.4132991222055911E-2</v>
      </c>
      <c r="CY27" s="569">
        <f t="shared" si="34"/>
        <v>1.170164364778999</v>
      </c>
      <c r="CZ27" s="569">
        <f t="shared" si="41"/>
        <v>0.28243226307473235</v>
      </c>
      <c r="DA27" s="569">
        <f t="shared" si="36"/>
        <v>1.7951730325482917</v>
      </c>
      <c r="DB27" s="569">
        <f t="shared" si="19"/>
        <v>0.22244540000722399</v>
      </c>
      <c r="DC27" s="569">
        <f t="shared" si="16"/>
        <v>-0.66692671275618109</v>
      </c>
      <c r="DD27" s="622"/>
      <c r="DE27" s="464">
        <v>41581</v>
      </c>
      <c r="DF27" s="483">
        <v>12.582066469679749</v>
      </c>
      <c r="DG27" s="483">
        <v>41.785162124934132</v>
      </c>
      <c r="DH27" s="483">
        <v>11.099703707205753</v>
      </c>
      <c r="DI27" s="483">
        <v>13.950234414611661</v>
      </c>
      <c r="DJ27" s="473"/>
      <c r="DK27" s="473"/>
      <c r="DL27" s="473"/>
      <c r="DM27" s="545"/>
      <c r="DN27" s="528">
        <f t="shared" si="37"/>
        <v>0</v>
      </c>
      <c r="DO27" s="528">
        <f t="shared" si="38"/>
        <v>0</v>
      </c>
      <c r="DP27" s="528">
        <f t="shared" si="39"/>
        <v>0</v>
      </c>
      <c r="DQ27" s="528">
        <f t="shared" si="40"/>
        <v>0</v>
      </c>
      <c r="DR27" s="483">
        <v>0.38106161444436021</v>
      </c>
      <c r="DS27" s="483">
        <v>0.38894386471994391</v>
      </c>
      <c r="DT27" s="483">
        <v>0.92360388660591441</v>
      </c>
      <c r="DU27" s="483">
        <v>0.78261309404124402</v>
      </c>
      <c r="DV27" s="483">
        <v>0.70477947891964465</v>
      </c>
      <c r="DW27" s="483">
        <v>0.76087563962627303</v>
      </c>
      <c r="DX27" s="483">
        <v>1.6156962261883479</v>
      </c>
      <c r="DY27" s="483">
        <v>-1.3455086275803958</v>
      </c>
      <c r="DZ27" s="483"/>
      <c r="EA27" s="483"/>
      <c r="EB27" s="483"/>
      <c r="EC27" s="483"/>
      <c r="ED27" s="463">
        <f t="shared" si="24"/>
        <v>0</v>
      </c>
      <c r="EE27" s="463">
        <f t="shared" si="25"/>
        <v>0</v>
      </c>
      <c r="EF27" s="463">
        <f t="shared" si="26"/>
        <v>0</v>
      </c>
      <c r="EG27" s="463">
        <f t="shared" si="27"/>
        <v>0</v>
      </c>
      <c r="EH27" s="473">
        <f>'[3]Plots R2&gt;.75 - UPDATED'!S24</f>
        <v>2.6102194843017643</v>
      </c>
      <c r="EI27" s="473">
        <f>'[3]Plots R2&gt;.75 - UPDATED'!T24</f>
        <v>3.1680194843017642</v>
      </c>
      <c r="EJ27" s="473">
        <f>'[3]Plots R2&gt;.75 - UPDATED'!U24</f>
        <v>3.4445194843017637</v>
      </c>
      <c r="EK27" s="545">
        <f>'[3]Plots R2&gt;.75 - UPDATED'!V24</f>
        <v>2.9495194843017631</v>
      </c>
      <c r="EL27" s="675">
        <v>2.1</v>
      </c>
      <c r="EM27" s="494">
        <v>4.75</v>
      </c>
      <c r="EN27" s="464">
        <v>41581</v>
      </c>
      <c r="EO27" s="473">
        <v>2.6102194843017643</v>
      </c>
      <c r="EP27" s="473">
        <v>3.1680194843017642</v>
      </c>
      <c r="EQ27" s="473">
        <v>3.4445194843017637</v>
      </c>
      <c r="ER27" s="545">
        <v>2.9495194843017631</v>
      </c>
      <c r="GN27" s="640"/>
      <c r="GO27" s="640"/>
      <c r="GP27" s="640"/>
      <c r="GQ27" s="640"/>
      <c r="GR27" s="640"/>
      <c r="GS27" s="640"/>
      <c r="GT27" s="640"/>
      <c r="GU27" s="640"/>
      <c r="GV27" s="640"/>
      <c r="HF27" s="558"/>
      <c r="HG27" s="558"/>
      <c r="HH27" s="450"/>
      <c r="HI27" s="450"/>
      <c r="HJ27" s="598"/>
      <c r="HK27" s="598"/>
      <c r="HL27" s="515">
        <v>0.18390229497668745</v>
      </c>
      <c r="HM27" s="515">
        <v>-0.61155161331317309</v>
      </c>
    </row>
    <row r="28" spans="8:221" ht="17" thickBot="1">
      <c r="J28" s="580">
        <v>41565</v>
      </c>
      <c r="K28" s="581">
        <v>0</v>
      </c>
      <c r="L28" s="582">
        <v>13.3118</v>
      </c>
      <c r="M28" s="582">
        <v>12.724600000000001</v>
      </c>
      <c r="N28" s="582">
        <v>13.5029</v>
      </c>
      <c r="O28" s="582">
        <v>13.3216</v>
      </c>
      <c r="P28" s="582">
        <v>98.751499999999993</v>
      </c>
      <c r="Q28" s="582">
        <v>10.09728564344327</v>
      </c>
      <c r="R28" s="582">
        <v>3.0295143565567302</v>
      </c>
      <c r="S28" s="582">
        <v>3.2773143565567313</v>
      </c>
      <c r="T28" s="582">
        <v>3.5956143565567311</v>
      </c>
      <c r="U28" s="582">
        <v>3.4943143565567301</v>
      </c>
      <c r="W28" s="580">
        <v>41583</v>
      </c>
      <c r="X28" s="582">
        <f t="shared" si="6"/>
        <v>2.6105350734774833</v>
      </c>
      <c r="Y28" s="582">
        <f t="shared" si="0"/>
        <v>3.1681658427082522</v>
      </c>
      <c r="Z28" s="582">
        <f t="shared" si="0"/>
        <v>3.4450119965544066</v>
      </c>
      <c r="AA28" s="582">
        <f t="shared" si="0"/>
        <v>3.2394350734774826</v>
      </c>
      <c r="AB28" s="606"/>
      <c r="AC28" s="438">
        <f t="shared" si="1"/>
        <v>9.8375349428017067E-3</v>
      </c>
      <c r="AD28" s="439">
        <f t="shared" si="2"/>
        <v>-8.2400351873701538E-4</v>
      </c>
      <c r="AE28" s="439">
        <f t="shared" si="3"/>
        <v>2.428368878895526E-2</v>
      </c>
      <c r="AF28" s="439">
        <f t="shared" si="4"/>
        <v>9.0067657120322941E-3</v>
      </c>
      <c r="AG28" s="633">
        <v>41583</v>
      </c>
      <c r="AH28" s="511">
        <v>-2.389000780381776E-2</v>
      </c>
      <c r="AI28" s="512">
        <v>-6.8568150311010692E-3</v>
      </c>
      <c r="AJ28" s="512">
        <v>-9.1941175854233451E-3</v>
      </c>
      <c r="AK28" s="512">
        <v>-2.4723830948889264E-2</v>
      </c>
      <c r="AL28" s="634"/>
      <c r="AM28" s="438">
        <v>-1.7099999999999999E-5</v>
      </c>
      <c r="AN28" s="439">
        <v>-8.0099999999999995E-6</v>
      </c>
      <c r="AO28" s="439">
        <v>-2.3E-5</v>
      </c>
      <c r="AP28" s="439">
        <v>-3.0599999999999999E-6</v>
      </c>
      <c r="AR28" s="438"/>
      <c r="AS28" s="439"/>
      <c r="AT28" s="439"/>
      <c r="AU28" s="439"/>
      <c r="AV28" s="633">
        <v>41583</v>
      </c>
      <c r="AW28" s="626"/>
      <c r="AX28" s="607">
        <v>1.3</v>
      </c>
      <c r="AY28" s="438"/>
      <c r="AZ28" s="439"/>
      <c r="BA28" s="439"/>
      <c r="BB28" s="439"/>
      <c r="BC28" s="608">
        <f t="shared" si="5"/>
        <v>0</v>
      </c>
      <c r="BD28" s="627" t="s">
        <v>430</v>
      </c>
      <c r="BE28" s="580">
        <v>41583</v>
      </c>
      <c r="BF28" s="438"/>
      <c r="BG28" s="439"/>
      <c r="BH28" s="439"/>
      <c r="BI28" s="439"/>
      <c r="BJ28" s="645"/>
      <c r="BK28" s="438"/>
      <c r="BL28" s="439"/>
      <c r="BM28" s="439"/>
      <c r="BN28" s="439">
        <v>4.6003657120322945</v>
      </c>
      <c r="BO28" s="353">
        <v>91</v>
      </c>
      <c r="BP28" s="353">
        <f t="shared" si="9"/>
        <v>18.2</v>
      </c>
      <c r="BQ28" s="610">
        <f t="shared" si="10"/>
        <v>65</v>
      </c>
      <c r="BR28" s="610">
        <f t="shared" si="11"/>
        <v>24.594594594594593</v>
      </c>
      <c r="BS28" s="649"/>
      <c r="BT28" s="651">
        <f>(100/$BU$28)*BU28</f>
        <v>100</v>
      </c>
      <c r="BU28" s="636">
        <v>70</v>
      </c>
      <c r="BV28" s="636"/>
      <c r="BW28" s="652"/>
      <c r="BX28" s="648"/>
      <c r="BY28" s="616" t="s">
        <v>431</v>
      </c>
      <c r="BZ28" s="617">
        <v>32</v>
      </c>
      <c r="CA28" s="608">
        <v>0</v>
      </c>
      <c r="CB28" s="608">
        <f t="shared" si="12"/>
        <v>0</v>
      </c>
      <c r="CC28" s="608"/>
      <c r="CD28" s="631">
        <f t="shared" si="13"/>
        <v>58.9</v>
      </c>
      <c r="CE28" s="364"/>
      <c r="CF28" s="364"/>
      <c r="CG28" s="364"/>
      <c r="CH28" s="364"/>
      <c r="CI28" s="364"/>
      <c r="CJ28" s="364"/>
      <c r="CK28" s="364"/>
      <c r="CL28" s="623"/>
      <c r="CM28" s="364"/>
      <c r="CN28" s="632" t="s">
        <v>370</v>
      </c>
      <c r="CO28" s="580">
        <f>'[3]Plots R2&gt;.75 - UPDATED'!R25</f>
        <v>41584</v>
      </c>
      <c r="CP28" s="620"/>
      <c r="CQ28" s="633">
        <v>41584</v>
      </c>
      <c r="CR28" s="641">
        <v>122830.55705262348</v>
      </c>
      <c r="CS28" s="642">
        <v>408327.58813328622</v>
      </c>
      <c r="CT28" s="642">
        <v>105737.48717009765</v>
      </c>
      <c r="CU28" s="643">
        <v>134603.68374474015</v>
      </c>
      <c r="CV28" s="513">
        <f t="shared" si="33"/>
        <v>0.24619281004355029</v>
      </c>
      <c r="CW28" s="513">
        <f t="shared" si="32"/>
        <v>8.2691000402329851E-3</v>
      </c>
      <c r="CX28" s="513">
        <f t="shared" si="35"/>
        <v>7.4058184846743841E-2</v>
      </c>
      <c r="CY28" s="513">
        <f t="shared" si="34"/>
        <v>0.17616814675238171</v>
      </c>
      <c r="CZ28" s="513">
        <f t="shared" si="41"/>
        <v>0.28599128662244028</v>
      </c>
      <c r="DA28" s="513">
        <f t="shared" si="36"/>
        <v>2.1362489827460278</v>
      </c>
      <c r="DB28" s="513">
        <f t="shared" si="19"/>
        <v>0.22465952757538607</v>
      </c>
      <c r="DC28" s="513">
        <f t="shared" si="16"/>
        <v>-0.31121329175290302</v>
      </c>
      <c r="DD28" s="622"/>
      <c r="DE28" s="464">
        <v>41582</v>
      </c>
      <c r="DF28" s="483">
        <v>12.404319699298872</v>
      </c>
      <c r="DG28" s="483">
        <v>41.151270334335322</v>
      </c>
      <c r="DH28" s="483">
        <v>10.91483616547097</v>
      </c>
      <c r="DI28" s="483">
        <v>13.684179517772311</v>
      </c>
      <c r="DJ28" s="473"/>
      <c r="DK28" s="473"/>
      <c r="DL28" s="473"/>
      <c r="DM28" s="545"/>
      <c r="DN28" s="528">
        <f t="shared" si="37"/>
        <v>0</v>
      </c>
      <c r="DO28" s="528">
        <f t="shared" si="38"/>
        <v>0</v>
      </c>
      <c r="DP28" s="528">
        <f t="shared" si="39"/>
        <v>0</v>
      </c>
      <c r="DQ28" s="528">
        <f t="shared" si="40"/>
        <v>0</v>
      </c>
      <c r="DR28" s="483">
        <v>0.36948507830194</v>
      </c>
      <c r="DS28" s="483">
        <v>0.31484237005085103</v>
      </c>
      <c r="DT28" s="483">
        <v>0.90620663346109875</v>
      </c>
      <c r="DU28" s="483">
        <v>0.81443968996700489</v>
      </c>
      <c r="DV28" s="483">
        <v>-0.83312716129088082</v>
      </c>
      <c r="DW28" s="483">
        <v>1.2442973560010548</v>
      </c>
      <c r="DX28" s="483">
        <v>2.077605295623024</v>
      </c>
      <c r="DY28" s="483">
        <v>-0.88937211276340511</v>
      </c>
      <c r="DZ28" s="483"/>
      <c r="EA28" s="483"/>
      <c r="EB28" s="483"/>
      <c r="EC28" s="483"/>
      <c r="ED28" s="463">
        <f t="shared" si="24"/>
        <v>0</v>
      </c>
      <c r="EE28" s="463">
        <f t="shared" si="25"/>
        <v>0</v>
      </c>
      <c r="EF28" s="463">
        <f t="shared" si="26"/>
        <v>0</v>
      </c>
      <c r="EG28" s="463">
        <f t="shared" si="27"/>
        <v>0</v>
      </c>
      <c r="EH28" s="473">
        <f>'[3]Plots R2&gt;.75 - UPDATED'!S25</f>
        <v>2.6013288895585291</v>
      </c>
      <c r="EI28" s="473">
        <f>'[3]Plots R2&gt;.75 - UPDATED'!T25</f>
        <v>3.1691288895585306</v>
      </c>
      <c r="EJ28" s="473">
        <f>'[3]Plots R2&gt;.75 - UPDATED'!U25</f>
        <v>3.42052888955853</v>
      </c>
      <c r="EK28" s="545">
        <f>'[3]Plots R2&gt;.75 - UPDATED'!V25</f>
        <v>2.9404288895585302</v>
      </c>
      <c r="EL28" s="675">
        <v>0.4</v>
      </c>
      <c r="EM28" s="494">
        <v>0.3</v>
      </c>
      <c r="EN28" s="464">
        <v>41582</v>
      </c>
      <c r="EO28" s="473">
        <v>2.6013288895585291</v>
      </c>
      <c r="EP28" s="473">
        <v>3.1691288895585306</v>
      </c>
      <c r="EQ28" s="473">
        <v>3.42052888955853</v>
      </c>
      <c r="ER28" s="545">
        <v>2.9404288895585302</v>
      </c>
      <c r="GN28" s="640"/>
      <c r="GO28" s="640"/>
      <c r="GP28" s="640"/>
      <c r="GQ28" s="640"/>
      <c r="GR28" s="640"/>
      <c r="GS28" s="640"/>
      <c r="GT28" s="640"/>
      <c r="GU28" s="640"/>
      <c r="GV28" s="640"/>
      <c r="HF28" s="558"/>
      <c r="HG28" s="558"/>
      <c r="HH28" s="450"/>
      <c r="HI28" s="450"/>
      <c r="HJ28" s="598"/>
      <c r="HK28" s="598"/>
      <c r="HL28" s="515">
        <v>0.18581737384891736</v>
      </c>
      <c r="HM28" s="515">
        <v>5.371433422322916E-2</v>
      </c>
    </row>
    <row r="29" spans="8:221" ht="16">
      <c r="J29" s="580">
        <v>41566</v>
      </c>
      <c r="K29" s="581">
        <v>0</v>
      </c>
      <c r="L29" s="582">
        <v>13.473699999999999</v>
      </c>
      <c r="M29" s="582">
        <v>12.789</v>
      </c>
      <c r="N29" s="582">
        <v>13.6312</v>
      </c>
      <c r="O29" s="582">
        <v>13.3995</v>
      </c>
      <c r="P29" s="582">
        <v>98.821899999999999</v>
      </c>
      <c r="Q29" s="582">
        <v>10.104484004068663</v>
      </c>
      <c r="R29" s="582">
        <v>3.1842159959313361</v>
      </c>
      <c r="S29" s="582">
        <v>3.3345159959313371</v>
      </c>
      <c r="T29" s="582">
        <v>3.7167159959313372</v>
      </c>
      <c r="U29" s="582">
        <v>3.5650159959313363</v>
      </c>
      <c r="W29" s="580">
        <v>41584</v>
      </c>
      <c r="X29" s="582">
        <f t="shared" si="6"/>
        <v>2.6006975385346816</v>
      </c>
      <c r="Y29" s="582">
        <f t="shared" si="0"/>
        <v>3.1689898462269892</v>
      </c>
      <c r="Z29" s="582">
        <f t="shared" si="0"/>
        <v>3.4207283077654513</v>
      </c>
      <c r="AA29" s="582">
        <f t="shared" si="0"/>
        <v>3.2304283077654503</v>
      </c>
      <c r="AB29" s="606"/>
      <c r="AC29" s="438">
        <f t="shared" si="1"/>
        <v>3.4415795905000657E-2</v>
      </c>
      <c r="AD29" s="439">
        <f t="shared" si="2"/>
        <v>2.1100411289615817E-2</v>
      </c>
      <c r="AE29" s="439">
        <f t="shared" si="3"/>
        <v>3.4346565135770835E-2</v>
      </c>
      <c r="AF29" s="439">
        <f t="shared" si="4"/>
        <v>2.136194975115524E-2</v>
      </c>
      <c r="AG29" s="633">
        <v>41584</v>
      </c>
      <c r="AH29" s="511">
        <v>-2.3856039568693067E-2</v>
      </c>
      <c r="AI29" s="512">
        <v>-6.8623940763702061E-3</v>
      </c>
      <c r="AJ29" s="512">
        <v>-9.1826748716674744E-3</v>
      </c>
      <c r="AK29" s="512">
        <v>-2.4709944001749744E-2</v>
      </c>
      <c r="AL29" s="634"/>
      <c r="AM29" s="438">
        <v>-1.77E-5</v>
      </c>
      <c r="AN29" s="439">
        <v>-4.9799999999999998E-6</v>
      </c>
      <c r="AO29" s="439">
        <v>-2.27E-5</v>
      </c>
      <c r="AP29" s="439">
        <v>-6.2600000000000002E-6</v>
      </c>
      <c r="AR29" s="438"/>
      <c r="AS29" s="439"/>
      <c r="AT29" s="439"/>
      <c r="AU29" s="439"/>
      <c r="AV29" s="633">
        <v>41584</v>
      </c>
      <c r="AW29" s="644"/>
      <c r="AX29" s="607">
        <v>0.71</v>
      </c>
      <c r="AY29" s="438"/>
      <c r="AZ29" s="439"/>
      <c r="BA29" s="439"/>
      <c r="BB29" s="439"/>
      <c r="BC29" s="608">
        <f t="shared" si="5"/>
        <v>0</v>
      </c>
      <c r="BD29" s="627" t="s">
        <v>432</v>
      </c>
      <c r="BE29" s="580">
        <v>41584</v>
      </c>
      <c r="BF29" s="438"/>
      <c r="BG29" s="439"/>
      <c r="BH29" s="439"/>
      <c r="BI29" s="439"/>
      <c r="BJ29" s="645"/>
      <c r="BK29" s="438">
        <v>8.9277959050006555</v>
      </c>
      <c r="BL29" s="439">
        <v>13.929211289615818</v>
      </c>
      <c r="BM29" s="439">
        <v>1.6585651357708329</v>
      </c>
      <c r="BN29" s="439">
        <v>12.34754975115524</v>
      </c>
      <c r="BO29" s="353">
        <v>89</v>
      </c>
      <c r="BP29" s="353">
        <f t="shared" si="9"/>
        <v>17.8</v>
      </c>
      <c r="BQ29" s="610">
        <f t="shared" si="10"/>
        <v>63.571428571428577</v>
      </c>
      <c r="BR29" s="610">
        <f t="shared" si="11"/>
        <v>24.054054054054053</v>
      </c>
      <c r="BT29" s="648"/>
      <c r="BU29" s="648"/>
      <c r="BV29" s="648"/>
      <c r="BW29" s="648"/>
      <c r="BX29" s="648"/>
      <c r="BY29" s="616" t="s">
        <v>433</v>
      </c>
      <c r="BZ29" s="617">
        <v>32</v>
      </c>
      <c r="CA29" s="608">
        <v>0</v>
      </c>
      <c r="CB29" s="608">
        <f t="shared" si="12"/>
        <v>0</v>
      </c>
      <c r="CC29" s="608"/>
      <c r="CD29" s="631">
        <f t="shared" si="13"/>
        <v>58.9</v>
      </c>
      <c r="CE29" s="364"/>
      <c r="CF29" s="364"/>
      <c r="CG29" s="364"/>
      <c r="CH29" s="364"/>
      <c r="CI29" s="364"/>
      <c r="CJ29" s="364"/>
      <c r="CK29" s="364"/>
      <c r="CL29" s="623"/>
      <c r="CM29" s="364"/>
      <c r="CN29" s="632" t="s">
        <v>373</v>
      </c>
      <c r="CO29" s="580">
        <f>'[3]Plots R2&gt;.75 - UPDATED'!R26</f>
        <v>41585</v>
      </c>
      <c r="CP29" s="620"/>
      <c r="CQ29" s="633">
        <v>41585</v>
      </c>
      <c r="CR29" s="641">
        <v>120990.35684521639</v>
      </c>
      <c r="CS29" s="642">
        <v>400326.2146265753</v>
      </c>
      <c r="CT29" s="642">
        <v>103857.60446823553</v>
      </c>
      <c r="CU29" s="643">
        <v>131474.6802810955</v>
      </c>
      <c r="CV29" s="513">
        <f t="shared" si="33"/>
        <v>0.24993727424646073</v>
      </c>
      <c r="CW29" s="513">
        <f t="shared" si="32"/>
        <v>0.69912301832525392</v>
      </c>
      <c r="CX29" s="513">
        <f t="shared" si="35"/>
        <v>7.5538395676156E-2</v>
      </c>
      <c r="CY29" s="513">
        <f t="shared" si="34"/>
        <v>1.3204913331671742</v>
      </c>
      <c r="CZ29" s="513">
        <f t="shared" si="41"/>
        <v>0.29116789429943757</v>
      </c>
      <c r="DA29" s="513">
        <f t="shared" si="36"/>
        <v>1.4956137008277401</v>
      </c>
      <c r="DB29" s="513">
        <f t="shared" si="19"/>
        <v>0.23000626383229283</v>
      </c>
      <c r="DC29" s="513">
        <f t="shared" si="16"/>
        <v>-0.82531195328707163</v>
      </c>
      <c r="DD29" s="622"/>
      <c r="DE29" s="464">
        <v>41583</v>
      </c>
      <c r="DF29" s="483">
        <v>12.225701352819732</v>
      </c>
      <c r="DG29" s="483">
        <v>40.482587813120574</v>
      </c>
      <c r="DH29" s="483">
        <v>10.72346991310844</v>
      </c>
      <c r="DI29" s="483">
        <v>13.408270040917277</v>
      </c>
      <c r="DJ29" s="473"/>
      <c r="DK29" s="473"/>
      <c r="DL29" s="473"/>
      <c r="DM29" s="545"/>
      <c r="DN29" s="528">
        <f t="shared" si="37"/>
        <v>0</v>
      </c>
      <c r="DO29" s="528">
        <f t="shared" si="38"/>
        <v>0</v>
      </c>
      <c r="DP29" s="528">
        <f t="shared" si="39"/>
        <v>0</v>
      </c>
      <c r="DQ29" s="528">
        <f t="shared" si="40"/>
        <v>0</v>
      </c>
      <c r="DR29" s="483">
        <v>0.35790854215951978</v>
      </c>
      <c r="DS29" s="483">
        <v>0.24074087538175815</v>
      </c>
      <c r="DT29" s="483">
        <v>0.86988704217098112</v>
      </c>
      <c r="DU29" s="483">
        <v>0.83636461094086267</v>
      </c>
      <c r="DV29" s="483">
        <v>0.25446191008378327</v>
      </c>
      <c r="DW29" s="483">
        <v>0.25022633159912555</v>
      </c>
      <c r="DX29" s="483">
        <v>2.4222402693684679</v>
      </c>
      <c r="DY29" s="483">
        <v>-0.53587281932828912</v>
      </c>
      <c r="DZ29" s="483"/>
      <c r="EA29" s="483"/>
      <c r="EB29" s="483"/>
      <c r="EC29" s="483"/>
      <c r="ED29" s="463">
        <f t="shared" si="24"/>
        <v>0</v>
      </c>
      <c r="EE29" s="463">
        <f t="shared" si="25"/>
        <v>0</v>
      </c>
      <c r="EF29" s="463">
        <f t="shared" si="26"/>
        <v>0</v>
      </c>
      <c r="EG29" s="463">
        <f t="shared" si="27"/>
        <v>0</v>
      </c>
      <c r="EH29" s="473">
        <f>'[3]Plots R2&gt;.75 - UPDATED'!S26</f>
        <v>2.56585301864077</v>
      </c>
      <c r="EI29" s="473">
        <f>'[3]Plots R2&gt;.75 - UPDATED'!T26</f>
        <v>3.1474530186407694</v>
      </c>
      <c r="EJ29" s="473">
        <f>'[3]Plots R2&gt;.75 - UPDATED'!U26</f>
        <v>3.3864530186407693</v>
      </c>
      <c r="EK29" s="545">
        <f>'[3]Plots R2&gt;.75 - UPDATED'!V26</f>
        <v>2.9189530186407686</v>
      </c>
      <c r="EL29" s="675">
        <v>22.5</v>
      </c>
      <c r="EM29" s="494">
        <v>0</v>
      </c>
      <c r="EN29" s="464">
        <v>41583</v>
      </c>
      <c r="EO29" s="473">
        <v>2.56585301864077</v>
      </c>
      <c r="EP29" s="473">
        <v>3.1474530186407694</v>
      </c>
      <c r="EQ29" s="473">
        <v>3.3864530186407693</v>
      </c>
      <c r="ER29" s="545">
        <v>2.9189530186407686</v>
      </c>
      <c r="GN29" s="640"/>
      <c r="GO29" s="640"/>
      <c r="GP29" s="640"/>
      <c r="GQ29" s="640"/>
      <c r="GR29" s="640"/>
      <c r="GS29" s="640"/>
      <c r="GT29" s="640"/>
      <c r="GU29" s="640"/>
      <c r="GV29" s="640"/>
      <c r="HF29" s="558"/>
      <c r="HG29" s="558"/>
      <c r="HH29" s="450"/>
      <c r="HI29" s="450"/>
      <c r="HJ29" s="598"/>
      <c r="HK29" s="598"/>
      <c r="HL29" s="515">
        <v>0.19002471757776207</v>
      </c>
      <c r="HM29" s="515">
        <v>0</v>
      </c>
    </row>
    <row r="30" spans="8:221" ht="16">
      <c r="H30" s="431"/>
      <c r="J30" s="580">
        <v>41567</v>
      </c>
      <c r="K30" s="581">
        <v>0</v>
      </c>
      <c r="L30" s="582">
        <v>13.469900000000001</v>
      </c>
      <c r="M30" s="582">
        <v>12.864800000000001</v>
      </c>
      <c r="N30" s="582">
        <v>13.8957</v>
      </c>
      <c r="O30" s="582">
        <v>13.5318</v>
      </c>
      <c r="P30" s="582">
        <v>98.897300000000001</v>
      </c>
      <c r="Q30" s="582">
        <v>10.112193611897563</v>
      </c>
      <c r="R30" s="582">
        <v>3.1727063881024375</v>
      </c>
      <c r="S30" s="582">
        <v>3.4026063881024378</v>
      </c>
      <c r="T30" s="582">
        <v>3.9735063881024368</v>
      </c>
      <c r="U30" s="582">
        <v>3.6896063881024368</v>
      </c>
      <c r="W30" s="580">
        <v>41585</v>
      </c>
      <c r="X30" s="582">
        <f t="shared" si="6"/>
        <v>2.5662817426296809</v>
      </c>
      <c r="Y30" s="582">
        <f t="shared" si="0"/>
        <v>3.1478894349373734</v>
      </c>
      <c r="Z30" s="582">
        <f t="shared" si="0"/>
        <v>3.3863817426296805</v>
      </c>
      <c r="AA30" s="582">
        <f t="shared" si="0"/>
        <v>3.2090663580142951</v>
      </c>
      <c r="AB30" s="606"/>
      <c r="AC30" s="441">
        <f t="shared" si="1"/>
        <v>3.4586396808925723E-2</v>
      </c>
      <c r="AD30" s="440">
        <f t="shared" si="2"/>
        <v>1.7432550655079204E-2</v>
      </c>
      <c r="AE30" s="440">
        <f t="shared" si="3"/>
        <v>3.8294089116617691E-2</v>
      </c>
      <c r="AF30" s="440">
        <f t="shared" si="4"/>
        <v>2.2155627578155812E-2</v>
      </c>
      <c r="AG30" s="633">
        <v>41585</v>
      </c>
      <c r="AH30" s="560">
        <v>-2.371761013234679E-2</v>
      </c>
      <c r="AI30" s="513">
        <v>-6.7504807207950631E-3</v>
      </c>
      <c r="AJ30" s="513">
        <v>-9.1647975277614514E-3</v>
      </c>
      <c r="AK30" s="513">
        <v>-2.4669227979861891E-2</v>
      </c>
      <c r="AL30" s="634"/>
      <c r="AM30" s="441">
        <v>-1.8870000000000001E-5</v>
      </c>
      <c r="AN30" s="440">
        <v>-1.2500000000000001E-5</v>
      </c>
      <c r="AO30" s="440">
        <v>-2.3099999999999999E-5</v>
      </c>
      <c r="AP30" s="440">
        <v>-6.7599999999999997E-6</v>
      </c>
      <c r="AR30" s="441">
        <f t="shared" si="42"/>
        <v>2.71728E-2</v>
      </c>
      <c r="AS30" s="440">
        <f t="shared" si="42"/>
        <v>1.8000000000000002E-2</v>
      </c>
      <c r="AT30" s="440">
        <f t="shared" si="42"/>
        <v>3.3264000000000002E-2</v>
      </c>
      <c r="AU30" s="440">
        <f t="shared" si="42"/>
        <v>9.734399999999999E-3</v>
      </c>
      <c r="AV30" s="633">
        <v>41585</v>
      </c>
      <c r="AW30" s="644"/>
      <c r="AX30" s="608">
        <v>0</v>
      </c>
      <c r="AY30" s="441">
        <f t="shared" ref="AY30:BB35" si="43">AC30-AR30</f>
        <v>7.413596808925723E-3</v>
      </c>
      <c r="AZ30" s="440">
        <f t="shared" si="43"/>
        <v>-5.674493449207979E-4</v>
      </c>
      <c r="BA30" s="440">
        <f t="shared" si="43"/>
        <v>5.0300891166176892E-3</v>
      </c>
      <c r="BB30" s="440">
        <f t="shared" si="43"/>
        <v>1.2421227578155813E-2</v>
      </c>
      <c r="BC30" s="608">
        <f t="shared" si="5"/>
        <v>0.12421227578155813</v>
      </c>
      <c r="BD30" s="627" t="s">
        <v>434</v>
      </c>
      <c r="BE30" s="580">
        <v>41585</v>
      </c>
      <c r="BF30" s="441">
        <f t="shared" ref="BF30:BI35" si="44">DR30*10</f>
        <v>3.4633200601709957</v>
      </c>
      <c r="BG30" s="440">
        <f t="shared" si="44"/>
        <v>1.6663938071266526</v>
      </c>
      <c r="BH30" s="440">
        <f t="shared" si="44"/>
        <v>8.1701040500372422</v>
      </c>
      <c r="BI30" s="440">
        <f t="shared" si="44"/>
        <v>8.4962556633180526</v>
      </c>
      <c r="BJ30" s="645"/>
      <c r="BK30" s="441">
        <v>7.4135968089257229</v>
      </c>
      <c r="BL30" s="440"/>
      <c r="BM30" s="440">
        <v>5.0300891166176882</v>
      </c>
      <c r="BN30" s="440">
        <v>12.421227578155813</v>
      </c>
      <c r="BO30" s="353">
        <v>78</v>
      </c>
      <c r="BP30" s="353">
        <f t="shared" si="9"/>
        <v>15.6</v>
      </c>
      <c r="BQ30" s="610">
        <f t="shared" si="10"/>
        <v>55.714285714285715</v>
      </c>
      <c r="BR30" s="610">
        <f t="shared" si="11"/>
        <v>21.081081081081081</v>
      </c>
      <c r="BV30" s="648"/>
      <c r="BW30" s="648"/>
      <c r="BX30" s="648"/>
      <c r="BY30" s="616" t="s">
        <v>435</v>
      </c>
      <c r="BZ30" s="617">
        <v>33</v>
      </c>
      <c r="CA30" s="608">
        <v>0</v>
      </c>
      <c r="CB30" s="608">
        <f t="shared" si="12"/>
        <v>0</v>
      </c>
      <c r="CC30" s="608"/>
      <c r="CD30" s="631">
        <f t="shared" si="13"/>
        <v>58.9</v>
      </c>
      <c r="CE30" s="364"/>
      <c r="CF30" s="364"/>
      <c r="CG30" s="364"/>
      <c r="CH30" s="364"/>
      <c r="CI30" s="364"/>
      <c r="CJ30" s="364"/>
      <c r="CK30" s="364"/>
      <c r="CL30" s="623"/>
      <c r="CM30" s="364"/>
      <c r="CN30" s="632" t="s">
        <v>376</v>
      </c>
      <c r="CO30" s="580">
        <f>'[3]Plots R2&gt;.75 - UPDATED'!R27</f>
        <v>41586</v>
      </c>
      <c r="CP30" s="620"/>
      <c r="CQ30" s="633">
        <v>41586</v>
      </c>
      <c r="CR30" s="641">
        <v>119234.03613807922</v>
      </c>
      <c r="CS30" s="642">
        <v>394194.11186596518</v>
      </c>
      <c r="CT30" s="642">
        <v>101762.25914628679</v>
      </c>
      <c r="CU30" s="643">
        <v>128306.78043330082</v>
      </c>
      <c r="CV30" s="513">
        <f t="shared" si="33"/>
        <v>0.25361885732846035</v>
      </c>
      <c r="CW30" s="513">
        <f t="shared" si="32"/>
        <v>0.43029452545857505</v>
      </c>
      <c r="CX30" s="513">
        <f t="shared" si="35"/>
        <v>7.6713474630190001E-2</v>
      </c>
      <c r="CY30" s="513">
        <f t="shared" si="34"/>
        <v>0.83613043314302482</v>
      </c>
      <c r="CZ30" s="513">
        <f t="shared" si="41"/>
        <v>0.2971632140804672</v>
      </c>
      <c r="DA30" s="513">
        <f t="shared" si="36"/>
        <v>2.1127570331433878</v>
      </c>
      <c r="DB30" s="513">
        <f t="shared" si="19"/>
        <v>0.23568512823622756</v>
      </c>
      <c r="DC30" s="513">
        <f t="shared" si="16"/>
        <v>-1.2577976697499618</v>
      </c>
      <c r="DD30" s="622"/>
      <c r="DE30" s="464">
        <v>41584</v>
      </c>
      <c r="DF30" s="483">
        <v>12.329212093016617</v>
      </c>
      <c r="DG30" s="483">
        <v>40.791555151767639</v>
      </c>
      <c r="DH30" s="483">
        <v>10.706992066270562</v>
      </c>
      <c r="DI30" s="483">
        <v>13.594347196668462</v>
      </c>
      <c r="DJ30" s="473"/>
      <c r="DK30" s="473"/>
      <c r="DL30" s="473"/>
      <c r="DM30" s="545"/>
      <c r="DN30" s="528">
        <f t="shared" si="37"/>
        <v>0</v>
      </c>
      <c r="DO30" s="528">
        <f t="shared" si="38"/>
        <v>0</v>
      </c>
      <c r="DP30" s="528">
        <f t="shared" si="39"/>
        <v>0</v>
      </c>
      <c r="DQ30" s="528">
        <f t="shared" si="40"/>
        <v>0</v>
      </c>
      <c r="DR30" s="483">
        <v>0.34633200601709957</v>
      </c>
      <c r="DS30" s="483">
        <v>0.16663938071266526</v>
      </c>
      <c r="DT30" s="483">
        <v>0.81701040500372413</v>
      </c>
      <c r="DU30" s="483">
        <v>0.8496255663318053</v>
      </c>
      <c r="DV30" s="483">
        <v>0.94906029257171465</v>
      </c>
      <c r="DW30" s="483">
        <v>1.3960297288433301</v>
      </c>
      <c r="DX30" s="483">
        <v>1.7867815951271777</v>
      </c>
      <c r="DY30" s="483">
        <v>-1.0553182171193645</v>
      </c>
      <c r="DZ30" s="483"/>
      <c r="EA30" s="483"/>
      <c r="EB30" s="483"/>
      <c r="EC30" s="483"/>
      <c r="ED30" s="463">
        <f t="shared" si="24"/>
        <v>0</v>
      </c>
      <c r="EE30" s="463">
        <f t="shared" si="25"/>
        <v>0</v>
      </c>
      <c r="EF30" s="463">
        <f t="shared" si="26"/>
        <v>0</v>
      </c>
      <c r="EG30" s="463">
        <f t="shared" si="27"/>
        <v>0</v>
      </c>
      <c r="EH30" s="473">
        <f>'[3]Plots R2&gt;.75 - UPDATED'!S27</f>
        <v>2.531948719981806</v>
      </c>
      <c r="EI30" s="473">
        <f>'[3]Plots R2&gt;.75 - UPDATED'!T27</f>
        <v>3.1306487199818065</v>
      </c>
      <c r="EJ30" s="473">
        <f>'[3]Plots R2&gt;.75 - UPDATED'!U27</f>
        <v>3.3481487199818067</v>
      </c>
      <c r="EK30" s="545">
        <f>'[3]Plots R2&gt;.75 - UPDATED'!V27</f>
        <v>2.8968487199818074</v>
      </c>
      <c r="EL30" s="675">
        <v>4.75</v>
      </c>
      <c r="EM30" s="494">
        <v>0</v>
      </c>
      <c r="EN30" s="464">
        <v>41584</v>
      </c>
      <c r="EO30" s="473">
        <v>2.531948719981806</v>
      </c>
      <c r="EP30" s="473">
        <v>3.1306487199818065</v>
      </c>
      <c r="EQ30" s="473">
        <v>3.3481487199818067</v>
      </c>
      <c r="ER30" s="545">
        <v>2.8968487199818074</v>
      </c>
      <c r="GN30" s="640"/>
      <c r="GO30" s="640"/>
      <c r="GP30" s="640"/>
      <c r="GQ30" s="640"/>
      <c r="GR30" s="640"/>
      <c r="GS30" s="640"/>
      <c r="GT30" s="640"/>
      <c r="GU30" s="640"/>
      <c r="GV30" s="640"/>
      <c r="HF30" s="558"/>
      <c r="HG30" s="558"/>
      <c r="HH30" s="450"/>
      <c r="HI30" s="450"/>
      <c r="HJ30" s="598"/>
      <c r="HK30" s="598"/>
      <c r="HL30" s="515">
        <v>0.19481225277395425</v>
      </c>
      <c r="HM30" s="515">
        <v>0</v>
      </c>
    </row>
    <row r="31" spans="8:221" ht="16">
      <c r="H31" s="431"/>
      <c r="J31" s="580">
        <v>41568</v>
      </c>
      <c r="K31" s="581">
        <v>0</v>
      </c>
      <c r="L31" s="582">
        <v>13.3926</v>
      </c>
      <c r="M31" s="582">
        <v>12.8485</v>
      </c>
      <c r="N31" s="582">
        <v>13.956200000000001</v>
      </c>
      <c r="O31" s="582">
        <v>13.3012</v>
      </c>
      <c r="P31" s="582">
        <v>98.539900000000003</v>
      </c>
      <c r="Q31" s="582">
        <v>10.075649661790814</v>
      </c>
      <c r="R31" s="582">
        <v>3.1319503382091853</v>
      </c>
      <c r="S31" s="582">
        <v>3.4228503382091855</v>
      </c>
      <c r="T31" s="582">
        <v>4.0705503382091868</v>
      </c>
      <c r="U31" s="582">
        <v>3.4955503382091848</v>
      </c>
      <c r="W31" s="580">
        <v>41586</v>
      </c>
      <c r="X31" s="582">
        <f t="shared" si="6"/>
        <v>2.5316953458207552</v>
      </c>
      <c r="Y31" s="582">
        <f t="shared" si="0"/>
        <v>3.1304568842822942</v>
      </c>
      <c r="Z31" s="582">
        <f t="shared" si="0"/>
        <v>3.3480876535130628</v>
      </c>
      <c r="AA31" s="582">
        <f t="shared" si="0"/>
        <v>3.1869107304361393</v>
      </c>
      <c r="AB31" s="606"/>
      <c r="AC31" s="441">
        <f t="shared" si="1"/>
        <v>3.197653459960037E-2</v>
      </c>
      <c r="AD31" s="440">
        <f t="shared" si="2"/>
        <v>2.0184226907293379E-2</v>
      </c>
      <c r="AE31" s="440">
        <f t="shared" si="3"/>
        <v>4.0438073061138446E-2</v>
      </c>
      <c r="AF31" s="440">
        <f t="shared" si="4"/>
        <v>2.440730383036982E-2</v>
      </c>
      <c r="AG31" s="633">
        <v>41586</v>
      </c>
      <c r="AH31" s="560">
        <v>-2.3580853276476729E-2</v>
      </c>
      <c r="AI31" s="513">
        <v>-6.6593930214891989E-3</v>
      </c>
      <c r="AJ31" s="513">
        <v>-9.1423128598491898E-3</v>
      </c>
      <c r="AK31" s="513">
        <v>-2.4615138135866559E-2</v>
      </c>
      <c r="AL31" s="634"/>
      <c r="AM31" s="441">
        <v>-2.429E-5</v>
      </c>
      <c r="AN31" s="440">
        <v>-1.3699999999999999E-5</v>
      </c>
      <c r="AO31" s="440">
        <v>-2.4300000000000001E-5</v>
      </c>
      <c r="AP31" s="440">
        <v>-1.33E-5</v>
      </c>
      <c r="AR31" s="441">
        <f t="shared" si="42"/>
        <v>3.4977599999999998E-2</v>
      </c>
      <c r="AS31" s="440">
        <f t="shared" si="42"/>
        <v>1.9727999999999999E-2</v>
      </c>
      <c r="AT31" s="440">
        <f t="shared" si="42"/>
        <v>3.4992000000000002E-2</v>
      </c>
      <c r="AU31" s="440">
        <f t="shared" si="42"/>
        <v>1.9151999999999999E-2</v>
      </c>
      <c r="AV31" s="633">
        <v>41586</v>
      </c>
      <c r="AW31" s="644"/>
      <c r="AX31" s="608">
        <v>0</v>
      </c>
      <c r="AY31" s="441">
        <f t="shared" si="43"/>
        <v>-3.0010654003996273E-3</v>
      </c>
      <c r="AZ31" s="440">
        <f t="shared" si="43"/>
        <v>4.5622690729337986E-4</v>
      </c>
      <c r="BA31" s="440">
        <f t="shared" si="43"/>
        <v>5.4460730611384442E-3</v>
      </c>
      <c r="BB31" s="440">
        <f t="shared" si="43"/>
        <v>5.2553038303698209E-3</v>
      </c>
      <c r="BC31" s="608">
        <f t="shared" si="5"/>
        <v>5.2553038303698209E-2</v>
      </c>
      <c r="BD31" s="627" t="s">
        <v>436</v>
      </c>
      <c r="BE31" s="580">
        <v>41586</v>
      </c>
      <c r="BF31" s="441">
        <f t="shared" si="44"/>
        <v>3.3475546987467935</v>
      </c>
      <c r="BG31" s="440">
        <f t="shared" si="44"/>
        <v>0.92537886043572382</v>
      </c>
      <c r="BH31" s="440">
        <f t="shared" si="44"/>
        <v>5.0402986589625653</v>
      </c>
      <c r="BI31" s="440">
        <f t="shared" si="44"/>
        <v>12.369898658961242</v>
      </c>
      <c r="BJ31" s="645"/>
      <c r="BK31" s="441"/>
      <c r="BL31" s="440">
        <v>0.45622690729337989</v>
      </c>
      <c r="BM31" s="440">
        <v>5.4460730611384447</v>
      </c>
      <c r="BN31" s="440">
        <v>5.2553038303698205</v>
      </c>
      <c r="BO31" s="353">
        <v>71</v>
      </c>
      <c r="BP31" s="353">
        <f t="shared" si="9"/>
        <v>14.2</v>
      </c>
      <c r="BQ31" s="610">
        <f t="shared" si="10"/>
        <v>50.714285714285715</v>
      </c>
      <c r="BR31" s="610">
        <f t="shared" si="11"/>
        <v>19.189189189189189</v>
      </c>
      <c r="BV31" s="648"/>
      <c r="BW31" s="648"/>
      <c r="BX31" s="648"/>
      <c r="BY31" s="616" t="s">
        <v>437</v>
      </c>
      <c r="BZ31" s="617">
        <v>29</v>
      </c>
      <c r="CA31" s="608">
        <v>0</v>
      </c>
      <c r="CB31" s="608">
        <f t="shared" si="12"/>
        <v>0</v>
      </c>
      <c r="CC31" s="608"/>
      <c r="CD31" s="631">
        <f t="shared" si="13"/>
        <v>58.9</v>
      </c>
      <c r="CE31" s="364"/>
      <c r="CF31" s="364"/>
      <c r="CG31" s="364"/>
      <c r="CH31" s="364"/>
      <c r="CI31" s="364"/>
      <c r="CJ31" s="364"/>
      <c r="CK31" s="364"/>
      <c r="CL31" s="623"/>
      <c r="CM31" s="364"/>
      <c r="CN31" s="632" t="s">
        <v>379</v>
      </c>
      <c r="CO31" s="580">
        <f>'[3]Plots R2&gt;.75 - UPDATED'!R28</f>
        <v>41587</v>
      </c>
      <c r="CP31" s="620"/>
      <c r="CQ31" s="633">
        <v>41587</v>
      </c>
      <c r="CR31" s="641">
        <v>117549.89206410976</v>
      </c>
      <c r="CS31" s="642">
        <v>386741.89466858888</v>
      </c>
      <c r="CT31" s="642">
        <v>99559.080431165668</v>
      </c>
      <c r="CU31" s="643">
        <v>124877.82621366398</v>
      </c>
      <c r="CV31" s="513">
        <f t="shared" si="33"/>
        <v>0.25725246930475787</v>
      </c>
      <c r="CW31" s="513">
        <f t="shared" si="32"/>
        <v>0.31682115535877353</v>
      </c>
      <c r="CX31" s="513">
        <f t="shared" si="35"/>
        <v>7.8191683954782279E-2</v>
      </c>
      <c r="CY31" s="513">
        <f t="shared" si="34"/>
        <v>1.2286690138962977</v>
      </c>
      <c r="CZ31" s="513">
        <f t="shared" si="41"/>
        <v>0.30373924577284223</v>
      </c>
      <c r="DA31" s="513">
        <f t="shared" si="36"/>
        <v>2.2812294682422389</v>
      </c>
      <c r="DB31" s="513">
        <f t="shared" si="19"/>
        <v>0.24215668158941075</v>
      </c>
      <c r="DC31" s="513">
        <f t="shared" si="16"/>
        <v>-0.30415713199724559</v>
      </c>
      <c r="DD31" s="622"/>
      <c r="DE31" s="299">
        <v>41585</v>
      </c>
      <c r="DF31" s="463">
        <v>12.283055705262347</v>
      </c>
      <c r="DG31" s="463">
        <v>40.832758813328624</v>
      </c>
      <c r="DH31" s="463">
        <v>10.573748717009765</v>
      </c>
      <c r="DI31" s="463">
        <v>13.460368374474015</v>
      </c>
      <c r="DJ31" s="528"/>
      <c r="DK31" s="528"/>
      <c r="DL31" s="528">
        <v>0.50402986589625653</v>
      </c>
      <c r="DM31" s="546">
        <v>1.2369898658961243</v>
      </c>
      <c r="DN31" s="528">
        <f t="shared" si="37"/>
        <v>0</v>
      </c>
      <c r="DO31" s="528">
        <f t="shared" si="38"/>
        <v>0</v>
      </c>
      <c r="DP31" s="528">
        <f t="shared" si="39"/>
        <v>5.0402986589625653</v>
      </c>
      <c r="DQ31" s="528">
        <f t="shared" si="40"/>
        <v>12.369898658961242</v>
      </c>
      <c r="DR31" s="463">
        <v>0.33475546987467936</v>
      </c>
      <c r="DS31" s="463">
        <v>9.2537886043572382E-2</v>
      </c>
      <c r="DT31" s="463">
        <v>0.50402986589625653</v>
      </c>
      <c r="DU31" s="463">
        <v>1.2369898658961243</v>
      </c>
      <c r="DV31" s="463">
        <v>0.6839133827870354</v>
      </c>
      <c r="DW31" s="463">
        <v>0.91284390777321478</v>
      </c>
      <c r="DX31" s="463">
        <v>2.4099202472238548</v>
      </c>
      <c r="DY31" s="463">
        <v>-1.4934827979861893</v>
      </c>
      <c r="DZ31" s="463">
        <v>0.6839133827870354</v>
      </c>
      <c r="EA31" s="463">
        <v>0.91284390777321478</v>
      </c>
      <c r="EB31" s="463">
        <v>2.4099202472238548</v>
      </c>
      <c r="EC31" s="463">
        <v>-1.4934827979861893</v>
      </c>
      <c r="ED31" s="463">
        <f t="shared" si="24"/>
        <v>6.839133827870354</v>
      </c>
      <c r="EE31" s="463">
        <f t="shared" si="25"/>
        <v>9.128439077732148</v>
      </c>
      <c r="EF31" s="463">
        <f t="shared" si="26"/>
        <v>24.099202472238549</v>
      </c>
      <c r="EG31" s="463">
        <f t="shared" si="27"/>
        <v>-14.934827979861893</v>
      </c>
      <c r="EH31" s="528">
        <f>'[3]Plots R2&gt;.75 - UPDATED'!S28</f>
        <v>2.4993953411213714</v>
      </c>
      <c r="EI31" s="528">
        <f>'[3]Plots R2&gt;.75 - UPDATED'!T28</f>
        <v>3.1099953411213708</v>
      </c>
      <c r="EJ31" s="528">
        <f>'[3]Plots R2&gt;.75 - UPDATED'!U28</f>
        <v>3.3074953411213714</v>
      </c>
      <c r="EK31" s="546">
        <f>'[3]Plots R2&gt;.75 - UPDATED'!V28</f>
        <v>2.8724953411213714</v>
      </c>
      <c r="EL31" s="676">
        <v>0.3</v>
      </c>
      <c r="EM31" s="494">
        <v>0</v>
      </c>
      <c r="EN31" s="299">
        <v>41585</v>
      </c>
      <c r="EO31" s="528">
        <v>2.4993953411213714</v>
      </c>
      <c r="EP31" s="528">
        <v>3.1099953411213708</v>
      </c>
      <c r="EQ31" s="528">
        <v>3.3074953411213714</v>
      </c>
      <c r="ER31" s="546">
        <v>2.8724953411213714</v>
      </c>
      <c r="GN31" s="640"/>
      <c r="GO31" s="640"/>
      <c r="GP31" s="640"/>
      <c r="GQ31" s="640"/>
      <c r="GR31" s="640"/>
      <c r="GS31" s="640"/>
      <c r="GT31" s="640"/>
      <c r="GU31" s="640"/>
      <c r="GV31" s="640"/>
      <c r="HF31" s="558"/>
      <c r="HG31" s="558"/>
      <c r="HH31" s="450"/>
      <c r="HI31" s="450"/>
      <c r="HJ31" s="598"/>
      <c r="HK31" s="598"/>
      <c r="HL31" s="515">
        <v>0.20012035430483696</v>
      </c>
      <c r="HM31" s="515">
        <v>-0.27432954447539348</v>
      </c>
    </row>
    <row r="32" spans="8:221" ht="16">
      <c r="H32" s="431"/>
      <c r="J32" s="580">
        <v>41569</v>
      </c>
      <c r="K32" s="581">
        <v>0</v>
      </c>
      <c r="L32" s="582">
        <v>13.3278</v>
      </c>
      <c r="M32" s="582">
        <v>12.8148</v>
      </c>
      <c r="N32" s="582">
        <v>13.9033</v>
      </c>
      <c r="O32" s="582">
        <v>13.290699999999999</v>
      </c>
      <c r="P32" s="582">
        <v>98.346800000000002</v>
      </c>
      <c r="Q32" s="582">
        <v>10.055905294791337</v>
      </c>
      <c r="R32" s="582">
        <v>3.0868947052086626</v>
      </c>
      <c r="S32" s="582">
        <v>3.4088947052086631</v>
      </c>
      <c r="T32" s="582">
        <v>4.0373947052086629</v>
      </c>
      <c r="U32" s="582">
        <v>3.5047947052086617</v>
      </c>
      <c r="W32" s="580">
        <v>41587</v>
      </c>
      <c r="X32" s="582">
        <f t="shared" si="6"/>
        <v>2.4997188112211548</v>
      </c>
      <c r="Y32" s="582">
        <f t="shared" si="0"/>
        <v>3.1102726573750008</v>
      </c>
      <c r="Z32" s="582">
        <f t="shared" si="0"/>
        <v>3.3076495804519244</v>
      </c>
      <c r="AA32" s="582">
        <f t="shared" si="0"/>
        <v>3.1625034266057694</v>
      </c>
      <c r="AB32" s="606"/>
      <c r="AC32" s="441">
        <f t="shared" si="1"/>
        <v>3.6587969696498579E-2</v>
      </c>
      <c r="AD32" s="440">
        <f t="shared" si="2"/>
        <v>1.798027738880581E-2</v>
      </c>
      <c r="AE32" s="440">
        <f t="shared" si="3"/>
        <v>3.9149508158037083E-2</v>
      </c>
      <c r="AF32" s="440">
        <f t="shared" si="4"/>
        <v>2.3334123542651852E-2</v>
      </c>
      <c r="AG32" s="633">
        <v>41587</v>
      </c>
      <c r="AH32" s="560">
        <v>-2.3445261878128246E-2</v>
      </c>
      <c r="AI32" s="513">
        <v>-6.5420546750457271E-3</v>
      </c>
      <c r="AJ32" s="513">
        <v>-9.1155211046433735E-3</v>
      </c>
      <c r="AK32" s="513">
        <v>-2.4540318508776752E-2</v>
      </c>
      <c r="AL32" s="634"/>
      <c r="AM32" s="441">
        <v>-2.5700000000000001E-5</v>
      </c>
      <c r="AN32" s="440">
        <v>-1.0900000000000001E-5</v>
      </c>
      <c r="AO32" s="440">
        <v>-2.27E-5</v>
      </c>
      <c r="AP32" s="440">
        <v>-1.66E-5</v>
      </c>
      <c r="AR32" s="441">
        <f t="shared" si="42"/>
        <v>3.7007999999999999E-2</v>
      </c>
      <c r="AS32" s="440">
        <f t="shared" si="42"/>
        <v>1.5696000000000002E-2</v>
      </c>
      <c r="AT32" s="440">
        <f t="shared" si="42"/>
        <v>3.2688000000000002E-2</v>
      </c>
      <c r="AU32" s="440">
        <f t="shared" si="42"/>
        <v>2.3904000000000002E-2</v>
      </c>
      <c r="AV32" s="633">
        <v>41587</v>
      </c>
      <c r="AW32" s="644"/>
      <c r="AX32" s="608">
        <v>0</v>
      </c>
      <c r="AY32" s="441">
        <f t="shared" si="43"/>
        <v>-4.2003030350142023E-4</v>
      </c>
      <c r="AZ32" s="440">
        <f t="shared" si="43"/>
        <v>2.2842773888058082E-3</v>
      </c>
      <c r="BA32" s="440">
        <f t="shared" si="43"/>
        <v>6.4615081580370812E-3</v>
      </c>
      <c r="BB32" s="440">
        <f t="shared" si="43"/>
        <v>-5.6987645734814935E-4</v>
      </c>
      <c r="BC32" s="608">
        <f t="shared" si="5"/>
        <v>-5.6987645734814935E-3</v>
      </c>
      <c r="BD32" s="627" t="s">
        <v>438</v>
      </c>
      <c r="BE32" s="580">
        <v>41587</v>
      </c>
      <c r="BF32" s="441">
        <f t="shared" si="44"/>
        <v>3.2317893373225912</v>
      </c>
      <c r="BG32" s="440">
        <f t="shared" si="44"/>
        <v>0.92537886043572382</v>
      </c>
      <c r="BH32" s="440">
        <f t="shared" si="44"/>
        <v>5.6613788604352955</v>
      </c>
      <c r="BI32" s="440">
        <f t="shared" si="44"/>
        <v>5.2013788604359839</v>
      </c>
      <c r="BJ32" s="645"/>
      <c r="BK32" s="441"/>
      <c r="BL32" s="440">
        <v>2.2842773888058083</v>
      </c>
      <c r="BM32" s="440">
        <v>6.4615081580370815</v>
      </c>
      <c r="BN32" s="440"/>
      <c r="BO32" s="353">
        <v>72</v>
      </c>
      <c r="BP32" s="353">
        <f t="shared" si="9"/>
        <v>14.4</v>
      </c>
      <c r="BQ32" s="610">
        <f t="shared" si="10"/>
        <v>51.428571428571431</v>
      </c>
      <c r="BR32" s="610">
        <f t="shared" si="11"/>
        <v>19.45945945945946</v>
      </c>
      <c r="BV32" s="648"/>
      <c r="BW32" s="648"/>
      <c r="BX32" s="648"/>
      <c r="BY32" s="616" t="s">
        <v>439</v>
      </c>
      <c r="BZ32" s="617">
        <v>29</v>
      </c>
      <c r="CA32" s="608">
        <v>0</v>
      </c>
      <c r="CB32" s="608">
        <f t="shared" si="12"/>
        <v>0</v>
      </c>
      <c r="CC32" s="608"/>
      <c r="CD32" s="631">
        <f t="shared" si="13"/>
        <v>58.9</v>
      </c>
      <c r="CE32" s="364"/>
      <c r="CF32" s="364"/>
      <c r="CG32" s="364"/>
      <c r="CH32" s="364"/>
      <c r="CI32" s="364"/>
      <c r="CJ32" s="364"/>
      <c r="CK32" s="364"/>
      <c r="CL32" s="623"/>
      <c r="CM32" s="364"/>
      <c r="CN32" s="632" t="s">
        <v>382</v>
      </c>
      <c r="CO32" s="580">
        <f>'[3]Plots R2&gt;.75 - UPDATED'!R29</f>
        <v>41588</v>
      </c>
      <c r="CP32" s="620"/>
      <c r="CQ32" s="633">
        <v>41588</v>
      </c>
      <c r="CR32" s="641">
        <v>115680.84077510341</v>
      </c>
      <c r="CS32" s="642">
        <v>380295.37150278362</v>
      </c>
      <c r="CT32" s="642">
        <v>97472.133513332708</v>
      </c>
      <c r="CU32" s="643">
        <v>121646.20334936067</v>
      </c>
      <c r="CV32" s="513">
        <f t="shared" si="33"/>
        <v>0.26140888843287341</v>
      </c>
      <c r="CW32" s="513">
        <f t="shared" si="32"/>
        <v>0.70015207885357045</v>
      </c>
      <c r="CX32" s="513">
        <f t="shared" si="35"/>
        <v>7.9517139218662963E-2</v>
      </c>
      <c r="CY32" s="513">
        <f t="shared" si="34"/>
        <v>0.83587739327676436</v>
      </c>
      <c r="CZ32" s="513">
        <f t="shared" si="41"/>
        <v>0.31024251660464197</v>
      </c>
      <c r="DA32" s="513">
        <f t="shared" si="36"/>
        <v>2.0470053729310211</v>
      </c>
      <c r="DB32" s="513">
        <f t="shared" si="19"/>
        <v>0.2485897559264757</v>
      </c>
      <c r="DC32" s="513">
        <f t="shared" si="16"/>
        <v>-0.56025308677363783</v>
      </c>
      <c r="DD32" s="622"/>
      <c r="DE32" s="299">
        <v>41586</v>
      </c>
      <c r="DF32" s="463">
        <v>12.099035684521638</v>
      </c>
      <c r="DG32" s="463">
        <v>40.032621462657531</v>
      </c>
      <c r="DH32" s="463">
        <v>10.385760446823554</v>
      </c>
      <c r="DI32" s="463">
        <v>13.14746802810955</v>
      </c>
      <c r="DJ32" s="528"/>
      <c r="DK32" s="528">
        <v>9.2537886043572382E-2</v>
      </c>
      <c r="DL32" s="528">
        <v>0.56613788604352955</v>
      </c>
      <c r="DM32" s="546">
        <v>0.52013788604359834</v>
      </c>
      <c r="DN32" s="528">
        <f t="shared" si="37"/>
        <v>0</v>
      </c>
      <c r="DO32" s="528">
        <f t="shared" si="38"/>
        <v>0.92537886043572382</v>
      </c>
      <c r="DP32" s="528">
        <f t="shared" si="39"/>
        <v>5.6613788604352955</v>
      </c>
      <c r="DQ32" s="528">
        <f t="shared" si="40"/>
        <v>5.2013788604359839</v>
      </c>
      <c r="DR32" s="463">
        <v>0.32317893373225914</v>
      </c>
      <c r="DS32" s="463">
        <v>9.2537886043572382E-2</v>
      </c>
      <c r="DT32" s="463">
        <v>0.56613788604352955</v>
      </c>
      <c r="DU32" s="463">
        <v>0.52013788604359834</v>
      </c>
      <c r="DV32" s="463">
        <v>0.5740736246635314</v>
      </c>
      <c r="DW32" s="463">
        <v>1.3068606978510799</v>
      </c>
      <c r="DX32" s="463">
        <v>2.5849687140150812</v>
      </c>
      <c r="DY32" s="463">
        <v>-0.54631381358665632</v>
      </c>
      <c r="DZ32" s="463">
        <v>0.5740736246635314</v>
      </c>
      <c r="EA32" s="463">
        <v>1.3068606978510799</v>
      </c>
      <c r="EB32" s="463">
        <v>2.5849687140150812</v>
      </c>
      <c r="EC32" s="463">
        <v>-0.54631381358665632</v>
      </c>
      <c r="ED32" s="463">
        <f t="shared" si="24"/>
        <v>5.740736246635314</v>
      </c>
      <c r="EE32" s="463">
        <f t="shared" si="25"/>
        <v>13.0686069785108</v>
      </c>
      <c r="EF32" s="463">
        <f t="shared" si="26"/>
        <v>25.849687140150813</v>
      </c>
      <c r="EG32" s="463">
        <f t="shared" si="27"/>
        <v>-5.4631381358665632</v>
      </c>
      <c r="EH32" s="528">
        <f>'[3]Plots R2&gt;.75 - UPDATED'!S29</f>
        <v>2.4632184455944803</v>
      </c>
      <c r="EI32" s="528">
        <f>'[3]Plots R2&gt;.75 - UPDATED'!T29</f>
        <v>3.0919184455944819</v>
      </c>
      <c r="EJ32" s="528">
        <f>'[3]Plots R2&gt;.75 - UPDATED'!U29</f>
        <v>3.2686184455944813</v>
      </c>
      <c r="EK32" s="546">
        <f>'[3]Plots R2&gt;.75 - UPDATED'!V29</f>
        <v>2.8491184455944807</v>
      </c>
      <c r="EL32" s="676">
        <v>0</v>
      </c>
      <c r="EM32" s="494">
        <v>0</v>
      </c>
      <c r="EN32" s="299">
        <v>41586</v>
      </c>
      <c r="EO32" s="528">
        <v>2.4632184455944803</v>
      </c>
      <c r="EP32" s="528">
        <v>3.0919184455944819</v>
      </c>
      <c r="EQ32" s="528">
        <v>3.2686184455944813</v>
      </c>
      <c r="ER32" s="546">
        <v>2.8491184455944807</v>
      </c>
      <c r="GN32" s="640"/>
      <c r="GO32" s="640"/>
      <c r="GP32" s="640"/>
      <c r="GQ32" s="640"/>
      <c r="GR32" s="640"/>
      <c r="GS32" s="640"/>
      <c r="GT32" s="640"/>
      <c r="GU32" s="640"/>
      <c r="GV32" s="640"/>
      <c r="HF32" s="558"/>
      <c r="HG32" s="558"/>
      <c r="HH32" s="450"/>
      <c r="HI32" s="450"/>
      <c r="HJ32" s="598"/>
      <c r="HK32" s="598"/>
      <c r="HL32" s="515">
        <v>0.20394423146544455</v>
      </c>
      <c r="HM32" s="515">
        <v>-1.1640701939994418</v>
      </c>
    </row>
    <row r="33" spans="8:221" ht="16">
      <c r="H33" s="431"/>
      <c r="J33" s="580">
        <v>41570</v>
      </c>
      <c r="K33" s="581">
        <v>0</v>
      </c>
      <c r="L33" s="582">
        <v>13.283200000000001</v>
      </c>
      <c r="M33" s="582">
        <v>12.797499999999999</v>
      </c>
      <c r="N33" s="582">
        <v>13.8531</v>
      </c>
      <c r="O33" s="582">
        <v>13.256</v>
      </c>
      <c r="P33" s="582">
        <v>98.347800000000007</v>
      </c>
      <c r="Q33" s="582">
        <v>10.056007544232038</v>
      </c>
      <c r="R33" s="582">
        <v>3.0421924557679625</v>
      </c>
      <c r="S33" s="582">
        <v>3.3914924557679615</v>
      </c>
      <c r="T33" s="582">
        <v>3.9870924557679617</v>
      </c>
      <c r="U33" s="582">
        <v>3.4699924557679616</v>
      </c>
      <c r="W33" s="580">
        <v>41588</v>
      </c>
      <c r="X33" s="582">
        <f t="shared" si="6"/>
        <v>2.4631308415246562</v>
      </c>
      <c r="Y33" s="582">
        <f t="shared" si="0"/>
        <v>3.092292379986195</v>
      </c>
      <c r="Z33" s="582">
        <f t="shared" si="0"/>
        <v>3.2685000722938873</v>
      </c>
      <c r="AA33" s="582">
        <f t="shared" si="0"/>
        <v>3.1391693030631176</v>
      </c>
      <c r="AB33" s="606"/>
      <c r="AC33" s="441">
        <f t="shared" si="1"/>
        <v>3.794196733716948E-2</v>
      </c>
      <c r="AD33" s="440">
        <f t="shared" si="2"/>
        <v>2.099581349101598E-2</v>
      </c>
      <c r="AE33" s="440">
        <f t="shared" si="3"/>
        <v>4.0541967337169194E-2</v>
      </c>
      <c r="AF33" s="440">
        <f t="shared" si="4"/>
        <v>2.711119810640028E-2</v>
      </c>
      <c r="AG33" s="633">
        <v>41588</v>
      </c>
      <c r="AH33" s="560">
        <v>-2.3289431664011689E-2</v>
      </c>
      <c r="AI33" s="513">
        <v>-6.4342926528800455E-3</v>
      </c>
      <c r="AJ33" s="513">
        <v>-9.0869060936184555E-3</v>
      </c>
      <c r="AK33" s="513">
        <v>-2.4452494142038164E-2</v>
      </c>
      <c r="AL33" s="634"/>
      <c r="AM33" s="441">
        <v>-2.7100000000000001E-5</v>
      </c>
      <c r="AN33" s="440">
        <v>-1.43E-5</v>
      </c>
      <c r="AO33" s="440">
        <v>-2.3099999999999999E-5</v>
      </c>
      <c r="AP33" s="440">
        <v>-2.1999999999999999E-5</v>
      </c>
      <c r="AR33" s="441">
        <f t="shared" si="42"/>
        <v>3.9024000000000003E-2</v>
      </c>
      <c r="AS33" s="440">
        <f t="shared" si="42"/>
        <v>2.0591999999999999E-2</v>
      </c>
      <c r="AT33" s="440">
        <f t="shared" si="42"/>
        <v>3.3264000000000002E-2</v>
      </c>
      <c r="AU33" s="440">
        <f t="shared" si="42"/>
        <v>3.168E-2</v>
      </c>
      <c r="AV33" s="633">
        <v>41588</v>
      </c>
      <c r="AW33" s="644"/>
      <c r="AX33" s="608">
        <v>0</v>
      </c>
      <c r="AY33" s="441">
        <f t="shared" si="43"/>
        <v>-1.0820326628305232E-3</v>
      </c>
      <c r="AZ33" s="440">
        <f t="shared" si="43"/>
        <v>4.0381349101598074E-4</v>
      </c>
      <c r="BA33" s="440">
        <f t="shared" si="43"/>
        <v>7.2779673371691916E-3</v>
      </c>
      <c r="BB33" s="440">
        <f t="shared" si="43"/>
        <v>-4.5688018935997193E-3</v>
      </c>
      <c r="BC33" s="608">
        <f t="shared" si="5"/>
        <v>-4.5688018935997193E-2</v>
      </c>
      <c r="BD33" s="627" t="s">
        <v>440</v>
      </c>
      <c r="BE33" s="580">
        <v>41588</v>
      </c>
      <c r="BF33" s="441">
        <f t="shared" si="44"/>
        <v>3.1160239758983894</v>
      </c>
      <c r="BG33" s="440">
        <f t="shared" si="44"/>
        <v>2.3808955268888465</v>
      </c>
      <c r="BH33" s="440">
        <f t="shared" si="44"/>
        <v>6.188895526890108</v>
      </c>
      <c r="BI33" s="440">
        <f t="shared" si="44"/>
        <v>6.925005445115092</v>
      </c>
      <c r="BJ33" s="645"/>
      <c r="BK33" s="441"/>
      <c r="BL33" s="440">
        <v>0.40381349101598074</v>
      </c>
      <c r="BM33" s="440">
        <v>7.2779673371691906</v>
      </c>
      <c r="BN33" s="440"/>
      <c r="BO33" s="353">
        <v>72</v>
      </c>
      <c r="BP33" s="353">
        <f t="shared" si="9"/>
        <v>14.4</v>
      </c>
      <c r="BQ33" s="610">
        <f t="shared" si="10"/>
        <v>51.428571428571431</v>
      </c>
      <c r="BR33" s="610">
        <f t="shared" si="11"/>
        <v>19.45945945945946</v>
      </c>
      <c r="BV33" s="648"/>
      <c r="BW33" s="648"/>
      <c r="BX33" s="648"/>
      <c r="BY33" s="616" t="s">
        <v>441</v>
      </c>
      <c r="BZ33" s="617">
        <v>32</v>
      </c>
      <c r="CA33" s="608">
        <v>0.3</v>
      </c>
      <c r="CB33" s="608">
        <f t="shared" si="12"/>
        <v>3</v>
      </c>
      <c r="CC33" s="608"/>
      <c r="CD33" s="631">
        <f t="shared" si="13"/>
        <v>61.9</v>
      </c>
      <c r="CE33" s="364"/>
      <c r="CF33" s="364"/>
      <c r="CG33" s="364"/>
      <c r="CH33" s="364"/>
      <c r="CI33" s="364"/>
      <c r="CJ33" s="364"/>
      <c r="CK33" s="364"/>
      <c r="CL33" s="623"/>
      <c r="CM33" s="364"/>
      <c r="CN33" s="632" t="s">
        <v>385</v>
      </c>
      <c r="CO33" s="580">
        <f>'[3]Plots R2&gt;.75 - UPDATED'!R30</f>
        <v>41589</v>
      </c>
      <c r="CP33" s="620"/>
      <c r="CQ33" s="633">
        <v>41589</v>
      </c>
      <c r="CR33" s="641">
        <v>113698.9880108301</v>
      </c>
      <c r="CS33" s="642">
        <v>372888.74181084189</v>
      </c>
      <c r="CT33" s="642">
        <v>95302.036584198926</v>
      </c>
      <c r="CU33" s="643">
        <v>117929.84648162259</v>
      </c>
      <c r="CV33" s="513">
        <f t="shared" si="33"/>
        <v>0.26596542791673367</v>
      </c>
      <c r="CW33" s="513">
        <f t="shared" si="32"/>
        <v>0.94686486182659912</v>
      </c>
      <c r="CX33" s="513">
        <f t="shared" si="35"/>
        <v>8.1096575490981371E-2</v>
      </c>
      <c r="CY33" s="513">
        <f t="shared" si="34"/>
        <v>1.3346741592210136</v>
      </c>
      <c r="CZ33" s="513">
        <f t="shared" si="41"/>
        <v>0.31730696513797052</v>
      </c>
      <c r="DA33" s="513">
        <f t="shared" si="36"/>
        <v>2.1004024255001843</v>
      </c>
      <c r="DB33" s="513">
        <f t="shared" si="19"/>
        <v>0.25642363576477989</v>
      </c>
      <c r="DC33" s="513">
        <f t="shared" si="16"/>
        <v>-0.31188966382645933</v>
      </c>
      <c r="DD33" s="653"/>
      <c r="DE33" s="299">
        <v>41587</v>
      </c>
      <c r="DF33" s="463">
        <v>11.923403613807922</v>
      </c>
      <c r="DG33" s="463">
        <v>39.41941118659652</v>
      </c>
      <c r="DH33" s="463">
        <v>10.176225914628679</v>
      </c>
      <c r="DI33" s="463">
        <v>12.830678043330082</v>
      </c>
      <c r="DJ33" s="528"/>
      <c r="DK33" s="528">
        <v>0.23808955268888465</v>
      </c>
      <c r="DL33" s="528">
        <v>0.6188895526890108</v>
      </c>
      <c r="DM33" s="546"/>
      <c r="DN33" s="528">
        <f t="shared" si="37"/>
        <v>0</v>
      </c>
      <c r="DO33" s="528">
        <f t="shared" si="38"/>
        <v>2.3808955268888465</v>
      </c>
      <c r="DP33" s="528">
        <f t="shared" si="39"/>
        <v>6.188895526890108</v>
      </c>
      <c r="DQ33" s="528">
        <f t="shared" si="40"/>
        <v>0</v>
      </c>
      <c r="DR33" s="463">
        <v>0.31160239758983893</v>
      </c>
      <c r="DS33" s="463">
        <v>0.23808955268888465</v>
      </c>
      <c r="DT33" s="463">
        <v>0.6188895526890108</v>
      </c>
      <c r="DU33" s="463">
        <v>0.69250054451150922</v>
      </c>
      <c r="DV33" s="463">
        <v>0.9615609672864438</v>
      </c>
      <c r="DW33" s="463">
        <v>0.91539453249542735</v>
      </c>
      <c r="DX33" s="463">
        <v>2.357247889535663</v>
      </c>
      <c r="DY33" s="463">
        <v>-0.80884284270011353</v>
      </c>
      <c r="DZ33" s="463">
        <v>0.9615609672864438</v>
      </c>
      <c r="EA33" s="463">
        <v>0.91539453249542735</v>
      </c>
      <c r="EB33" s="463">
        <v>2.357247889535663</v>
      </c>
      <c r="EC33" s="463">
        <v>-0.80884284270011353</v>
      </c>
      <c r="ED33" s="463">
        <f t="shared" si="24"/>
        <v>9.6156096728644371</v>
      </c>
      <c r="EE33" s="463">
        <f t="shared" si="25"/>
        <v>9.1539453249542735</v>
      </c>
      <c r="EF33" s="463">
        <f t="shared" si="26"/>
        <v>23.572478895356632</v>
      </c>
      <c r="EG33" s="463">
        <f t="shared" si="27"/>
        <v>-8.0884284270011353</v>
      </c>
      <c r="EH33" s="528">
        <f>'[3]Plots R2&gt;.75 - UPDATED'!S30</f>
        <v>2.4248004524185611</v>
      </c>
      <c r="EI33" s="528">
        <f>'[3]Plots R2&gt;.75 - UPDATED'!T30</f>
        <v>3.0709004524185612</v>
      </c>
      <c r="EJ33" s="528">
        <f>'[3]Plots R2&gt;.75 - UPDATED'!U30</f>
        <v>3.2278004524185606</v>
      </c>
      <c r="EK33" s="546">
        <f>'[3]Plots R2&gt;.75 - UPDATED'!V30</f>
        <v>2.8217004524185607</v>
      </c>
      <c r="EL33" s="676">
        <v>0</v>
      </c>
      <c r="EM33" s="494">
        <v>0</v>
      </c>
      <c r="EN33" s="299">
        <v>41587</v>
      </c>
      <c r="EO33" s="528">
        <v>2.4248004524185611</v>
      </c>
      <c r="EP33" s="528">
        <v>3.0709004524185612</v>
      </c>
      <c r="EQ33" s="528">
        <v>3.2278004524185606</v>
      </c>
      <c r="ER33" s="546">
        <v>2.8217004524185607</v>
      </c>
      <c r="GN33" s="640"/>
      <c r="GO33" s="640"/>
      <c r="GP33" s="640"/>
      <c r="GQ33" s="640"/>
      <c r="GR33" s="640"/>
      <c r="GS33" s="640"/>
      <c r="GT33" s="640"/>
      <c r="GU33" s="640"/>
      <c r="GV33" s="640"/>
      <c r="HF33" s="559">
        <v>0.23414157189432708</v>
      </c>
      <c r="HG33" s="559">
        <v>0.27377977502885031</v>
      </c>
      <c r="HH33" s="450"/>
      <c r="HI33" s="450"/>
      <c r="HJ33" s="598"/>
      <c r="HK33" s="598"/>
      <c r="HL33" s="599">
        <v>0.20803217321788103</v>
      </c>
      <c r="HM33" s="599">
        <v>-0.35374366456822248</v>
      </c>
    </row>
    <row r="34" spans="8:221" ht="16">
      <c r="H34" s="431"/>
      <c r="J34" s="580">
        <v>41571</v>
      </c>
      <c r="K34" s="581">
        <v>0</v>
      </c>
      <c r="L34" s="582">
        <v>13.247400000000001</v>
      </c>
      <c r="M34" s="582">
        <v>12.784599999999999</v>
      </c>
      <c r="N34" s="582">
        <v>13.809100000000001</v>
      </c>
      <c r="O34" s="582">
        <v>13.231299999999999</v>
      </c>
      <c r="P34" s="582">
        <v>98.413899999999998</v>
      </c>
      <c r="Q34" s="582">
        <v>10.062766232262414</v>
      </c>
      <c r="R34" s="582">
        <v>2.9996337677375871</v>
      </c>
      <c r="S34" s="582">
        <v>3.371833767737586</v>
      </c>
      <c r="T34" s="582">
        <v>3.9363337677375876</v>
      </c>
      <c r="U34" s="582">
        <v>3.4385337677375851</v>
      </c>
      <c r="W34" s="580">
        <v>41589</v>
      </c>
      <c r="X34" s="582">
        <f t="shared" si="6"/>
        <v>2.4251888741874867</v>
      </c>
      <c r="Y34" s="582">
        <f t="shared" si="0"/>
        <v>3.071296566495179</v>
      </c>
      <c r="Z34" s="582">
        <f t="shared" si="0"/>
        <v>3.2279581049567181</v>
      </c>
      <c r="AA34" s="582">
        <f t="shared" si="0"/>
        <v>3.1120581049567173</v>
      </c>
      <c r="AB34" s="606"/>
      <c r="AC34" s="441">
        <f t="shared" si="1"/>
        <v>3.7133573998989977E-2</v>
      </c>
      <c r="AD34" s="440">
        <f t="shared" si="2"/>
        <v>2.1087420152835268E-2</v>
      </c>
      <c r="AE34" s="440">
        <f t="shared" si="3"/>
        <v>4.1748958614374665E-2</v>
      </c>
      <c r="AF34" s="440">
        <f t="shared" si="4"/>
        <v>3.8910497075913764E-2</v>
      </c>
      <c r="AG34" s="633">
        <v>41589</v>
      </c>
      <c r="AH34" s="560">
        <v>-2.3117732177310411E-2</v>
      </c>
      <c r="AI34" s="513">
        <v>-6.3028118145419601E-3</v>
      </c>
      <c r="AJ34" s="513">
        <v>-9.0535132579829484E-3</v>
      </c>
      <c r="AK34" s="513">
        <v>-2.4328094531156485E-2</v>
      </c>
      <c r="AL34" s="634"/>
      <c r="AM34" s="441">
        <v>-2.3600000000000001E-5</v>
      </c>
      <c r="AN34" s="440">
        <v>-1.19E-5</v>
      </c>
      <c r="AO34" s="440">
        <v>-2.3499999999999999E-5</v>
      </c>
      <c r="AP34" s="440">
        <v>-1.98E-5</v>
      </c>
      <c r="AR34" s="441">
        <f t="shared" si="42"/>
        <v>3.3984E-2</v>
      </c>
      <c r="AS34" s="440">
        <f t="shared" si="42"/>
        <v>1.7135999999999998E-2</v>
      </c>
      <c r="AT34" s="440">
        <f t="shared" si="42"/>
        <v>3.3839999999999995E-2</v>
      </c>
      <c r="AU34" s="440">
        <f t="shared" si="42"/>
        <v>2.8511999999999999E-2</v>
      </c>
      <c r="AV34" s="633">
        <v>41589</v>
      </c>
      <c r="AW34" s="644"/>
      <c r="AX34" s="608">
        <v>0</v>
      </c>
      <c r="AY34" s="441">
        <f t="shared" si="43"/>
        <v>3.1495739989899768E-3</v>
      </c>
      <c r="AZ34" s="440">
        <f t="shared" si="43"/>
        <v>3.9514201528352694E-3</v>
      </c>
      <c r="BA34" s="440">
        <f t="shared" si="43"/>
        <v>7.9089586143746698E-3</v>
      </c>
      <c r="BB34" s="440">
        <f t="shared" si="43"/>
        <v>1.0398497075913764E-2</v>
      </c>
      <c r="BC34" s="608">
        <f t="shared" si="5"/>
        <v>0.10398497075913765</v>
      </c>
      <c r="BD34" s="627" t="s">
        <v>442</v>
      </c>
      <c r="BE34" s="580">
        <v>41589</v>
      </c>
      <c r="BF34" s="441">
        <f t="shared" si="44"/>
        <v>3.0002586144741872</v>
      </c>
      <c r="BG34" s="440">
        <f t="shared" si="44"/>
        <v>0.42599317592068253</v>
      </c>
      <c r="BH34" s="440">
        <f t="shared" si="44"/>
        <v>7.5539931759207191</v>
      </c>
      <c r="BI34" s="440">
        <f t="shared" si="44"/>
        <v>8.6486320297942001</v>
      </c>
      <c r="BJ34" s="645"/>
      <c r="BK34" s="441">
        <v>3.1495739989899767</v>
      </c>
      <c r="BL34" s="440">
        <v>3.9514201528352695</v>
      </c>
      <c r="BM34" s="440">
        <v>7.9089586143746704</v>
      </c>
      <c r="BN34" s="440">
        <v>10.398497075913763</v>
      </c>
      <c r="BO34" s="353">
        <v>75</v>
      </c>
      <c r="BP34" s="353">
        <f t="shared" si="9"/>
        <v>15</v>
      </c>
      <c r="BQ34" s="610">
        <f t="shared" si="10"/>
        <v>53.571428571428577</v>
      </c>
      <c r="BR34" s="610">
        <f t="shared" si="11"/>
        <v>20.27027027027027</v>
      </c>
      <c r="BV34" s="648"/>
      <c r="BW34" s="648"/>
      <c r="BX34" s="648"/>
      <c r="BY34" s="616" t="s">
        <v>443</v>
      </c>
      <c r="BZ34" s="617">
        <v>31</v>
      </c>
      <c r="CA34" s="608">
        <v>0</v>
      </c>
      <c r="CB34" s="608">
        <f t="shared" si="12"/>
        <v>0</v>
      </c>
      <c r="CC34" s="608"/>
      <c r="CD34" s="631">
        <f t="shared" si="13"/>
        <v>61.9</v>
      </c>
      <c r="CE34" s="364"/>
      <c r="CF34" s="364"/>
      <c r="CG34" s="364"/>
      <c r="CH34" s="364"/>
      <c r="CI34" s="364"/>
      <c r="CJ34" s="364"/>
      <c r="CK34" s="364"/>
      <c r="CL34" s="623"/>
      <c r="CM34" s="364"/>
      <c r="CN34" s="632" t="s">
        <v>388</v>
      </c>
      <c r="CO34" s="580">
        <f>'[3]Plots R2&gt;.75 - UPDATED'!R31</f>
        <v>41590</v>
      </c>
      <c r="CP34" s="620"/>
      <c r="CQ34" s="633">
        <v>41590</v>
      </c>
      <c r="CR34" s="641">
        <v>111794.03962990978</v>
      </c>
      <c r="CS34" s="642">
        <v>365657.77153401781</v>
      </c>
      <c r="CT34" s="642">
        <v>93108.196154399266</v>
      </c>
      <c r="CU34" s="643">
        <v>112794.38263515738</v>
      </c>
      <c r="CV34" s="513">
        <f t="shared" si="33"/>
        <v>0.27049742633961926</v>
      </c>
      <c r="CW34" s="513">
        <f t="shared" si="32"/>
        <v>0.81612935592933955</v>
      </c>
      <c r="CX34" s="570">
        <f t="shared" si="35"/>
        <v>8.2700279753760722E-2</v>
      </c>
      <c r="CY34" s="570">
        <f t="shared" si="34"/>
        <v>1.000618538792043</v>
      </c>
      <c r="CZ34" s="570">
        <f t="shared" si="41"/>
        <v>0.32478343743072496</v>
      </c>
      <c r="DA34" s="570">
        <f t="shared" si="36"/>
        <v>2.1538652367709799</v>
      </c>
      <c r="DB34" s="513">
        <f t="shared" si="19"/>
        <v>0.26809845750753158</v>
      </c>
      <c r="DC34" s="513">
        <f t="shared" si="16"/>
        <v>0.15029208937682004</v>
      </c>
      <c r="DD34" s="653"/>
      <c r="DE34" s="299">
        <v>41588</v>
      </c>
      <c r="DF34" s="463">
        <v>11.754989206410977</v>
      </c>
      <c r="DG34" s="463">
        <v>38.674189466858891</v>
      </c>
      <c r="DH34" s="463">
        <v>9.9559080431165672</v>
      </c>
      <c r="DI34" s="463">
        <v>12.487782621366398</v>
      </c>
      <c r="DJ34" s="528"/>
      <c r="DK34" s="528">
        <v>4.2599317592068253E-2</v>
      </c>
      <c r="DL34" s="528">
        <v>0.75539931759207191</v>
      </c>
      <c r="DM34" s="546"/>
      <c r="DN34" s="528">
        <f t="shared" si="37"/>
        <v>0</v>
      </c>
      <c r="DO34" s="528">
        <f t="shared" si="38"/>
        <v>0.42599317592068253</v>
      </c>
      <c r="DP34" s="528">
        <f t="shared" si="39"/>
        <v>7.5539931759207191</v>
      </c>
      <c r="DQ34" s="528">
        <f t="shared" si="40"/>
        <v>0</v>
      </c>
      <c r="DR34" s="463">
        <v>0.30002586144741872</v>
      </c>
      <c r="DS34" s="463">
        <v>4.2599317592068253E-2</v>
      </c>
      <c r="DT34" s="463">
        <v>0.75539931759207191</v>
      </c>
      <c r="DU34" s="463">
        <v>0.8648632029794201</v>
      </c>
      <c r="DV34" s="463">
        <v>1.2128302897433327</v>
      </c>
      <c r="DW34" s="463">
        <v>1.415770734711995</v>
      </c>
      <c r="DX34" s="463">
        <v>2.4177093906381546</v>
      </c>
      <c r="DY34" s="463">
        <v>-0.56831329959123922</v>
      </c>
      <c r="DZ34" s="463">
        <v>1.2128302897433327</v>
      </c>
      <c r="EA34" s="463">
        <v>1.415770734711995</v>
      </c>
      <c r="EB34" s="463">
        <v>2.4177093906381546</v>
      </c>
      <c r="EC34" s="463">
        <v>-0.56831329959123922</v>
      </c>
      <c r="ED34" s="463">
        <f t="shared" si="24"/>
        <v>12.128302897433327</v>
      </c>
      <c r="EE34" s="463">
        <f t="shared" si="25"/>
        <v>14.157707347119949</v>
      </c>
      <c r="EF34" s="463">
        <f t="shared" si="26"/>
        <v>24.177093906381547</v>
      </c>
      <c r="EG34" s="463">
        <f t="shared" si="27"/>
        <v>-5.6831329959123922</v>
      </c>
      <c r="EH34" s="528">
        <f>'[3]Plots R2&gt;.75 - UPDATED'!S31</f>
        <v>2.3878161938040869</v>
      </c>
      <c r="EI34" s="528">
        <f>'[3]Plots R2&gt;.75 - UPDATED'!T31</f>
        <v>3.0501161938040884</v>
      </c>
      <c r="EJ34" s="528">
        <f>'[3]Plots R2&gt;.75 - UPDATED'!U31</f>
        <v>3.1861161938040867</v>
      </c>
      <c r="EK34" s="546">
        <f>'[3]Plots R2&gt;.75 - UPDATED'!V31</f>
        <v>2.7828161938040874</v>
      </c>
      <c r="EL34" s="676">
        <v>0</v>
      </c>
      <c r="EM34" s="496">
        <v>0</v>
      </c>
      <c r="EN34" s="299">
        <v>41588</v>
      </c>
      <c r="EO34" s="528">
        <v>2.3878161938040869</v>
      </c>
      <c r="EP34" s="528">
        <v>3.0501161938040884</v>
      </c>
      <c r="EQ34" s="528">
        <v>3.1861161938040867</v>
      </c>
      <c r="ER34" s="546">
        <v>2.7828161938040874</v>
      </c>
      <c r="GN34" s="640"/>
      <c r="GO34" s="640"/>
      <c r="GP34" s="640"/>
      <c r="GQ34" s="640"/>
      <c r="GR34" s="640"/>
      <c r="GS34" s="640"/>
      <c r="GT34" s="640"/>
      <c r="GU34" s="640"/>
      <c r="GV34" s="640"/>
      <c r="HF34" s="559">
        <v>0.23670087680469415</v>
      </c>
      <c r="HG34" s="559">
        <v>5.0117445422527274E-2</v>
      </c>
      <c r="HH34" s="569">
        <v>7.1131665065171101E-2</v>
      </c>
      <c r="HI34" s="569">
        <v>0.50162206402235088</v>
      </c>
      <c r="HJ34" s="598"/>
      <c r="HK34" s="598"/>
      <c r="HL34" s="599">
        <v>0.2120709009937024</v>
      </c>
      <c r="HM34" s="599">
        <v>-1.2060154629979101</v>
      </c>
    </row>
    <row r="35" spans="8:221" ht="16">
      <c r="H35" s="431"/>
      <c r="J35" s="580">
        <v>41572</v>
      </c>
      <c r="K35" s="581">
        <v>0</v>
      </c>
      <c r="L35" s="582">
        <v>13.206</v>
      </c>
      <c r="M35" s="582">
        <v>12.761200000000001</v>
      </c>
      <c r="N35" s="582">
        <v>13.7529</v>
      </c>
      <c r="O35" s="582">
        <v>13.2098</v>
      </c>
      <c r="P35" s="582">
        <v>98.387600000000006</v>
      </c>
      <c r="Q35" s="582">
        <v>10.060077071971962</v>
      </c>
      <c r="R35" s="582">
        <v>2.9609229280280371</v>
      </c>
      <c r="S35" s="582">
        <v>3.3511229280280386</v>
      </c>
      <c r="T35" s="582">
        <v>3.8828229280280384</v>
      </c>
      <c r="U35" s="582">
        <v>3.4197229280280368</v>
      </c>
      <c r="W35" s="580">
        <v>41590</v>
      </c>
      <c r="X35" s="582">
        <f t="shared" si="6"/>
        <v>2.3880553001884968</v>
      </c>
      <c r="Y35" s="582">
        <f t="shared" si="0"/>
        <v>3.0502091463423437</v>
      </c>
      <c r="Z35" s="582">
        <f t="shared" si="0"/>
        <v>3.1862091463423434</v>
      </c>
      <c r="AA35" s="582">
        <f t="shared" si="0"/>
        <v>3.0731476078808035</v>
      </c>
      <c r="AB35" s="606"/>
      <c r="AC35" s="441">
        <f t="shared" si="1"/>
        <v>3.5082017887912542E-2</v>
      </c>
      <c r="AD35" s="442">
        <f t="shared" si="2"/>
        <v>2.3035864041759169E-2</v>
      </c>
      <c r="AE35" s="442">
        <f t="shared" si="3"/>
        <v>3.4612787118681432E-2</v>
      </c>
      <c r="AF35" s="440">
        <f t="shared" si="4"/>
        <v>2.2820479426373996E-2</v>
      </c>
      <c r="AG35" s="633">
        <v>41590</v>
      </c>
      <c r="AH35" s="560">
        <v>-2.294608505616243E-2</v>
      </c>
      <c r="AI35" s="570">
        <v>-6.1659802958990784E-3</v>
      </c>
      <c r="AJ35" s="570">
        <v>-9.0156439071119344E-3</v>
      </c>
      <c r="AK35" s="513">
        <v>-2.4108690289370575E-2</v>
      </c>
      <c r="AL35" s="634"/>
      <c r="AM35" s="441">
        <v>-2.3900000000000002E-5</v>
      </c>
      <c r="AN35" s="442">
        <v>-1.5E-5</v>
      </c>
      <c r="AO35" s="442">
        <v>-2.3900000000000002E-5</v>
      </c>
      <c r="AP35" s="440">
        <v>-2.4000000000000001E-5</v>
      </c>
      <c r="AR35" s="441">
        <f t="shared" si="42"/>
        <v>3.4416000000000002E-2</v>
      </c>
      <c r="AS35" s="442">
        <f t="shared" si="42"/>
        <v>2.1600000000000001E-2</v>
      </c>
      <c r="AT35" s="442">
        <f t="shared" si="42"/>
        <v>3.4416000000000002E-2</v>
      </c>
      <c r="AU35" s="440">
        <f t="shared" si="42"/>
        <v>3.456E-2</v>
      </c>
      <c r="AV35" s="633">
        <v>41590</v>
      </c>
      <c r="AW35" s="644"/>
      <c r="AX35" s="608">
        <v>0</v>
      </c>
      <c r="AY35" s="441">
        <f t="shared" si="43"/>
        <v>6.6601788791254002E-4</v>
      </c>
      <c r="AZ35" s="442">
        <f t="shared" si="43"/>
        <v>1.4358640417591675E-3</v>
      </c>
      <c r="BA35" s="442">
        <f t="shared" si="43"/>
        <v>1.9678711868142962E-4</v>
      </c>
      <c r="BB35" s="440">
        <f t="shared" si="43"/>
        <v>-1.1739520573626004E-2</v>
      </c>
      <c r="BC35" s="608">
        <f t="shared" si="5"/>
        <v>-0.11739520573626004</v>
      </c>
      <c r="BD35" s="627" t="s">
        <v>444</v>
      </c>
      <c r="BE35" s="580">
        <v>41590</v>
      </c>
      <c r="BF35" s="441">
        <f t="shared" si="44"/>
        <v>3.000258614474185</v>
      </c>
      <c r="BG35" s="442">
        <f t="shared" si="44"/>
        <v>3.6482586144728635</v>
      </c>
      <c r="BH35" s="442">
        <f t="shared" si="44"/>
        <v>7.8442586144738957</v>
      </c>
      <c r="BI35" s="440">
        <f t="shared" si="44"/>
        <v>10.37225861447331</v>
      </c>
      <c r="BJ35" s="645"/>
      <c r="BK35" s="441">
        <v>0.66601788791254002</v>
      </c>
      <c r="BL35" s="442">
        <v>1.4358640417591675</v>
      </c>
      <c r="BM35" s="442">
        <v>0.19678711868142962</v>
      </c>
      <c r="BN35" s="440"/>
      <c r="BO35" s="353">
        <v>74</v>
      </c>
      <c r="BP35" s="353">
        <f t="shared" si="9"/>
        <v>14.8</v>
      </c>
      <c r="BQ35" s="610">
        <f t="shared" si="10"/>
        <v>52.857142857142861</v>
      </c>
      <c r="BR35" s="610">
        <f t="shared" si="11"/>
        <v>20</v>
      </c>
      <c r="BV35" s="648"/>
      <c r="BW35" s="648"/>
      <c r="BX35" s="648"/>
      <c r="BY35" s="616" t="s">
        <v>445</v>
      </c>
      <c r="BZ35" s="617">
        <v>31</v>
      </c>
      <c r="CA35" s="608">
        <v>0.51</v>
      </c>
      <c r="CB35" s="608">
        <f t="shared" si="12"/>
        <v>5.0999999999999996</v>
      </c>
      <c r="CC35" s="608"/>
      <c r="CD35" s="631">
        <f t="shared" si="13"/>
        <v>67</v>
      </c>
      <c r="CE35" s="364"/>
      <c r="CF35" s="364"/>
      <c r="CG35" s="364"/>
      <c r="CH35" s="364"/>
      <c r="CI35" s="364"/>
      <c r="CJ35" s="364"/>
      <c r="CK35" s="364"/>
      <c r="CL35" s="623"/>
      <c r="CM35" s="364"/>
      <c r="CN35" s="632" t="s">
        <v>391</v>
      </c>
      <c r="CO35" s="580">
        <f>'[3]Plots R2&gt;.75 - UPDATED'!R32</f>
        <v>41591</v>
      </c>
      <c r="CP35" s="620"/>
      <c r="CQ35" s="633">
        <v>41591</v>
      </c>
      <c r="CR35" s="596">
        <v>109998.06796887927</v>
      </c>
      <c r="CS35" s="597">
        <v>357688.20121335017</v>
      </c>
      <c r="CT35" s="597">
        <v>91313.677200865495</v>
      </c>
      <c r="CU35" s="621">
        <v>109917.15605031245</v>
      </c>
      <c r="CV35" s="450"/>
      <c r="CW35" s="450"/>
      <c r="CX35" s="570">
        <f t="shared" si="35"/>
        <v>8.454290607691238E-2</v>
      </c>
      <c r="CY35" s="570">
        <f t="shared" si="34"/>
        <v>1.45885906433318</v>
      </c>
      <c r="CZ35" s="570">
        <f t="shared" si="41"/>
        <v>0.33116616181692193</v>
      </c>
      <c r="DA35" s="570">
        <f t="shared" si="36"/>
        <v>1.5936847903590532</v>
      </c>
      <c r="DB35" s="450"/>
      <c r="DC35" s="450"/>
      <c r="DD35" s="622"/>
      <c r="DE35" s="299">
        <v>41589</v>
      </c>
      <c r="DF35" s="463">
        <v>11.56808407751034</v>
      </c>
      <c r="DG35" s="463">
        <v>38.029537150278358</v>
      </c>
      <c r="DH35" s="463">
        <v>9.7472133513332704</v>
      </c>
      <c r="DI35" s="463">
        <v>12.164620334936068</v>
      </c>
      <c r="DJ35" s="528">
        <v>0.3000258614474185</v>
      </c>
      <c r="DK35" s="528">
        <v>0.36482586144728635</v>
      </c>
      <c r="DL35" s="528">
        <v>0.78442586144738957</v>
      </c>
      <c r="DM35" s="546">
        <v>1.0372258614473311</v>
      </c>
      <c r="DN35" s="528">
        <f t="shared" si="37"/>
        <v>3.000258614474185</v>
      </c>
      <c r="DO35" s="528">
        <f t="shared" si="38"/>
        <v>3.6482586144728635</v>
      </c>
      <c r="DP35" s="528">
        <f t="shared" si="39"/>
        <v>7.8442586144738957</v>
      </c>
      <c r="DQ35" s="528">
        <f t="shared" si="40"/>
        <v>10.37225861447331</v>
      </c>
      <c r="DR35" s="463">
        <v>0.3000258614474185</v>
      </c>
      <c r="DS35" s="463">
        <v>0.36482586144728635</v>
      </c>
      <c r="DT35" s="463">
        <v>0.78442586144738957</v>
      </c>
      <c r="DU35" s="463">
        <v>1.0372258614473311</v>
      </c>
      <c r="DV35" s="463">
        <v>1.0866267822689588</v>
      </c>
      <c r="DW35" s="463">
        <v>1.0833188185458038</v>
      </c>
      <c r="DX35" s="463">
        <v>2.4786486742017049</v>
      </c>
      <c r="DY35" s="463">
        <v>0.41839054688435162</v>
      </c>
      <c r="DZ35" s="463">
        <v>1.0866267822689588</v>
      </c>
      <c r="EA35" s="463">
        <v>1.0833188185458038</v>
      </c>
      <c r="EB35" s="463">
        <v>2.4786486742017049</v>
      </c>
      <c r="EC35" s="463">
        <v>0.41839054688435162</v>
      </c>
      <c r="ED35" s="463">
        <f t="shared" si="24"/>
        <v>10.866267822689588</v>
      </c>
      <c r="EE35" s="463">
        <f t="shared" si="25"/>
        <v>10.833188185458038</v>
      </c>
      <c r="EF35" s="463">
        <f t="shared" si="26"/>
        <v>24.786486742017047</v>
      </c>
      <c r="EG35" s="463">
        <f t="shared" si="27"/>
        <v>4.1839054688435162</v>
      </c>
      <c r="EH35" s="528">
        <f>'[3]Plots R2&gt;.75 - UPDATED'!S32</f>
        <v>2.3528955413438131</v>
      </c>
      <c r="EI35" s="528">
        <f>'[3]Plots R2&gt;.75 - UPDATED'!T32</f>
        <v>3.0268955413438121</v>
      </c>
      <c r="EJ35" s="528">
        <f>'[3]Plots R2&gt;.75 - UPDATED'!U32</f>
        <v>3.1516955413438135</v>
      </c>
      <c r="EK35" s="546">
        <f>'[3]Plots R2&gt;.75 - UPDATED'!V32</f>
        <v>2.7604955413438126</v>
      </c>
      <c r="EL35" s="676">
        <v>0</v>
      </c>
      <c r="EM35" s="494">
        <v>4</v>
      </c>
      <c r="EN35" s="299">
        <v>41589</v>
      </c>
      <c r="EO35" s="528">
        <v>2.3528955413438131</v>
      </c>
      <c r="EP35" s="528">
        <v>3.0268955413438121</v>
      </c>
      <c r="EQ35" s="528">
        <v>3.1516955413438135</v>
      </c>
      <c r="ER35" s="546">
        <v>2.7604955413438126</v>
      </c>
      <c r="GN35" s="640"/>
      <c r="GO35" s="640"/>
      <c r="GP35" s="640"/>
      <c r="GQ35" s="640"/>
      <c r="GR35" s="640"/>
      <c r="GS35" s="640"/>
      <c r="GT35" s="640"/>
      <c r="GU35" s="640"/>
      <c r="GV35" s="640"/>
      <c r="HF35" s="559">
        <v>0.24034207793189077</v>
      </c>
      <c r="HG35" s="559">
        <v>1.2549628958581041</v>
      </c>
      <c r="HH35" s="569">
        <v>7.2370187076419457E-2</v>
      </c>
      <c r="HI35" s="569">
        <v>0.48470291656203784</v>
      </c>
      <c r="HJ35" s="599">
        <v>0.2724397046776002</v>
      </c>
      <c r="HK35" s="599">
        <v>2.131718245697876</v>
      </c>
      <c r="HL35" s="599">
        <v>0.21677055095451458</v>
      </c>
      <c r="HM35" s="599">
        <v>-0.87739563153021249</v>
      </c>
    </row>
    <row r="36" spans="8:221" ht="16">
      <c r="H36" s="431"/>
      <c r="J36" s="580">
        <v>41573</v>
      </c>
      <c r="K36" s="581">
        <v>0</v>
      </c>
      <c r="L36" s="582">
        <v>13.164999999999999</v>
      </c>
      <c r="M36" s="582">
        <v>12.7468</v>
      </c>
      <c r="N36" s="582">
        <v>13.702999999999999</v>
      </c>
      <c r="O36" s="582">
        <v>13.2042</v>
      </c>
      <c r="P36" s="582">
        <v>98.4315</v>
      </c>
      <c r="Q36" s="582">
        <v>10.064565822418761</v>
      </c>
      <c r="R36" s="582">
        <v>2.9154341775812385</v>
      </c>
      <c r="S36" s="582">
        <v>3.3322341775812401</v>
      </c>
      <c r="T36" s="582">
        <v>3.8284341775812392</v>
      </c>
      <c r="U36" s="582">
        <v>3.4096341775812391</v>
      </c>
      <c r="W36" s="580">
        <v>41591</v>
      </c>
      <c r="X36" s="582">
        <f t="shared" si="6"/>
        <v>2.3529732823005842</v>
      </c>
      <c r="Y36" s="582">
        <f t="shared" si="0"/>
        <v>3.0271732823005846</v>
      </c>
      <c r="Z36" s="582">
        <f t="shared" si="0"/>
        <v>3.151596359223662</v>
      </c>
      <c r="AA36" s="582">
        <f t="shared" si="0"/>
        <v>3.0503271284544295</v>
      </c>
      <c r="AB36" s="606"/>
      <c r="AC36" s="436">
        <f t="shared" si="1"/>
        <v>3.0386483073934656E-2</v>
      </c>
      <c r="AD36" s="442">
        <f t="shared" si="2"/>
        <v>2.0817252304703882E-2</v>
      </c>
      <c r="AE36" s="442">
        <f t="shared" si="3"/>
        <v>3.1301867689319529E-2</v>
      </c>
      <c r="AF36" s="437">
        <f t="shared" si="4"/>
        <v>1.9032636920088386E-2</v>
      </c>
      <c r="AG36" s="633">
        <v>41591</v>
      </c>
      <c r="AH36" s="509">
        <v>-2.2778001994290361E-2</v>
      </c>
      <c r="AI36" s="570">
        <v>-6.0047328439775333E-3</v>
      </c>
      <c r="AJ36" s="570">
        <v>-8.981325351694441E-3</v>
      </c>
      <c r="AK36" s="510">
        <v>-2.395806394691467E-2</v>
      </c>
      <c r="AL36" s="634"/>
      <c r="AM36" s="436"/>
      <c r="AN36" s="442">
        <v>-1.5E-5</v>
      </c>
      <c r="AO36" s="442">
        <v>-8.1799999999999996E-6</v>
      </c>
      <c r="AP36" s="437"/>
      <c r="AR36" s="436"/>
      <c r="AS36" s="442">
        <f t="shared" si="42"/>
        <v>2.1600000000000001E-2</v>
      </c>
      <c r="AT36" s="442">
        <f t="shared" si="42"/>
        <v>1.17792E-2</v>
      </c>
      <c r="AU36" s="437"/>
      <c r="AV36" s="633">
        <v>41591</v>
      </c>
      <c r="AW36" s="626"/>
      <c r="AX36" s="608">
        <v>0</v>
      </c>
      <c r="AY36" s="436"/>
      <c r="AZ36" s="442">
        <f t="shared" ref="AZ36:BA38" si="45">AD36-AS36</f>
        <v>-7.8274769529611959E-4</v>
      </c>
      <c r="BA36" s="442">
        <f t="shared" si="45"/>
        <v>1.9522667689319529E-2</v>
      </c>
      <c r="BB36" s="437"/>
      <c r="BC36" s="608">
        <f t="shared" si="5"/>
        <v>0</v>
      </c>
      <c r="BD36" s="627" t="s">
        <v>446</v>
      </c>
      <c r="BE36" s="580">
        <v>41591</v>
      </c>
      <c r="BF36" s="436"/>
      <c r="BG36" s="442">
        <f t="shared" ref="BG36:BH38" si="46">DS36*10</f>
        <v>1.6206524602762684</v>
      </c>
      <c r="BH36" s="442">
        <f t="shared" si="46"/>
        <v>6.1564990314015757</v>
      </c>
      <c r="BI36" s="437"/>
      <c r="BJ36" s="628"/>
      <c r="BK36" s="436"/>
      <c r="BL36" s="442"/>
      <c r="BM36" s="442">
        <v>19.52266768931953</v>
      </c>
      <c r="BN36" s="437"/>
      <c r="BO36" s="353">
        <v>66</v>
      </c>
      <c r="BP36" s="353">
        <f t="shared" si="9"/>
        <v>13.2</v>
      </c>
      <c r="BQ36" s="610">
        <f t="shared" si="10"/>
        <v>47.142857142857146</v>
      </c>
      <c r="BR36" s="610">
        <f t="shared" si="11"/>
        <v>17.837837837837839</v>
      </c>
      <c r="BT36" s="648"/>
      <c r="BU36" s="648"/>
      <c r="BV36" s="648"/>
      <c r="BW36" s="648"/>
      <c r="BX36" s="648"/>
      <c r="BY36" s="616" t="s">
        <v>447</v>
      </c>
      <c r="BZ36" s="617">
        <v>30</v>
      </c>
      <c r="CA36" s="608">
        <v>1.5</v>
      </c>
      <c r="CB36" s="608">
        <f t="shared" si="12"/>
        <v>15</v>
      </c>
      <c r="CC36" s="608"/>
      <c r="CD36" s="631">
        <f t="shared" si="13"/>
        <v>82</v>
      </c>
      <c r="CE36" s="364"/>
      <c r="CF36" s="364"/>
      <c r="CG36" s="364"/>
      <c r="CH36" s="364"/>
      <c r="CI36" s="364"/>
      <c r="CJ36" s="364"/>
      <c r="CK36" s="364"/>
      <c r="CL36" s="623"/>
      <c r="CM36" s="364"/>
      <c r="CN36" s="632" t="s">
        <v>394</v>
      </c>
      <c r="CO36" s="580">
        <f>'[3]Plots R2&gt;.75 - UPDATED'!R33</f>
        <v>41592</v>
      </c>
      <c r="CP36" s="620"/>
      <c r="CQ36" s="633">
        <v>41592</v>
      </c>
      <c r="CR36" s="641">
        <v>108476.74769374647</v>
      </c>
      <c r="CS36" s="642">
        <v>350774.12503886863</v>
      </c>
      <c r="CT36" s="642">
        <v>89704.501397048793</v>
      </c>
      <c r="CU36" s="643">
        <v>107505.52180232169</v>
      </c>
      <c r="CV36" s="513">
        <f t="shared" si="33"/>
        <v>0.2787694196490304</v>
      </c>
      <c r="CW36" s="513">
        <f>IF(ABS(DV37)&lt;=CV36,0,IF(DV37&gt;0,DV37-CV36,DV37+CV36))</f>
        <v>0.49621377570370689</v>
      </c>
      <c r="CX36" s="570">
        <f t="shared" si="35"/>
        <v>8.6209323440402455E-2</v>
      </c>
      <c r="CY36" s="570">
        <f t="shared" si="34"/>
        <v>1.539898054319897</v>
      </c>
      <c r="CZ36" s="570">
        <f t="shared" si="41"/>
        <v>0.33710682885524479</v>
      </c>
      <c r="DA36" s="570">
        <f t="shared" si="36"/>
        <v>1.8299517022007481</v>
      </c>
      <c r="DB36" s="513">
        <f t="shared" si="19"/>
        <v>0.28128787705997566</v>
      </c>
      <c r="DC36" s="513">
        <f>IF(ABS(DY37)&lt;=DB36,0,IF(DY37&gt;0,DY37-DB36,DY37+DB36))</f>
        <v>-0.75490576064155457</v>
      </c>
      <c r="DD36" s="653"/>
      <c r="DE36" s="299">
        <v>41590</v>
      </c>
      <c r="DF36" s="463">
        <v>11.369898801083011</v>
      </c>
      <c r="DG36" s="463">
        <v>37.288874181084189</v>
      </c>
      <c r="DH36" s="463">
        <v>9.530203658419893</v>
      </c>
      <c r="DI36" s="463">
        <v>11.792984648162259</v>
      </c>
      <c r="DJ36" s="528">
        <v>5.046524602738689E-2</v>
      </c>
      <c r="DK36" s="528">
        <v>0.16206524602762684</v>
      </c>
      <c r="DL36" s="528">
        <v>4.6524602732578302E-4</v>
      </c>
      <c r="DM36" s="546"/>
      <c r="DN36" s="528">
        <f t="shared" si="37"/>
        <v>0.5046524602738689</v>
      </c>
      <c r="DO36" s="528">
        <f t="shared" si="38"/>
        <v>1.6206524602762684</v>
      </c>
      <c r="DP36" s="528">
        <f t="shared" si="39"/>
        <v>4.6524602732578302E-3</v>
      </c>
      <c r="DQ36" s="528">
        <f t="shared" si="40"/>
        <v>0</v>
      </c>
      <c r="DR36" s="463">
        <v>5.046524602738689E-2</v>
      </c>
      <c r="DS36" s="463">
        <v>0.16206524602762684</v>
      </c>
      <c r="DT36" s="463">
        <v>0.61564990314015755</v>
      </c>
      <c r="DU36" s="463">
        <v>0.98983905775786729</v>
      </c>
      <c r="DV36" s="463">
        <v>1.1469914943837574</v>
      </c>
      <c r="DW36" s="463">
        <v>1.5434019704100923</v>
      </c>
      <c r="DX36" s="463">
        <v>1.9248509521759751</v>
      </c>
      <c r="DY36" s="463">
        <v>-1.1686428406674434</v>
      </c>
      <c r="DZ36" s="463">
        <v>1.1469914943837574</v>
      </c>
      <c r="EA36" s="463">
        <v>1.5434019704100923</v>
      </c>
      <c r="EB36" s="463">
        <v>1.9248509521759751</v>
      </c>
      <c r="EC36" s="463">
        <v>-1.1686428406674434</v>
      </c>
      <c r="ED36" s="463">
        <f t="shared" si="24"/>
        <v>11.469914943837573</v>
      </c>
      <c r="EE36" s="463">
        <f t="shared" si="25"/>
        <v>15.434019704100923</v>
      </c>
      <c r="EF36" s="463">
        <f t="shared" si="26"/>
        <v>19.24850952175975</v>
      </c>
      <c r="EG36" s="463">
        <f t="shared" si="27"/>
        <v>-11.686428406674434</v>
      </c>
      <c r="EH36" s="528">
        <f>'[3]Plots R2&gt;.75 - UPDATED'!S33</f>
        <v>2.3232748912332295</v>
      </c>
      <c r="EI36" s="528">
        <f>'[3]Plots R2&gt;.75 - UPDATED'!T33</f>
        <v>3.0064748912332302</v>
      </c>
      <c r="EJ36" s="528">
        <f>'[3]Plots R2&gt;.75 - UPDATED'!U33</f>
        <v>3.1205748912332298</v>
      </c>
      <c r="EK36" s="546">
        <f>'[3]Plots R2&gt;.75 - UPDATED'!V33</f>
        <v>2.7414748912332292</v>
      </c>
      <c r="EL36" s="676">
        <v>0</v>
      </c>
      <c r="EM36" s="494">
        <v>0</v>
      </c>
      <c r="EN36" s="299">
        <v>41590</v>
      </c>
      <c r="EO36" s="528">
        <v>2.3232748912332295</v>
      </c>
      <c r="EP36" s="528">
        <v>3.0064748912332302</v>
      </c>
      <c r="EQ36" s="528">
        <v>3.1205748912332298</v>
      </c>
      <c r="ER36" s="546">
        <v>2.7414748912332292</v>
      </c>
      <c r="GN36" s="640"/>
      <c r="GO36" s="640"/>
      <c r="GP36" s="640"/>
      <c r="GQ36" s="640"/>
      <c r="GR36" s="640"/>
      <c r="GS36" s="640"/>
      <c r="GT36" s="640"/>
      <c r="GU36" s="640"/>
      <c r="GV36" s="640"/>
      <c r="HF36" s="559">
        <v>0.24378604174245241</v>
      </c>
      <c r="HG36" s="559">
        <v>1.2497486087595566</v>
      </c>
      <c r="HH36" s="569">
        <v>7.348497325675192E-2</v>
      </c>
      <c r="HI36" s="569">
        <v>1.6264280882273778</v>
      </c>
      <c r="HJ36" s="599">
        <v>0.27705408987872937</v>
      </c>
      <c r="HK36" s="599">
        <v>2.5459395800533131</v>
      </c>
      <c r="HL36" s="599">
        <v>0.22098511613886559</v>
      </c>
      <c r="HM36" s="599">
        <v>-0.36581686026238791</v>
      </c>
    </row>
    <row r="37" spans="8:221" ht="16">
      <c r="H37" s="431"/>
      <c r="J37" s="580">
        <v>41574</v>
      </c>
      <c r="K37" s="581">
        <v>0</v>
      </c>
      <c r="L37" s="582">
        <v>13.151899999999999</v>
      </c>
      <c r="M37" s="582">
        <v>12.7525</v>
      </c>
      <c r="N37" s="582">
        <v>13.688000000000001</v>
      </c>
      <c r="O37" s="582">
        <v>13.2072</v>
      </c>
      <c r="P37" s="582">
        <v>98.673000000000002</v>
      </c>
      <c r="Q37" s="582">
        <v>10.089259062348196</v>
      </c>
      <c r="R37" s="582">
        <v>2.8776409376518033</v>
      </c>
      <c r="S37" s="582">
        <v>3.3132409376518037</v>
      </c>
      <c r="T37" s="582">
        <v>3.7887409376518049</v>
      </c>
      <c r="U37" s="582">
        <v>3.3879409376518037</v>
      </c>
      <c r="W37" s="580">
        <v>41592</v>
      </c>
      <c r="X37" s="582">
        <f t="shared" si="6"/>
        <v>2.3225867992266496</v>
      </c>
      <c r="Y37" s="582">
        <f t="shared" si="0"/>
        <v>3.0063560299958807</v>
      </c>
      <c r="Z37" s="582">
        <f t="shared" si="0"/>
        <v>3.1202944915343425</v>
      </c>
      <c r="AA37" s="582">
        <f t="shared" si="0"/>
        <v>3.0312944915343412</v>
      </c>
      <c r="AB37" s="606"/>
      <c r="AC37" s="441">
        <f t="shared" si="1"/>
        <v>4.1647205643825291E-2</v>
      </c>
      <c r="AD37" s="442">
        <f t="shared" si="2"/>
        <v>2.6208744105363113E-2</v>
      </c>
      <c r="AE37" s="442">
        <f t="shared" si="3"/>
        <v>3.6224128720748539E-2</v>
      </c>
      <c r="AF37" s="440">
        <f t="shared" si="4"/>
        <v>2.3654897951518095E-2</v>
      </c>
      <c r="AG37" s="633">
        <v>41592</v>
      </c>
      <c r="AH37" s="560">
        <v>-2.2630634332974364E-2</v>
      </c>
      <c r="AI37" s="570">
        <v>-5.8552943704104094E-3</v>
      </c>
      <c r="AJ37" s="570">
        <v>-8.9477883074473366E-3</v>
      </c>
      <c r="AK37" s="513">
        <v>-2.3814431782710234E-2</v>
      </c>
      <c r="AL37" s="634"/>
      <c r="AM37" s="441">
        <v>-2.4700000000000001E-5</v>
      </c>
      <c r="AN37" s="442">
        <v>-1.6699999999999999E-5</v>
      </c>
      <c r="AO37" s="442">
        <v>-2.3799999999999999E-5</v>
      </c>
      <c r="AP37" s="440">
        <v>-1.95E-5</v>
      </c>
      <c r="AR37" s="441">
        <f t="shared" si="42"/>
        <v>3.5568000000000002E-2</v>
      </c>
      <c r="AS37" s="442">
        <f t="shared" si="42"/>
        <v>2.4048E-2</v>
      </c>
      <c r="AT37" s="442">
        <f t="shared" si="42"/>
        <v>3.4271999999999997E-2</v>
      </c>
      <c r="AU37" s="440">
        <f t="shared" si="42"/>
        <v>2.8080000000000001E-2</v>
      </c>
      <c r="AV37" s="633">
        <v>41592</v>
      </c>
      <c r="AW37" s="644"/>
      <c r="AX37" s="608">
        <v>0</v>
      </c>
      <c r="AY37" s="441">
        <f>AC37-AR37</f>
        <v>6.0792056438252889E-3</v>
      </c>
      <c r="AZ37" s="442">
        <f t="shared" si="45"/>
        <v>2.1607441053631132E-3</v>
      </c>
      <c r="BA37" s="442">
        <f t="shared" si="45"/>
        <v>1.9521287207485416E-3</v>
      </c>
      <c r="BB37" s="440">
        <f>AF37-AU37</f>
        <v>-4.4251020484819062E-3</v>
      </c>
      <c r="BC37" s="608">
        <f t="shared" si="5"/>
        <v>-4.4251020484819062E-2</v>
      </c>
      <c r="BD37" s="627" t="s">
        <v>448</v>
      </c>
      <c r="BE37" s="580">
        <v>41592</v>
      </c>
      <c r="BF37" s="441">
        <f>DR37*10</f>
        <v>3.0928161627658368</v>
      </c>
      <c r="BG37" s="442">
        <f t="shared" si="46"/>
        <v>2.1548434890013892</v>
      </c>
      <c r="BH37" s="442">
        <f t="shared" si="46"/>
        <v>4.4687394483292557</v>
      </c>
      <c r="BI37" s="440">
        <f>DU37*10</f>
        <v>9.4245225406840341</v>
      </c>
      <c r="BJ37" s="645"/>
      <c r="BK37" s="441">
        <v>6.0792056438252899</v>
      </c>
      <c r="BL37" s="442">
        <v>2.1607441053631131</v>
      </c>
      <c r="BM37" s="442">
        <v>1.9521287207485416</v>
      </c>
      <c r="BN37" s="440"/>
      <c r="BO37" s="353">
        <v>69</v>
      </c>
      <c r="BP37" s="353">
        <f t="shared" si="9"/>
        <v>13.8</v>
      </c>
      <c r="BQ37" s="610">
        <f t="shared" si="10"/>
        <v>49.285714285714292</v>
      </c>
      <c r="BR37" s="610">
        <f t="shared" si="11"/>
        <v>18.648648648648649</v>
      </c>
      <c r="BT37" s="648"/>
      <c r="BU37" s="648"/>
      <c r="BV37" s="648"/>
      <c r="BW37" s="648"/>
      <c r="BX37" s="648"/>
      <c r="BY37" s="616" t="s">
        <v>449</v>
      </c>
      <c r="BZ37" s="617">
        <v>31</v>
      </c>
      <c r="CA37" s="608">
        <v>0</v>
      </c>
      <c r="CB37" s="608">
        <f t="shared" si="12"/>
        <v>0</v>
      </c>
      <c r="CC37" s="608"/>
      <c r="CD37" s="631">
        <f t="shared" si="13"/>
        <v>82</v>
      </c>
      <c r="CE37" s="364"/>
      <c r="CF37" s="364"/>
      <c r="CG37" s="364"/>
      <c r="CH37" s="364"/>
      <c r="CI37" s="364"/>
      <c r="CJ37" s="364"/>
      <c r="CK37" s="364"/>
      <c r="CL37" s="623"/>
      <c r="CM37" s="364"/>
      <c r="CN37" s="632" t="s">
        <v>397</v>
      </c>
      <c r="CO37" s="580">
        <f>'[3]Plots R2&gt;.75 - UPDATED'!R34</f>
        <v>41593</v>
      </c>
      <c r="CP37" s="620"/>
      <c r="CQ37" s="633">
        <v>41593</v>
      </c>
      <c r="CR37" s="641">
        <v>106359.76691847494</v>
      </c>
      <c r="CS37" s="642">
        <v>342137.49179920403</v>
      </c>
      <c r="CT37" s="642">
        <v>87803.656083444512</v>
      </c>
      <c r="CU37" s="643">
        <v>104467.83923845516</v>
      </c>
      <c r="CV37" s="513">
        <f t="shared" si="33"/>
        <v>0.28431803562694008</v>
      </c>
      <c r="CW37" s="513">
        <f>IF(ABS(DV38)&lt;=CV37,0,IF(DV38&gt;0,DV38-CV37,DV38+CV37))</f>
        <v>1.0126185310756235</v>
      </c>
      <c r="CX37" s="513">
        <f t="shared" si="35"/>
        <v>8.8385519637080454E-2</v>
      </c>
      <c r="CY37" s="513">
        <f t="shared" si="34"/>
        <v>1.6452795780748668</v>
      </c>
      <c r="CZ37" s="513">
        <f t="shared" si="41"/>
        <v>0.34440479302207311</v>
      </c>
      <c r="DA37" s="513">
        <f t="shared" si="36"/>
        <v>2.1908163762331934</v>
      </c>
      <c r="DB37" s="513">
        <f t="shared" si="19"/>
        <v>0.2894670763791245</v>
      </c>
      <c r="DC37" s="513">
        <f>IF(ABS(DY38)&lt;=DB37,0,IF(DY38&gt;0,DY38-DB37,DY38+DB37))</f>
        <v>-0.54894356574520486</v>
      </c>
      <c r="DD37" s="653"/>
      <c r="DE37" s="464">
        <v>41591</v>
      </c>
      <c r="DF37" s="483">
        <v>11.179403962990978</v>
      </c>
      <c r="DG37" s="483">
        <v>36.565777153401783</v>
      </c>
      <c r="DH37" s="483">
        <v>9.310819615439927</v>
      </c>
      <c r="DI37" s="483">
        <v>11.279438263515738</v>
      </c>
      <c r="DJ37" s="473"/>
      <c r="DK37" s="473"/>
      <c r="DL37" s="473"/>
      <c r="DM37" s="545"/>
      <c r="DN37" s="528">
        <f t="shared" si="37"/>
        <v>0</v>
      </c>
      <c r="DO37" s="528">
        <f t="shared" si="38"/>
        <v>0</v>
      </c>
      <c r="DP37" s="528">
        <f t="shared" si="39"/>
        <v>0</v>
      </c>
      <c r="DQ37" s="528">
        <f t="shared" si="40"/>
        <v>0</v>
      </c>
      <c r="DR37" s="483">
        <v>0.30928161627658368</v>
      </c>
      <c r="DS37" s="483">
        <v>0.21548434890013893</v>
      </c>
      <c r="DT37" s="483">
        <v>0.44687394483292553</v>
      </c>
      <c r="DU37" s="483">
        <v>0.94245225406840349</v>
      </c>
      <c r="DV37" s="483">
        <v>0.7749831953527373</v>
      </c>
      <c r="DW37" s="483">
        <v>1.6261073777602995</v>
      </c>
      <c r="DX37" s="483">
        <v>2.1670585310559929</v>
      </c>
      <c r="DY37" s="483">
        <v>-1.0361936377015302</v>
      </c>
      <c r="DZ37" s="483"/>
      <c r="EA37" s="483"/>
      <c r="EB37" s="483"/>
      <c r="EC37" s="483"/>
      <c r="ED37" s="463">
        <f t="shared" si="24"/>
        <v>0</v>
      </c>
      <c r="EE37" s="463">
        <f t="shared" si="25"/>
        <v>0</v>
      </c>
      <c r="EF37" s="463">
        <f t="shared" si="26"/>
        <v>0</v>
      </c>
      <c r="EG37" s="463">
        <f t="shared" si="27"/>
        <v>0</v>
      </c>
      <c r="EH37" s="473">
        <f>'[3]Plots R2&gt;.75 - UPDATED'!S34</f>
        <v>2.2819939113679717</v>
      </c>
      <c r="EI37" s="473">
        <f>'[3]Plots R2&gt;.75 - UPDATED'!T34</f>
        <v>2.9805939113679738</v>
      </c>
      <c r="EJ37" s="473">
        <f>'[3]Plots R2&gt;.75 - UPDATED'!U34</f>
        <v>3.0834939113679729</v>
      </c>
      <c r="EK37" s="545">
        <f>'[3]Plots R2&gt;.75 - UPDATED'!V34</f>
        <v>2.7170939113679728</v>
      </c>
      <c r="EL37" s="675">
        <v>0</v>
      </c>
      <c r="EM37" s="494">
        <v>0</v>
      </c>
      <c r="EN37" s="464">
        <v>41591</v>
      </c>
      <c r="EO37" s="473">
        <v>2.2819939113679717</v>
      </c>
      <c r="EP37" s="473">
        <v>2.9805939113679738</v>
      </c>
      <c r="EQ37" s="473">
        <v>3.0834939113679729</v>
      </c>
      <c r="ER37" s="545">
        <v>2.7170939113679728</v>
      </c>
      <c r="GN37" s="640"/>
      <c r="GO37" s="640"/>
      <c r="GP37" s="640"/>
      <c r="GQ37" s="640"/>
      <c r="GR37" s="640"/>
      <c r="GS37" s="640"/>
      <c r="GT37" s="640"/>
      <c r="GU37" s="640"/>
      <c r="GV37" s="640"/>
      <c r="HF37" s="559">
        <v>0.24734777275600187</v>
      </c>
      <c r="HG37" s="559">
        <v>1.3745108143808082</v>
      </c>
      <c r="HH37" s="569">
        <v>7.4698781954347024E-2</v>
      </c>
      <c r="HI37" s="569">
        <v>1.4614659792013984</v>
      </c>
      <c r="HJ37" s="599">
        <v>0.28199827336704159</v>
      </c>
      <c r="HK37" s="599">
        <v>2.2400552427099476</v>
      </c>
      <c r="HL37" s="599">
        <v>0.2255324505526683</v>
      </c>
      <c r="HM37" s="599">
        <v>-1.2866168834952146E-2</v>
      </c>
    </row>
    <row r="38" spans="8:221" ht="16">
      <c r="H38" s="431"/>
      <c r="J38" s="580">
        <v>41575</v>
      </c>
      <c r="K38" s="581">
        <v>0</v>
      </c>
      <c r="L38" s="582">
        <v>13.1226</v>
      </c>
      <c r="M38" s="582">
        <v>12.739699999999999</v>
      </c>
      <c r="N38" s="582">
        <v>13.6435</v>
      </c>
      <c r="O38" s="582">
        <v>13.1915</v>
      </c>
      <c r="P38" s="582">
        <v>98.753500000000003</v>
      </c>
      <c r="Q38" s="582">
        <v>10.097490142324673</v>
      </c>
      <c r="R38" s="582">
        <v>2.8401098576753268</v>
      </c>
      <c r="S38" s="582">
        <v>3.292209857675326</v>
      </c>
      <c r="T38" s="582">
        <v>3.7360098576753265</v>
      </c>
      <c r="U38" s="582">
        <v>3.3640098576753257</v>
      </c>
      <c r="W38" s="580">
        <v>41593</v>
      </c>
      <c r="X38" s="582">
        <f t="shared" si="6"/>
        <v>2.2809395935828243</v>
      </c>
      <c r="Y38" s="582">
        <f t="shared" si="0"/>
        <v>2.9801472858905176</v>
      </c>
      <c r="Z38" s="582">
        <f t="shared" si="0"/>
        <v>3.0840703628135939</v>
      </c>
      <c r="AA38" s="582">
        <f t="shared" si="0"/>
        <v>3.0076395935828231</v>
      </c>
      <c r="AB38" s="606"/>
      <c r="AC38" s="441">
        <f t="shared" si="1"/>
        <v>4.3284418957830084E-2</v>
      </c>
      <c r="AD38" s="440">
        <f t="shared" si="2"/>
        <v>2.3692111265523508E-2</v>
      </c>
      <c r="AE38" s="440">
        <f t="shared" si="3"/>
        <v>4.2307495880907542E-2</v>
      </c>
      <c r="AF38" s="440">
        <f t="shared" si="4"/>
        <v>3.6538265111675905E-2</v>
      </c>
      <c r="AG38" s="633">
        <v>41593</v>
      </c>
      <c r="AH38" s="560">
        <v>-2.2417544892135551E-2</v>
      </c>
      <c r="AI38" s="513">
        <v>-5.655128715296694E-3</v>
      </c>
      <c r="AJ38" s="513">
        <v>-8.9045466722954079E-3</v>
      </c>
      <c r="AK38" s="513">
        <v>-2.3608501811843659E-2</v>
      </c>
      <c r="AL38" s="634"/>
      <c r="AM38" s="441">
        <v>-2.72E-5</v>
      </c>
      <c r="AN38" s="440">
        <v>-3.8800000000000001E-6</v>
      </c>
      <c r="AO38" s="440">
        <v>-2.3600000000000001E-5</v>
      </c>
      <c r="AP38" s="440">
        <v>-1.7399999999999999E-5</v>
      </c>
      <c r="AR38" s="441">
        <f t="shared" si="42"/>
        <v>3.9168000000000001E-2</v>
      </c>
      <c r="AS38" s="440">
        <f t="shared" si="42"/>
        <v>5.5872000000000005E-3</v>
      </c>
      <c r="AT38" s="440">
        <f t="shared" si="42"/>
        <v>3.3984E-2</v>
      </c>
      <c r="AU38" s="440">
        <f t="shared" si="42"/>
        <v>2.5055999999999998E-2</v>
      </c>
      <c r="AV38" s="633">
        <v>41593</v>
      </c>
      <c r="AW38" s="644"/>
      <c r="AX38" s="608">
        <v>0</v>
      </c>
      <c r="AY38" s="441">
        <f>AC38-AR38</f>
        <v>4.1164189578300828E-3</v>
      </c>
      <c r="AZ38" s="440">
        <f t="shared" si="45"/>
        <v>1.8104911265523507E-2</v>
      </c>
      <c r="BA38" s="440">
        <f t="shared" si="45"/>
        <v>8.3234958809075416E-3</v>
      </c>
      <c r="BB38" s="440">
        <f>AF38-AU38</f>
        <v>1.1482265111675907E-2</v>
      </c>
      <c r="BC38" s="608">
        <f t="shared" si="5"/>
        <v>0.11482265111675907</v>
      </c>
      <c r="BD38" s="627" t="s">
        <v>450</v>
      </c>
      <c r="BE38" s="580">
        <v>41593</v>
      </c>
      <c r="BF38" s="441">
        <f>DR38*10</f>
        <v>5.6809798652578047</v>
      </c>
      <c r="BG38" s="440">
        <f t="shared" si="46"/>
        <v>2.68903451772651</v>
      </c>
      <c r="BH38" s="440">
        <f t="shared" si="46"/>
        <v>2.780979865256934</v>
      </c>
      <c r="BI38" s="440">
        <f>DU38*10</f>
        <v>8.9506545037893979</v>
      </c>
      <c r="BJ38" s="645"/>
      <c r="BK38" s="441">
        <v>4.1164189578300823</v>
      </c>
      <c r="BL38" s="440">
        <v>18.104911265523505</v>
      </c>
      <c r="BM38" s="440">
        <v>8.3234958809075401</v>
      </c>
      <c r="BN38" s="440">
        <v>11.482265111675908</v>
      </c>
      <c r="BO38" s="353">
        <v>66</v>
      </c>
      <c r="BP38" s="353">
        <f t="shared" si="9"/>
        <v>13.2</v>
      </c>
      <c r="BQ38" s="610">
        <f t="shared" si="10"/>
        <v>47.142857142857146</v>
      </c>
      <c r="BR38" s="610">
        <f t="shared" si="11"/>
        <v>17.837837837837839</v>
      </c>
      <c r="BT38" s="648"/>
      <c r="BU38" s="648"/>
      <c r="BV38" s="648"/>
      <c r="BW38" s="648"/>
      <c r="BX38" s="648"/>
      <c r="BY38" s="616" t="s">
        <v>451</v>
      </c>
      <c r="BZ38" s="617">
        <v>32</v>
      </c>
      <c r="CA38" s="608">
        <v>0</v>
      </c>
      <c r="CB38" s="608">
        <f t="shared" si="12"/>
        <v>0</v>
      </c>
      <c r="CC38" s="608"/>
      <c r="CD38" s="631">
        <f t="shared" si="13"/>
        <v>82</v>
      </c>
      <c r="CE38" s="364"/>
      <c r="CF38" s="364"/>
      <c r="CG38" s="364"/>
      <c r="CH38" s="364"/>
      <c r="CI38" s="364"/>
      <c r="CJ38" s="364"/>
      <c r="CK38" s="364"/>
      <c r="CL38" s="623"/>
      <c r="CM38" s="364"/>
      <c r="CN38" s="632" t="s">
        <v>400</v>
      </c>
      <c r="CO38" s="580">
        <f>'[3]Plots R2&gt;.75 - UPDATED'!R35</f>
        <v>41594</v>
      </c>
      <c r="CP38" s="620"/>
      <c r="CQ38" s="633">
        <v>41594</v>
      </c>
      <c r="CR38" s="641">
        <v>104073.41051803692</v>
      </c>
      <c r="CS38" s="642">
        <v>334068.87665968417</v>
      </c>
      <c r="CT38" s="642">
        <v>85684.153624727041</v>
      </c>
      <c r="CU38" s="643">
        <v>100083.25688498389</v>
      </c>
      <c r="CV38" s="513">
        <f t="shared" si="33"/>
        <v>0.29056413016040361</v>
      </c>
      <c r="CW38" s="513">
        <f>IF(ABS(DV39)&lt;=CV38,0,IF(DV39&gt;0,DV39-CV38,DV39+CV38))</f>
        <v>1.3935464704329861</v>
      </c>
      <c r="CX38" s="513">
        <f t="shared" si="35"/>
        <v>9.0520255290963469E-2</v>
      </c>
      <c r="CY38" s="513">
        <f t="shared" si="34"/>
        <v>1.4783730883333033</v>
      </c>
      <c r="CZ38" s="513">
        <f t="shared" si="41"/>
        <v>0.35292406729537013</v>
      </c>
      <c r="DA38" s="513">
        <f t="shared" si="36"/>
        <v>2.4678053596671741</v>
      </c>
      <c r="DB38" s="513">
        <f t="shared" si="19"/>
        <v>0.3021484406203121</v>
      </c>
      <c r="DC38" s="513">
        <f>IF(ABS(DY39)&lt;=DB38,0,IF(DY39&gt;0,DY39-DB38,DY39+DB38))</f>
        <v>9.6051501304929676E-2</v>
      </c>
      <c r="DD38" s="653"/>
      <c r="DE38" s="299">
        <v>41592</v>
      </c>
      <c r="DF38" s="463">
        <v>10.999806796887928</v>
      </c>
      <c r="DG38" s="463">
        <v>35.768820121335018</v>
      </c>
      <c r="DH38" s="463">
        <v>9.1313677200865495</v>
      </c>
      <c r="DI38" s="463">
        <v>10.991715605031246</v>
      </c>
      <c r="DJ38" s="528">
        <v>0.56809798652578047</v>
      </c>
      <c r="DK38" s="528"/>
      <c r="DL38" s="528">
        <v>0.2780979865256934</v>
      </c>
      <c r="DM38" s="546"/>
      <c r="DN38" s="528">
        <f t="shared" si="37"/>
        <v>5.6809798652578047</v>
      </c>
      <c r="DO38" s="528">
        <f t="shared" si="38"/>
        <v>0</v>
      </c>
      <c r="DP38" s="528">
        <f t="shared" si="39"/>
        <v>2.780979865256934</v>
      </c>
      <c r="DQ38" s="528">
        <f t="shared" si="40"/>
        <v>0</v>
      </c>
      <c r="DR38" s="463">
        <v>0.56809798652578047</v>
      </c>
      <c r="DS38" s="463">
        <v>0.26890345177265101</v>
      </c>
      <c r="DT38" s="463">
        <v>0.2780979865256934</v>
      </c>
      <c r="DU38" s="463">
        <v>0.8950654503789397</v>
      </c>
      <c r="DV38" s="463">
        <v>1.2969365667025636</v>
      </c>
      <c r="DW38" s="463">
        <v>1.7336650977119472</v>
      </c>
      <c r="DX38" s="463">
        <v>2.5352211692552666</v>
      </c>
      <c r="DY38" s="463">
        <v>-0.83841064212432936</v>
      </c>
      <c r="DZ38" s="463">
        <v>1.2969365667025636</v>
      </c>
      <c r="EA38" s="463">
        <v>1.7336650977119472</v>
      </c>
      <c r="EB38" s="463">
        <v>2.5352211692552666</v>
      </c>
      <c r="EC38" s="463">
        <v>-0.83841064212432936</v>
      </c>
      <c r="ED38" s="463">
        <f t="shared" si="24"/>
        <v>12.969365667025636</v>
      </c>
      <c r="EE38" s="463">
        <f t="shared" si="25"/>
        <v>17.336650977119472</v>
      </c>
      <c r="EF38" s="463">
        <f t="shared" si="26"/>
        <v>25.352211692552665</v>
      </c>
      <c r="EG38" s="463">
        <f t="shared" si="27"/>
        <v>-8.3841064212432936</v>
      </c>
      <c r="EH38" s="528">
        <f>'[3]Plots R2&gt;.75 - UPDATED'!S35</f>
        <v>2.2373266236699831</v>
      </c>
      <c r="EI38" s="528">
        <f>'[3]Plots R2&gt;.75 - UPDATED'!T35</f>
        <v>2.9560266236699828</v>
      </c>
      <c r="EJ38" s="528">
        <f>'[3]Plots R2&gt;.75 - UPDATED'!U35</f>
        <v>3.0417266236699829</v>
      </c>
      <c r="EK38" s="546">
        <f>'[3]Plots R2&gt;.75 - UPDATED'!V35</f>
        <v>2.681026623669982</v>
      </c>
      <c r="EL38" s="676">
        <v>4</v>
      </c>
      <c r="EM38" s="494">
        <v>0.05</v>
      </c>
      <c r="EN38" s="299">
        <v>41592</v>
      </c>
      <c r="EO38" s="528">
        <v>2.2373266236699831</v>
      </c>
      <c r="EP38" s="528">
        <v>2.9560266236699828</v>
      </c>
      <c r="EQ38" s="528">
        <v>3.0417266236699829</v>
      </c>
      <c r="ER38" s="546">
        <v>2.681026623669982</v>
      </c>
      <c r="GN38" s="640"/>
      <c r="GO38" s="640"/>
      <c r="GP38" s="640"/>
      <c r="GQ38" s="640"/>
      <c r="GR38" s="640"/>
      <c r="GS38" s="640"/>
      <c r="GT38" s="640"/>
      <c r="GU38" s="640"/>
      <c r="GV38" s="640"/>
      <c r="HF38" s="559">
        <v>0.2452711476764052</v>
      </c>
      <c r="HG38" s="559">
        <v>0</v>
      </c>
      <c r="HH38" s="569">
        <v>7.4132991222055911E-2</v>
      </c>
      <c r="HI38" s="569">
        <v>0.39362550566783716</v>
      </c>
      <c r="HJ38" s="599">
        <v>0.28243226307473235</v>
      </c>
      <c r="HK38" s="599">
        <v>2.1101559783829331</v>
      </c>
      <c r="HL38" s="599">
        <v>0.22244540000722399</v>
      </c>
      <c r="HM38" s="599">
        <v>-1.8092976948817021</v>
      </c>
    </row>
    <row r="39" spans="8:221" ht="16">
      <c r="H39" s="431"/>
      <c r="J39" s="580">
        <v>41576</v>
      </c>
      <c r="K39" s="581">
        <v>0</v>
      </c>
      <c r="L39" s="582">
        <v>13.092700000000001</v>
      </c>
      <c r="M39" s="582">
        <v>12.7315</v>
      </c>
      <c r="N39" s="582">
        <v>13.607799999999999</v>
      </c>
      <c r="O39" s="582">
        <v>13.177099999999999</v>
      </c>
      <c r="P39" s="582">
        <v>98.863500000000002</v>
      </c>
      <c r="Q39" s="582">
        <v>10.108737580801849</v>
      </c>
      <c r="R39" s="582">
        <v>2.7989624191981517</v>
      </c>
      <c r="S39" s="582">
        <v>3.2727624191981519</v>
      </c>
      <c r="T39" s="582">
        <v>3.6890624191981507</v>
      </c>
      <c r="U39" s="582">
        <v>3.33836241919815</v>
      </c>
      <c r="W39" s="580">
        <v>41594</v>
      </c>
      <c r="X39" s="582">
        <f t="shared" si="6"/>
        <v>2.2376551746249942</v>
      </c>
      <c r="Y39" s="582">
        <f t="shared" si="0"/>
        <v>2.9564551746249941</v>
      </c>
      <c r="Z39" s="582">
        <f t="shared" si="0"/>
        <v>3.0417628669326864</v>
      </c>
      <c r="AA39" s="582">
        <f t="shared" si="0"/>
        <v>2.9711013284711472</v>
      </c>
      <c r="AB39" s="606"/>
      <c r="AC39" s="438">
        <f t="shared" si="1"/>
        <v>4.6271263139799679E-2</v>
      </c>
      <c r="AD39" s="439">
        <f t="shared" si="2"/>
        <v>2.7778955447491871E-2</v>
      </c>
      <c r="AE39" s="439">
        <f t="shared" si="3"/>
        <v>4.0832801601337287E-2</v>
      </c>
      <c r="AF39" s="439">
        <f t="shared" si="4"/>
        <v>3.8394340062876786E-2</v>
      </c>
      <c r="AG39" s="633">
        <v>41594</v>
      </c>
      <c r="AH39" s="511">
        <v>-2.2176297901517601E-2</v>
      </c>
      <c r="AI39" s="512">
        <v>-5.4534275615394194E-3</v>
      </c>
      <c r="AJ39" s="512">
        <v>-8.8513129414218399E-3</v>
      </c>
      <c r="AK39" s="512">
        <v>-2.3255532055041963E-2</v>
      </c>
      <c r="AL39" s="634"/>
      <c r="AM39" s="438">
        <v>-2.8399999999999999E-5</v>
      </c>
      <c r="AN39" s="439">
        <v>-7.4499999999999998E-6</v>
      </c>
      <c r="AO39" s="439">
        <v>-2.3E-5</v>
      </c>
      <c r="AP39" s="439">
        <v>-1.73E-5</v>
      </c>
      <c r="AR39" s="438"/>
      <c r="AS39" s="439"/>
      <c r="AT39" s="439"/>
      <c r="AU39" s="439"/>
      <c r="AV39" s="633">
        <v>41594</v>
      </c>
      <c r="AW39" s="644"/>
      <c r="AX39" s="607">
        <v>14.99</v>
      </c>
      <c r="AY39" s="438"/>
      <c r="AZ39" s="439"/>
      <c r="BA39" s="439"/>
      <c r="BB39" s="439"/>
      <c r="BC39" s="608">
        <f t="shared" si="5"/>
        <v>0</v>
      </c>
      <c r="BD39" s="627" t="s">
        <v>452</v>
      </c>
      <c r="BE39" s="580">
        <v>41594</v>
      </c>
      <c r="BF39" s="438"/>
      <c r="BG39" s="439"/>
      <c r="BH39" s="439"/>
      <c r="BI39" s="439"/>
      <c r="BJ39" s="645"/>
      <c r="BK39" s="438">
        <v>5.375263139799678</v>
      </c>
      <c r="BL39" s="439">
        <v>17.050955447491869</v>
      </c>
      <c r="BM39" s="439">
        <v>7.7128016013372918</v>
      </c>
      <c r="BN39" s="439">
        <v>13.482340062876785</v>
      </c>
      <c r="BO39" s="353">
        <v>92</v>
      </c>
      <c r="BP39" s="353">
        <f t="shared" si="9"/>
        <v>18.399999999999999</v>
      </c>
      <c r="BQ39" s="610">
        <f t="shared" si="10"/>
        <v>65.714285714285722</v>
      </c>
      <c r="BR39" s="610">
        <f t="shared" si="11"/>
        <v>24.864864864864863</v>
      </c>
      <c r="BT39" s="648"/>
      <c r="BU39" s="648"/>
      <c r="BV39" s="648"/>
      <c r="BW39" s="648"/>
      <c r="BX39" s="648"/>
      <c r="BY39" s="616" t="s">
        <v>453</v>
      </c>
      <c r="BZ39" s="617">
        <v>32</v>
      </c>
      <c r="CA39" s="608">
        <v>0</v>
      </c>
      <c r="CB39" s="608">
        <f t="shared" si="12"/>
        <v>0</v>
      </c>
      <c r="CC39" s="608"/>
      <c r="CD39" s="631">
        <f t="shared" si="13"/>
        <v>82</v>
      </c>
      <c r="CE39" s="364"/>
      <c r="CF39" s="364"/>
      <c r="CG39" s="364"/>
      <c r="CH39" s="364"/>
      <c r="CI39" s="364"/>
      <c r="CJ39" s="364"/>
      <c r="CK39" s="364"/>
      <c r="CL39" s="623"/>
      <c r="CM39" s="364"/>
      <c r="CN39" s="632" t="s">
        <v>403</v>
      </c>
      <c r="CO39" s="580">
        <f>'[3]Plots R2&gt;.75 - UPDATED'!R36</f>
        <v>41595</v>
      </c>
      <c r="CP39" s="620"/>
      <c r="CQ39" s="633">
        <v>41595</v>
      </c>
      <c r="CR39" s="596">
        <v>101741.52078988851</v>
      </c>
      <c r="CS39" s="597">
        <v>325330.34231173433</v>
      </c>
      <c r="CT39" s="597">
        <v>83633.453268840574</v>
      </c>
      <c r="CU39" s="621">
        <v>95573.728815575421</v>
      </c>
      <c r="CV39" s="450"/>
      <c r="CW39" s="450"/>
      <c r="CX39" s="450"/>
      <c r="CY39" s="450"/>
      <c r="CZ39" s="450"/>
      <c r="DA39" s="450"/>
      <c r="DB39" s="450"/>
      <c r="DC39" s="450"/>
      <c r="DD39" s="622"/>
      <c r="DE39" s="464">
        <v>41593</v>
      </c>
      <c r="DF39" s="483">
        <v>10.847674769374647</v>
      </c>
      <c r="DG39" s="483">
        <v>35.077412503886862</v>
      </c>
      <c r="DH39" s="483">
        <v>8.9704501397048801</v>
      </c>
      <c r="DI39" s="483">
        <v>10.75055218023217</v>
      </c>
      <c r="DJ39" s="473"/>
      <c r="DK39" s="473"/>
      <c r="DL39" s="473"/>
      <c r="DM39" s="545"/>
      <c r="DN39" s="528">
        <f t="shared" si="37"/>
        <v>0</v>
      </c>
      <c r="DO39" s="528">
        <f t="shared" si="38"/>
        <v>0</v>
      </c>
      <c r="DP39" s="528">
        <f t="shared" si="39"/>
        <v>0</v>
      </c>
      <c r="DQ39" s="528">
        <f t="shared" si="40"/>
        <v>0</v>
      </c>
      <c r="DR39" s="483">
        <v>0.54086367999191076</v>
      </c>
      <c r="DS39" s="483">
        <v>0.32232255464516307</v>
      </c>
      <c r="DT39" s="483">
        <v>0.46554467560691359</v>
      </c>
      <c r="DU39" s="483">
        <v>0.8476786466894759</v>
      </c>
      <c r="DV39" s="483">
        <v>1.6841106005933897</v>
      </c>
      <c r="DW39" s="483">
        <v>1.5688933436242667</v>
      </c>
      <c r="DX39" s="483">
        <v>2.820729426962544</v>
      </c>
      <c r="DY39" s="483">
        <v>0.39819994192524177</v>
      </c>
      <c r="DZ39" s="483"/>
      <c r="EA39" s="483"/>
      <c r="EB39" s="483"/>
      <c r="EC39" s="483"/>
      <c r="ED39" s="463">
        <f t="shared" si="24"/>
        <v>0</v>
      </c>
      <c r="EE39" s="463">
        <f t="shared" si="25"/>
        <v>0</v>
      </c>
      <c r="EF39" s="463">
        <f t="shared" si="26"/>
        <v>0</v>
      </c>
      <c r="EG39" s="463">
        <f t="shared" si="27"/>
        <v>0</v>
      </c>
      <c r="EH39" s="473">
        <f>'[3]Plots R2&gt;.75 - UPDATED'!S36</f>
        <v>2.1916783584564272</v>
      </c>
      <c r="EI39" s="473">
        <f>'[3]Plots R2&gt;.75 - UPDATED'!T36</f>
        <v>2.928978358456428</v>
      </c>
      <c r="EJ39" s="473">
        <f>'[3]Plots R2&gt;.75 - UPDATED'!U36</f>
        <v>3.0008783584564283</v>
      </c>
      <c r="EK39" s="545">
        <f>'[3]Plots R2&gt;.75 - UPDATED'!V36</f>
        <v>2.6427783584564284</v>
      </c>
      <c r="EL39" s="675">
        <v>0</v>
      </c>
      <c r="EM39" s="494">
        <v>63.600000000000051</v>
      </c>
      <c r="EN39" s="464">
        <v>41593</v>
      </c>
      <c r="EO39" s="473">
        <v>2.1916783584564272</v>
      </c>
      <c r="EP39" s="473">
        <v>2.928978358456428</v>
      </c>
      <c r="EQ39" s="473">
        <v>3.0008783584564283</v>
      </c>
      <c r="ER39" s="545">
        <v>2.6427783584564284</v>
      </c>
      <c r="GN39" s="640"/>
      <c r="GO39" s="640"/>
      <c r="GP39" s="640"/>
      <c r="GQ39" s="640"/>
      <c r="GR39" s="640"/>
      <c r="GS39" s="640"/>
      <c r="GT39" s="640"/>
      <c r="GU39" s="640"/>
      <c r="GV39" s="640"/>
      <c r="HF39" s="560">
        <v>0.24619281004355029</v>
      </c>
      <c r="HG39" s="560">
        <v>0</v>
      </c>
      <c r="HH39" s="513">
        <v>7.4058184846743841E-2</v>
      </c>
      <c r="HI39" s="513">
        <v>0</v>
      </c>
      <c r="HJ39" s="515">
        <v>0.28599128662244028</v>
      </c>
      <c r="HK39" s="515">
        <v>2.0645412262108125</v>
      </c>
      <c r="HL39" s="515">
        <v>0.22465952757538607</v>
      </c>
      <c r="HM39" s="515">
        <v>-1.3448948725995886</v>
      </c>
    </row>
    <row r="40" spans="8:221" ht="16">
      <c r="H40" s="431"/>
      <c r="J40" s="580">
        <v>41577</v>
      </c>
      <c r="K40" s="581">
        <v>0</v>
      </c>
      <c r="L40" s="582">
        <v>13.0649</v>
      </c>
      <c r="M40" s="582">
        <v>12.7226</v>
      </c>
      <c r="N40" s="582">
        <v>13.5906</v>
      </c>
      <c r="O40" s="582">
        <v>13.169600000000001</v>
      </c>
      <c r="P40" s="582">
        <v>98.965500000000006</v>
      </c>
      <c r="Q40" s="582">
        <v>10.119167023753413</v>
      </c>
      <c r="R40" s="582">
        <v>2.7607329762465871</v>
      </c>
      <c r="S40" s="582">
        <v>3.2534329762465877</v>
      </c>
      <c r="T40" s="582">
        <v>3.661432976246588</v>
      </c>
      <c r="U40" s="582">
        <v>3.3204329762465878</v>
      </c>
      <c r="W40" s="580">
        <v>41595</v>
      </c>
      <c r="X40" s="582">
        <f t="shared" si="6"/>
        <v>2.1913839114851945</v>
      </c>
      <c r="Y40" s="582">
        <f t="shared" si="6"/>
        <v>2.9286762191775022</v>
      </c>
      <c r="Z40" s="582">
        <f t="shared" si="6"/>
        <v>3.0009300653313491</v>
      </c>
      <c r="AA40" s="582">
        <f t="shared" si="6"/>
        <v>2.9327069884082704</v>
      </c>
      <c r="AB40" s="606"/>
      <c r="AC40" s="436">
        <f t="shared" ref="AC40:AC71" si="47">X40-X41</f>
        <v>-6.4179449891088591E-2</v>
      </c>
      <c r="AD40" s="437">
        <f t="shared" ref="AD40:AD71" si="48">Y40-Y41</f>
        <v>-0.30187175758339668</v>
      </c>
      <c r="AE40" s="437">
        <f t="shared" ref="AE40:AE71" si="49">Z40-Z41</f>
        <v>-0.78466406527570376</v>
      </c>
      <c r="AF40" s="437">
        <f t="shared" ref="AF40:AF71" si="50">AA40-AA41</f>
        <v>-0.51674868066032076</v>
      </c>
      <c r="AG40" s="633">
        <v>41595</v>
      </c>
      <c r="AH40" s="509">
        <v>-2.1917541560524115E-2</v>
      </c>
      <c r="AI40" s="510">
        <v>-5.2174556268515032E-3</v>
      </c>
      <c r="AJ40" s="510">
        <v>-8.7943086412421885E-3</v>
      </c>
      <c r="AK40" s="510">
        <v>-2.2812273147463296E-2</v>
      </c>
      <c r="AL40" s="634"/>
      <c r="AM40" s="436"/>
      <c r="AN40" s="437"/>
      <c r="AO40" s="437"/>
      <c r="AP40" s="437"/>
      <c r="AR40" s="436"/>
      <c r="AS40" s="437"/>
      <c r="AT40" s="437"/>
      <c r="AU40" s="437"/>
      <c r="AV40" s="633">
        <v>41595</v>
      </c>
      <c r="AW40" s="626"/>
      <c r="AX40" s="608">
        <v>0</v>
      </c>
      <c r="AY40" s="436"/>
      <c r="AZ40" s="437"/>
      <c r="BA40" s="437"/>
      <c r="BB40" s="437"/>
      <c r="BC40" s="608">
        <f t="shared" si="5"/>
        <v>0</v>
      </c>
      <c r="BD40" s="627" t="s">
        <v>454</v>
      </c>
      <c r="BE40" s="580">
        <v>41595</v>
      </c>
      <c r="BF40" s="436"/>
      <c r="BG40" s="437"/>
      <c r="BH40" s="437"/>
      <c r="BI40" s="437"/>
      <c r="BJ40" s="628"/>
      <c r="BK40" s="436"/>
      <c r="BL40" s="437"/>
      <c r="BM40" s="437"/>
      <c r="BN40" s="437"/>
      <c r="BO40" s="353">
        <v>80</v>
      </c>
      <c r="BP40" s="353">
        <f t="shared" si="9"/>
        <v>16</v>
      </c>
      <c r="BQ40" s="610">
        <f t="shared" si="10"/>
        <v>57.142857142857146</v>
      </c>
      <c r="BR40" s="610">
        <f t="shared" si="11"/>
        <v>21.621621621621621</v>
      </c>
      <c r="BT40" s="648"/>
      <c r="BU40" s="648"/>
      <c r="BV40" s="648"/>
      <c r="BW40" s="648"/>
      <c r="BX40" s="648"/>
      <c r="BY40" s="616" t="s">
        <v>455</v>
      </c>
      <c r="BZ40" s="617">
        <v>32</v>
      </c>
      <c r="CA40" s="608">
        <v>0</v>
      </c>
      <c r="CB40" s="608">
        <f t="shared" si="12"/>
        <v>0</v>
      </c>
      <c r="CC40" s="608"/>
      <c r="CD40" s="631">
        <f t="shared" si="13"/>
        <v>82</v>
      </c>
      <c r="CE40" s="364"/>
      <c r="CF40" s="364"/>
      <c r="CG40" s="364"/>
      <c r="CH40" s="364"/>
      <c r="CI40" s="364"/>
      <c r="CJ40" s="364"/>
      <c r="CK40" s="364"/>
      <c r="CL40" s="623"/>
      <c r="CM40" s="364"/>
      <c r="CN40" s="632" t="s">
        <v>406</v>
      </c>
      <c r="CO40" s="580">
        <f>'[3]Plots R2&gt;.75 - UPDATED'!R37</f>
        <v>41596</v>
      </c>
      <c r="CP40" s="620"/>
      <c r="CQ40" s="633">
        <v>41596</v>
      </c>
      <c r="CR40" s="641">
        <v>105011.95420405472</v>
      </c>
      <c r="CS40" s="642">
        <v>431613.38701040059</v>
      </c>
      <c r="CT40" s="642">
        <v>126809.87806528073</v>
      </c>
      <c r="CU40" s="643">
        <v>169468.82005007981</v>
      </c>
      <c r="CV40" s="513">
        <f t="shared" si="33"/>
        <v>0.28796721505857253</v>
      </c>
      <c r="CW40" s="513">
        <f t="shared" ref="CW40:CW64" si="51">IF(ABS(DV41)&lt;=CV40,0,IF(DV41&gt;0,DV41-CV40,DV41+CV40))</f>
        <v>31.700499274092913</v>
      </c>
      <c r="CX40" s="513">
        <f t="shared" si="35"/>
        <v>7.006270173744937E-2</v>
      </c>
      <c r="CY40" s="513">
        <f t="shared" ref="CY40:CY64" si="52">IF(ABS(DW41)&lt;=CX40,0,IF(DW41&gt;0,DW41-CX40,DW41+CX40))</f>
        <v>-7.4658650184402147</v>
      </c>
      <c r="CZ40" s="450"/>
      <c r="DA40" s="450"/>
      <c r="DB40" s="513">
        <f t="shared" si="19"/>
        <v>0.17843990411371108</v>
      </c>
      <c r="DC40" s="513">
        <f t="shared" ref="DC40:DC53" si="53">IF(ABS(DY41)&lt;=DB40,0,IF(DY41&gt;0,DY41-DB40,DY41+DB40))</f>
        <v>-18.706451918198152</v>
      </c>
      <c r="DD40" s="653"/>
      <c r="DE40" s="464">
        <v>41594</v>
      </c>
      <c r="DF40" s="483">
        <v>10.635976691847494</v>
      </c>
      <c r="DG40" s="483">
        <v>34.213749179920406</v>
      </c>
      <c r="DH40" s="483">
        <v>8.7803656083444519</v>
      </c>
      <c r="DI40" s="483">
        <v>10.446783923845516</v>
      </c>
      <c r="DJ40" s="473"/>
      <c r="DK40" s="473"/>
      <c r="DL40" s="473"/>
      <c r="DM40" s="545"/>
      <c r="DN40" s="528">
        <f t="shared" si="37"/>
        <v>0</v>
      </c>
      <c r="DO40" s="528">
        <f t="shared" si="38"/>
        <v>0</v>
      </c>
      <c r="DP40" s="528">
        <f t="shared" si="39"/>
        <v>0</v>
      </c>
      <c r="DQ40" s="528">
        <f t="shared" si="40"/>
        <v>0</v>
      </c>
      <c r="DR40" s="483">
        <v>0.51362937345804105</v>
      </c>
      <c r="DS40" s="483">
        <v>0.37574165751767513</v>
      </c>
      <c r="DT40" s="483">
        <v>0.65299136468813379</v>
      </c>
      <c r="DU40" s="483">
        <v>0.8002918430000121</v>
      </c>
      <c r="DV40" s="483">
        <v>1.8385673577457906</v>
      </c>
      <c r="DW40" s="483">
        <v>1.7887421076838685</v>
      </c>
      <c r="DX40" s="483">
        <v>2.5517038625251489</v>
      </c>
      <c r="DY40" s="483">
        <v>0.70398147285115398</v>
      </c>
      <c r="DZ40" s="483"/>
      <c r="EA40" s="483"/>
      <c r="EB40" s="483"/>
      <c r="EC40" s="483"/>
      <c r="ED40" s="463">
        <f t="shared" si="24"/>
        <v>0</v>
      </c>
      <c r="EE40" s="463">
        <f t="shared" si="25"/>
        <v>0</v>
      </c>
      <c r="EF40" s="463">
        <f t="shared" si="26"/>
        <v>0</v>
      </c>
      <c r="EG40" s="463">
        <f t="shared" si="27"/>
        <v>0</v>
      </c>
      <c r="EH40" s="473">
        <f>'[3]Plots R2&gt;.75 - UPDATED'!S37</f>
        <v>2.2556730516361818</v>
      </c>
      <c r="EI40" s="473">
        <f>'[3]Plots R2&gt;.75 - UPDATED'!T37</f>
        <v>3.230673051636181</v>
      </c>
      <c r="EJ40" s="473">
        <f>'[3]Plots R2&gt;.75 - UPDATED'!U37</f>
        <v>3.7856730516361816</v>
      </c>
      <c r="EK40" s="545">
        <f>'[3]Plots R2&gt;.75 - UPDATED'!V37</f>
        <v>3.1592730516361818</v>
      </c>
      <c r="EL40" s="675">
        <v>0</v>
      </c>
      <c r="EM40" s="495">
        <v>0</v>
      </c>
      <c r="EN40" s="464">
        <v>41594</v>
      </c>
      <c r="EO40" s="473">
        <v>2.2556730516361818</v>
      </c>
      <c r="EP40" s="473">
        <v>3.230673051636181</v>
      </c>
      <c r="EQ40" s="473">
        <v>3.7856730516361816</v>
      </c>
      <c r="ER40" s="545">
        <v>3.1592730516361818</v>
      </c>
      <c r="EX40" s="884" t="s">
        <v>589</v>
      </c>
      <c r="EY40" s="884"/>
      <c r="EZ40" s="884"/>
      <c r="FA40" s="884"/>
      <c r="FB40" s="884"/>
      <c r="FC40" s="884"/>
      <c r="FD40" s="884"/>
      <c r="FE40" s="884"/>
      <c r="FF40" s="884"/>
      <c r="FG40" s="884"/>
      <c r="FH40" s="884"/>
      <c r="FI40" s="884"/>
      <c r="FJ40" s="884"/>
      <c r="FK40" s="884"/>
      <c r="FL40" s="884"/>
      <c r="FM40" s="884"/>
      <c r="FN40" s="884"/>
      <c r="FO40" s="884"/>
      <c r="FR40" s="884"/>
      <c r="FS40" s="884"/>
      <c r="FT40" s="884"/>
      <c r="FU40" s="884"/>
      <c r="FV40" s="884"/>
      <c r="FW40" s="884"/>
      <c r="FX40" s="884"/>
      <c r="FY40" s="884"/>
      <c r="FZ40" s="884"/>
      <c r="GA40" s="884"/>
      <c r="GB40" s="884"/>
      <c r="GC40" s="884"/>
      <c r="GD40" s="884"/>
      <c r="GE40" s="884"/>
      <c r="GF40" s="884"/>
      <c r="GG40" s="884"/>
      <c r="GH40" s="884"/>
      <c r="GI40" s="884"/>
      <c r="GN40" s="640"/>
      <c r="GO40" s="640"/>
      <c r="GP40" s="640"/>
      <c r="GQ40" s="640"/>
      <c r="GR40" s="640"/>
      <c r="GS40" s="640"/>
      <c r="GT40" s="640"/>
      <c r="GU40" s="640"/>
      <c r="GV40" s="640"/>
      <c r="HF40" s="560">
        <v>0.24993727424646073</v>
      </c>
      <c r="HG40" s="560">
        <v>9.5581712518860329E-2</v>
      </c>
      <c r="HH40" s="513">
        <v>7.5538395676156E-2</v>
      </c>
      <c r="HI40" s="513">
        <v>1.0494135322443381</v>
      </c>
      <c r="HJ40" s="515">
        <v>0.29116789429943757</v>
      </c>
      <c r="HK40" s="515">
        <v>2.1187523529244174</v>
      </c>
      <c r="HL40" s="515">
        <v>0.23000626383229283</v>
      </c>
      <c r="HM40" s="515">
        <v>-1.2634765341538965</v>
      </c>
    </row>
    <row r="41" spans="8:221" ht="16">
      <c r="H41" s="431"/>
      <c r="J41" s="580">
        <v>41578</v>
      </c>
      <c r="K41" s="581">
        <v>0</v>
      </c>
      <c r="L41" s="582">
        <v>13.0273</v>
      </c>
      <c r="M41" s="582">
        <v>12.7029</v>
      </c>
      <c r="N41" s="582">
        <v>13.5457</v>
      </c>
      <c r="O41" s="582">
        <v>13.151199999999999</v>
      </c>
      <c r="P41" s="582">
        <v>98.968299999999999</v>
      </c>
      <c r="Q41" s="582">
        <v>10.119453322187375</v>
      </c>
      <c r="R41" s="582">
        <v>2.7228466778126248</v>
      </c>
      <c r="S41" s="582">
        <v>3.2334466778126245</v>
      </c>
      <c r="T41" s="582">
        <v>3.616246677812625</v>
      </c>
      <c r="U41" s="582">
        <v>3.3017466778126234</v>
      </c>
      <c r="W41" s="580">
        <v>41596</v>
      </c>
      <c r="X41" s="582">
        <f t="shared" ref="X41:AA72" si="54">AVERAGE(R59,R221,R383,R545,R707,R869,R1031,R1193,R1355,R1517,R1679,R1841,R2003)</f>
        <v>2.2555633613762831</v>
      </c>
      <c r="Y41" s="582">
        <f t="shared" si="54"/>
        <v>3.2305479767608989</v>
      </c>
      <c r="Z41" s="582">
        <f t="shared" si="54"/>
        <v>3.7855941306070529</v>
      </c>
      <c r="AA41" s="582">
        <f t="shared" si="54"/>
        <v>3.4494556690685911</v>
      </c>
      <c r="AB41" s="606"/>
      <c r="AC41" s="438">
        <f t="shared" si="47"/>
        <v>4.2829549859918714E-2</v>
      </c>
      <c r="AD41" s="439">
        <f t="shared" si="48"/>
        <v>1.8968011398379669E-2</v>
      </c>
      <c r="AE41" s="439">
        <f t="shared" si="49"/>
        <v>7.0603190906886049E-3</v>
      </c>
      <c r="AF41" s="439">
        <f t="shared" si="50"/>
        <v>1.7991088321458459E-2</v>
      </c>
      <c r="AG41" s="633">
        <v>41596</v>
      </c>
      <c r="AH41" s="511">
        <v>-2.2276773077970456E-2</v>
      </c>
      <c r="AI41" s="512">
        <v>-7.1480915507476511E-3</v>
      </c>
      <c r="AJ41" s="512">
        <v>-9.2723492855062879E-3</v>
      </c>
      <c r="AK41" s="512">
        <v>-2.4597342214388914E-2</v>
      </c>
      <c r="AL41" s="634"/>
      <c r="AM41" s="438">
        <v>-2.6400000000000001E-5</v>
      </c>
      <c r="AN41" s="439">
        <v>-1.1600000000000001E-5</v>
      </c>
      <c r="AO41" s="439"/>
      <c r="AP41" s="439">
        <v>-6.28E-6</v>
      </c>
      <c r="AR41" s="438"/>
      <c r="AS41" s="439"/>
      <c r="AT41" s="439"/>
      <c r="AU41" s="439"/>
      <c r="AV41" s="633">
        <v>41596</v>
      </c>
      <c r="AW41" s="644"/>
      <c r="AX41" s="607">
        <v>0.71</v>
      </c>
      <c r="AY41" s="438"/>
      <c r="AZ41" s="439"/>
      <c r="BA41" s="439"/>
      <c r="BB41" s="439"/>
      <c r="BC41" s="608">
        <f t="shared" si="5"/>
        <v>0</v>
      </c>
      <c r="BD41" s="627" t="s">
        <v>456</v>
      </c>
      <c r="BE41" s="580">
        <v>41596</v>
      </c>
      <c r="BF41" s="438"/>
      <c r="BG41" s="439"/>
      <c r="BH41" s="439"/>
      <c r="BI41" s="439"/>
      <c r="BJ41" s="645"/>
      <c r="BK41" s="438">
        <v>4.8135498599187132</v>
      </c>
      <c r="BL41" s="439">
        <v>2.2640113983796697</v>
      </c>
      <c r="BM41" s="439"/>
      <c r="BN41" s="439">
        <v>8.9478883214584606</v>
      </c>
      <c r="BO41" s="353">
        <v>87</v>
      </c>
      <c r="BP41" s="353">
        <f t="shared" si="9"/>
        <v>17.399999999999999</v>
      </c>
      <c r="BQ41" s="610">
        <f t="shared" si="10"/>
        <v>62.142857142857146</v>
      </c>
      <c r="BR41" s="610">
        <f t="shared" si="11"/>
        <v>23.513513513513512</v>
      </c>
      <c r="BT41" s="648"/>
      <c r="BU41" s="648"/>
      <c r="BV41" s="648"/>
      <c r="BW41" s="648"/>
      <c r="BX41" s="648"/>
      <c r="BY41" s="616" t="s">
        <v>457</v>
      </c>
      <c r="BZ41" s="617">
        <v>30</v>
      </c>
      <c r="CA41" s="608">
        <v>1.3</v>
      </c>
      <c r="CB41" s="608">
        <f t="shared" si="12"/>
        <v>13</v>
      </c>
      <c r="CC41" s="608"/>
      <c r="CD41" s="631">
        <f t="shared" si="13"/>
        <v>95</v>
      </c>
      <c r="CE41" s="364"/>
      <c r="CF41" s="364"/>
      <c r="CG41" s="364"/>
      <c r="CH41" s="364"/>
      <c r="CI41" s="364"/>
      <c r="CJ41" s="364"/>
      <c r="CK41" s="364"/>
      <c r="CL41" s="623"/>
      <c r="CM41" s="364"/>
      <c r="CN41" s="632" t="s">
        <v>409</v>
      </c>
      <c r="CO41" s="580">
        <f>'[3]Plots R2&gt;.75 - UPDATED'!R38</f>
        <v>41597</v>
      </c>
      <c r="CP41" s="620"/>
      <c r="CQ41" s="633">
        <v>41597</v>
      </c>
      <c r="CR41" s="641">
        <v>102834.27862626768</v>
      </c>
      <c r="CS41" s="642">
        <v>424451.95666430384</v>
      </c>
      <c r="CT41" s="642">
        <v>126390.56860542118</v>
      </c>
      <c r="CU41" s="643">
        <v>166425.6214123551</v>
      </c>
      <c r="CV41" s="513">
        <f t="shared" si="33"/>
        <v>0.29406536812400585</v>
      </c>
      <c r="CW41" s="513">
        <f t="shared" si="51"/>
        <v>1.2782573240789485</v>
      </c>
      <c r="CX41" s="513">
        <f t="shared" si="35"/>
        <v>7.1244812340249403E-2</v>
      </c>
      <c r="CY41" s="513">
        <f t="shared" si="52"/>
        <v>0.65394603258498551</v>
      </c>
      <c r="CZ41" s="513">
        <f t="shared" si="41"/>
        <v>0.2392583587024304</v>
      </c>
      <c r="DA41" s="513">
        <f t="shared" ref="DA41:DA53" si="55">IF(ABS(DX42)&lt;=CZ41,0,IF(DX42&gt;0,DX42-CZ41,DX42+CZ41))</f>
        <v>-1.0167005523085231</v>
      </c>
      <c r="DB41" s="513">
        <f t="shared" si="19"/>
        <v>0.1817027915736239</v>
      </c>
      <c r="DC41" s="513">
        <f t="shared" si="53"/>
        <v>-1.2043889050959549</v>
      </c>
      <c r="DD41" s="653"/>
      <c r="DE41" s="464">
        <v>41595</v>
      </c>
      <c r="DF41" s="483">
        <v>10.407341051803693</v>
      </c>
      <c r="DG41" s="483">
        <v>33.406887665968419</v>
      </c>
      <c r="DH41" s="483">
        <v>8.5684153624727042</v>
      </c>
      <c r="DI41" s="483">
        <v>10.008325688498388</v>
      </c>
      <c r="DJ41" s="473"/>
      <c r="DK41" s="473"/>
      <c r="DL41" s="473"/>
      <c r="DM41" s="545"/>
      <c r="DN41" s="528">
        <f t="shared" si="37"/>
        <v>0</v>
      </c>
      <c r="DO41" s="528">
        <f t="shared" si="38"/>
        <v>0</v>
      </c>
      <c r="DP41" s="528">
        <f t="shared" si="39"/>
        <v>0</v>
      </c>
      <c r="DQ41" s="528">
        <f t="shared" si="40"/>
        <v>0</v>
      </c>
      <c r="DR41" s="483">
        <v>0.48639506692417134</v>
      </c>
      <c r="DS41" s="483">
        <v>0.42916076039018719</v>
      </c>
      <c r="DT41" s="483">
        <v>0.84043805376935399</v>
      </c>
      <c r="DU41" s="483">
        <v>0.75290503931054831</v>
      </c>
      <c r="DV41" s="483">
        <v>31.988466489151484</v>
      </c>
      <c r="DW41" s="483">
        <v>-7.5359277201776642</v>
      </c>
      <c r="DX41" s="483">
        <v>-45.488793300815402</v>
      </c>
      <c r="DY41" s="483">
        <v>-18.884891822311864</v>
      </c>
      <c r="DZ41" s="483"/>
      <c r="EA41" s="483"/>
      <c r="EB41" s="483"/>
      <c r="EC41" s="483"/>
      <c r="ED41" s="463">
        <f t="shared" si="24"/>
        <v>0</v>
      </c>
      <c r="EE41" s="463">
        <f t="shared" si="25"/>
        <v>0</v>
      </c>
      <c r="EF41" s="463">
        <f t="shared" si="26"/>
        <v>0</v>
      </c>
      <c r="EG41" s="463">
        <f t="shared" si="27"/>
        <v>0</v>
      </c>
      <c r="EH41" s="473">
        <f>'[3]Plots R2&gt;.75 - UPDATED'!S38</f>
        <v>2.2130814440322788</v>
      </c>
      <c r="EI41" s="473">
        <f>'[3]Plots R2&gt;.75 - UPDATED'!T38</f>
        <v>3.2119814440322791</v>
      </c>
      <c r="EJ41" s="473">
        <f>'[3]Plots R2&gt;.75 - UPDATED'!U38</f>
        <v>3.7786814440322791</v>
      </c>
      <c r="EK41" s="545">
        <f>'[3]Plots R2&gt;.75 - UPDATED'!V38</f>
        <v>3.1414814440322778</v>
      </c>
      <c r="EL41" s="675">
        <v>0.05</v>
      </c>
      <c r="EM41" s="495">
        <v>0</v>
      </c>
      <c r="EN41" s="464">
        <v>41595</v>
      </c>
      <c r="EO41" s="473">
        <v>2.2130814440322788</v>
      </c>
      <c r="EP41" s="473">
        <v>3.2119814440322791</v>
      </c>
      <c r="EQ41" s="473">
        <v>3.7786814440322791</v>
      </c>
      <c r="ER41" s="545">
        <v>3.1414814440322778</v>
      </c>
      <c r="GN41" s="640"/>
      <c r="GO41" s="640"/>
      <c r="GP41" s="640"/>
      <c r="GQ41" s="640"/>
      <c r="GR41" s="640"/>
      <c r="GS41" s="640"/>
      <c r="GT41" s="640"/>
      <c r="GU41" s="640"/>
      <c r="GV41" s="640"/>
      <c r="HF41" s="560">
        <v>0.25361885732846035</v>
      </c>
      <c r="HG41" s="560">
        <v>0.88605581502386643</v>
      </c>
      <c r="HH41" s="513">
        <v>7.6713474630190001E-2</v>
      </c>
      <c r="HI41" s="513">
        <v>1.2301472232208899</v>
      </c>
      <c r="HJ41" s="515">
        <v>0.2971632140804672</v>
      </c>
      <c r="HK41" s="515">
        <v>2.2878054999346142</v>
      </c>
      <c r="HL41" s="515">
        <v>0.23568512823622756</v>
      </c>
      <c r="HM41" s="515">
        <v>-0.31062868535042854</v>
      </c>
    </row>
    <row r="42" spans="8:221" ht="16">
      <c r="H42" s="431"/>
      <c r="J42" s="580">
        <v>41579</v>
      </c>
      <c r="K42" s="581">
        <v>0</v>
      </c>
      <c r="L42" s="582">
        <v>13.0007</v>
      </c>
      <c r="M42" s="582">
        <v>12.683400000000001</v>
      </c>
      <c r="N42" s="582">
        <v>13.4948</v>
      </c>
      <c r="O42" s="582">
        <v>13.1334</v>
      </c>
      <c r="P42" s="582">
        <v>98.970200000000006</v>
      </c>
      <c r="Q42" s="582">
        <v>10.119647596124709</v>
      </c>
      <c r="R42" s="582">
        <v>2.6960524038752909</v>
      </c>
      <c r="S42" s="582">
        <v>3.2137524038752918</v>
      </c>
      <c r="T42" s="582">
        <v>3.5651524038752909</v>
      </c>
      <c r="U42" s="582">
        <v>3.2837524038752903</v>
      </c>
      <c r="W42" s="580">
        <v>41597</v>
      </c>
      <c r="X42" s="582">
        <f t="shared" si="54"/>
        <v>2.2127338115163644</v>
      </c>
      <c r="Y42" s="582">
        <f t="shared" si="54"/>
        <v>3.2115799653625192</v>
      </c>
      <c r="Z42" s="582">
        <f t="shared" si="54"/>
        <v>3.7785338115163642</v>
      </c>
      <c r="AA42" s="582">
        <f t="shared" si="54"/>
        <v>3.4314645807471327</v>
      </c>
      <c r="AB42" s="606"/>
      <c r="AC42" s="441">
        <f t="shared" si="47"/>
        <v>4.3599643772094243E-2</v>
      </c>
      <c r="AD42" s="440">
        <f t="shared" si="48"/>
        <v>1.9030413002864233E-2</v>
      </c>
      <c r="AE42" s="440">
        <f t="shared" si="49"/>
        <v>3.7676566849016435E-2</v>
      </c>
      <c r="AF42" s="440">
        <f t="shared" si="50"/>
        <v>2.3153489925940018E-2</v>
      </c>
      <c r="AG42" s="633">
        <v>41597</v>
      </c>
      <c r="AH42" s="560">
        <v>-2.2040453168570017E-2</v>
      </c>
      <c r="AI42" s="513">
        <v>-7.0661221762332062E-3</v>
      </c>
      <c r="AJ42" s="513">
        <v>-9.2720738044848039E-3</v>
      </c>
      <c r="AK42" s="513">
        <v>-2.4635596041080506E-2</v>
      </c>
      <c r="AL42" s="634"/>
      <c r="AM42" s="441">
        <v>-2.73E-5</v>
      </c>
      <c r="AN42" s="440">
        <v>6.0000000000000002E-6</v>
      </c>
      <c r="AO42" s="440">
        <v>-1.77E-5</v>
      </c>
      <c r="AP42" s="440">
        <v>-1.15E-5</v>
      </c>
      <c r="AR42" s="441">
        <f>-AM42*1440</f>
        <v>3.9312E-2</v>
      </c>
      <c r="AS42" s="440">
        <f>-AN42*1440</f>
        <v>-8.6400000000000001E-3</v>
      </c>
      <c r="AT42" s="440">
        <f>-AO42*1440</f>
        <v>2.5488E-2</v>
      </c>
      <c r="AU42" s="440">
        <f>-AP42*1440</f>
        <v>1.6559999999999998E-2</v>
      </c>
      <c r="AV42" s="633">
        <v>41597</v>
      </c>
      <c r="AW42" s="644"/>
      <c r="AX42" s="607">
        <v>0.08</v>
      </c>
      <c r="AY42" s="441">
        <f t="shared" ref="AY42:BB46" si="56">AC42-AR42</f>
        <v>4.2876437720942434E-3</v>
      </c>
      <c r="AZ42" s="440">
        <f t="shared" si="56"/>
        <v>2.7670413002864234E-2</v>
      </c>
      <c r="BA42" s="440">
        <f t="shared" si="56"/>
        <v>1.2188566849016435E-2</v>
      </c>
      <c r="BB42" s="440">
        <f t="shared" si="56"/>
        <v>6.5934899259400201E-3</v>
      </c>
      <c r="BC42" s="608">
        <f t="shared" si="5"/>
        <v>6.5934899259400201E-2</v>
      </c>
      <c r="BD42" s="627" t="s">
        <v>458</v>
      </c>
      <c r="BE42" s="580">
        <v>41597</v>
      </c>
      <c r="BF42" s="441">
        <f t="shared" ref="BF42:BI46" si="57">DR42*10</f>
        <v>4.5916076039030163</v>
      </c>
      <c r="BG42" s="440">
        <f t="shared" si="57"/>
        <v>4.2916076039018725</v>
      </c>
      <c r="BH42" s="440">
        <f t="shared" si="57"/>
        <v>10.278847428505742</v>
      </c>
      <c r="BI42" s="440">
        <f t="shared" si="57"/>
        <v>7.0551823562108451</v>
      </c>
      <c r="BJ42" s="645"/>
      <c r="BK42" s="441">
        <v>4.2876437720942437</v>
      </c>
      <c r="BL42" s="440">
        <v>27.670413002864237</v>
      </c>
      <c r="BM42" s="440">
        <v>12.188566849016436</v>
      </c>
      <c r="BN42" s="440">
        <v>6.5934899259400206</v>
      </c>
      <c r="BO42" s="353">
        <v>78</v>
      </c>
      <c r="BP42" s="353">
        <f t="shared" si="9"/>
        <v>15.6</v>
      </c>
      <c r="BQ42" s="610">
        <f t="shared" si="10"/>
        <v>55.714285714285715</v>
      </c>
      <c r="BR42" s="610">
        <f t="shared" si="11"/>
        <v>21.081081081081081</v>
      </c>
      <c r="BT42" s="648"/>
      <c r="BU42" s="648"/>
      <c r="BV42" s="648"/>
      <c r="BW42" s="648"/>
      <c r="BX42" s="648"/>
      <c r="BY42" s="616" t="s">
        <v>459</v>
      </c>
      <c r="BZ42" s="617">
        <v>29</v>
      </c>
      <c r="CA42" s="608">
        <v>0</v>
      </c>
      <c r="CB42" s="608">
        <f t="shared" si="12"/>
        <v>0</v>
      </c>
      <c r="CC42" s="608"/>
      <c r="CD42" s="631">
        <f t="shared" si="13"/>
        <v>95</v>
      </c>
      <c r="CE42" s="364"/>
      <c r="CF42" s="364"/>
      <c r="CG42" s="364"/>
      <c r="CH42" s="364"/>
      <c r="CI42" s="364"/>
      <c r="CJ42" s="364"/>
      <c r="CK42" s="364"/>
      <c r="CL42" s="623"/>
      <c r="CM42" s="364"/>
      <c r="CN42" s="632" t="s">
        <v>412</v>
      </c>
      <c r="CO42" s="580">
        <f>'[3]Plots R2&gt;.75 - UPDATED'!R39</f>
        <v>41598</v>
      </c>
      <c r="CP42" s="620"/>
      <c r="CQ42" s="633">
        <v>41598</v>
      </c>
      <c r="CR42" s="641">
        <v>100566.46285164647</v>
      </c>
      <c r="CS42" s="642">
        <v>417010.76837820595</v>
      </c>
      <c r="CT42" s="642">
        <v>124143.64996844404</v>
      </c>
      <c r="CU42" s="643">
        <v>162523.93321749091</v>
      </c>
      <c r="CV42" s="513">
        <f t="shared" si="33"/>
        <v>0.30069666509609083</v>
      </c>
      <c r="CW42" s="513">
        <f t="shared" si="51"/>
        <v>1.4264580180469073</v>
      </c>
      <c r="CX42" s="513">
        <f t="shared" si="35"/>
        <v>7.2516112995369877E-2</v>
      </c>
      <c r="CY42" s="513">
        <f t="shared" si="52"/>
        <v>0.82365230455243743</v>
      </c>
      <c r="CZ42" s="513">
        <f t="shared" si="41"/>
        <v>0.24358877806224222</v>
      </c>
      <c r="DA42" s="513">
        <f t="shared" si="55"/>
        <v>1.3780038414892775</v>
      </c>
      <c r="DB42" s="513">
        <f t="shared" si="19"/>
        <v>0.18606490380424506</v>
      </c>
      <c r="DC42" s="513">
        <f t="shared" si="53"/>
        <v>-0.62149470030380605</v>
      </c>
      <c r="DD42" s="653"/>
      <c r="DE42" s="299">
        <v>41596</v>
      </c>
      <c r="DF42" s="463">
        <v>10.17415207898885</v>
      </c>
      <c r="DG42" s="463">
        <v>32.533034231173431</v>
      </c>
      <c r="DH42" s="463">
        <v>8.3633453268840583</v>
      </c>
      <c r="DI42" s="463">
        <v>9.5573728815575425</v>
      </c>
      <c r="DJ42" s="528">
        <v>0.45916076039030163</v>
      </c>
      <c r="DK42" s="528">
        <v>0.42916076039018725</v>
      </c>
      <c r="DL42" s="528"/>
      <c r="DM42" s="546"/>
      <c r="DN42" s="528">
        <f t="shared" si="37"/>
        <v>4.5916076039030163</v>
      </c>
      <c r="DO42" s="528">
        <f t="shared" si="38"/>
        <v>4.2916076039018725</v>
      </c>
      <c r="DP42" s="528">
        <f t="shared" si="39"/>
        <v>0</v>
      </c>
      <c r="DQ42" s="528">
        <f t="shared" si="40"/>
        <v>0</v>
      </c>
      <c r="DR42" s="463">
        <v>0.45916076039030163</v>
      </c>
      <c r="DS42" s="463">
        <v>0.42916076039018725</v>
      </c>
      <c r="DT42" s="463">
        <v>1.0278847428505742</v>
      </c>
      <c r="DU42" s="463">
        <v>0.70551823562108451</v>
      </c>
      <c r="DV42" s="463">
        <v>1.5723226922029543</v>
      </c>
      <c r="DW42" s="463">
        <v>0.72519084492523489</v>
      </c>
      <c r="DX42" s="463">
        <v>-1.2559589110109535</v>
      </c>
      <c r="DY42" s="463">
        <v>-1.3860916966695789</v>
      </c>
      <c r="DZ42" s="463">
        <v>1.5723226922029543</v>
      </c>
      <c r="EA42" s="463">
        <v>0.72519084492523489</v>
      </c>
      <c r="EB42" s="463">
        <v>-1.2559589110109535</v>
      </c>
      <c r="EC42" s="463">
        <v>-1.3860916966695789</v>
      </c>
      <c r="ED42" s="463">
        <f t="shared" si="24"/>
        <v>15.723226922029543</v>
      </c>
      <c r="EE42" s="463">
        <f t="shared" si="25"/>
        <v>7.2519084492523493</v>
      </c>
      <c r="EF42" s="463">
        <f t="shared" si="26"/>
        <v>-12.559589110109535</v>
      </c>
      <c r="EG42" s="463">
        <f t="shared" si="27"/>
        <v>-13.86091696669579</v>
      </c>
      <c r="EH42" s="528">
        <f>'[3]Plots R2&gt;.75 - UPDATED'!S39</f>
        <v>2.1686401297129607</v>
      </c>
      <c r="EI42" s="528">
        <f>'[3]Plots R2&gt;.75 - UPDATED'!T39</f>
        <v>3.1923401297129619</v>
      </c>
      <c r="EJ42" s="528">
        <f>'[3]Plots R2&gt;.75 - UPDATED'!U39</f>
        <v>3.7410401297129612</v>
      </c>
      <c r="EK42" s="546">
        <f>'[3]Plots R2&gt;.75 - UPDATED'!V39</f>
        <v>3.1183401297129616</v>
      </c>
      <c r="EL42" s="676">
        <v>63.600000000000051</v>
      </c>
      <c r="EM42" s="495">
        <v>0</v>
      </c>
      <c r="EN42" s="299">
        <v>41596</v>
      </c>
      <c r="EO42" s="528">
        <v>2.1686401297129607</v>
      </c>
      <c r="EP42" s="528">
        <v>3.1923401297129619</v>
      </c>
      <c r="EQ42" s="528">
        <v>3.7410401297129612</v>
      </c>
      <c r="ER42" s="546">
        <v>3.1183401297129616</v>
      </c>
      <c r="GN42" s="640"/>
      <c r="GO42" s="640"/>
      <c r="GP42" s="640"/>
      <c r="GQ42" s="640"/>
      <c r="GR42" s="640"/>
      <c r="GS42" s="640"/>
      <c r="GT42" s="640"/>
      <c r="GU42" s="640"/>
      <c r="GV42" s="640"/>
      <c r="HF42" s="560">
        <v>0.25725246930475787</v>
      </c>
      <c r="HG42" s="560">
        <v>1.0990213428824176</v>
      </c>
      <c r="HH42" s="513">
        <v>7.8191683954782279E-2</v>
      </c>
      <c r="HI42" s="513">
        <v>0.83720284854064531</v>
      </c>
      <c r="HJ42" s="515">
        <v>0.30373924577284223</v>
      </c>
      <c r="HK42" s="515">
        <v>2.0535086437628207</v>
      </c>
      <c r="HL42" s="515">
        <v>0.24215668158941075</v>
      </c>
      <c r="HM42" s="515">
        <v>0</v>
      </c>
    </row>
    <row r="43" spans="8:221" ht="16">
      <c r="H43" s="431"/>
      <c r="J43" s="580">
        <v>41580</v>
      </c>
      <c r="K43" s="581">
        <v>0</v>
      </c>
      <c r="L43" s="582">
        <v>12.955399999999999</v>
      </c>
      <c r="M43" s="582">
        <v>12.6561</v>
      </c>
      <c r="N43" s="582">
        <v>13.436</v>
      </c>
      <c r="O43" s="582">
        <v>13.104900000000001</v>
      </c>
      <c r="P43" s="582">
        <v>98.890799999999999</v>
      </c>
      <c r="Q43" s="582">
        <v>10.111528990533003</v>
      </c>
      <c r="R43" s="582">
        <v>2.6588710094669961</v>
      </c>
      <c r="S43" s="582">
        <v>3.1945710094669977</v>
      </c>
      <c r="T43" s="582">
        <v>3.5144710094669973</v>
      </c>
      <c r="U43" s="582">
        <v>3.2633710094669972</v>
      </c>
      <c r="W43" s="580">
        <v>41598</v>
      </c>
      <c r="X43" s="582">
        <f t="shared" si="54"/>
        <v>2.1691341677442701</v>
      </c>
      <c r="Y43" s="582">
        <f t="shared" si="54"/>
        <v>3.192549552359655</v>
      </c>
      <c r="Z43" s="582">
        <f t="shared" si="54"/>
        <v>3.7408572446673478</v>
      </c>
      <c r="AA43" s="582">
        <f t="shared" si="54"/>
        <v>3.4083110908211927</v>
      </c>
      <c r="AB43" s="606"/>
      <c r="AC43" s="441">
        <f t="shared" si="47"/>
        <v>4.4430249367732433E-2</v>
      </c>
      <c r="AD43" s="440">
        <f t="shared" si="48"/>
        <v>2.1145633983116863E-2</v>
      </c>
      <c r="AE43" s="440">
        <f t="shared" si="49"/>
        <v>4.0368710906193428E-2</v>
      </c>
      <c r="AF43" s="440">
        <f t="shared" si="50"/>
        <v>2.4807172444655023E-2</v>
      </c>
      <c r="AG43" s="633">
        <v>41598</v>
      </c>
      <c r="AH43" s="560">
        <v>-2.1781998324711255E-2</v>
      </c>
      <c r="AI43" s="513">
        <v>-6.9755466044798663E-3</v>
      </c>
      <c r="AJ43" s="513">
        <v>-9.2697706000214406E-3</v>
      </c>
      <c r="AK43" s="513">
        <v>-2.4678904867642765E-2</v>
      </c>
      <c r="AL43" s="634"/>
      <c r="AM43" s="441">
        <v>-2.8500000000000002E-5</v>
      </c>
      <c r="AN43" s="440">
        <v>-1.3900000000000001E-5</v>
      </c>
      <c r="AO43" s="440">
        <v>-3.0800000000000003E-5</v>
      </c>
      <c r="AP43" s="440">
        <v>-1.45E-5</v>
      </c>
      <c r="AR43" s="441">
        <f t="shared" si="42"/>
        <v>4.104E-2</v>
      </c>
      <c r="AS43" s="440">
        <f t="shared" si="42"/>
        <v>2.0016000000000003E-2</v>
      </c>
      <c r="AT43" s="440">
        <f t="shared" si="42"/>
        <v>4.4352000000000003E-2</v>
      </c>
      <c r="AU43" s="440">
        <f t="shared" si="42"/>
        <v>2.0879999999999999E-2</v>
      </c>
      <c r="AV43" s="633">
        <v>41598</v>
      </c>
      <c r="AW43" s="644"/>
      <c r="AX43" s="608">
        <v>0</v>
      </c>
      <c r="AY43" s="441">
        <f t="shared" si="56"/>
        <v>3.3902493677324327E-3</v>
      </c>
      <c r="AZ43" s="440">
        <f t="shared" si="56"/>
        <v>1.1296339831168602E-3</v>
      </c>
      <c r="BA43" s="440">
        <f t="shared" si="56"/>
        <v>-3.9832890938065746E-3</v>
      </c>
      <c r="BB43" s="440">
        <f t="shared" si="56"/>
        <v>3.9271724446550242E-3</v>
      </c>
      <c r="BC43" s="608">
        <f t="shared" si="5"/>
        <v>3.9271724446550242E-2</v>
      </c>
      <c r="BD43" s="627" t="s">
        <v>460</v>
      </c>
      <c r="BE43" s="580">
        <v>41598</v>
      </c>
      <c r="BF43" s="441">
        <f t="shared" si="57"/>
        <v>5.1293143193180812</v>
      </c>
      <c r="BG43" s="440">
        <f t="shared" si="57"/>
        <v>3.6135079676059814</v>
      </c>
      <c r="BH43" s="440">
        <f t="shared" si="57"/>
        <v>12.153314319317943</v>
      </c>
      <c r="BI43" s="440">
        <f t="shared" si="57"/>
        <v>6.5813143193162098</v>
      </c>
      <c r="BJ43" s="645"/>
      <c r="BK43" s="441">
        <v>3.3902493677324328</v>
      </c>
      <c r="BL43" s="440">
        <v>1.1296339831168603</v>
      </c>
      <c r="BM43" s="440"/>
      <c r="BN43" s="440">
        <v>3.9271724446550245</v>
      </c>
      <c r="BO43" s="353">
        <v>77</v>
      </c>
      <c r="BP43" s="353">
        <f t="shared" si="9"/>
        <v>15.4</v>
      </c>
      <c r="BQ43" s="610">
        <f t="shared" si="10"/>
        <v>55</v>
      </c>
      <c r="BR43" s="610">
        <f t="shared" si="11"/>
        <v>20.810810810810811</v>
      </c>
      <c r="BT43" s="648"/>
      <c r="BU43" s="648"/>
      <c r="BV43" s="648"/>
      <c r="BW43" s="648"/>
      <c r="BX43" s="648"/>
      <c r="BY43" s="616" t="s">
        <v>461</v>
      </c>
      <c r="BZ43" s="617">
        <v>30</v>
      </c>
      <c r="CA43" s="608">
        <v>3.1</v>
      </c>
      <c r="CB43" s="608">
        <f t="shared" si="12"/>
        <v>31</v>
      </c>
      <c r="CC43" s="608"/>
      <c r="CD43" s="631">
        <f t="shared" si="13"/>
        <v>126</v>
      </c>
      <c r="CE43" s="364"/>
      <c r="CF43" s="364"/>
      <c r="CG43" s="364"/>
      <c r="CH43" s="364"/>
      <c r="CI43" s="364"/>
      <c r="CJ43" s="364"/>
      <c r="CK43" s="364"/>
      <c r="CL43" s="623"/>
      <c r="CM43" s="364"/>
      <c r="CN43" s="632" t="s">
        <v>415</v>
      </c>
      <c r="CO43" s="580">
        <f>'[3]Plots R2&gt;.75 - UPDATED'!R40</f>
        <v>41599</v>
      </c>
      <c r="CP43" s="620"/>
      <c r="CQ43" s="633">
        <v>41599</v>
      </c>
      <c r="CR43" s="641">
        <v>98324.459592546365</v>
      </c>
      <c r="CS43" s="642">
        <v>409103.3258263949</v>
      </c>
      <c r="CT43" s="642">
        <v>121768.13112263801</v>
      </c>
      <c r="CU43" s="643">
        <v>158392.51702303154</v>
      </c>
      <c r="CV43" s="513">
        <f t="shared" si="33"/>
        <v>0.30755317776790897</v>
      </c>
      <c r="CW43" s="513">
        <f t="shared" si="51"/>
        <v>1.6182469897609655</v>
      </c>
      <c r="CX43" s="513">
        <f t="shared" si="35"/>
        <v>7.3917756446772315E-2</v>
      </c>
      <c r="CY43" s="513">
        <f t="shared" si="52"/>
        <v>1.0474422873479019</v>
      </c>
      <c r="CZ43" s="513">
        <f t="shared" si="41"/>
        <v>0.24834084026093803</v>
      </c>
      <c r="DA43" s="513">
        <f t="shared" si="55"/>
        <v>2.0188548909872837</v>
      </c>
      <c r="DB43" s="513">
        <f t="shared" si="19"/>
        <v>0.19091811007462467</v>
      </c>
      <c r="DC43" s="513">
        <f t="shared" si="53"/>
        <v>-0.18897237668965183</v>
      </c>
      <c r="DD43" s="653"/>
      <c r="DE43" s="299">
        <v>41597</v>
      </c>
      <c r="DF43" s="463">
        <v>10.501195420405473</v>
      </c>
      <c r="DG43" s="463">
        <v>43.161338701040059</v>
      </c>
      <c r="DH43" s="463">
        <v>12.680987806528073</v>
      </c>
      <c r="DI43" s="463">
        <v>16.946882005007982</v>
      </c>
      <c r="DJ43" s="528">
        <v>0.51293143193180812</v>
      </c>
      <c r="DK43" s="528"/>
      <c r="DL43" s="528">
        <v>1.2153314319317943</v>
      </c>
      <c r="DM43" s="546">
        <v>0.65813143193162094</v>
      </c>
      <c r="DN43" s="528">
        <f t="shared" si="37"/>
        <v>5.1293143193180812</v>
      </c>
      <c r="DO43" s="528">
        <f t="shared" si="38"/>
        <v>0</v>
      </c>
      <c r="DP43" s="528">
        <f t="shared" si="39"/>
        <v>12.153314319317943</v>
      </c>
      <c r="DQ43" s="528">
        <f t="shared" si="40"/>
        <v>6.5813143193162098</v>
      </c>
      <c r="DR43" s="463">
        <v>0.51293143193180812</v>
      </c>
      <c r="DS43" s="463">
        <v>0.36135079676059811</v>
      </c>
      <c r="DT43" s="463">
        <v>1.2153314319317943</v>
      </c>
      <c r="DU43" s="463">
        <v>0.65813143193162094</v>
      </c>
      <c r="DV43" s="463">
        <v>1.7271546831429982</v>
      </c>
      <c r="DW43" s="463">
        <v>0.89616841754780729</v>
      </c>
      <c r="DX43" s="463">
        <v>1.6215926195515196</v>
      </c>
      <c r="DY43" s="463">
        <v>-0.80755960410805105</v>
      </c>
      <c r="DZ43" s="463">
        <v>1.7271546831429982</v>
      </c>
      <c r="EA43" s="463">
        <v>0.89616841754780729</v>
      </c>
      <c r="EB43" s="463">
        <v>1.6215926195515196</v>
      </c>
      <c r="EC43" s="463">
        <v>-0.80755960410805105</v>
      </c>
      <c r="ED43" s="463">
        <f t="shared" si="24"/>
        <v>17.271546831429983</v>
      </c>
      <c r="EE43" s="463">
        <f t="shared" si="25"/>
        <v>8.9616841754780729</v>
      </c>
      <c r="EF43" s="463">
        <f t="shared" si="26"/>
        <v>16.215926195515195</v>
      </c>
      <c r="EG43" s="463">
        <f t="shared" si="27"/>
        <v>-8.0755960410805105</v>
      </c>
      <c r="EH43" s="528">
        <f>'[3]Plots R2&gt;.75 - UPDATED'!S40</f>
        <v>2.1246155743392241</v>
      </c>
      <c r="EI43" s="528">
        <f>'[3]Plots R2&gt;.75 - UPDATED'!T40</f>
        <v>3.1712155743392252</v>
      </c>
      <c r="EJ43" s="528">
        <f>'[3]Plots R2&gt;.75 - UPDATED'!U40</f>
        <v>3.7009155743392244</v>
      </c>
      <c r="EK43" s="546">
        <f>'[3]Plots R2&gt;.75 - UPDATED'!V40</f>
        <v>3.0934155743392249</v>
      </c>
      <c r="EL43" s="676">
        <v>0</v>
      </c>
      <c r="EM43" s="495">
        <v>0</v>
      </c>
      <c r="EN43" s="299">
        <v>41597</v>
      </c>
      <c r="EO43" s="528">
        <v>2.1246155743392241</v>
      </c>
      <c r="EP43" s="528">
        <v>3.1712155743392252</v>
      </c>
      <c r="EQ43" s="528">
        <v>3.7009155743392244</v>
      </c>
      <c r="ER43" s="546">
        <v>3.0934155743392249</v>
      </c>
      <c r="GN43" s="640"/>
      <c r="GO43" s="640"/>
      <c r="GP43" s="640"/>
      <c r="GQ43" s="640"/>
      <c r="GR43" s="640"/>
      <c r="GS43" s="640"/>
      <c r="GT43" s="640"/>
      <c r="GU43" s="640"/>
      <c r="GV43" s="640"/>
      <c r="HF43" s="560">
        <v>0.26140888843287341</v>
      </c>
      <c r="HG43" s="560">
        <v>1.3120479451659581</v>
      </c>
      <c r="HH43" s="513">
        <v>7.9517139218662963E-2</v>
      </c>
      <c r="HI43" s="513">
        <v>1.3362535954933323</v>
      </c>
      <c r="HJ43" s="515">
        <v>0.31024251660464197</v>
      </c>
      <c r="HK43" s="515">
        <v>2.1074668740335127</v>
      </c>
      <c r="HL43" s="515">
        <v>0.2485897559264757</v>
      </c>
      <c r="HM43" s="515">
        <v>0.47416082986970787</v>
      </c>
    </row>
    <row r="44" spans="8:221" ht="16">
      <c r="H44" s="431"/>
      <c r="J44" s="580">
        <v>41581</v>
      </c>
      <c r="K44" s="581">
        <v>0</v>
      </c>
      <c r="L44" s="582">
        <v>12.9217</v>
      </c>
      <c r="M44" s="582">
        <v>12.639699999999999</v>
      </c>
      <c r="N44" s="582">
        <v>13.403700000000001</v>
      </c>
      <c r="O44" s="582">
        <v>13.0876</v>
      </c>
      <c r="P44" s="582">
        <v>98.895600000000002</v>
      </c>
      <c r="Q44" s="582">
        <v>10.11201978784837</v>
      </c>
      <c r="R44" s="582">
        <v>2.6246802121516297</v>
      </c>
      <c r="S44" s="582">
        <v>3.1776802121516301</v>
      </c>
      <c r="T44" s="582">
        <v>3.4816802121516313</v>
      </c>
      <c r="U44" s="582">
        <v>3.24558021215163</v>
      </c>
      <c r="W44" s="580">
        <v>41599</v>
      </c>
      <c r="X44" s="582">
        <f t="shared" si="54"/>
        <v>2.1247039183765377</v>
      </c>
      <c r="Y44" s="582">
        <f t="shared" si="54"/>
        <v>3.1714039183765381</v>
      </c>
      <c r="Z44" s="582">
        <f t="shared" si="54"/>
        <v>3.7004885337611544</v>
      </c>
      <c r="AA44" s="582">
        <f t="shared" si="54"/>
        <v>3.3835039183765376</v>
      </c>
      <c r="AB44" s="606"/>
      <c r="AC44" s="441">
        <f t="shared" si="47"/>
        <v>5.4806887660623804E-2</v>
      </c>
      <c r="AD44" s="440">
        <f t="shared" si="48"/>
        <v>2.319919535293069E-2</v>
      </c>
      <c r="AE44" s="440">
        <f t="shared" si="49"/>
        <v>4.0260733814470484E-2</v>
      </c>
      <c r="AF44" s="440">
        <f t="shared" si="50"/>
        <v>2.5976118429854811E-2</v>
      </c>
      <c r="AG44" s="633">
        <v>41599</v>
      </c>
      <c r="AH44" s="560">
        <v>-2.1513216917239626E-2</v>
      </c>
      <c r="AI44" s="513">
        <v>-6.8728449059230427E-3</v>
      </c>
      <c r="AJ44" s="513">
        <v>-9.2657277663913424E-3</v>
      </c>
      <c r="AK44" s="513">
        <v>-2.4716865049337029E-2</v>
      </c>
      <c r="AL44" s="634"/>
      <c r="AM44" s="441">
        <v>-2.58E-5</v>
      </c>
      <c r="AN44" s="440">
        <v>-1.59E-5</v>
      </c>
      <c r="AO44" s="440">
        <v>-2.5400000000000001E-5</v>
      </c>
      <c r="AP44" s="440">
        <v>-1.6500000000000001E-5</v>
      </c>
      <c r="AR44" s="441">
        <f t="shared" si="42"/>
        <v>3.7151999999999998E-2</v>
      </c>
      <c r="AS44" s="440">
        <f t="shared" si="42"/>
        <v>2.2896E-2</v>
      </c>
      <c r="AT44" s="440">
        <f t="shared" si="42"/>
        <v>3.6576000000000004E-2</v>
      </c>
      <c r="AU44" s="440">
        <f t="shared" si="42"/>
        <v>2.3760000000000003E-2</v>
      </c>
      <c r="AV44" s="633">
        <v>41599</v>
      </c>
      <c r="AW44" s="644"/>
      <c r="AX44" s="608">
        <v>0</v>
      </c>
      <c r="AY44" s="441">
        <f t="shared" si="56"/>
        <v>1.7654887660623807E-2</v>
      </c>
      <c r="AZ44" s="440">
        <f t="shared" si="56"/>
        <v>3.0319535293069078E-4</v>
      </c>
      <c r="BA44" s="440">
        <f t="shared" si="56"/>
        <v>3.6847338144704797E-3</v>
      </c>
      <c r="BB44" s="440">
        <f t="shared" si="56"/>
        <v>2.2161184298548076E-3</v>
      </c>
      <c r="BC44" s="608">
        <f t="shared" si="5"/>
        <v>2.2161184298548076E-2</v>
      </c>
      <c r="BD44" s="627" t="s">
        <v>462</v>
      </c>
      <c r="BE44" s="580">
        <v>41599</v>
      </c>
      <c r="BF44" s="441">
        <f t="shared" si="57"/>
        <v>2.9845553737366171</v>
      </c>
      <c r="BG44" s="440">
        <f t="shared" si="57"/>
        <v>2.9354083313100898</v>
      </c>
      <c r="BH44" s="440">
        <f t="shared" si="57"/>
        <v>8.1828274612331686</v>
      </c>
      <c r="BI44" s="440">
        <f t="shared" si="57"/>
        <v>4.0445553737367224</v>
      </c>
      <c r="BJ44" s="645"/>
      <c r="BK44" s="441">
        <v>17.654887660623807</v>
      </c>
      <c r="BL44" s="440">
        <v>0.30319535293069078</v>
      </c>
      <c r="BM44" s="440">
        <v>3.68473381447048</v>
      </c>
      <c r="BN44" s="440">
        <v>2.2161184298548076</v>
      </c>
      <c r="BO44" s="353">
        <v>78</v>
      </c>
      <c r="BP44" s="353">
        <f t="shared" si="9"/>
        <v>15.6</v>
      </c>
      <c r="BQ44" s="610">
        <f t="shared" si="10"/>
        <v>55.714285714285715</v>
      </c>
      <c r="BR44" s="610">
        <f t="shared" si="11"/>
        <v>21.081081081081081</v>
      </c>
      <c r="BT44" s="648"/>
      <c r="BU44" s="648"/>
      <c r="BV44" s="648"/>
      <c r="BW44" s="648"/>
      <c r="BX44" s="648"/>
      <c r="BY44" s="616" t="s">
        <v>463</v>
      </c>
      <c r="BZ44" s="617">
        <v>28</v>
      </c>
      <c r="CA44" s="608">
        <v>0.2</v>
      </c>
      <c r="CB44" s="608">
        <f t="shared" si="12"/>
        <v>2</v>
      </c>
      <c r="CC44" s="608"/>
      <c r="CD44" s="631">
        <f t="shared" si="13"/>
        <v>128</v>
      </c>
      <c r="CE44" s="364"/>
      <c r="CF44" s="364"/>
      <c r="CG44" s="364"/>
      <c r="CH44" s="364"/>
      <c r="CI44" s="364"/>
      <c r="CJ44" s="364"/>
      <c r="CK44" s="364"/>
      <c r="CL44" s="623"/>
      <c r="CM44" s="364"/>
      <c r="CN44" s="632" t="s">
        <v>418</v>
      </c>
      <c r="CO44" s="580">
        <f>'[3]Plots R2&gt;.75 - UPDATED'!R41</f>
        <v>41600</v>
      </c>
      <c r="CP44" s="620"/>
      <c r="CQ44" s="633">
        <v>41600</v>
      </c>
      <c r="CR44" s="641">
        <v>95561.04144419574</v>
      </c>
      <c r="CS44" s="642">
        <v>400867.12727261521</v>
      </c>
      <c r="CT44" s="642">
        <v>119374.12376227841</v>
      </c>
      <c r="CU44" s="643">
        <v>154243.00466454378</v>
      </c>
      <c r="CV44" s="513">
        <f t="shared" si="33"/>
        <v>0.31644694891337161</v>
      </c>
      <c r="CW44" s="513">
        <f t="shared" si="51"/>
        <v>2.5148660420862852</v>
      </c>
      <c r="CX44" s="513">
        <f t="shared" si="35"/>
        <v>7.5436467454301562E-2</v>
      </c>
      <c r="CY44" s="513">
        <f t="shared" si="52"/>
        <v>1.2403822327668625</v>
      </c>
      <c r="CZ44" s="513">
        <f t="shared" si="41"/>
        <v>0.25332123115910721</v>
      </c>
      <c r="DA44" s="513">
        <f t="shared" si="55"/>
        <v>2.4777059922017588</v>
      </c>
      <c r="DB44" s="513">
        <f t="shared" si="19"/>
        <v>0.1960542720609445</v>
      </c>
      <c r="DC44" s="513">
        <f t="shared" si="53"/>
        <v>0</v>
      </c>
      <c r="DD44" s="653"/>
      <c r="DE44" s="299">
        <v>41598</v>
      </c>
      <c r="DF44" s="463">
        <v>10.283427862626768</v>
      </c>
      <c r="DG44" s="463">
        <v>42.445195666430386</v>
      </c>
      <c r="DH44" s="463">
        <v>12.639056860542118</v>
      </c>
      <c r="DI44" s="463">
        <v>16.642562141235512</v>
      </c>
      <c r="DJ44" s="528">
        <v>0.29845553737366171</v>
      </c>
      <c r="DK44" s="528"/>
      <c r="DL44" s="528"/>
      <c r="DM44" s="546">
        <v>0.40445553737367224</v>
      </c>
      <c r="DN44" s="528">
        <f t="shared" si="37"/>
        <v>2.9845553737366171</v>
      </c>
      <c r="DO44" s="528">
        <f t="shared" si="38"/>
        <v>0</v>
      </c>
      <c r="DP44" s="528">
        <f t="shared" si="39"/>
        <v>0</v>
      </c>
      <c r="DQ44" s="528">
        <f t="shared" si="40"/>
        <v>4.0445553737367224</v>
      </c>
      <c r="DR44" s="463">
        <v>0.29845553737366171</v>
      </c>
      <c r="DS44" s="463">
        <v>0.29354083313100898</v>
      </c>
      <c r="DT44" s="463">
        <v>0.81828274612331686</v>
      </c>
      <c r="DU44" s="463">
        <v>0.40445553737367224</v>
      </c>
      <c r="DV44" s="463">
        <v>1.9258001675288745</v>
      </c>
      <c r="DW44" s="463">
        <v>1.1213600437946742</v>
      </c>
      <c r="DX44" s="463">
        <v>2.2671957312482216</v>
      </c>
      <c r="DY44" s="463">
        <v>-0.3798904867642765</v>
      </c>
      <c r="DZ44" s="463">
        <v>1.9258001675288745</v>
      </c>
      <c r="EA44" s="463">
        <v>1.1213600437946742</v>
      </c>
      <c r="EB44" s="463">
        <v>2.2671957312482216</v>
      </c>
      <c r="EC44" s="463">
        <v>-0.3798904867642765</v>
      </c>
      <c r="ED44" s="463">
        <f t="shared" si="24"/>
        <v>19.258001675288746</v>
      </c>
      <c r="EE44" s="463">
        <f t="shared" si="25"/>
        <v>11.213600437946742</v>
      </c>
      <c r="EF44" s="463">
        <f t="shared" si="26"/>
        <v>22.671957312482217</v>
      </c>
      <c r="EG44" s="463">
        <f t="shared" si="27"/>
        <v>-3.798904867642765</v>
      </c>
      <c r="EH44" s="528">
        <f>'[3]Plots R2&gt;.75 - UPDATED'!S41</f>
        <v>2.0702272337360754</v>
      </c>
      <c r="EI44" s="528">
        <f>'[3]Plots R2&gt;.75 - UPDATED'!T41</f>
        <v>3.1489272337360763</v>
      </c>
      <c r="EJ44" s="528">
        <f>'[3]Plots R2&gt;.75 - UPDATED'!U41</f>
        <v>3.660127233736076</v>
      </c>
      <c r="EK44" s="546">
        <f>'[3]Plots R2&gt;.75 - UPDATED'!V41</f>
        <v>3.0679272337360763</v>
      </c>
      <c r="EL44" s="676">
        <v>0</v>
      </c>
      <c r="EM44" s="495">
        <v>0</v>
      </c>
      <c r="EN44" s="299">
        <v>41598</v>
      </c>
      <c r="EO44" s="528">
        <v>2.0702272337360754</v>
      </c>
      <c r="EP44" s="528">
        <v>3.1489272337360763</v>
      </c>
      <c r="EQ44" s="528">
        <v>3.660127233736076</v>
      </c>
      <c r="ER44" s="546">
        <v>3.0679272337360763</v>
      </c>
      <c r="GN44" s="640"/>
      <c r="GO44" s="640"/>
      <c r="GP44" s="640"/>
      <c r="GQ44" s="640"/>
      <c r="GR44" s="640"/>
      <c r="GS44" s="640"/>
      <c r="GT44" s="640"/>
      <c r="GU44" s="640"/>
      <c r="GV44" s="640"/>
      <c r="HF44" s="560">
        <v>0.26596542791673367</v>
      </c>
      <c r="HG44" s="560">
        <v>0.8206613543522252</v>
      </c>
      <c r="HH44" s="513">
        <v>8.1096575490981371E-2</v>
      </c>
      <c r="HI44" s="513">
        <v>1.0022222430548224</v>
      </c>
      <c r="HJ44" s="515">
        <v>0.31730696513797052</v>
      </c>
      <c r="HK44" s="515">
        <v>2.1613417090637341</v>
      </c>
      <c r="HL44" s="515">
        <v>0.25642363576477989</v>
      </c>
      <c r="HM44" s="515">
        <v>0.16196691111957151</v>
      </c>
    </row>
    <row r="45" spans="8:221" ht="16">
      <c r="H45" s="431"/>
      <c r="J45" s="580">
        <v>41582</v>
      </c>
      <c r="K45" s="581">
        <v>0</v>
      </c>
      <c r="L45" s="582">
        <v>12.893800000000001</v>
      </c>
      <c r="M45" s="582">
        <v>12.6282</v>
      </c>
      <c r="N45" s="582">
        <v>13.375999999999999</v>
      </c>
      <c r="O45" s="582">
        <v>13.0754</v>
      </c>
      <c r="P45" s="582">
        <v>98.959199999999996</v>
      </c>
      <c r="Q45" s="582">
        <v>10.118522852276991</v>
      </c>
      <c r="R45" s="582">
        <v>2.5902771477230098</v>
      </c>
      <c r="S45" s="582">
        <v>3.1596771477230092</v>
      </c>
      <c r="T45" s="582">
        <v>3.4474771477230091</v>
      </c>
      <c r="U45" s="582">
        <v>3.2268771477230089</v>
      </c>
      <c r="W45" s="580">
        <v>41600</v>
      </c>
      <c r="X45" s="582">
        <f t="shared" si="54"/>
        <v>2.0698970307159139</v>
      </c>
      <c r="Y45" s="582">
        <f t="shared" si="54"/>
        <v>3.1482047230236074</v>
      </c>
      <c r="Z45" s="582">
        <f t="shared" si="54"/>
        <v>3.6602277999466839</v>
      </c>
      <c r="AA45" s="582">
        <f t="shared" si="54"/>
        <v>3.3575277999466828</v>
      </c>
      <c r="AB45" s="606"/>
      <c r="AC45" s="441">
        <f t="shared" si="47"/>
        <v>5.4759755049027081E-2</v>
      </c>
      <c r="AD45" s="440">
        <f t="shared" si="48"/>
        <v>2.2913601202874112E-2</v>
      </c>
      <c r="AE45" s="440">
        <f t="shared" si="49"/>
        <v>3.8105908895181617E-2</v>
      </c>
      <c r="AF45" s="440">
        <f t="shared" si="50"/>
        <v>2.6052062741335202E-2</v>
      </c>
      <c r="AG45" s="633">
        <v>41600</v>
      </c>
      <c r="AH45" s="560">
        <v>-2.1162334290371839E-2</v>
      </c>
      <c r="AI45" s="513">
        <v>-6.7582889583512103E-3</v>
      </c>
      <c r="AJ45" s="513">
        <v>-9.2598385962620808E-3</v>
      </c>
      <c r="AK45" s="513">
        <v>-2.474569259093002E-2</v>
      </c>
      <c r="AL45" s="634"/>
      <c r="AM45" s="441">
        <v>-3.9799999999999998E-5</v>
      </c>
      <c r="AN45" s="440">
        <v>-1.5400000000000002E-5</v>
      </c>
      <c r="AO45" s="440">
        <v>-2.37E-5</v>
      </c>
      <c r="AP45" s="440">
        <v>-1.5E-5</v>
      </c>
      <c r="AR45" s="441">
        <f t="shared" si="42"/>
        <v>5.7311999999999995E-2</v>
      </c>
      <c r="AS45" s="440">
        <f t="shared" si="42"/>
        <v>2.2176000000000001E-2</v>
      </c>
      <c r="AT45" s="440">
        <f t="shared" si="42"/>
        <v>3.4127999999999999E-2</v>
      </c>
      <c r="AU45" s="440">
        <f t="shared" si="42"/>
        <v>2.1600000000000001E-2</v>
      </c>
      <c r="AV45" s="633">
        <v>41600</v>
      </c>
      <c r="AW45" s="644"/>
      <c r="AX45" s="608">
        <v>0</v>
      </c>
      <c r="AY45" s="441">
        <f t="shared" si="56"/>
        <v>-2.5522449509729137E-3</v>
      </c>
      <c r="AZ45" s="440">
        <f t="shared" si="56"/>
        <v>7.376012028741108E-4</v>
      </c>
      <c r="BA45" s="440">
        <f t="shared" si="56"/>
        <v>3.9779088951816186E-3</v>
      </c>
      <c r="BB45" s="440">
        <f t="shared" si="56"/>
        <v>4.4520627413352012E-3</v>
      </c>
      <c r="BC45" s="608">
        <f t="shared" si="5"/>
        <v>4.4520627413352012E-2</v>
      </c>
      <c r="BD45" s="627" t="s">
        <v>464</v>
      </c>
      <c r="BE45" s="580">
        <v>41600</v>
      </c>
      <c r="BF45" s="441">
        <f t="shared" si="57"/>
        <v>4.5619937759124838</v>
      </c>
      <c r="BG45" s="440">
        <f t="shared" si="57"/>
        <v>2.2573086950141983</v>
      </c>
      <c r="BH45" s="440">
        <f t="shared" si="57"/>
        <v>4.2123406031483945</v>
      </c>
      <c r="BI45" s="440">
        <f t="shared" si="57"/>
        <v>1.728340603148526</v>
      </c>
      <c r="BJ45" s="645"/>
      <c r="BK45" s="441"/>
      <c r="BL45" s="440">
        <v>0.7376012028741108</v>
      </c>
      <c r="BM45" s="440">
        <v>3.9779088951816188</v>
      </c>
      <c r="BN45" s="440">
        <v>4.452062741335201</v>
      </c>
      <c r="BO45" s="353">
        <v>80</v>
      </c>
      <c r="BP45" s="353">
        <f t="shared" si="9"/>
        <v>16</v>
      </c>
      <c r="BQ45" s="610">
        <f t="shared" si="10"/>
        <v>57.142857142857146</v>
      </c>
      <c r="BR45" s="610">
        <f t="shared" si="11"/>
        <v>21.621621621621621</v>
      </c>
      <c r="BT45" s="648"/>
      <c r="BU45" s="648"/>
      <c r="BV45" s="648"/>
      <c r="BW45" s="648"/>
      <c r="BX45" s="648"/>
      <c r="BY45" s="616" t="s">
        <v>465</v>
      </c>
      <c r="BZ45" s="617">
        <v>27</v>
      </c>
      <c r="CA45" s="608">
        <v>0.33</v>
      </c>
      <c r="CB45" s="608">
        <f t="shared" si="12"/>
        <v>3.3000000000000003</v>
      </c>
      <c r="CC45" s="608"/>
      <c r="CD45" s="631">
        <f t="shared" si="13"/>
        <v>131.30000000000001</v>
      </c>
      <c r="CE45" s="364"/>
      <c r="CF45" s="364"/>
      <c r="CG45" s="364"/>
      <c r="CH45" s="364"/>
      <c r="CI45" s="364"/>
      <c r="CJ45" s="364"/>
      <c r="CK45" s="364"/>
      <c r="CL45" s="623"/>
      <c r="CM45" s="364"/>
      <c r="CN45" s="632" t="s">
        <v>421</v>
      </c>
      <c r="CO45" s="580">
        <f>'[3]Plots R2&gt;.75 - UPDATED'!R42</f>
        <v>41601</v>
      </c>
      <c r="CP45" s="620"/>
      <c r="CQ45" s="633">
        <v>41601</v>
      </c>
      <c r="CR45" s="641">
        <v>92766.013831127653</v>
      </c>
      <c r="CS45" s="642">
        <v>392208.9376906543</v>
      </c>
      <c r="CT45" s="642">
        <v>117165.29023967181</v>
      </c>
      <c r="CU45" s="643">
        <v>150047.52212363912</v>
      </c>
      <c r="CV45" s="513">
        <f t="shared" si="33"/>
        <v>0.32598145324050731</v>
      </c>
      <c r="CW45" s="513">
        <f t="shared" si="51"/>
        <v>2.4593628057852697</v>
      </c>
      <c r="CX45" s="513">
        <f t="shared" si="35"/>
        <v>7.7101761571407884E-2</v>
      </c>
      <c r="CY45" s="513">
        <f t="shared" si="52"/>
        <v>1.4646693425934711</v>
      </c>
      <c r="CZ45" s="513">
        <f t="shared" si="41"/>
        <v>0.25809691537605928</v>
      </c>
      <c r="DA45" s="513">
        <f t="shared" si="55"/>
        <v>2.2287192249977323</v>
      </c>
      <c r="DB45" s="513">
        <f t="shared" si="19"/>
        <v>0.20153615049425638</v>
      </c>
      <c r="DC45" s="513">
        <f t="shared" si="53"/>
        <v>-0.11303310859874544</v>
      </c>
      <c r="DD45" s="653"/>
      <c r="DE45" s="299">
        <v>41599</v>
      </c>
      <c r="DF45" s="463">
        <v>10.056646285164648</v>
      </c>
      <c r="DG45" s="463">
        <v>41.701076837820594</v>
      </c>
      <c r="DH45" s="463">
        <v>12.414364996844403</v>
      </c>
      <c r="DI45" s="463">
        <v>16.252393321749089</v>
      </c>
      <c r="DJ45" s="528"/>
      <c r="DK45" s="528"/>
      <c r="DL45" s="528">
        <v>0.42123406031483945</v>
      </c>
      <c r="DM45" s="546">
        <v>0.1728340603148526</v>
      </c>
      <c r="DN45" s="528">
        <f t="shared" si="37"/>
        <v>0</v>
      </c>
      <c r="DO45" s="528">
        <f t="shared" si="38"/>
        <v>0</v>
      </c>
      <c r="DP45" s="528">
        <f t="shared" si="39"/>
        <v>4.2123406031483945</v>
      </c>
      <c r="DQ45" s="528">
        <f t="shared" si="40"/>
        <v>1.728340603148526</v>
      </c>
      <c r="DR45" s="463">
        <v>0.4561993775912484</v>
      </c>
      <c r="DS45" s="463">
        <v>0.22573086950141985</v>
      </c>
      <c r="DT45" s="463">
        <v>0.42123406031483945</v>
      </c>
      <c r="DU45" s="463">
        <v>0.1728340603148526</v>
      </c>
      <c r="DV45" s="463">
        <v>2.8313129909996566</v>
      </c>
      <c r="DW45" s="463">
        <v>1.3158187002211641</v>
      </c>
      <c r="DX45" s="463">
        <v>2.7310272233608659</v>
      </c>
      <c r="DY45" s="463">
        <v>-9.5686504933702565E-2</v>
      </c>
      <c r="DZ45" s="463">
        <v>2.8313129909996566</v>
      </c>
      <c r="EA45" s="463">
        <v>1.3158187002211641</v>
      </c>
      <c r="EB45" s="463">
        <v>2.7310272233608659</v>
      </c>
      <c r="EC45" s="463">
        <v>-9.5686504933702565E-2</v>
      </c>
      <c r="ED45" s="463">
        <f t="shared" si="24"/>
        <v>28.313129909996565</v>
      </c>
      <c r="EE45" s="463">
        <f t="shared" si="25"/>
        <v>13.158187002211641</v>
      </c>
      <c r="EF45" s="463">
        <f t="shared" si="26"/>
        <v>27.310272233608657</v>
      </c>
      <c r="EG45" s="463">
        <f t="shared" si="27"/>
        <v>-0.95686504933702565</v>
      </c>
      <c r="EH45" s="528">
        <f>'[3]Plots R2&gt;.75 - UPDATED'!S42</f>
        <v>2.0150720246773575</v>
      </c>
      <c r="EI45" s="528">
        <f>'[3]Plots R2&gt;.75 - UPDATED'!T42</f>
        <v>3.125172024677358</v>
      </c>
      <c r="EJ45" s="528">
        <f>'[3]Plots R2&gt;.75 - UPDATED'!U42</f>
        <v>3.6221720246773588</v>
      </c>
      <c r="EK45" s="546">
        <f>'[3]Plots R2&gt;.75 - UPDATED'!V42</f>
        <v>3.0416720246773585</v>
      </c>
      <c r="EL45" s="676">
        <v>0</v>
      </c>
      <c r="EM45" s="495">
        <v>0</v>
      </c>
      <c r="EN45" s="299">
        <v>41599</v>
      </c>
      <c r="EO45" s="528">
        <v>2.0150720246773575</v>
      </c>
      <c r="EP45" s="528">
        <v>3.125172024677358</v>
      </c>
      <c r="EQ45" s="528">
        <v>3.6221720246773588</v>
      </c>
      <c r="ER45" s="546">
        <v>3.0416720246773585</v>
      </c>
      <c r="GN45" s="640"/>
      <c r="GO45" s="640"/>
      <c r="GP45" s="640"/>
      <c r="GQ45" s="640"/>
      <c r="GR45" s="640"/>
      <c r="GS45" s="640"/>
      <c r="GT45" s="640"/>
      <c r="GU45" s="640"/>
      <c r="GV45" s="640"/>
      <c r="HF45" s="560">
        <v>0.27049742633961926</v>
      </c>
      <c r="HG45" s="560">
        <v>0.87649406804413788</v>
      </c>
      <c r="HH45" s="570">
        <v>8.2700279753760722E-2</v>
      </c>
      <c r="HI45" s="570">
        <v>1.4607016906563315</v>
      </c>
      <c r="HJ45" s="600">
        <v>0.32478343743072496</v>
      </c>
      <c r="HK45" s="600">
        <v>2.2152521718580815</v>
      </c>
      <c r="HL45" s="515">
        <v>0.26809845750753158</v>
      </c>
      <c r="HM45" s="515">
        <v>0.77703251355541103</v>
      </c>
    </row>
    <row r="46" spans="8:221" ht="16">
      <c r="H46" s="431"/>
      <c r="J46" s="580">
        <v>41583</v>
      </c>
      <c r="K46" s="581">
        <v>0</v>
      </c>
      <c r="L46" s="582">
        <v>12.925000000000001</v>
      </c>
      <c r="M46" s="582">
        <v>12.6478</v>
      </c>
      <c r="N46" s="582">
        <v>13.3843</v>
      </c>
      <c r="O46" s="582">
        <v>13.099299999999999</v>
      </c>
      <c r="P46" s="582">
        <v>99.069299999999998</v>
      </c>
      <c r="Q46" s="582">
        <v>10.129780515698236</v>
      </c>
      <c r="R46" s="582">
        <v>2.6102194843017643</v>
      </c>
      <c r="S46" s="582">
        <v>3.1680194843017642</v>
      </c>
      <c r="T46" s="582">
        <v>3.4445194843017637</v>
      </c>
      <c r="U46" s="582">
        <v>3.2395194843017627</v>
      </c>
      <c r="W46" s="580">
        <v>41601</v>
      </c>
      <c r="X46" s="582">
        <f t="shared" si="54"/>
        <v>2.0151372756668868</v>
      </c>
      <c r="Y46" s="582">
        <f t="shared" si="54"/>
        <v>3.1252911218207333</v>
      </c>
      <c r="Z46" s="582">
        <f t="shared" si="54"/>
        <v>3.6221218910515023</v>
      </c>
      <c r="AA46" s="582">
        <f t="shared" si="54"/>
        <v>3.3314757372053476</v>
      </c>
      <c r="AB46" s="606"/>
      <c r="AC46" s="441">
        <f t="shared" si="47"/>
        <v>4.8401741945071075E-2</v>
      </c>
      <c r="AD46" s="440">
        <f t="shared" si="48"/>
        <v>2.0732511175840074E-2</v>
      </c>
      <c r="AE46" s="440">
        <f t="shared" si="49"/>
        <v>4.1655588098917118E-2</v>
      </c>
      <c r="AF46" s="440">
        <f t="shared" si="50"/>
        <v>2.5917126560455639E-2</v>
      </c>
      <c r="AG46" s="633">
        <v>41601</v>
      </c>
      <c r="AH46" s="560">
        <v>-2.0783505567036769E-2</v>
      </c>
      <c r="AI46" s="513">
        <v>-6.6288656635644476E-3</v>
      </c>
      <c r="AJ46" s="513">
        <v>-9.2526504641205539E-3</v>
      </c>
      <c r="AK46" s="513">
        <v>-2.4764030762041107E-2</v>
      </c>
      <c r="AL46" s="634"/>
      <c r="AM46" s="441">
        <v>-2.7800000000000001E-5</v>
      </c>
      <c r="AN46" s="440">
        <v>-1.5800000000000001E-5</v>
      </c>
      <c r="AO46" s="440">
        <v>-2.3900000000000002E-5</v>
      </c>
      <c r="AP46" s="440">
        <v>-1.5099999999999999E-5</v>
      </c>
      <c r="AR46" s="441">
        <f t="shared" si="42"/>
        <v>4.0032000000000005E-2</v>
      </c>
      <c r="AS46" s="440">
        <f t="shared" si="42"/>
        <v>2.2752000000000001E-2</v>
      </c>
      <c r="AT46" s="440">
        <f t="shared" si="42"/>
        <v>3.4416000000000002E-2</v>
      </c>
      <c r="AU46" s="440">
        <f t="shared" si="42"/>
        <v>2.1743999999999999E-2</v>
      </c>
      <c r="AV46" s="633">
        <v>41601</v>
      </c>
      <c r="AW46" s="644"/>
      <c r="AX46" s="608">
        <v>0</v>
      </c>
      <c r="AY46" s="441">
        <f t="shared" si="56"/>
        <v>8.36974194507107E-3</v>
      </c>
      <c r="AZ46" s="440">
        <f t="shared" si="56"/>
        <v>-2.0194888241599276E-3</v>
      </c>
      <c r="BA46" s="440">
        <f t="shared" si="56"/>
        <v>7.2395880989171157E-3</v>
      </c>
      <c r="BB46" s="440">
        <f t="shared" si="56"/>
        <v>4.1731265604556395E-3</v>
      </c>
      <c r="BC46" s="608">
        <f t="shared" si="5"/>
        <v>4.1731265604556395E-2</v>
      </c>
      <c r="BD46" s="627" t="s">
        <v>466</v>
      </c>
      <c r="BE46" s="580">
        <v>41601</v>
      </c>
      <c r="BF46" s="441">
        <f t="shared" si="57"/>
        <v>6.1394321780883505</v>
      </c>
      <c r="BG46" s="440">
        <f t="shared" si="57"/>
        <v>1.5792090587183072</v>
      </c>
      <c r="BH46" s="440">
        <f t="shared" si="57"/>
        <v>3.8272090587171892</v>
      </c>
      <c r="BI46" s="440">
        <f t="shared" si="57"/>
        <v>4.6552090587178085</v>
      </c>
      <c r="BJ46" s="645"/>
      <c r="BK46" s="441">
        <v>8.3697419450710697</v>
      </c>
      <c r="BL46" s="440"/>
      <c r="BM46" s="440">
        <v>7.2395880989171157</v>
      </c>
      <c r="BN46" s="440">
        <v>4.1731265604556391</v>
      </c>
      <c r="BO46" s="353">
        <v>79</v>
      </c>
      <c r="BP46" s="353">
        <f t="shared" si="9"/>
        <v>15.8</v>
      </c>
      <c r="BQ46" s="610">
        <f t="shared" si="10"/>
        <v>56.428571428571431</v>
      </c>
      <c r="BR46" s="610">
        <f t="shared" si="11"/>
        <v>21.351351351351351</v>
      </c>
      <c r="BT46" s="648"/>
      <c r="BU46" s="648"/>
      <c r="BV46" s="648"/>
      <c r="BW46" s="648"/>
      <c r="BX46" s="648"/>
      <c r="BY46" s="616" t="s">
        <v>467</v>
      </c>
      <c r="BZ46" s="617">
        <v>29</v>
      </c>
      <c r="CA46" s="608">
        <v>2.21</v>
      </c>
      <c r="CB46" s="608">
        <f t="shared" si="12"/>
        <v>22.1</v>
      </c>
      <c r="CC46" s="608"/>
      <c r="CD46" s="631">
        <f t="shared" si="13"/>
        <v>153.4</v>
      </c>
      <c r="CE46" s="364"/>
      <c r="CF46" s="364"/>
      <c r="CG46" s="364"/>
      <c r="CH46" s="364"/>
      <c r="CI46" s="364"/>
      <c r="CJ46" s="364"/>
      <c r="CK46" s="364"/>
      <c r="CL46" s="623"/>
      <c r="CM46" s="364"/>
      <c r="CN46" s="632" t="s">
        <v>424</v>
      </c>
      <c r="CO46" s="580">
        <f>'[3]Plots R2&gt;.75 - UPDATED'!R43</f>
        <v>41602</v>
      </c>
      <c r="CP46" s="620"/>
      <c r="CQ46" s="633">
        <v>41602</v>
      </c>
      <c r="CR46" s="641">
        <v>90352.428130879314</v>
      </c>
      <c r="CS46" s="642">
        <v>384854.43060841906</v>
      </c>
      <c r="CT46" s="642">
        <v>114768.24433292843</v>
      </c>
      <c r="CU46" s="643">
        <v>146009.90470580847</v>
      </c>
      <c r="CV46" s="513">
        <f t="shared" si="33"/>
        <v>0.33468940044639511</v>
      </c>
      <c r="CW46" s="513">
        <f t="shared" si="51"/>
        <v>1.5901600428499285</v>
      </c>
      <c r="CX46" s="513">
        <f t="shared" si="35"/>
        <v>7.8575163996925712E-2</v>
      </c>
      <c r="CY46" s="513">
        <f t="shared" si="52"/>
        <v>1.1454253276730197</v>
      </c>
      <c r="CZ46" s="513">
        <f t="shared" si="41"/>
        <v>0.26348751935489673</v>
      </c>
      <c r="DA46" s="513">
        <f t="shared" si="55"/>
        <v>2.2528474342330478</v>
      </c>
      <c r="DB46" s="513">
        <f t="shared" si="19"/>
        <v>0.20710923728722228</v>
      </c>
      <c r="DC46" s="513">
        <f t="shared" si="53"/>
        <v>-9.4893838916888323E-2</v>
      </c>
      <c r="DD46" s="653"/>
      <c r="DE46" s="299">
        <v>41600</v>
      </c>
      <c r="DF46" s="463">
        <v>9.8324459592546365</v>
      </c>
      <c r="DG46" s="463">
        <v>40.910332582639491</v>
      </c>
      <c r="DH46" s="463">
        <v>12.176813112263801</v>
      </c>
      <c r="DI46" s="463">
        <v>15.839251702303153</v>
      </c>
      <c r="DJ46" s="528"/>
      <c r="DK46" s="528">
        <v>0.15792090587183072</v>
      </c>
      <c r="DL46" s="528">
        <v>0.38272090587171892</v>
      </c>
      <c r="DM46" s="546">
        <v>0.46552090587178085</v>
      </c>
      <c r="DN46" s="528">
        <f t="shared" si="37"/>
        <v>0</v>
      </c>
      <c r="DO46" s="528">
        <f t="shared" si="38"/>
        <v>1.5792090587183072</v>
      </c>
      <c r="DP46" s="528">
        <f t="shared" si="39"/>
        <v>3.8272090587171892</v>
      </c>
      <c r="DQ46" s="528">
        <f t="shared" si="40"/>
        <v>4.6552090587178085</v>
      </c>
      <c r="DR46" s="463">
        <v>0.6139432178088351</v>
      </c>
      <c r="DS46" s="463">
        <v>0.15792090587183072</v>
      </c>
      <c r="DT46" s="463">
        <v>0.38272090587171892</v>
      </c>
      <c r="DU46" s="463">
        <v>0.46552090587178085</v>
      </c>
      <c r="DV46" s="463">
        <v>2.7853442590257771</v>
      </c>
      <c r="DW46" s="463">
        <v>1.5417711041648789</v>
      </c>
      <c r="DX46" s="463">
        <v>2.4868161403737918</v>
      </c>
      <c r="DY46" s="463">
        <v>-0.31456925909300182</v>
      </c>
      <c r="DZ46" s="463">
        <v>2.7853442590257771</v>
      </c>
      <c r="EA46" s="463">
        <v>1.5417711041648789</v>
      </c>
      <c r="EB46" s="463">
        <v>2.4868161403737918</v>
      </c>
      <c r="EC46" s="463">
        <v>-0.31456925909300182</v>
      </c>
      <c r="ED46" s="463">
        <f t="shared" si="24"/>
        <v>27.853442590257771</v>
      </c>
      <c r="EE46" s="463">
        <f t="shared" si="25"/>
        <v>15.41771104164879</v>
      </c>
      <c r="EF46" s="463">
        <f t="shared" si="26"/>
        <v>24.868161403737918</v>
      </c>
      <c r="EG46" s="463">
        <f t="shared" si="27"/>
        <v>-3.1456925909300182</v>
      </c>
      <c r="EH46" s="528">
        <f>'[3]Plots R2&gt;.75 - UPDATED'!S43</f>
        <v>1.9673231540970932</v>
      </c>
      <c r="EI46" s="528">
        <f>'[3]Plots R2&gt;.75 - UPDATED'!T43</f>
        <v>3.1047231540970941</v>
      </c>
      <c r="EJ46" s="528">
        <f>'[3]Plots R2&gt;.75 - UPDATED'!U43</f>
        <v>3.5806231540970943</v>
      </c>
      <c r="EK46" s="546">
        <f>'[3]Plots R2&gt;.75 - UPDATED'!V43</f>
        <v>3.0159231540970928</v>
      </c>
      <c r="EL46" s="676">
        <v>0</v>
      </c>
      <c r="EM46" s="495">
        <v>0</v>
      </c>
      <c r="EN46" s="299">
        <v>41600</v>
      </c>
      <c r="EO46" s="528">
        <v>1.9673231540970932</v>
      </c>
      <c r="EP46" s="528">
        <v>3.1047231540970941</v>
      </c>
      <c r="EQ46" s="528">
        <v>3.5806231540970943</v>
      </c>
      <c r="ER46" s="546">
        <v>3.0159231540970928</v>
      </c>
      <c r="GN46" s="640"/>
      <c r="GO46" s="640"/>
      <c r="GP46" s="640"/>
      <c r="GQ46" s="640"/>
      <c r="GR46" s="640"/>
      <c r="GS46" s="640"/>
      <c r="GT46" s="640"/>
      <c r="GU46" s="640"/>
      <c r="GV46" s="640"/>
      <c r="HF46" s="558"/>
      <c r="HG46" s="558"/>
      <c r="HH46" s="570">
        <v>8.454290607691238E-2</v>
      </c>
      <c r="HI46" s="570">
        <v>1.4749838095253345</v>
      </c>
      <c r="HJ46" s="600">
        <v>0.33116616181692193</v>
      </c>
      <c r="HK46" s="600">
        <v>0</v>
      </c>
      <c r="HL46" s="598"/>
      <c r="HM46" s="598"/>
    </row>
    <row r="47" spans="8:221" ht="16">
      <c r="J47" s="580">
        <v>41584</v>
      </c>
      <c r="K47" s="581">
        <v>0</v>
      </c>
      <c r="L47" s="582">
        <v>12.9125</v>
      </c>
      <c r="M47" s="582">
        <v>12.645300000000001</v>
      </c>
      <c r="N47" s="582">
        <v>13.3567</v>
      </c>
      <c r="O47" s="582">
        <v>13.086600000000001</v>
      </c>
      <c r="P47" s="582">
        <v>99.034000000000006</v>
      </c>
      <c r="Q47" s="582">
        <v>10.12617111044147</v>
      </c>
      <c r="R47" s="582">
        <v>2.6013288895585291</v>
      </c>
      <c r="S47" s="582">
        <v>3.1691288895585306</v>
      </c>
      <c r="T47" s="582">
        <v>3.42052888955853</v>
      </c>
      <c r="U47" s="582">
        <v>3.2304288895585298</v>
      </c>
      <c r="W47" s="580">
        <v>41602</v>
      </c>
      <c r="X47" s="582">
        <f t="shared" si="54"/>
        <v>1.9667355337218158</v>
      </c>
      <c r="Y47" s="582">
        <f t="shared" si="54"/>
        <v>3.1045586106448932</v>
      </c>
      <c r="Z47" s="582">
        <f t="shared" si="54"/>
        <v>3.5804663029525852</v>
      </c>
      <c r="AA47" s="582">
        <f t="shared" si="54"/>
        <v>3.305558610644892</v>
      </c>
      <c r="AB47" s="606"/>
      <c r="AC47" s="438">
        <f t="shared" si="47"/>
        <v>4.7248369410729074E-2</v>
      </c>
      <c r="AD47" s="439">
        <f t="shared" si="48"/>
        <v>2.2971446333805989E-2</v>
      </c>
      <c r="AE47" s="439">
        <f t="shared" si="49"/>
        <v>4.0640677103036094E-2</v>
      </c>
      <c r="AF47" s="439">
        <f t="shared" si="50"/>
        <v>2.4548369410728021E-2</v>
      </c>
      <c r="AG47" s="633">
        <v>41602</v>
      </c>
      <c r="AH47" s="511">
        <v>-2.0435232615105752E-2</v>
      </c>
      <c r="AI47" s="512">
        <v>-6.5111221661760567E-3</v>
      </c>
      <c r="AJ47" s="512">
        <v>-9.2427790934625515E-3</v>
      </c>
      <c r="AK47" s="512">
        <v>-2.4769977553148709E-2</v>
      </c>
      <c r="AL47" s="634"/>
      <c r="AM47" s="438">
        <v>-2.8500000000000002E-5</v>
      </c>
      <c r="AN47" s="439">
        <v>-2.1399999999999998E-5</v>
      </c>
      <c r="AO47" s="439">
        <v>-2.6400000000000001E-5</v>
      </c>
      <c r="AP47" s="439">
        <v>-1.33E-5</v>
      </c>
      <c r="AR47" s="438"/>
      <c r="AS47" s="439"/>
      <c r="AT47" s="439"/>
      <c r="AU47" s="439"/>
      <c r="AV47" s="633">
        <v>41602</v>
      </c>
      <c r="AW47" s="644"/>
      <c r="AX47" s="607">
        <v>0.2</v>
      </c>
      <c r="AY47" s="438"/>
      <c r="AZ47" s="439"/>
      <c r="BA47" s="439"/>
      <c r="BB47" s="439"/>
      <c r="BC47" s="608">
        <f t="shared" si="5"/>
        <v>0</v>
      </c>
      <c r="BD47" s="627" t="s">
        <v>468</v>
      </c>
      <c r="BE47" s="580">
        <v>41602</v>
      </c>
      <c r="BF47" s="438"/>
      <c r="BG47" s="439"/>
      <c r="BH47" s="439"/>
      <c r="BI47" s="439"/>
      <c r="BJ47" s="645"/>
      <c r="BK47" s="438">
        <v>6.2083694107290741</v>
      </c>
      <c r="BL47" s="439"/>
      <c r="BM47" s="439">
        <v>2.6246771030360927</v>
      </c>
      <c r="BN47" s="439">
        <v>5.3963694107280222</v>
      </c>
      <c r="BO47" s="353">
        <v>88</v>
      </c>
      <c r="BP47" s="353">
        <f t="shared" si="9"/>
        <v>17.600000000000001</v>
      </c>
      <c r="BQ47" s="610">
        <f t="shared" si="10"/>
        <v>62.857142857142861</v>
      </c>
      <c r="BR47" s="610">
        <f t="shared" si="11"/>
        <v>23.783783783783782</v>
      </c>
      <c r="BT47" s="648"/>
      <c r="BU47" s="648"/>
      <c r="BV47" s="648"/>
      <c r="BW47" s="648"/>
      <c r="BX47" s="648"/>
      <c r="BY47" s="616" t="s">
        <v>469</v>
      </c>
      <c r="BZ47" s="617">
        <v>29</v>
      </c>
      <c r="CA47" s="608">
        <v>0.13</v>
      </c>
      <c r="CB47" s="608">
        <f t="shared" si="12"/>
        <v>1.3</v>
      </c>
      <c r="CC47" s="608"/>
      <c r="CD47" s="631">
        <f t="shared" si="13"/>
        <v>154.70000000000002</v>
      </c>
      <c r="CE47" s="364"/>
      <c r="CF47" s="364"/>
      <c r="CG47" s="364"/>
      <c r="CH47" s="364"/>
      <c r="CI47" s="364"/>
      <c r="CJ47" s="364"/>
      <c r="CK47" s="364"/>
      <c r="CL47" s="623"/>
      <c r="CM47" s="364"/>
      <c r="CN47" s="632" t="s">
        <v>427</v>
      </c>
      <c r="CO47" s="580">
        <f>'[3]Plots R2&gt;.75 - UPDATED'!R44</f>
        <v>41603</v>
      </c>
      <c r="CP47" s="620"/>
      <c r="CQ47" s="633">
        <v>41603</v>
      </c>
      <c r="CR47" s="641">
        <v>87916.432899050415</v>
      </c>
      <c r="CS47" s="642">
        <v>376616.99039867637</v>
      </c>
      <c r="CT47" s="642">
        <v>112435.20992574639</v>
      </c>
      <c r="CU47" s="643">
        <v>142206.23967918151</v>
      </c>
      <c r="CV47" s="513">
        <f t="shared" si="33"/>
        <v>0.34396299989471729</v>
      </c>
      <c r="CW47" s="513">
        <f t="shared" si="51"/>
        <v>1.7125137385947069</v>
      </c>
      <c r="CX47" s="513">
        <f t="shared" si="35"/>
        <v>8.0293775296724573E-2</v>
      </c>
      <c r="CY47" s="513">
        <f t="shared" si="52"/>
        <v>1.4315140415797813</v>
      </c>
      <c r="CZ47" s="513">
        <f t="shared" si="41"/>
        <v>0.2689548942895279</v>
      </c>
      <c r="DA47" s="513">
        <f t="shared" si="55"/>
        <v>2.6067671963642169</v>
      </c>
      <c r="DB47" s="513">
        <f t="shared" si="19"/>
        <v>0.21264889689947289</v>
      </c>
      <c r="DC47" s="513">
        <f t="shared" si="53"/>
        <v>-0.3443488584153982</v>
      </c>
      <c r="DD47" s="653"/>
      <c r="DE47" s="299">
        <v>41601</v>
      </c>
      <c r="DF47" s="463">
        <v>9.5561041444195745</v>
      </c>
      <c r="DG47" s="463">
        <v>40.086712727261521</v>
      </c>
      <c r="DH47" s="463">
        <v>11.93741237622784</v>
      </c>
      <c r="DI47" s="463">
        <v>15.424300466454378</v>
      </c>
      <c r="DJ47" s="528">
        <v>0.7716870580264219</v>
      </c>
      <c r="DK47" s="528"/>
      <c r="DL47" s="528">
        <v>0.7132870580264461</v>
      </c>
      <c r="DM47" s="546">
        <v>0.40048705802657603</v>
      </c>
      <c r="DN47" s="528">
        <f t="shared" si="37"/>
        <v>7.716870580264219</v>
      </c>
      <c r="DO47" s="528">
        <f t="shared" si="38"/>
        <v>0</v>
      </c>
      <c r="DP47" s="528">
        <f t="shared" si="39"/>
        <v>7.132870580264461</v>
      </c>
      <c r="DQ47" s="528">
        <f t="shared" si="40"/>
        <v>4.0048705802657603</v>
      </c>
      <c r="DR47" s="463">
        <v>0.7716870580264219</v>
      </c>
      <c r="DS47" s="463">
        <v>0.158</v>
      </c>
      <c r="DT47" s="463">
        <v>0.7132870580264461</v>
      </c>
      <c r="DU47" s="463">
        <v>0.40048705802657603</v>
      </c>
      <c r="DV47" s="463">
        <v>1.9248494432963237</v>
      </c>
      <c r="DW47" s="463">
        <v>1.2240004916699454</v>
      </c>
      <c r="DX47" s="463">
        <v>2.5163349535879447</v>
      </c>
      <c r="DY47" s="463">
        <v>-0.3020030762041106</v>
      </c>
      <c r="DZ47" s="463">
        <v>1.9248494432963237</v>
      </c>
      <c r="EA47" s="463">
        <v>1.2240004916699454</v>
      </c>
      <c r="EB47" s="463">
        <v>2.5163349535879447</v>
      </c>
      <c r="EC47" s="463">
        <v>-0.3020030762041106</v>
      </c>
      <c r="ED47" s="463">
        <f t="shared" si="24"/>
        <v>19.248494432963238</v>
      </c>
      <c r="EE47" s="463">
        <f t="shared" si="25"/>
        <v>12.240004916699455</v>
      </c>
      <c r="EF47" s="463">
        <f t="shared" si="26"/>
        <v>25.163349535879448</v>
      </c>
      <c r="EG47" s="463">
        <f t="shared" si="27"/>
        <v>-3.020030762041106</v>
      </c>
      <c r="EH47" s="528">
        <f>'[3]Plots R2&gt;.75 - UPDATED'!S44</f>
        <v>1.919013953762152</v>
      </c>
      <c r="EI47" s="528">
        <f>'[3]Plots R2&gt;.75 - UPDATED'!T44</f>
        <v>3.081513953762153</v>
      </c>
      <c r="EJ47" s="528">
        <f>'[3]Plots R2&gt;.75 - UPDATED'!U44</f>
        <v>3.5398139537621534</v>
      </c>
      <c r="EK47" s="546">
        <f>'[3]Plots R2&gt;.75 - UPDATED'!V44</f>
        <v>2.9912139537621534</v>
      </c>
      <c r="EL47" s="676">
        <v>0</v>
      </c>
      <c r="EM47" s="495">
        <v>0</v>
      </c>
      <c r="EN47" s="299">
        <v>41601</v>
      </c>
      <c r="EO47" s="528">
        <v>1.919013953762152</v>
      </c>
      <c r="EP47" s="528">
        <v>3.081513953762153</v>
      </c>
      <c r="EQ47" s="528">
        <v>3.5398139537621534</v>
      </c>
      <c r="ER47" s="546">
        <v>2.9912139537621534</v>
      </c>
      <c r="EU47" s="879" t="s">
        <v>592</v>
      </c>
      <c r="EV47" s="879"/>
      <c r="EW47" s="879"/>
      <c r="EX47" s="879"/>
      <c r="EY47" s="879"/>
      <c r="EZ47" s="879"/>
      <c r="FA47" s="879"/>
      <c r="FB47" s="879"/>
      <c r="FC47" s="879"/>
      <c r="FD47" s="879"/>
      <c r="FE47" s="879"/>
      <c r="FF47" s="879"/>
      <c r="FG47" s="879"/>
      <c r="FH47" s="879"/>
      <c r="FI47" s="879"/>
      <c r="FJ47" s="879"/>
      <c r="FK47" s="879"/>
      <c r="GN47" s="640"/>
      <c r="GO47" s="640"/>
      <c r="GP47" s="640"/>
      <c r="GQ47" s="640"/>
      <c r="GR47" s="640"/>
      <c r="GS47" s="640"/>
      <c r="GT47" s="640"/>
      <c r="GU47" s="640"/>
      <c r="GV47" s="640"/>
      <c r="HF47" s="560">
        <v>0.2787694196490304</v>
      </c>
      <c r="HG47" s="560">
        <v>1.0149671470535335</v>
      </c>
      <c r="HH47" s="570">
        <v>8.6209323440402455E-2</v>
      </c>
      <c r="HI47" s="570">
        <v>1.7330612395185567</v>
      </c>
      <c r="HJ47" s="600">
        <v>0.33710682885524479</v>
      </c>
      <c r="HK47" s="600">
        <v>2.1953143404000213</v>
      </c>
      <c r="HL47" s="515">
        <v>0.28128787705997566</v>
      </c>
      <c r="HM47" s="515">
        <v>0.14526894466900103</v>
      </c>
    </row>
    <row r="48" spans="8:221" ht="16">
      <c r="J48" s="580">
        <v>41585</v>
      </c>
      <c r="K48" s="581">
        <v>0</v>
      </c>
      <c r="L48" s="582">
        <v>12.873200000000001</v>
      </c>
      <c r="M48" s="582">
        <v>12.6198</v>
      </c>
      <c r="N48" s="582">
        <v>13.3188</v>
      </c>
      <c r="O48" s="582">
        <v>13.061299999999999</v>
      </c>
      <c r="P48" s="582">
        <v>98.996600000000001</v>
      </c>
      <c r="Q48" s="582">
        <v>10.122346981359231</v>
      </c>
      <c r="R48" s="582">
        <v>2.56585301864077</v>
      </c>
      <c r="S48" s="582">
        <v>3.1474530186407694</v>
      </c>
      <c r="T48" s="582">
        <v>3.3864530186407693</v>
      </c>
      <c r="U48" s="582">
        <v>3.2089530186407682</v>
      </c>
      <c r="W48" s="580">
        <v>41603</v>
      </c>
      <c r="X48" s="582">
        <f t="shared" si="54"/>
        <v>1.9194871643110867</v>
      </c>
      <c r="Y48" s="582">
        <f t="shared" si="54"/>
        <v>3.0815871643110873</v>
      </c>
      <c r="Z48" s="582">
        <f t="shared" si="54"/>
        <v>3.5398256258495491</v>
      </c>
      <c r="AA48" s="582">
        <f t="shared" si="54"/>
        <v>3.281010241234164</v>
      </c>
      <c r="AB48" s="606"/>
      <c r="AC48" s="441">
        <f t="shared" si="47"/>
        <v>4.5265037172815603E-2</v>
      </c>
      <c r="AD48" s="440">
        <f t="shared" si="48"/>
        <v>2.7665037172815765E-2</v>
      </c>
      <c r="AE48" s="440">
        <f t="shared" si="49"/>
        <v>3.9095806403584454E-2</v>
      </c>
      <c r="AF48" s="440">
        <f t="shared" si="50"/>
        <v>2.4241960249739236E-2</v>
      </c>
      <c r="AG48" s="633">
        <v>41603</v>
      </c>
      <c r="AH48" s="560">
        <v>-2.0062061504368563E-2</v>
      </c>
      <c r="AI48" s="513">
        <v>-6.3700534786858172E-3</v>
      </c>
      <c r="AJ48" s="513">
        <v>-9.2309214450888109E-3</v>
      </c>
      <c r="AK48" s="513">
        <v>-2.4763645064745651E-2</v>
      </c>
      <c r="AL48" s="634"/>
      <c r="AM48" s="441">
        <v>-3.1099999999999997E-5</v>
      </c>
      <c r="AN48" s="440">
        <v>-1.8099999999999999E-5</v>
      </c>
      <c r="AO48" s="440">
        <v>-2.37E-5</v>
      </c>
      <c r="AP48" s="440">
        <v>-1.31E-5</v>
      </c>
      <c r="AR48" s="441">
        <f t="shared" si="42"/>
        <v>4.4783999999999997E-2</v>
      </c>
      <c r="AS48" s="440">
        <f t="shared" si="42"/>
        <v>2.6064E-2</v>
      </c>
      <c r="AT48" s="440">
        <f t="shared" si="42"/>
        <v>3.4127999999999999E-2</v>
      </c>
      <c r="AU48" s="440">
        <f t="shared" si="42"/>
        <v>1.8863999999999999E-2</v>
      </c>
      <c r="AV48" s="633">
        <v>41603</v>
      </c>
      <c r="AW48" s="644"/>
      <c r="AX48" s="608">
        <v>0</v>
      </c>
      <c r="AY48" s="441">
        <f t="shared" ref="AY48:BB54" si="58">AC48-AR48</f>
        <v>4.8103717281560571E-4</v>
      </c>
      <c r="AZ48" s="440">
        <f t="shared" si="58"/>
        <v>1.6010371728157648E-3</v>
      </c>
      <c r="BA48" s="440">
        <f t="shared" si="58"/>
        <v>4.9678064035844557E-3</v>
      </c>
      <c r="BB48" s="440">
        <f t="shared" si="58"/>
        <v>5.3779602497392373E-3</v>
      </c>
      <c r="BC48" s="608">
        <f t="shared" si="5"/>
        <v>5.3779602497392373E-2</v>
      </c>
      <c r="BD48" s="627" t="s">
        <v>470</v>
      </c>
      <c r="BE48" s="580">
        <v>41603</v>
      </c>
      <c r="BF48" s="441">
        <f t="shared" ref="BF48:BI54" si="59">DR48*10</f>
        <v>7.3092003349412416</v>
      </c>
      <c r="BG48" s="440">
        <f t="shared" si="59"/>
        <v>1.58</v>
      </c>
      <c r="BH48" s="440">
        <f t="shared" si="59"/>
        <v>2.8092003349409556</v>
      </c>
      <c r="BI48" s="440">
        <f t="shared" si="59"/>
        <v>5.509200334939397</v>
      </c>
      <c r="BJ48" s="645"/>
      <c r="BK48" s="441">
        <v>0.48103717281560571</v>
      </c>
      <c r="BL48" s="440">
        <v>1.6010371728157646</v>
      </c>
      <c r="BM48" s="440">
        <v>4.967806403584456</v>
      </c>
      <c r="BN48" s="440">
        <v>5.3779602497392371</v>
      </c>
      <c r="BO48" s="353">
        <v>78</v>
      </c>
      <c r="BP48" s="353">
        <f t="shared" si="9"/>
        <v>15.6</v>
      </c>
      <c r="BQ48" s="610">
        <f t="shared" si="10"/>
        <v>55.714285714285715</v>
      </c>
      <c r="BR48" s="610">
        <f t="shared" si="11"/>
        <v>21.081081081081081</v>
      </c>
      <c r="BT48" s="648"/>
      <c r="BU48" s="648"/>
      <c r="BV48" s="648"/>
      <c r="BW48" s="648"/>
      <c r="BX48" s="648"/>
      <c r="BY48" s="616" t="s">
        <v>471</v>
      </c>
      <c r="BZ48" s="617">
        <v>29</v>
      </c>
      <c r="CA48" s="608">
        <v>3.28</v>
      </c>
      <c r="CB48" s="608">
        <f t="shared" si="12"/>
        <v>32.799999999999997</v>
      </c>
      <c r="CC48" s="608"/>
      <c r="CD48" s="631">
        <f t="shared" si="13"/>
        <v>187.5</v>
      </c>
      <c r="CE48" s="364"/>
      <c r="CF48" s="364"/>
      <c r="CG48" s="364"/>
      <c r="CH48" s="364"/>
      <c r="CI48" s="364"/>
      <c r="CJ48" s="364"/>
      <c r="CK48" s="364"/>
      <c r="CL48" s="623"/>
      <c r="CM48" s="364"/>
      <c r="CN48" s="632" t="s">
        <v>430</v>
      </c>
      <c r="CO48" s="580">
        <f>'[3]Plots R2&gt;.75 - UPDATED'!R45</f>
        <v>41604</v>
      </c>
      <c r="CP48" s="620"/>
      <c r="CQ48" s="633">
        <v>41604</v>
      </c>
      <c r="CR48" s="641">
        <v>85650.676840994594</v>
      </c>
      <c r="CS48" s="642">
        <v>366957.67663527239</v>
      </c>
      <c r="CT48" s="642">
        <v>110206.13739595813</v>
      </c>
      <c r="CU48" s="643">
        <v>138481.4470354525</v>
      </c>
      <c r="CV48" s="513">
        <f t="shared" si="33"/>
        <v>0.3530620085599413</v>
      </c>
      <c r="CW48" s="513">
        <f t="shared" si="51"/>
        <v>2.1191318410032021</v>
      </c>
      <c r="CX48" s="513">
        <f t="shared" si="35"/>
        <v>8.2407323583684619E-2</v>
      </c>
      <c r="CY48" s="513">
        <f t="shared" si="52"/>
        <v>1.8869873285477334</v>
      </c>
      <c r="CZ48" s="513">
        <f t="shared" si="41"/>
        <v>0.27439488139713231</v>
      </c>
      <c r="DA48" s="513">
        <f t="shared" si="55"/>
        <v>2.2153129740939868</v>
      </c>
      <c r="DB48" s="513">
        <f t="shared" si="19"/>
        <v>0.2183686020572726</v>
      </c>
      <c r="DC48" s="513">
        <f t="shared" si="53"/>
        <v>-0.37159590441729295</v>
      </c>
      <c r="DD48" s="653"/>
      <c r="DE48" s="299">
        <v>41602</v>
      </c>
      <c r="DF48" s="463">
        <v>9.2766013831127658</v>
      </c>
      <c r="DG48" s="463">
        <v>39.220893769065434</v>
      </c>
      <c r="DH48" s="463">
        <v>11.716529023967182</v>
      </c>
      <c r="DI48" s="463">
        <v>15.004752212363913</v>
      </c>
      <c r="DJ48" s="528">
        <v>0.73092003349412416</v>
      </c>
      <c r="DK48" s="528"/>
      <c r="DL48" s="528">
        <v>0.28092003349409556</v>
      </c>
      <c r="DM48" s="546">
        <v>0.5509200334939397</v>
      </c>
      <c r="DN48" s="528">
        <f t="shared" si="37"/>
        <v>7.3092003349412416</v>
      </c>
      <c r="DO48" s="528">
        <f t="shared" si="38"/>
        <v>0</v>
      </c>
      <c r="DP48" s="528">
        <f t="shared" si="39"/>
        <v>2.8092003349409556</v>
      </c>
      <c r="DQ48" s="528">
        <f t="shared" si="40"/>
        <v>5.509200334939397</v>
      </c>
      <c r="DR48" s="463">
        <v>0.73092003349412416</v>
      </c>
      <c r="DS48" s="463">
        <v>0.158</v>
      </c>
      <c r="DT48" s="463">
        <v>0.28092003349409556</v>
      </c>
      <c r="DU48" s="463">
        <v>0.5509200334939397</v>
      </c>
      <c r="DV48" s="463">
        <v>2.0564767384894242</v>
      </c>
      <c r="DW48" s="463">
        <v>1.5118078168765059</v>
      </c>
      <c r="DX48" s="463">
        <v>2.8757220906537446</v>
      </c>
      <c r="DY48" s="463">
        <v>-0.55699775531487106</v>
      </c>
      <c r="DZ48" s="463">
        <v>2.0564767384894242</v>
      </c>
      <c r="EA48" s="463">
        <v>1.5118078168765059</v>
      </c>
      <c r="EB48" s="463">
        <v>2.8757220906537446</v>
      </c>
      <c r="EC48" s="463">
        <v>-0.55699775531487106</v>
      </c>
      <c r="ED48" s="463">
        <f t="shared" si="24"/>
        <v>20.564767384894242</v>
      </c>
      <c r="EE48" s="463">
        <f t="shared" si="25"/>
        <v>15.118078168765059</v>
      </c>
      <c r="EF48" s="463">
        <f t="shared" si="26"/>
        <v>28.757220906537448</v>
      </c>
      <c r="EG48" s="463">
        <f t="shared" si="27"/>
        <v>-5.5699775531487106</v>
      </c>
      <c r="EH48" s="528">
        <f>'[3]Plots R2&gt;.75 - UPDATED'!S45</f>
        <v>1.8739722295991847</v>
      </c>
      <c r="EI48" s="528">
        <f>'[3]Plots R2&gt;.75 - UPDATED'!T45</f>
        <v>3.0538722295991843</v>
      </c>
      <c r="EJ48" s="528">
        <f>'[3]Plots R2&gt;.75 - UPDATED'!U45</f>
        <v>3.5004722295991852</v>
      </c>
      <c r="EK48" s="546">
        <f>'[3]Plots R2&gt;.75 - UPDATED'!V45</f>
        <v>2.9665722295991848</v>
      </c>
      <c r="EL48" s="676">
        <v>0</v>
      </c>
      <c r="EM48" s="495">
        <v>0</v>
      </c>
      <c r="EN48" s="299">
        <v>41602</v>
      </c>
      <c r="EO48" s="528">
        <v>1.8739722295991847</v>
      </c>
      <c r="EP48" s="528">
        <v>3.0538722295991843</v>
      </c>
      <c r="EQ48" s="528">
        <v>3.5004722295991852</v>
      </c>
      <c r="ER48" s="546">
        <v>2.9665722295991848</v>
      </c>
      <c r="GN48" s="640"/>
      <c r="GO48" s="640"/>
      <c r="GP48" s="640"/>
      <c r="GQ48" s="640"/>
      <c r="GR48" s="640"/>
      <c r="GS48" s="640"/>
      <c r="GT48" s="640"/>
      <c r="GU48" s="640"/>
      <c r="GV48" s="640"/>
      <c r="HF48" s="560">
        <v>0.28431803562694008</v>
      </c>
      <c r="HG48" s="560">
        <v>1.3907274751595049</v>
      </c>
      <c r="HH48" s="513">
        <v>8.8385519637080454E-2</v>
      </c>
      <c r="HI48" s="513">
        <v>0</v>
      </c>
      <c r="HJ48" s="515">
        <v>0.34440479302207311</v>
      </c>
      <c r="HK48" s="515">
        <v>2.1635405397483862</v>
      </c>
      <c r="HL48" s="515">
        <v>0.2894670763791245</v>
      </c>
      <c r="HM48" s="515">
        <v>0</v>
      </c>
    </row>
    <row r="49" spans="10:221" ht="16">
      <c r="J49" s="580">
        <v>41586</v>
      </c>
      <c r="K49" s="581">
        <v>0</v>
      </c>
      <c r="L49" s="582">
        <v>12.830399999999999</v>
      </c>
      <c r="M49" s="582">
        <v>12.594099999999999</v>
      </c>
      <c r="N49" s="582">
        <v>13.271599999999999</v>
      </c>
      <c r="O49" s="582">
        <v>13.0303</v>
      </c>
      <c r="P49" s="582">
        <v>98.909599999999998</v>
      </c>
      <c r="Q49" s="582">
        <v>10.113451280018193</v>
      </c>
      <c r="R49" s="582">
        <v>2.531948719981806</v>
      </c>
      <c r="S49" s="582">
        <v>3.1306487199818065</v>
      </c>
      <c r="T49" s="582">
        <v>3.3481487199818067</v>
      </c>
      <c r="U49" s="582">
        <v>3.186848719981807</v>
      </c>
      <c r="W49" s="580">
        <v>41604</v>
      </c>
      <c r="X49" s="582">
        <f t="shared" si="54"/>
        <v>1.8742221271382711</v>
      </c>
      <c r="Y49" s="582">
        <f t="shared" si="54"/>
        <v>3.0539221271382715</v>
      </c>
      <c r="Z49" s="582">
        <f t="shared" si="54"/>
        <v>3.5007298194459646</v>
      </c>
      <c r="AA49" s="582">
        <f t="shared" si="54"/>
        <v>3.2567682809844247</v>
      </c>
      <c r="AB49" s="606"/>
      <c r="AC49" s="441">
        <f t="shared" si="47"/>
        <v>3.7851173455966336E-2</v>
      </c>
      <c r="AD49" s="440">
        <f t="shared" si="48"/>
        <v>2.9412711917505607E-2</v>
      </c>
      <c r="AE49" s="440">
        <f t="shared" si="49"/>
        <v>3.6689634994429898E-2</v>
      </c>
      <c r="AF49" s="440">
        <f t="shared" si="50"/>
        <v>2.5951173455966092E-2</v>
      </c>
      <c r="AG49" s="633">
        <v>41604</v>
      </c>
      <c r="AH49" s="560">
        <v>-1.9693748213839016E-2</v>
      </c>
      <c r="AI49" s="513">
        <v>-6.1912225033859134E-3</v>
      </c>
      <c r="AJ49" s="513">
        <v>-9.2173361380894388E-3</v>
      </c>
      <c r="AK49" s="513">
        <v>-2.4744739813702992E-2</v>
      </c>
      <c r="AL49" s="634"/>
      <c r="AM49" s="441">
        <v>-2.16E-5</v>
      </c>
      <c r="AN49" s="440">
        <v>-1.52E-5</v>
      </c>
      <c r="AO49" s="440">
        <v>-1.8600000000000001E-5</v>
      </c>
      <c r="AP49" s="440">
        <v>-1.47E-5</v>
      </c>
      <c r="AR49" s="441">
        <f t="shared" si="42"/>
        <v>3.1104E-2</v>
      </c>
      <c r="AS49" s="440">
        <f t="shared" si="42"/>
        <v>2.1888000000000001E-2</v>
      </c>
      <c r="AT49" s="440">
        <f t="shared" si="42"/>
        <v>2.6784000000000002E-2</v>
      </c>
      <c r="AU49" s="440">
        <f t="shared" si="42"/>
        <v>2.1167999999999999E-2</v>
      </c>
      <c r="AV49" s="633">
        <v>41604</v>
      </c>
      <c r="AW49" s="644"/>
      <c r="AX49" s="608">
        <v>0</v>
      </c>
      <c r="AY49" s="441">
        <f t="shared" si="58"/>
        <v>6.7471734559663363E-3</v>
      </c>
      <c r="AZ49" s="440">
        <f t="shared" si="58"/>
        <v>7.5247119175056061E-3</v>
      </c>
      <c r="BA49" s="440">
        <f t="shared" si="58"/>
        <v>9.905634994429896E-3</v>
      </c>
      <c r="BB49" s="440">
        <f t="shared" si="58"/>
        <v>4.7831734559660929E-3</v>
      </c>
      <c r="BC49" s="608">
        <f t="shared" si="5"/>
        <v>4.7831734559660929E-2</v>
      </c>
      <c r="BD49" s="627" t="s">
        <v>472</v>
      </c>
      <c r="BE49" s="580">
        <v>41604</v>
      </c>
      <c r="BF49" s="441">
        <f t="shared" si="59"/>
        <v>0.25772416296725886</v>
      </c>
      <c r="BG49" s="440">
        <f t="shared" si="59"/>
        <v>1.57772416296873</v>
      </c>
      <c r="BH49" s="440">
        <f t="shared" si="59"/>
        <v>5.2137241629681075</v>
      </c>
      <c r="BI49" s="440">
        <f t="shared" si="59"/>
        <v>5.7777241629686156</v>
      </c>
      <c r="BJ49" s="645"/>
      <c r="BK49" s="441">
        <v>6.7471734559663368</v>
      </c>
      <c r="BL49" s="440">
        <v>7.5247119175056065</v>
      </c>
      <c r="BM49" s="440">
        <v>9.9056349944298958</v>
      </c>
      <c r="BN49" s="440">
        <v>4.783173455966093</v>
      </c>
      <c r="BO49" s="353">
        <v>75</v>
      </c>
      <c r="BP49" s="353">
        <f t="shared" si="9"/>
        <v>15</v>
      </c>
      <c r="BQ49" s="610">
        <f t="shared" si="10"/>
        <v>53.571428571428577</v>
      </c>
      <c r="BR49" s="610">
        <f t="shared" si="11"/>
        <v>20.27027027027027</v>
      </c>
      <c r="BT49" s="648"/>
      <c r="BU49" s="648"/>
      <c r="BV49" s="648"/>
      <c r="BW49" s="648"/>
      <c r="BX49" s="648"/>
      <c r="BY49" s="616" t="s">
        <v>473</v>
      </c>
      <c r="BZ49" s="617">
        <v>28</v>
      </c>
      <c r="CA49" s="608">
        <v>0.1</v>
      </c>
      <c r="CB49" s="608">
        <f t="shared" si="12"/>
        <v>1</v>
      </c>
      <c r="CC49" s="608"/>
      <c r="CD49" s="631">
        <f t="shared" si="13"/>
        <v>188.5</v>
      </c>
      <c r="CE49" s="364"/>
      <c r="CF49" s="364"/>
      <c r="CG49" s="364"/>
      <c r="CH49" s="364"/>
      <c r="CI49" s="364"/>
      <c r="CJ49" s="364"/>
      <c r="CK49" s="364"/>
      <c r="CL49" s="623"/>
      <c r="CM49" s="364"/>
      <c r="CN49" s="632" t="s">
        <v>432</v>
      </c>
      <c r="CO49" s="580">
        <f>'[3]Plots R2&gt;.75 - UPDATED'!R46</f>
        <v>41605</v>
      </c>
      <c r="CP49" s="620"/>
      <c r="CQ49" s="633">
        <v>41605</v>
      </c>
      <c r="CR49" s="641">
        <v>83782.777807224367</v>
      </c>
      <c r="CS49" s="642">
        <v>357062.67814793286</v>
      </c>
      <c r="CT49" s="642">
        <v>108177.35491152931</v>
      </c>
      <c r="CU49" s="643">
        <v>134725.60855821305</v>
      </c>
      <c r="CV49" s="513">
        <f t="shared" si="33"/>
        <v>0.3609333659189381</v>
      </c>
      <c r="CW49" s="513">
        <f t="shared" si="51"/>
        <v>0.78009181269715977</v>
      </c>
      <c r="CX49" s="513">
        <f t="shared" si="35"/>
        <v>8.4691013232896364E-2</v>
      </c>
      <c r="CY49" s="513">
        <f t="shared" si="52"/>
        <v>1.4849867364285123</v>
      </c>
      <c r="CZ49" s="513">
        <f t="shared" si="41"/>
        <v>0.27954094481909986</v>
      </c>
      <c r="DA49" s="513">
        <f t="shared" si="55"/>
        <v>1.4771254413719568</v>
      </c>
      <c r="DB49" s="513">
        <f t="shared" si="19"/>
        <v>0.22445621380833264</v>
      </c>
      <c r="DC49" s="513">
        <f t="shared" si="53"/>
        <v>-0.13321776756196674</v>
      </c>
      <c r="DD49" s="653"/>
      <c r="DE49" s="299">
        <v>41603</v>
      </c>
      <c r="DF49" s="463">
        <v>9.0352428130879314</v>
      </c>
      <c r="DG49" s="463">
        <v>38.485443060841909</v>
      </c>
      <c r="DH49" s="463">
        <v>11.476824433292842</v>
      </c>
      <c r="DI49" s="463">
        <v>14.600990470580847</v>
      </c>
      <c r="DJ49" s="528">
        <v>2.5772416296725886E-2</v>
      </c>
      <c r="DK49" s="528">
        <v>0.157772416296873</v>
      </c>
      <c r="DL49" s="528">
        <v>0.52137241629681075</v>
      </c>
      <c r="DM49" s="546">
        <v>0.5777724162968616</v>
      </c>
      <c r="DN49" s="528">
        <f t="shared" si="37"/>
        <v>0.25772416296725886</v>
      </c>
      <c r="DO49" s="528">
        <f t="shared" si="38"/>
        <v>1.57772416296873</v>
      </c>
      <c r="DP49" s="528">
        <f t="shared" si="39"/>
        <v>5.2137241629681075</v>
      </c>
      <c r="DQ49" s="528">
        <f t="shared" si="40"/>
        <v>5.7777241629686156</v>
      </c>
      <c r="DR49" s="463">
        <v>2.5772416296725886E-2</v>
      </c>
      <c r="DS49" s="463">
        <v>0.157772416296873</v>
      </c>
      <c r="DT49" s="463">
        <v>0.52137241629681075</v>
      </c>
      <c r="DU49" s="463">
        <v>0.5777724162968616</v>
      </c>
      <c r="DV49" s="463">
        <v>2.4721938495631433</v>
      </c>
      <c r="DW49" s="463">
        <v>1.9693946521314181</v>
      </c>
      <c r="DX49" s="463">
        <v>2.4897078554911189</v>
      </c>
      <c r="DY49" s="463">
        <v>-0.58996450647456555</v>
      </c>
      <c r="DZ49" s="463">
        <v>2.4721938495631433</v>
      </c>
      <c r="EA49" s="463">
        <v>1.9693946521314181</v>
      </c>
      <c r="EB49" s="463">
        <v>2.4897078554911189</v>
      </c>
      <c r="EC49" s="463">
        <v>-0.58996450647456555</v>
      </c>
      <c r="ED49" s="463">
        <f t="shared" si="24"/>
        <v>24.721938495631434</v>
      </c>
      <c r="EE49" s="463">
        <f t="shared" si="25"/>
        <v>19.693946521314182</v>
      </c>
      <c r="EF49" s="463">
        <f t="shared" si="26"/>
        <v>24.897078554911189</v>
      </c>
      <c r="EG49" s="463">
        <f t="shared" si="27"/>
        <v>-5.8996450647456555</v>
      </c>
      <c r="EH49" s="528">
        <f>'[3]Plots R2&gt;.75 - UPDATED'!S46</f>
        <v>1.8367587306052831</v>
      </c>
      <c r="EI49" s="528">
        <f>'[3]Plots R2&gt;.75 - UPDATED'!T46</f>
        <v>3.0250587306052825</v>
      </c>
      <c r="EJ49" s="528">
        <f>'[3]Plots R2&gt;.75 - UPDATED'!U46</f>
        <v>3.4643587306052828</v>
      </c>
      <c r="EK49" s="546">
        <f>'[3]Plots R2&gt;.75 - UPDATED'!V46</f>
        <v>2.9412587306052838</v>
      </c>
      <c r="EL49" s="676">
        <v>0</v>
      </c>
      <c r="EM49" s="495">
        <v>0</v>
      </c>
      <c r="EN49" s="299">
        <v>41603</v>
      </c>
      <c r="EO49" s="528">
        <v>1.8367587306052831</v>
      </c>
      <c r="EP49" s="528">
        <v>3.0250587306052825</v>
      </c>
      <c r="EQ49" s="528">
        <v>3.4643587306052828</v>
      </c>
      <c r="ER49" s="546">
        <v>2.9412587306052838</v>
      </c>
      <c r="GN49" s="640"/>
      <c r="GO49" s="640"/>
      <c r="GP49" s="640"/>
      <c r="GQ49" s="640"/>
      <c r="GR49" s="640"/>
      <c r="GS49" s="640"/>
      <c r="GT49" s="640"/>
      <c r="GU49" s="640"/>
      <c r="GV49" s="640"/>
      <c r="HF49" s="560">
        <v>0.29056413016040361</v>
      </c>
      <c r="HG49" s="560">
        <v>1.5814060796878364</v>
      </c>
      <c r="HH49" s="513">
        <v>9.0520255290963469E-2</v>
      </c>
      <c r="HI49" s="513">
        <v>0.43693698855509461</v>
      </c>
      <c r="HJ49" s="515">
        <v>0.35292406729537013</v>
      </c>
      <c r="HK49" s="515">
        <v>2.0739446385624456</v>
      </c>
      <c r="HL49" s="515">
        <v>0.3021484406203121</v>
      </c>
      <c r="HM49" s="515">
        <v>0</v>
      </c>
    </row>
    <row r="50" spans="10:221" ht="16">
      <c r="J50" s="580">
        <v>41587</v>
      </c>
      <c r="K50" s="581">
        <v>0</v>
      </c>
      <c r="L50" s="582">
        <v>12.788</v>
      </c>
      <c r="M50" s="582">
        <v>12.563599999999999</v>
      </c>
      <c r="N50" s="582">
        <v>13.2211</v>
      </c>
      <c r="O50" s="582">
        <v>12.9961</v>
      </c>
      <c r="P50" s="582">
        <v>98.813299999999998</v>
      </c>
      <c r="Q50" s="582">
        <v>10.103604658878629</v>
      </c>
      <c r="R50" s="582">
        <v>2.4993953411213714</v>
      </c>
      <c r="S50" s="582">
        <v>3.1099953411213708</v>
      </c>
      <c r="T50" s="582">
        <v>3.3074953411213714</v>
      </c>
      <c r="U50" s="582">
        <v>3.162495341121371</v>
      </c>
      <c r="W50" s="580">
        <v>41605</v>
      </c>
      <c r="X50" s="582">
        <f t="shared" si="54"/>
        <v>1.8363709536823047</v>
      </c>
      <c r="Y50" s="582">
        <f t="shared" si="54"/>
        <v>3.0245094152207659</v>
      </c>
      <c r="Z50" s="582">
        <f t="shared" si="54"/>
        <v>3.4640401844515347</v>
      </c>
      <c r="AA50" s="582">
        <f t="shared" si="54"/>
        <v>3.2308171075284586</v>
      </c>
      <c r="AB50" s="606"/>
      <c r="AC50" s="441">
        <f t="shared" si="47"/>
        <v>3.6778051160243797E-2</v>
      </c>
      <c r="AD50" s="440">
        <f t="shared" si="48"/>
        <v>2.7701128083319926E-2</v>
      </c>
      <c r="AE50" s="440">
        <f t="shared" si="49"/>
        <v>4.5524205006396201E-2</v>
      </c>
      <c r="AF50" s="440">
        <f t="shared" si="50"/>
        <v>2.6970358852552057E-2</v>
      </c>
      <c r="AG50" s="633">
        <v>41605</v>
      </c>
      <c r="AH50" s="560">
        <v>-1.9373477369815678E-2</v>
      </c>
      <c r="AI50" s="513">
        <v>-5.9915885102689876E-3</v>
      </c>
      <c r="AJ50" s="513">
        <v>-9.2028937654903362E-3</v>
      </c>
      <c r="AK50" s="513">
        <v>-2.4711292589086269E-2</v>
      </c>
      <c r="AL50" s="634"/>
      <c r="AM50" s="441">
        <v>-2.3300000000000001E-5</v>
      </c>
      <c r="AN50" s="440">
        <v>-2.2399999999999999E-5</v>
      </c>
      <c r="AO50" s="440">
        <v>-2.2500000000000001E-5</v>
      </c>
      <c r="AP50" s="440">
        <v>-1.4E-5</v>
      </c>
      <c r="AR50" s="441">
        <f t="shared" si="42"/>
        <v>3.3551999999999998E-2</v>
      </c>
      <c r="AS50" s="440">
        <f t="shared" si="42"/>
        <v>3.2256E-2</v>
      </c>
      <c r="AT50" s="440">
        <f t="shared" si="42"/>
        <v>3.2400000000000005E-2</v>
      </c>
      <c r="AU50" s="440">
        <f t="shared" si="42"/>
        <v>2.0160000000000001E-2</v>
      </c>
      <c r="AV50" s="633">
        <v>41605</v>
      </c>
      <c r="AW50" s="644"/>
      <c r="AX50" s="608">
        <v>0</v>
      </c>
      <c r="AY50" s="441">
        <f t="shared" si="58"/>
        <v>3.226051160243798E-3</v>
      </c>
      <c r="AZ50" s="440">
        <f t="shared" si="58"/>
        <v>-4.5548719166800741E-3</v>
      </c>
      <c r="BA50" s="440">
        <f t="shared" si="58"/>
        <v>1.3124205006396196E-2</v>
      </c>
      <c r="BB50" s="440">
        <f t="shared" si="58"/>
        <v>6.8103588525520557E-3</v>
      </c>
      <c r="BC50" s="608">
        <f t="shared" si="5"/>
        <v>6.8103588525520564E-2</v>
      </c>
      <c r="BD50" s="627" t="s">
        <v>474</v>
      </c>
      <c r="BE50" s="580">
        <v>41605</v>
      </c>
      <c r="BF50" s="441">
        <f t="shared" si="59"/>
        <v>6.1094989939016964</v>
      </c>
      <c r="BG50" s="440">
        <f t="shared" si="59"/>
        <v>6.9254989939017308</v>
      </c>
      <c r="BH50" s="440">
        <f t="shared" si="59"/>
        <v>9.3294989939024795</v>
      </c>
      <c r="BI50" s="440">
        <f t="shared" si="59"/>
        <v>4.1454989939010067</v>
      </c>
      <c r="BJ50" s="645"/>
      <c r="BK50" s="441">
        <v>3.2260511602437978</v>
      </c>
      <c r="BL50" s="440"/>
      <c r="BM50" s="440">
        <v>13.124205006396197</v>
      </c>
      <c r="BN50" s="440">
        <v>6.8103588525520555</v>
      </c>
      <c r="BO50" s="353">
        <v>73</v>
      </c>
      <c r="BP50" s="353">
        <f t="shared" si="9"/>
        <v>14.6</v>
      </c>
      <c r="BQ50" s="610">
        <f t="shared" si="10"/>
        <v>52.142857142857146</v>
      </c>
      <c r="BR50" s="610">
        <f t="shared" si="11"/>
        <v>19.72972972972973</v>
      </c>
      <c r="BT50" s="648"/>
      <c r="BU50" s="648"/>
      <c r="BV50" s="648"/>
      <c r="BW50" s="648"/>
      <c r="BX50" s="648"/>
      <c r="BY50" s="616" t="s">
        <v>475</v>
      </c>
      <c r="BZ50" s="617">
        <v>28</v>
      </c>
      <c r="CA50" s="608">
        <v>0.05</v>
      </c>
      <c r="CB50" s="608">
        <f t="shared" si="12"/>
        <v>0.5</v>
      </c>
      <c r="CC50" s="608"/>
      <c r="CD50" s="631">
        <f t="shared" si="13"/>
        <v>189</v>
      </c>
      <c r="CE50" s="364"/>
      <c r="CF50" s="364"/>
      <c r="CG50" s="364"/>
      <c r="CH50" s="364"/>
      <c r="CI50" s="364"/>
      <c r="CJ50" s="364"/>
      <c r="CK50" s="364"/>
      <c r="CL50" s="623"/>
      <c r="CM50" s="364"/>
      <c r="CN50" s="632" t="s">
        <v>434</v>
      </c>
      <c r="CO50" s="580">
        <f>'[3]Plots R2&gt;.75 - UPDATED'!R47</f>
        <v>41606</v>
      </c>
      <c r="CP50" s="620"/>
      <c r="CQ50" s="633">
        <v>41606</v>
      </c>
      <c r="CR50" s="641">
        <v>81914.540124639738</v>
      </c>
      <c r="CS50" s="642">
        <v>347483.42945463245</v>
      </c>
      <c r="CT50" s="642">
        <v>105600.97437538764</v>
      </c>
      <c r="CU50" s="643">
        <v>130711.75426875227</v>
      </c>
      <c r="CV50" s="513">
        <f t="shared" si="33"/>
        <v>0.36916522944506969</v>
      </c>
      <c r="CW50" s="513">
        <f t="shared" si="51"/>
        <v>1.0486870335733625</v>
      </c>
      <c r="CX50" s="513">
        <f t="shared" si="35"/>
        <v>8.7025732557840255E-2</v>
      </c>
      <c r="CY50" s="513">
        <f t="shared" si="52"/>
        <v>2.1533445661538564</v>
      </c>
      <c r="CZ50" s="513">
        <f t="shared" si="41"/>
        <v>0.28636099409938798</v>
      </c>
      <c r="DA50" s="513">
        <f t="shared" si="55"/>
        <v>2.0333496293515791</v>
      </c>
      <c r="DB50" s="513">
        <f t="shared" si="19"/>
        <v>0.23134874265266533</v>
      </c>
      <c r="DC50" s="513">
        <f t="shared" si="53"/>
        <v>-0.22378051625596154</v>
      </c>
      <c r="DD50" s="653"/>
      <c r="DE50" s="299">
        <v>41604</v>
      </c>
      <c r="DF50" s="463">
        <v>8.791643289905041</v>
      </c>
      <c r="DG50" s="463">
        <v>37.661699039867635</v>
      </c>
      <c r="DH50" s="463">
        <v>11.243520992574638</v>
      </c>
      <c r="DI50" s="463">
        <v>14.220623967918151</v>
      </c>
      <c r="DJ50" s="528">
        <v>0.61094989939016964</v>
      </c>
      <c r="DK50" s="528">
        <v>0.69254989939017308</v>
      </c>
      <c r="DL50" s="528">
        <v>0.93294989939024786</v>
      </c>
      <c r="DM50" s="546">
        <v>0.41454989939010067</v>
      </c>
      <c r="DN50" s="528">
        <f t="shared" si="37"/>
        <v>6.1094989939016964</v>
      </c>
      <c r="DO50" s="528">
        <f t="shared" si="38"/>
        <v>6.9254989939017308</v>
      </c>
      <c r="DP50" s="528">
        <f t="shared" si="39"/>
        <v>9.3294989939024795</v>
      </c>
      <c r="DQ50" s="528">
        <f t="shared" si="40"/>
        <v>4.1454989939010067</v>
      </c>
      <c r="DR50" s="463">
        <v>0.61094989939016964</v>
      </c>
      <c r="DS50" s="463">
        <v>0.69254989939017308</v>
      </c>
      <c r="DT50" s="463">
        <v>0.93294989939024786</v>
      </c>
      <c r="DU50" s="463">
        <v>0.41454989939010067</v>
      </c>
      <c r="DV50" s="463">
        <v>1.1410251786160979</v>
      </c>
      <c r="DW50" s="463">
        <v>1.5696777496614087</v>
      </c>
      <c r="DX50" s="463">
        <v>1.7566663861910565</v>
      </c>
      <c r="DY50" s="463">
        <v>-0.35767398137029938</v>
      </c>
      <c r="DZ50" s="463">
        <v>1.1410251786160979</v>
      </c>
      <c r="EA50" s="463">
        <v>1.5696777496614087</v>
      </c>
      <c r="EB50" s="463">
        <v>1.7566663861910565</v>
      </c>
      <c r="EC50" s="463">
        <v>-0.35767398137029938</v>
      </c>
      <c r="ED50" s="463">
        <f t="shared" si="24"/>
        <v>11.410251786160979</v>
      </c>
      <c r="EE50" s="463">
        <f t="shared" si="25"/>
        <v>15.696777496614088</v>
      </c>
      <c r="EF50" s="463">
        <f t="shared" si="26"/>
        <v>17.566663861910566</v>
      </c>
      <c r="EG50" s="463">
        <f t="shared" si="27"/>
        <v>-3.5767398137029938</v>
      </c>
      <c r="EH50" s="528">
        <f>'[3]Plots R2&gt;.75 - UPDATED'!S47</f>
        <v>1.7994634391078965</v>
      </c>
      <c r="EI50" s="528">
        <f>'[3]Plots R2&gt;.75 - UPDATED'!T47</f>
        <v>2.9966634391078966</v>
      </c>
      <c r="EJ50" s="528">
        <f>'[3]Plots R2&gt;.75 - UPDATED'!U47</f>
        <v>3.4180634391078977</v>
      </c>
      <c r="EK50" s="546">
        <f>'[3]Plots R2&gt;.75 - UPDATED'!V47</f>
        <v>2.9136634391078959</v>
      </c>
      <c r="EL50" s="676">
        <v>0</v>
      </c>
      <c r="EM50" s="495">
        <v>0</v>
      </c>
      <c r="EN50" s="299">
        <v>41604</v>
      </c>
      <c r="EO50" s="528">
        <v>1.7994634391078965</v>
      </c>
      <c r="EP50" s="528">
        <v>2.9966634391078966</v>
      </c>
      <c r="EQ50" s="528">
        <v>3.4180634391078977</v>
      </c>
      <c r="ER50" s="546">
        <v>2.9136634391078959</v>
      </c>
      <c r="GN50" s="640"/>
      <c r="GO50" s="640"/>
      <c r="GP50" s="640"/>
      <c r="GQ50" s="640"/>
      <c r="GR50" s="640"/>
      <c r="GS50" s="640"/>
      <c r="GT50" s="640"/>
      <c r="GU50" s="640"/>
      <c r="GV50" s="640"/>
      <c r="HF50" s="558"/>
      <c r="HG50" s="558"/>
      <c r="HH50" s="450"/>
      <c r="HI50" s="450"/>
      <c r="HJ50" s="598"/>
      <c r="HK50" s="598"/>
      <c r="HL50" s="598"/>
      <c r="HM50" s="598"/>
    </row>
    <row r="51" spans="10:221" ht="16">
      <c r="J51" s="580">
        <v>41588</v>
      </c>
      <c r="K51" s="581">
        <v>0</v>
      </c>
      <c r="L51" s="582">
        <v>12.743499999999999</v>
      </c>
      <c r="M51" s="582">
        <v>12.5372</v>
      </c>
      <c r="N51" s="582">
        <v>13.1739</v>
      </c>
      <c r="O51" s="582">
        <v>12.964399999999999</v>
      </c>
      <c r="P51" s="582">
        <v>98.731899999999996</v>
      </c>
      <c r="Q51" s="582">
        <v>10.095281554405519</v>
      </c>
      <c r="R51" s="582">
        <v>2.4632184455944803</v>
      </c>
      <c r="S51" s="582">
        <v>3.0919184455944819</v>
      </c>
      <c r="T51" s="582">
        <v>3.2686184455944813</v>
      </c>
      <c r="U51" s="582">
        <v>3.1391184455944803</v>
      </c>
      <c r="W51" s="580">
        <v>41606</v>
      </c>
      <c r="X51" s="582">
        <f t="shared" si="54"/>
        <v>1.7995929025220609</v>
      </c>
      <c r="Y51" s="582">
        <f t="shared" si="54"/>
        <v>2.996808287137446</v>
      </c>
      <c r="Z51" s="582">
        <f t="shared" si="54"/>
        <v>3.4185159794451385</v>
      </c>
      <c r="AA51" s="582">
        <f t="shared" si="54"/>
        <v>3.2038467486759066</v>
      </c>
      <c r="AB51" s="606"/>
      <c r="AC51" s="441">
        <f t="shared" si="47"/>
        <v>3.5938595996850786E-2</v>
      </c>
      <c r="AD51" s="440">
        <f t="shared" si="48"/>
        <v>2.3977057535312873E-2</v>
      </c>
      <c r="AE51" s="440">
        <f t="shared" si="49"/>
        <v>4.4330903689158596E-2</v>
      </c>
      <c r="AF51" s="440">
        <f t="shared" si="50"/>
        <v>2.685398061223454E-2</v>
      </c>
      <c r="AG51" s="633">
        <v>41606</v>
      </c>
      <c r="AH51" s="560">
        <v>-1.9036971985080423E-2</v>
      </c>
      <c r="AI51" s="513">
        <v>-5.7808582106220804E-3</v>
      </c>
      <c r="AJ51" s="513">
        <v>-9.1814462374319242E-3</v>
      </c>
      <c r="AK51" s="513">
        <v>-2.465743670119214E-2</v>
      </c>
      <c r="AL51" s="634"/>
      <c r="AM51" s="441">
        <v>-1.88E-5</v>
      </c>
      <c r="AN51" s="440">
        <v>-1.6099999999999998E-5</v>
      </c>
      <c r="AO51" s="440">
        <v>-2.2900000000000001E-5</v>
      </c>
      <c r="AP51" s="440">
        <v>-1.45E-5</v>
      </c>
      <c r="AR51" s="441">
        <f t="shared" si="42"/>
        <v>2.7071999999999999E-2</v>
      </c>
      <c r="AS51" s="440">
        <f t="shared" si="42"/>
        <v>2.3183999999999996E-2</v>
      </c>
      <c r="AT51" s="440">
        <f t="shared" si="42"/>
        <v>3.2975999999999998E-2</v>
      </c>
      <c r="AU51" s="440">
        <f t="shared" si="42"/>
        <v>2.0879999999999999E-2</v>
      </c>
      <c r="AV51" s="633">
        <v>41606</v>
      </c>
      <c r="AW51" s="644"/>
      <c r="AX51" s="608">
        <v>0</v>
      </c>
      <c r="AY51" s="441">
        <f t="shared" si="58"/>
        <v>8.8665959968507874E-3</v>
      </c>
      <c r="AZ51" s="440">
        <f t="shared" si="58"/>
        <v>7.9305753531287715E-4</v>
      </c>
      <c r="BA51" s="440">
        <f t="shared" si="58"/>
        <v>1.1354903689158598E-2</v>
      </c>
      <c r="BB51" s="440">
        <f t="shared" si="58"/>
        <v>5.9739806122345411E-3</v>
      </c>
      <c r="BC51" s="608">
        <f t="shared" si="5"/>
        <v>5.9739806122345411E-2</v>
      </c>
      <c r="BD51" s="627" t="s">
        <v>476</v>
      </c>
      <c r="BE51" s="580">
        <v>41606</v>
      </c>
      <c r="BF51" s="441">
        <f t="shared" si="59"/>
        <v>3.7432914973865294</v>
      </c>
      <c r="BG51" s="440">
        <f t="shared" si="59"/>
        <v>0</v>
      </c>
      <c r="BH51" s="440">
        <f t="shared" si="59"/>
        <v>13.895291497385088</v>
      </c>
      <c r="BI51" s="440">
        <f t="shared" si="59"/>
        <v>7.4352914973878192</v>
      </c>
      <c r="BJ51" s="645"/>
      <c r="BK51" s="441">
        <v>8.866595996850787</v>
      </c>
      <c r="BL51" s="440">
        <v>0.79305753531287715</v>
      </c>
      <c r="BM51" s="440">
        <v>11.354903689158597</v>
      </c>
      <c r="BN51" s="440">
        <v>5.9739806122345405</v>
      </c>
      <c r="BO51" s="353">
        <v>74</v>
      </c>
      <c r="BP51" s="353">
        <f t="shared" si="9"/>
        <v>14.8</v>
      </c>
      <c r="BQ51" s="610">
        <f t="shared" si="10"/>
        <v>52.857142857142861</v>
      </c>
      <c r="BR51" s="610">
        <f t="shared" si="11"/>
        <v>20</v>
      </c>
      <c r="BT51" s="648"/>
      <c r="BU51" s="648"/>
      <c r="BV51" s="648"/>
      <c r="BW51" s="648"/>
      <c r="BX51" s="648"/>
      <c r="BY51" s="616" t="s">
        <v>477</v>
      </c>
      <c r="BZ51" s="617">
        <v>29</v>
      </c>
      <c r="CA51" s="608">
        <v>0.18</v>
      </c>
      <c r="CB51" s="608">
        <f t="shared" si="12"/>
        <v>1.7999999999999998</v>
      </c>
      <c r="CC51" s="608"/>
      <c r="CD51" s="631">
        <f t="shared" si="13"/>
        <v>190.8</v>
      </c>
      <c r="CE51" s="364"/>
      <c r="CF51" s="364"/>
      <c r="CG51" s="364"/>
      <c r="CH51" s="364"/>
      <c r="CI51" s="364"/>
      <c r="CJ51" s="364"/>
      <c r="CK51" s="364"/>
      <c r="CL51" s="623"/>
      <c r="CM51" s="364"/>
      <c r="CN51" s="632" t="s">
        <v>436</v>
      </c>
      <c r="CO51" s="580">
        <f>'[3]Plots R2&gt;.75 - UPDATED'!R48</f>
        <v>41607</v>
      </c>
      <c r="CP51" s="620"/>
      <c r="CQ51" s="633">
        <v>41607</v>
      </c>
      <c r="CR51" s="641">
        <v>80105.301993791974</v>
      </c>
      <c r="CS51" s="642">
        <v>339357.52967690601</v>
      </c>
      <c r="CT51" s="642">
        <v>103172.82332188201</v>
      </c>
      <c r="CU51" s="643">
        <v>126922.62641047995</v>
      </c>
      <c r="CV51" s="513">
        <f t="shared" si="33"/>
        <v>0.37750310213353355</v>
      </c>
      <c r="CW51" s="513">
        <f t="shared" si="51"/>
        <v>0.42599969935842363</v>
      </c>
      <c r="CX51" s="513">
        <f t="shared" si="35"/>
        <v>8.9109559551517128E-2</v>
      </c>
      <c r="CY51" s="513">
        <f t="shared" si="52"/>
        <v>1.6512046193862742</v>
      </c>
      <c r="CZ51" s="513">
        <f t="shared" si="41"/>
        <v>0.29310044085598236</v>
      </c>
      <c r="DA51" s="513">
        <f t="shared" si="55"/>
        <v>2.0863549354008248</v>
      </c>
      <c r="DB51" s="513">
        <f t="shared" si="19"/>
        <v>0.23825539114043334</v>
      </c>
      <c r="DC51" s="513">
        <f t="shared" si="53"/>
        <v>-0.13948827897878072</v>
      </c>
      <c r="DD51" s="653"/>
      <c r="DE51" s="299">
        <v>41605</v>
      </c>
      <c r="DF51" s="463">
        <v>8.5650676840994588</v>
      </c>
      <c r="DG51" s="463">
        <v>36.695767663527242</v>
      </c>
      <c r="DH51" s="463">
        <v>11.020613739595813</v>
      </c>
      <c r="DI51" s="463">
        <v>13.84814470354525</v>
      </c>
      <c r="DJ51" s="528">
        <v>0.37432914973865294</v>
      </c>
      <c r="DK51" s="528"/>
      <c r="DL51" s="528">
        <v>1.3895291497385087</v>
      </c>
      <c r="DM51" s="546">
        <v>0.74352914973878192</v>
      </c>
      <c r="DN51" s="528">
        <f t="shared" si="37"/>
        <v>3.7432914973865294</v>
      </c>
      <c r="DO51" s="528">
        <f t="shared" si="38"/>
        <v>0</v>
      </c>
      <c r="DP51" s="528">
        <f t="shared" si="39"/>
        <v>13.895291497385088</v>
      </c>
      <c r="DQ51" s="528">
        <f t="shared" si="40"/>
        <v>7.4352914973878192</v>
      </c>
      <c r="DR51" s="463">
        <v>0.37432914973865294</v>
      </c>
      <c r="DS51" s="463">
        <v>0</v>
      </c>
      <c r="DT51" s="463">
        <v>1.3895291497385087</v>
      </c>
      <c r="DU51" s="463">
        <v>0.74352914973878192</v>
      </c>
      <c r="DV51" s="463">
        <v>1.4178522630184323</v>
      </c>
      <c r="DW51" s="463">
        <v>2.2403702987116967</v>
      </c>
      <c r="DX51" s="463">
        <v>2.319710623450967</v>
      </c>
      <c r="DY51" s="463">
        <v>-0.45512925890862688</v>
      </c>
      <c r="DZ51" s="463">
        <v>1.4178522630184323</v>
      </c>
      <c r="EA51" s="463">
        <v>2.2403702987116967</v>
      </c>
      <c r="EB51" s="463">
        <v>2.319710623450967</v>
      </c>
      <c r="EC51" s="463">
        <v>-0.45512925890862688</v>
      </c>
      <c r="ED51" s="463">
        <f t="shared" si="24"/>
        <v>14.178522630184322</v>
      </c>
      <c r="EE51" s="463">
        <f t="shared" si="25"/>
        <v>22.403702987116965</v>
      </c>
      <c r="EF51" s="463">
        <f t="shared" si="26"/>
        <v>23.197106234509668</v>
      </c>
      <c r="EG51" s="463">
        <f t="shared" si="27"/>
        <v>-4.5512925890862688</v>
      </c>
      <c r="EH51" s="528">
        <f>'[3]Plots R2&gt;.75 - UPDATED'!S48</f>
        <v>1.7632726488416055</v>
      </c>
      <c r="EI51" s="528">
        <f>'[3]Plots R2&gt;.75 - UPDATED'!T48</f>
        <v>2.9721726488416049</v>
      </c>
      <c r="EJ51" s="528">
        <f>'[3]Plots R2&gt;.75 - UPDATED'!U48</f>
        <v>3.3739726488416055</v>
      </c>
      <c r="EK51" s="546">
        <f>'[3]Plots R2&gt;.75 - UPDATED'!V48</f>
        <v>2.8870726488416056</v>
      </c>
      <c r="EL51" s="676">
        <v>0</v>
      </c>
      <c r="EM51" s="495">
        <v>0</v>
      </c>
      <c r="EN51" s="299">
        <v>41605</v>
      </c>
      <c r="EO51" s="528">
        <v>1.7632726488416055</v>
      </c>
      <c r="EP51" s="528">
        <v>2.9721726488416049</v>
      </c>
      <c r="EQ51" s="528">
        <v>3.3739726488416055</v>
      </c>
      <c r="ER51" s="546">
        <v>2.8870726488416056</v>
      </c>
      <c r="GN51" s="640"/>
      <c r="GO51" s="640"/>
      <c r="GP51" s="640"/>
      <c r="GQ51" s="640"/>
      <c r="GR51" s="640"/>
      <c r="GS51" s="640"/>
      <c r="GT51" s="640"/>
      <c r="GU51" s="640"/>
      <c r="GV51" s="640"/>
      <c r="HF51" s="560">
        <v>0.28796721505857253</v>
      </c>
      <c r="HG51" s="560">
        <v>1.285955477144382</v>
      </c>
      <c r="HH51" s="513">
        <v>7.006270173744937E-2</v>
      </c>
      <c r="HI51" s="513">
        <v>0.88552814318778561</v>
      </c>
      <c r="HJ51" s="598"/>
      <c r="HK51" s="598"/>
      <c r="HL51" s="515">
        <v>0.17843990411371108</v>
      </c>
      <c r="HM51" s="515">
        <v>-1.3769743173251805</v>
      </c>
    </row>
    <row r="52" spans="10:221" ht="16">
      <c r="J52" s="580">
        <v>41589</v>
      </c>
      <c r="K52" s="581">
        <v>0</v>
      </c>
      <c r="L52" s="582">
        <v>12.710900000000001</v>
      </c>
      <c r="M52" s="582">
        <v>12.522</v>
      </c>
      <c r="N52" s="582">
        <v>13.1389</v>
      </c>
      <c r="O52" s="582">
        <v>12.9428</v>
      </c>
      <c r="P52" s="582">
        <v>98.788799999999995</v>
      </c>
      <c r="Q52" s="582">
        <v>10.101099547581439</v>
      </c>
      <c r="R52" s="582">
        <v>2.4248004524185611</v>
      </c>
      <c r="S52" s="582">
        <v>3.0709004524185612</v>
      </c>
      <c r="T52" s="582">
        <v>3.2278004524185606</v>
      </c>
      <c r="U52" s="582">
        <v>3.1117004524185603</v>
      </c>
      <c r="W52" s="580">
        <v>41607</v>
      </c>
      <c r="X52" s="582">
        <f t="shared" si="54"/>
        <v>1.7636543065252102</v>
      </c>
      <c r="Y52" s="582">
        <f t="shared" si="54"/>
        <v>2.9728312296021331</v>
      </c>
      <c r="Z52" s="582">
        <f t="shared" si="54"/>
        <v>3.3741850757559799</v>
      </c>
      <c r="AA52" s="582">
        <f t="shared" si="54"/>
        <v>3.176992768063672</v>
      </c>
      <c r="AB52" s="606"/>
      <c r="AC52" s="441">
        <f t="shared" si="47"/>
        <v>4.8767167595207939E-2</v>
      </c>
      <c r="AD52" s="440">
        <f t="shared" si="48"/>
        <v>2.2813321441361722E-2</v>
      </c>
      <c r="AE52" s="440">
        <f t="shared" si="49"/>
        <v>3.4636398364439103E-2</v>
      </c>
      <c r="AF52" s="440">
        <f t="shared" si="50"/>
        <v>2.6467167595209506E-2</v>
      </c>
      <c r="AG52" s="633">
        <v>41607</v>
      </c>
      <c r="AH52" s="560">
        <v>-1.8694568862322382E-2</v>
      </c>
      <c r="AI52" s="513">
        <v>-5.5873025602301233E-3</v>
      </c>
      <c r="AJ52" s="513">
        <v>-9.157755775441789E-3</v>
      </c>
      <c r="AK52" s="513">
        <v>-2.4587077677420091E-2</v>
      </c>
      <c r="AL52" s="634"/>
      <c r="AM52" s="441">
        <v>-2.02E-5</v>
      </c>
      <c r="AN52" s="440">
        <v>-1.7499999999999998E-5</v>
      </c>
      <c r="AO52" s="440">
        <v>-1.88E-5</v>
      </c>
      <c r="AP52" s="440">
        <v>-1.63E-5</v>
      </c>
      <c r="AR52" s="441">
        <f t="shared" si="42"/>
        <v>2.9087999999999999E-2</v>
      </c>
      <c r="AS52" s="440">
        <f t="shared" si="42"/>
        <v>2.5199999999999997E-2</v>
      </c>
      <c r="AT52" s="440">
        <f t="shared" si="42"/>
        <v>2.7071999999999999E-2</v>
      </c>
      <c r="AU52" s="440">
        <f t="shared" si="42"/>
        <v>2.3472E-2</v>
      </c>
      <c r="AV52" s="633">
        <v>41607</v>
      </c>
      <c r="AW52" s="644"/>
      <c r="AX52" s="608">
        <v>0</v>
      </c>
      <c r="AY52" s="441">
        <f t="shared" si="58"/>
        <v>1.9679167595207939E-2</v>
      </c>
      <c r="AZ52" s="440">
        <f t="shared" si="58"/>
        <v>-2.3866785586382742E-3</v>
      </c>
      <c r="BA52" s="440">
        <f t="shared" si="58"/>
        <v>7.5643983644391039E-3</v>
      </c>
      <c r="BB52" s="440">
        <f t="shared" si="58"/>
        <v>2.9951675952095067E-3</v>
      </c>
      <c r="BC52" s="608">
        <f t="shared" si="5"/>
        <v>2.9951675952095067E-2</v>
      </c>
      <c r="BD52" s="627" t="s">
        <v>478</v>
      </c>
      <c r="BE52" s="580">
        <v>41607</v>
      </c>
      <c r="BF52" s="441">
        <f t="shared" si="59"/>
        <v>9.1187902662910183</v>
      </c>
      <c r="BG52" s="440">
        <f t="shared" si="59"/>
        <v>1.3067902662916442</v>
      </c>
      <c r="BH52" s="440">
        <f t="shared" si="59"/>
        <v>11.11479026629215</v>
      </c>
      <c r="BI52" s="440">
        <f t="shared" si="59"/>
        <v>5.7107902662902976</v>
      </c>
      <c r="BJ52" s="645"/>
      <c r="BK52" s="441">
        <v>19.679167595207939</v>
      </c>
      <c r="BL52" s="440"/>
      <c r="BM52" s="440">
        <v>7.5643983644391044</v>
      </c>
      <c r="BN52" s="440">
        <v>2.9951675952095069</v>
      </c>
      <c r="BO52" s="353">
        <v>76</v>
      </c>
      <c r="BP52" s="353">
        <f t="shared" si="9"/>
        <v>15.2</v>
      </c>
      <c r="BQ52" s="610">
        <f t="shared" si="10"/>
        <v>54.285714285714292</v>
      </c>
      <c r="BR52" s="610">
        <f t="shared" si="11"/>
        <v>20.54054054054054</v>
      </c>
      <c r="BT52" s="648"/>
      <c r="BU52" s="648"/>
      <c r="BV52" s="648"/>
      <c r="BW52" s="648"/>
      <c r="BX52" s="648"/>
      <c r="BY52" s="616" t="s">
        <v>479</v>
      </c>
      <c r="BZ52" s="617">
        <v>30</v>
      </c>
      <c r="CA52" s="608">
        <v>0</v>
      </c>
      <c r="CB52" s="608">
        <f t="shared" si="12"/>
        <v>0</v>
      </c>
      <c r="CC52" s="608"/>
      <c r="CD52" s="631">
        <f t="shared" si="13"/>
        <v>190.8</v>
      </c>
      <c r="CE52" s="364"/>
      <c r="CF52" s="364"/>
      <c r="CG52" s="364"/>
      <c r="CH52" s="364"/>
      <c r="CI52" s="364"/>
      <c r="CJ52" s="364"/>
      <c r="CK52" s="364"/>
      <c r="CL52" s="623"/>
      <c r="CM52" s="364"/>
      <c r="CN52" s="632" t="s">
        <v>438</v>
      </c>
      <c r="CO52" s="580">
        <f>'[3]Plots R2&gt;.75 - UPDATED'!R49</f>
        <v>41608</v>
      </c>
      <c r="CP52" s="620"/>
      <c r="CQ52" s="633">
        <v>41608</v>
      </c>
      <c r="CR52" s="596">
        <v>77695.090607471866</v>
      </c>
      <c r="CS52" s="597">
        <v>332155.88748334895</v>
      </c>
      <c r="CT52" s="597">
        <v>101305.09278371341</v>
      </c>
      <c r="CU52" s="621">
        <v>123190.91850528888</v>
      </c>
      <c r="CV52" s="569">
        <f t="shared" si="33"/>
        <v>0.3892137812513452</v>
      </c>
      <c r="CW52" s="569">
        <f t="shared" si="51"/>
        <v>0.65012933251641636</v>
      </c>
      <c r="CX52" s="569">
        <f t="shared" si="35"/>
        <v>9.1041589625642072E-2</v>
      </c>
      <c r="CY52" s="569">
        <f t="shared" si="52"/>
        <v>1.2874534508751336</v>
      </c>
      <c r="CZ52" s="569">
        <f t="shared" si="41"/>
        <v>0.29850424266983755</v>
      </c>
      <c r="DA52" s="569">
        <f t="shared" si="55"/>
        <v>1.4929201797859832</v>
      </c>
      <c r="DB52" s="569">
        <f t="shared" si="19"/>
        <v>0.24547264008508651</v>
      </c>
      <c r="DC52" s="569">
        <f t="shared" si="53"/>
        <v>0</v>
      </c>
      <c r="DD52" s="622"/>
      <c r="DE52" s="299">
        <v>41606</v>
      </c>
      <c r="DF52" s="463">
        <v>8.3782777807224367</v>
      </c>
      <c r="DG52" s="463">
        <v>35.706267814793286</v>
      </c>
      <c r="DH52" s="463">
        <v>10.817735491152931</v>
      </c>
      <c r="DI52" s="463">
        <v>13.472560855821305</v>
      </c>
      <c r="DJ52" s="528">
        <v>0.91187902662910192</v>
      </c>
      <c r="DK52" s="528">
        <v>0.13067902662916442</v>
      </c>
      <c r="DL52" s="528">
        <v>1.1114790266292149</v>
      </c>
      <c r="DM52" s="546">
        <v>0.57107902662902976</v>
      </c>
      <c r="DN52" s="528">
        <f t="shared" si="37"/>
        <v>9.1187902662910183</v>
      </c>
      <c r="DO52" s="528">
        <f t="shared" si="38"/>
        <v>1.3067902662916442</v>
      </c>
      <c r="DP52" s="528">
        <f t="shared" si="39"/>
        <v>11.11479026629215</v>
      </c>
      <c r="DQ52" s="528">
        <f t="shared" si="40"/>
        <v>5.7107902662902976</v>
      </c>
      <c r="DR52" s="463">
        <v>0.91187902662910192</v>
      </c>
      <c r="DS52" s="463">
        <v>0.13067902662916442</v>
      </c>
      <c r="DT52" s="463">
        <v>1.1114790266292149</v>
      </c>
      <c r="DU52" s="463">
        <v>0.57107902662902976</v>
      </c>
      <c r="DV52" s="463">
        <v>0.80350280149195719</v>
      </c>
      <c r="DW52" s="463">
        <v>1.7403141789377914</v>
      </c>
      <c r="DX52" s="463">
        <v>2.3794553762568071</v>
      </c>
      <c r="DY52" s="463">
        <v>-0.37774367011921406</v>
      </c>
      <c r="DZ52" s="463">
        <v>0.80350280149195719</v>
      </c>
      <c r="EA52" s="463">
        <v>1.7403141789377914</v>
      </c>
      <c r="EB52" s="463">
        <v>2.3794553762568071</v>
      </c>
      <c r="EC52" s="463">
        <v>-0.37774367011921406</v>
      </c>
      <c r="ED52" s="463">
        <f t="shared" si="24"/>
        <v>8.0350280149195719</v>
      </c>
      <c r="EE52" s="463">
        <f t="shared" si="25"/>
        <v>17.403141789377912</v>
      </c>
      <c r="EF52" s="463">
        <f t="shared" si="26"/>
        <v>23.794553762568071</v>
      </c>
      <c r="EG52" s="463">
        <f t="shared" si="27"/>
        <v>-3.7774367011921406</v>
      </c>
      <c r="EH52" s="528">
        <f>'[3]Plots R2&gt;.75 - UPDATED'!S49</f>
        <v>1.7149452480592271</v>
      </c>
      <c r="EI52" s="528">
        <f>'[3]Plots R2&gt;.75 - UPDATED'!T49</f>
        <v>2.9501452480592274</v>
      </c>
      <c r="EJ52" s="528">
        <f>'[3]Plots R2&gt;.75 - UPDATED'!U49</f>
        <v>3.339745248059228</v>
      </c>
      <c r="EK52" s="546">
        <f>'[3]Plots R2&gt;.75 - UPDATED'!V49</f>
        <v>2.8603452480592284</v>
      </c>
      <c r="EL52" s="676">
        <v>0</v>
      </c>
      <c r="EM52" s="495">
        <v>0.55000000000000004</v>
      </c>
      <c r="EN52" s="299">
        <v>41606</v>
      </c>
      <c r="EO52" s="528">
        <v>1.7149452480592271</v>
      </c>
      <c r="EP52" s="528">
        <v>2.9501452480592274</v>
      </c>
      <c r="EQ52" s="528">
        <v>3.339745248059228</v>
      </c>
      <c r="ER52" s="546">
        <v>2.8603452480592284</v>
      </c>
      <c r="GN52" s="640"/>
      <c r="GO52" s="640"/>
      <c r="GP52" s="640"/>
      <c r="GQ52" s="640"/>
      <c r="GR52" s="640"/>
      <c r="GS52" s="640"/>
      <c r="GT52" s="640"/>
      <c r="GU52" s="640"/>
      <c r="GV52" s="640"/>
      <c r="HF52" s="560">
        <v>0.29406536812400585</v>
      </c>
      <c r="HG52" s="560">
        <v>1.4330893150189925</v>
      </c>
      <c r="HH52" s="513">
        <v>7.1244812340249403E-2</v>
      </c>
      <c r="HI52" s="513">
        <v>-1.499367405283071</v>
      </c>
      <c r="HJ52" s="515">
        <v>0.2392583587024304</v>
      </c>
      <c r="HK52" s="515">
        <v>1.3823342608490892</v>
      </c>
      <c r="HL52" s="515">
        <v>0.1817027915736239</v>
      </c>
      <c r="HM52" s="515">
        <v>-0.62585681253442693</v>
      </c>
    </row>
    <row r="53" spans="10:221" ht="16">
      <c r="J53" s="580">
        <v>41590</v>
      </c>
      <c r="K53" s="581">
        <v>0</v>
      </c>
      <c r="L53" s="582">
        <v>12.6632</v>
      </c>
      <c r="M53" s="582">
        <v>12.490500000000001</v>
      </c>
      <c r="N53" s="582">
        <v>13.086499999999999</v>
      </c>
      <c r="O53" s="582">
        <v>12.8932</v>
      </c>
      <c r="P53" s="582">
        <v>98.683999999999997</v>
      </c>
      <c r="Q53" s="582">
        <v>10.090383806195913</v>
      </c>
      <c r="R53" s="582">
        <v>2.3878161938040869</v>
      </c>
      <c r="S53" s="582">
        <v>3.0501161938040884</v>
      </c>
      <c r="T53" s="582">
        <v>3.1861161938040867</v>
      </c>
      <c r="U53" s="582">
        <v>3.072816193804087</v>
      </c>
      <c r="W53" s="580">
        <v>41608</v>
      </c>
      <c r="X53" s="582">
        <f t="shared" si="54"/>
        <v>1.7148871389300022</v>
      </c>
      <c r="Y53" s="582">
        <f t="shared" si="54"/>
        <v>2.9500179081607714</v>
      </c>
      <c r="Z53" s="582">
        <f t="shared" si="54"/>
        <v>3.3395486773915408</v>
      </c>
      <c r="AA53" s="582">
        <f t="shared" si="54"/>
        <v>3.1505256004684625</v>
      </c>
      <c r="AB53" s="606"/>
      <c r="AC53" s="441">
        <f t="shared" si="47"/>
        <v>4.274934871840852E-2</v>
      </c>
      <c r="AD53" s="441">
        <f t="shared" si="48"/>
        <v>2.5726271795330824E-2</v>
      </c>
      <c r="AE53" s="441">
        <f t="shared" si="49"/>
        <v>2.6895502564562079E-2</v>
      </c>
      <c r="AF53" s="441">
        <f t="shared" si="50"/>
        <v>2.603396410302361E-2</v>
      </c>
      <c r="AG53" s="633">
        <v>41608</v>
      </c>
      <c r="AH53" s="560">
        <v>-1.8211124489510021E-2</v>
      </c>
      <c r="AI53" s="560">
        <v>-5.403383692516037E-3</v>
      </c>
      <c r="AJ53" s="560">
        <v>-9.137027805213525E-3</v>
      </c>
      <c r="AK53" s="560">
        <v>-2.4496694247457103E-2</v>
      </c>
      <c r="AL53" s="634"/>
      <c r="AM53" s="441">
        <v>-2.69E-5</v>
      </c>
      <c r="AN53" s="441">
        <v>-1.6500000000000001E-5</v>
      </c>
      <c r="AO53" s="441">
        <v>-1.7799999999999999E-5</v>
      </c>
      <c r="AP53" s="441">
        <v>-1.5400000000000002E-5</v>
      </c>
      <c r="AR53" s="441">
        <f t="shared" si="42"/>
        <v>3.8736E-2</v>
      </c>
      <c r="AS53" s="441">
        <f t="shared" si="42"/>
        <v>2.3760000000000003E-2</v>
      </c>
      <c r="AT53" s="441">
        <f t="shared" si="42"/>
        <v>2.5631999999999999E-2</v>
      </c>
      <c r="AU53" s="441">
        <f t="shared" si="42"/>
        <v>2.2176000000000001E-2</v>
      </c>
      <c r="AV53" s="633">
        <v>41608</v>
      </c>
      <c r="AW53" s="626"/>
      <c r="AX53" s="608">
        <v>0</v>
      </c>
      <c r="AY53" s="441">
        <f t="shared" si="58"/>
        <v>4.0133487184085201E-3</v>
      </c>
      <c r="AZ53" s="441">
        <f t="shared" si="58"/>
        <v>1.9662717953308206E-3</v>
      </c>
      <c r="BA53" s="441">
        <f t="shared" si="58"/>
        <v>1.2635025645620808E-3</v>
      </c>
      <c r="BB53" s="441">
        <f t="shared" si="58"/>
        <v>3.8579641030236089E-3</v>
      </c>
      <c r="BC53" s="608">
        <f t="shared" si="5"/>
        <v>3.8579641030236089E-2</v>
      </c>
      <c r="BD53" s="627" t="s">
        <v>480</v>
      </c>
      <c r="BE53" s="580">
        <v>41608</v>
      </c>
      <c r="BF53" s="441">
        <f t="shared" si="59"/>
        <v>19.239400782378407</v>
      </c>
      <c r="BG53" s="441">
        <f t="shared" si="59"/>
        <v>2.6551478171396479</v>
      </c>
      <c r="BH53" s="441">
        <f t="shared" si="59"/>
        <v>7.1554007823775168</v>
      </c>
      <c r="BI53" s="441">
        <f t="shared" si="59"/>
        <v>3.2554007823772313</v>
      </c>
      <c r="BJ53" s="645"/>
      <c r="BK53" s="441">
        <v>4.0133487184085208</v>
      </c>
      <c r="BL53" s="441">
        <v>1.9662717953308206</v>
      </c>
      <c r="BM53" s="441">
        <v>1.2635025645620805</v>
      </c>
      <c r="BN53" s="441">
        <v>3.8579641030236091</v>
      </c>
      <c r="BO53" s="353">
        <v>79</v>
      </c>
      <c r="BP53" s="353">
        <f t="shared" si="9"/>
        <v>15.8</v>
      </c>
      <c r="BQ53" s="610">
        <f t="shared" si="10"/>
        <v>56.428571428571431</v>
      </c>
      <c r="BR53" s="610">
        <f t="shared" si="11"/>
        <v>21.351351351351351</v>
      </c>
      <c r="BT53" s="648"/>
      <c r="BU53" s="648"/>
      <c r="BV53" s="648"/>
      <c r="BW53" s="648"/>
      <c r="BX53" s="648"/>
      <c r="BY53" s="616" t="s">
        <v>481</v>
      </c>
      <c r="BZ53" s="617">
        <v>30</v>
      </c>
      <c r="CA53" s="608">
        <v>0</v>
      </c>
      <c r="CB53" s="608">
        <f t="shared" si="12"/>
        <v>0</v>
      </c>
      <c r="CC53" s="608"/>
      <c r="CD53" s="631">
        <f t="shared" si="13"/>
        <v>190.8</v>
      </c>
      <c r="CE53" s="364"/>
      <c r="CF53" s="364"/>
      <c r="CG53" s="364"/>
      <c r="CH53" s="364"/>
      <c r="CI53" s="364"/>
      <c r="CJ53" s="364"/>
      <c r="CK53" s="364"/>
      <c r="CL53" s="623"/>
      <c r="CM53" s="364"/>
      <c r="CN53" s="632" t="s">
        <v>440</v>
      </c>
      <c r="CO53" s="580">
        <f>'[3]Plots R2&gt;.75 - UPDATED'!R50</f>
        <v>41609</v>
      </c>
      <c r="CP53" s="620"/>
      <c r="CQ53" s="633">
        <v>41609</v>
      </c>
      <c r="CR53" s="596">
        <v>75557.670563580628</v>
      </c>
      <c r="CS53" s="597">
        <v>323826.0046640379</v>
      </c>
      <c r="CT53" s="597">
        <v>99816.966118984434</v>
      </c>
      <c r="CU53" s="621">
        <v>119651.39511254248</v>
      </c>
      <c r="CV53" s="569">
        <f t="shared" si="33"/>
        <v>0.40022409074342091</v>
      </c>
      <c r="CW53" s="569">
        <f t="shared" si="51"/>
        <v>1.3033177468451713</v>
      </c>
      <c r="CX53" s="569">
        <f t="shared" si="35"/>
        <v>9.3383482377745755E-2</v>
      </c>
      <c r="CY53" s="569">
        <f t="shared" si="52"/>
        <v>1.6706733265361959</v>
      </c>
      <c r="CZ53" s="569">
        <f t="shared" si="41"/>
        <v>0.30295450939625962</v>
      </c>
      <c r="DA53" s="569">
        <f t="shared" si="55"/>
        <v>0.68106815533513165</v>
      </c>
      <c r="DB53" s="569">
        <f t="shared" si="19"/>
        <v>0.25273420315372558</v>
      </c>
      <c r="DC53" s="569">
        <f t="shared" si="53"/>
        <v>0</v>
      </c>
      <c r="DD53" s="622"/>
      <c r="DE53" s="299">
        <v>41607</v>
      </c>
      <c r="DF53" s="463">
        <v>8.1914540124639732</v>
      </c>
      <c r="DG53" s="463">
        <v>34.748342945463243</v>
      </c>
      <c r="DH53" s="463">
        <v>10.560097437538763</v>
      </c>
      <c r="DI53" s="463">
        <v>13.071175426875227</v>
      </c>
      <c r="DJ53" s="528">
        <v>1.9239400782378406</v>
      </c>
      <c r="DK53" s="528"/>
      <c r="DL53" s="528">
        <v>0.71554007823775168</v>
      </c>
      <c r="DM53" s="546">
        <v>0.32554007823772313</v>
      </c>
      <c r="DN53" s="528">
        <f t="shared" si="37"/>
        <v>19.239400782378407</v>
      </c>
      <c r="DO53" s="528">
        <f t="shared" si="38"/>
        <v>0</v>
      </c>
      <c r="DP53" s="528">
        <f t="shared" si="39"/>
        <v>7.1554007823775168</v>
      </c>
      <c r="DQ53" s="528">
        <f t="shared" si="40"/>
        <v>3.2554007823772313</v>
      </c>
      <c r="DR53" s="463">
        <v>1.9239400782378406</v>
      </c>
      <c r="DS53" s="463">
        <v>0.26551478171396481</v>
      </c>
      <c r="DT53" s="463">
        <v>0.71554007823775168</v>
      </c>
      <c r="DU53" s="463">
        <v>0.32554007823772313</v>
      </c>
      <c r="DV53" s="463">
        <v>1.0393431137677616</v>
      </c>
      <c r="DW53" s="463">
        <v>1.3784950405007756</v>
      </c>
      <c r="DX53" s="463">
        <v>1.7914244224558209</v>
      </c>
      <c r="DY53" s="463">
        <v>-0.1115077677420091</v>
      </c>
      <c r="DZ53" s="463">
        <v>1.0393431137677616</v>
      </c>
      <c r="EA53" s="463">
        <v>1.3784950405007756</v>
      </c>
      <c r="EB53" s="463">
        <v>1.7914244224558209</v>
      </c>
      <c r="EC53" s="463">
        <v>-0.1115077677420091</v>
      </c>
      <c r="ED53" s="463">
        <f t="shared" si="24"/>
        <v>10.393431137677617</v>
      </c>
      <c r="EE53" s="463">
        <f t="shared" si="25"/>
        <v>13.784950405007756</v>
      </c>
      <c r="EF53" s="463">
        <f t="shared" si="26"/>
        <v>17.91424422455821</v>
      </c>
      <c r="EG53" s="463">
        <f t="shared" si="27"/>
        <v>-1.115077677420091</v>
      </c>
      <c r="EH53" s="528">
        <f>'[3]Plots R2&gt;.75 - UPDATED'!S50</f>
        <v>1.6719742858665225</v>
      </c>
      <c r="EI53" s="528">
        <f>'[3]Plots R2&gt;.75 - UPDATED'!T50</f>
        <v>2.9242742858665238</v>
      </c>
      <c r="EJ53" s="528">
        <f>'[3]Plots R2&gt;.75 - UPDATED'!U50</f>
        <v>3.3122742858665228</v>
      </c>
      <c r="EK53" s="546">
        <f>'[3]Plots R2&gt;.75 - UPDATED'!V50</f>
        <v>2.8344742858665231</v>
      </c>
      <c r="EL53" s="676">
        <v>0</v>
      </c>
      <c r="EM53" s="495">
        <v>2.4500000000000002</v>
      </c>
      <c r="EN53" s="299">
        <v>41607</v>
      </c>
      <c r="EO53" s="528">
        <v>1.6719742858665225</v>
      </c>
      <c r="EP53" s="528">
        <v>2.9242742858665238</v>
      </c>
      <c r="EQ53" s="528">
        <v>3.3122742858665228</v>
      </c>
      <c r="ER53" s="546">
        <v>2.8344742858665231</v>
      </c>
      <c r="GN53" s="640"/>
      <c r="GO53" s="640"/>
      <c r="GP53" s="640"/>
      <c r="GQ53" s="640"/>
      <c r="GR53" s="640"/>
      <c r="GS53" s="640"/>
      <c r="GT53" s="640"/>
      <c r="GU53" s="640"/>
      <c r="GV53" s="640"/>
      <c r="HF53" s="560">
        <v>0.30069666509609083</v>
      </c>
      <c r="HG53" s="560">
        <v>1.6251035024327836</v>
      </c>
      <c r="HH53" s="513">
        <v>7.2516112995369877E-2</v>
      </c>
      <c r="HI53" s="513">
        <v>1.2315292265566435</v>
      </c>
      <c r="HJ53" s="515">
        <v>0.24358877806224222</v>
      </c>
      <c r="HK53" s="515">
        <v>3.2646341619356143</v>
      </c>
      <c r="HL53" s="515">
        <v>0.18606490380424506</v>
      </c>
      <c r="HM53" s="515">
        <v>-0.1938255829600315</v>
      </c>
    </row>
    <row r="54" spans="10:221" ht="16">
      <c r="J54" s="580">
        <v>41591</v>
      </c>
      <c r="K54" s="581">
        <v>0</v>
      </c>
      <c r="L54" s="582">
        <v>12.632400000000001</v>
      </c>
      <c r="M54" s="582">
        <v>12.471399999999999</v>
      </c>
      <c r="N54" s="582">
        <v>13.0562</v>
      </c>
      <c r="O54" s="582">
        <v>12.875</v>
      </c>
      <c r="P54" s="582">
        <v>98.724299999999999</v>
      </c>
      <c r="Q54" s="582">
        <v>10.094504458656187</v>
      </c>
      <c r="R54" s="582">
        <v>2.3528955413438131</v>
      </c>
      <c r="S54" s="582">
        <v>3.0268955413438121</v>
      </c>
      <c r="T54" s="582">
        <v>3.1516955413438135</v>
      </c>
      <c r="U54" s="582">
        <v>3.0504955413438122</v>
      </c>
      <c r="W54" s="580">
        <v>41609</v>
      </c>
      <c r="X54" s="582">
        <f t="shared" si="54"/>
        <v>1.6721377902115937</v>
      </c>
      <c r="Y54" s="582">
        <f t="shared" si="54"/>
        <v>2.9242916363654405</v>
      </c>
      <c r="Z54" s="582">
        <f t="shared" si="54"/>
        <v>3.3126531748269787</v>
      </c>
      <c r="AA54" s="582">
        <f t="shared" si="54"/>
        <v>3.1244916363654389</v>
      </c>
      <c r="AB54" s="606"/>
      <c r="AC54" s="441">
        <f t="shared" si="47"/>
        <v>3.3449267552628781E-2</v>
      </c>
      <c r="AD54" s="441">
        <f t="shared" si="48"/>
        <v>2.2803113706475031E-2</v>
      </c>
      <c r="AE54" s="441">
        <f t="shared" si="49"/>
        <v>3.7203113706474777E-2</v>
      </c>
      <c r="AF54" s="441">
        <f t="shared" si="50"/>
        <v>2.6487729091089651E-2</v>
      </c>
      <c r="AG54" s="633">
        <v>41609</v>
      </c>
      <c r="AH54" s="560">
        <v>-1.7754028831492234E-2</v>
      </c>
      <c r="AI54" s="560">
        <v>-5.1748703267908442E-3</v>
      </c>
      <c r="AJ54" s="560">
        <v>-9.1188329088064766E-3</v>
      </c>
      <c r="AK54" s="560">
        <v>-2.4389025158820306E-2</v>
      </c>
      <c r="AL54" s="634"/>
      <c r="AM54" s="441">
        <v>-1.2500000000000001E-5</v>
      </c>
      <c r="AN54" s="441">
        <v>-1.3599999999999999E-6</v>
      </c>
      <c r="AO54" s="441">
        <v>-1.26E-5</v>
      </c>
      <c r="AP54" s="441">
        <v>-5.7799999999999997E-6</v>
      </c>
      <c r="AR54" s="441">
        <f>-AM54*1440</f>
        <v>1.8000000000000002E-2</v>
      </c>
      <c r="AS54" s="441">
        <f>-AN54*1440</f>
        <v>1.9583999999999999E-3</v>
      </c>
      <c r="AT54" s="441">
        <f>-AO54*1440</f>
        <v>1.8144E-2</v>
      </c>
      <c r="AU54" s="441">
        <f>-AP54*1440</f>
        <v>8.3231999999999993E-3</v>
      </c>
      <c r="AV54" s="633">
        <v>41609</v>
      </c>
      <c r="AW54" s="626"/>
      <c r="AX54" s="607">
        <v>0.05</v>
      </c>
      <c r="AY54" s="441">
        <f t="shared" si="58"/>
        <v>1.5449267552628779E-2</v>
      </c>
      <c r="AZ54" s="441">
        <f t="shared" si="58"/>
        <v>2.0844713706475032E-2</v>
      </c>
      <c r="BA54" s="441">
        <f t="shared" si="58"/>
        <v>1.9059113706474777E-2</v>
      </c>
      <c r="BB54" s="441">
        <f t="shared" si="58"/>
        <v>1.8164529091089652E-2</v>
      </c>
      <c r="BC54" s="608">
        <f t="shared" si="5"/>
        <v>0.18164529091089651</v>
      </c>
      <c r="BD54" s="627" t="s">
        <v>482</v>
      </c>
      <c r="BE54" s="580">
        <v>41609</v>
      </c>
      <c r="BF54" s="441">
        <f t="shared" si="59"/>
        <v>8.2744193273086317</v>
      </c>
      <c r="BG54" s="441">
        <f t="shared" si="59"/>
        <v>3.3770104110481198</v>
      </c>
      <c r="BH54" s="441">
        <f t="shared" si="59"/>
        <v>9.0437077401777373</v>
      </c>
      <c r="BI54" s="441">
        <f t="shared" si="59"/>
        <v>2.8237077401775377</v>
      </c>
      <c r="BJ54" s="645"/>
      <c r="BK54" s="441">
        <v>15.449267552628779</v>
      </c>
      <c r="BL54" s="441">
        <v>20.84471370647503</v>
      </c>
      <c r="BM54" s="441">
        <v>19.059113706474776</v>
      </c>
      <c r="BN54" s="441">
        <v>18.164529091089651</v>
      </c>
      <c r="BO54" s="353">
        <v>86</v>
      </c>
      <c r="BP54" s="353">
        <f t="shared" si="9"/>
        <v>17.2</v>
      </c>
      <c r="BQ54" s="610">
        <f t="shared" si="10"/>
        <v>61.428571428571431</v>
      </c>
      <c r="BR54" s="610">
        <f t="shared" si="11"/>
        <v>23.243243243243242</v>
      </c>
      <c r="BT54" s="648"/>
      <c r="BU54" s="648"/>
      <c r="BV54" s="648"/>
      <c r="BW54" s="648"/>
      <c r="BX54" s="648"/>
      <c r="BY54" s="616" t="s">
        <v>483</v>
      </c>
      <c r="BZ54" s="617">
        <v>31</v>
      </c>
      <c r="CA54" s="608">
        <v>0.1</v>
      </c>
      <c r="CB54" s="608">
        <f t="shared" si="12"/>
        <v>1</v>
      </c>
      <c r="CC54" s="608"/>
      <c r="CD54" s="631">
        <f t="shared" si="13"/>
        <v>191.8</v>
      </c>
      <c r="CE54" s="364"/>
      <c r="CF54" s="364"/>
      <c r="CG54" s="364"/>
      <c r="CH54" s="364"/>
      <c r="CI54" s="364"/>
      <c r="CJ54" s="364"/>
      <c r="CK54" s="364"/>
      <c r="CL54" s="623"/>
      <c r="CM54" s="364"/>
      <c r="CN54" s="632" t="s">
        <v>442</v>
      </c>
      <c r="CO54" s="580">
        <f>'[3]Plots R2&gt;.75 - UPDATED'!R51</f>
        <v>41610</v>
      </c>
      <c r="CP54" s="620"/>
      <c r="CQ54" s="633">
        <v>41610</v>
      </c>
      <c r="CR54" s="596">
        <v>73903.868800684955</v>
      </c>
      <c r="CS54" s="597">
        <v>316528.73110515776</v>
      </c>
      <c r="CT54" s="597">
        <v>97842.835378023723</v>
      </c>
      <c r="CU54" s="621">
        <v>116135.72083749788</v>
      </c>
      <c r="CV54" s="569">
        <f t="shared" si="33"/>
        <v>0.4091802024810875</v>
      </c>
      <c r="CW54" s="569">
        <f t="shared" si="51"/>
        <v>0.64976374218271449</v>
      </c>
      <c r="CX54" s="569">
        <f t="shared" si="35"/>
        <v>9.5536351137595815E-2</v>
      </c>
      <c r="CY54" s="569">
        <f t="shared" si="52"/>
        <v>1.384623330594851</v>
      </c>
      <c r="CZ54" s="450"/>
      <c r="DA54" s="450"/>
      <c r="DB54" s="450"/>
      <c r="DC54" s="450"/>
      <c r="DD54" s="622"/>
      <c r="DE54" s="464">
        <v>41608</v>
      </c>
      <c r="DF54" s="483">
        <v>8.0105301993791969</v>
      </c>
      <c r="DG54" s="483">
        <v>33.935752967690604</v>
      </c>
      <c r="DH54" s="483">
        <v>10.317282332188201</v>
      </c>
      <c r="DI54" s="483">
        <v>12.692262641047995</v>
      </c>
      <c r="DJ54" s="473"/>
      <c r="DK54" s="473"/>
      <c r="DL54" s="473"/>
      <c r="DM54" s="545"/>
      <c r="DN54" s="528">
        <f t="shared" si="37"/>
        <v>0</v>
      </c>
      <c r="DO54" s="528">
        <f t="shared" si="38"/>
        <v>0</v>
      </c>
      <c r="DP54" s="528">
        <f t="shared" si="39"/>
        <v>0</v>
      </c>
      <c r="DQ54" s="528">
        <f t="shared" si="40"/>
        <v>0</v>
      </c>
      <c r="DR54" s="483">
        <v>0.82744193273086319</v>
      </c>
      <c r="DS54" s="483">
        <v>0.33770104110481197</v>
      </c>
      <c r="DT54" s="483">
        <v>0.90437077401777366</v>
      </c>
      <c r="DU54" s="483">
        <v>0.28237077401775379</v>
      </c>
      <c r="DV54" s="483">
        <v>1.7035418375885922</v>
      </c>
      <c r="DW54" s="483">
        <v>1.7640568089139417</v>
      </c>
      <c r="DX54" s="483">
        <v>0.98402266473139122</v>
      </c>
      <c r="DY54" s="483">
        <v>-8.9943979492929316E-2</v>
      </c>
      <c r="DZ54" s="483"/>
      <c r="EA54" s="483"/>
      <c r="EB54" s="483"/>
      <c r="EC54" s="483"/>
      <c r="ED54" s="463">
        <f t="shared" si="24"/>
        <v>0</v>
      </c>
      <c r="EE54" s="463">
        <f t="shared" si="25"/>
        <v>0</v>
      </c>
      <c r="EF54" s="463">
        <f t="shared" si="26"/>
        <v>0</v>
      </c>
      <c r="EG54" s="463">
        <f t="shared" si="27"/>
        <v>0</v>
      </c>
      <c r="EH54" s="473">
        <f>'[3]Plots R2&gt;.75 - UPDATED'!S51</f>
        <v>1.638650769200066</v>
      </c>
      <c r="EI54" s="473">
        <f>'[3]Plots R2&gt;.75 - UPDATED'!T51</f>
        <v>2.9012507692000664</v>
      </c>
      <c r="EJ54" s="473">
        <f>'[3]Plots R2&gt;.75 - UPDATED'!U51</f>
        <v>3.2755507692000672</v>
      </c>
      <c r="EK54" s="545">
        <f>'[3]Plots R2&gt;.75 - UPDATED'!V51</f>
        <v>2.808250769200066</v>
      </c>
      <c r="EL54" s="675">
        <v>0</v>
      </c>
      <c r="EM54" s="495">
        <v>15.1</v>
      </c>
      <c r="EN54" s="464">
        <v>41608</v>
      </c>
      <c r="EO54" s="473">
        <v>1.638650769200066</v>
      </c>
      <c r="EP54" s="473">
        <v>2.9012507692000664</v>
      </c>
      <c r="EQ54" s="473">
        <v>3.2755507692000672</v>
      </c>
      <c r="ER54" s="545">
        <v>2.808250769200066</v>
      </c>
      <c r="GN54" s="640"/>
      <c r="GO54" s="640"/>
      <c r="GP54" s="640"/>
      <c r="GQ54" s="640"/>
      <c r="GR54" s="640"/>
      <c r="GS54" s="640"/>
      <c r="GT54" s="640"/>
      <c r="GU54" s="640"/>
      <c r="GV54" s="640"/>
      <c r="HF54" s="560">
        <v>0.30755317776790897</v>
      </c>
      <c r="HG54" s="560">
        <v>1.256325130508128</v>
      </c>
      <c r="HH54" s="513">
        <v>7.3917756446772315E-2</v>
      </c>
      <c r="HI54" s="513">
        <v>1.5283977529609236</v>
      </c>
      <c r="HJ54" s="515">
        <v>0.24834084026093803</v>
      </c>
      <c r="HK54" s="515">
        <v>2.4826863830999284</v>
      </c>
      <c r="HL54" s="515">
        <v>0.19091811007462467</v>
      </c>
      <c r="HM54" s="515">
        <v>0</v>
      </c>
    </row>
    <row r="55" spans="10:221" ht="16">
      <c r="J55" s="580">
        <v>41592</v>
      </c>
      <c r="K55" s="581">
        <v>0</v>
      </c>
      <c r="L55" s="582">
        <v>12.6119</v>
      </c>
      <c r="M55" s="582">
        <v>12.460100000000001</v>
      </c>
      <c r="N55" s="582">
        <v>13.0342</v>
      </c>
      <c r="O55" s="582">
        <v>12.8651</v>
      </c>
      <c r="P55" s="582">
        <v>98.813500000000005</v>
      </c>
      <c r="Q55" s="582">
        <v>10.103625108766771</v>
      </c>
      <c r="R55" s="582">
        <v>2.3232748912332295</v>
      </c>
      <c r="S55" s="582">
        <v>3.0064748912332302</v>
      </c>
      <c r="T55" s="582">
        <v>3.1205748912332298</v>
      </c>
      <c r="U55" s="582">
        <v>3.0314748912332288</v>
      </c>
      <c r="W55" s="580">
        <v>41610</v>
      </c>
      <c r="X55" s="582">
        <f t="shared" si="54"/>
        <v>1.6386885226589649</v>
      </c>
      <c r="Y55" s="582">
        <f t="shared" si="54"/>
        <v>2.9014885226589655</v>
      </c>
      <c r="Z55" s="582">
        <f t="shared" si="54"/>
        <v>3.275450061120504</v>
      </c>
      <c r="AA55" s="582">
        <f t="shared" si="54"/>
        <v>3.0980039072743493</v>
      </c>
      <c r="AB55" s="606"/>
      <c r="AC55" s="438">
        <f t="shared" si="47"/>
        <v>1.0197353406188769E-2</v>
      </c>
      <c r="AD55" s="439">
        <f t="shared" si="48"/>
        <v>5.8204303292654913E-3</v>
      </c>
      <c r="AE55" s="439">
        <f t="shared" si="49"/>
        <v>1.4228122636958052E-2</v>
      </c>
      <c r="AF55" s="439">
        <f t="shared" si="50"/>
        <v>1.0620430329265851E-2</v>
      </c>
      <c r="AG55" s="633">
        <v>41610</v>
      </c>
      <c r="AH55" s="511">
        <v>-1.7380472345476575E-2</v>
      </c>
      <c r="AI55" s="512">
        <v>-4.959574728302398E-3</v>
      </c>
      <c r="AJ55" s="512">
        <v>-9.0922310240528024E-3</v>
      </c>
      <c r="AK55" s="512">
        <v>-2.425812093000387E-2</v>
      </c>
      <c r="AL55" s="634"/>
      <c r="AM55" s="438">
        <v>-9.7699999999999996E-6</v>
      </c>
      <c r="AN55" s="439">
        <v>5.8200000000000002E-6</v>
      </c>
      <c r="AO55" s="439"/>
      <c r="AP55" s="439"/>
      <c r="AR55" s="438"/>
      <c r="AS55" s="439"/>
      <c r="AT55" s="439"/>
      <c r="AU55" s="439"/>
      <c r="AV55" s="633">
        <v>41610</v>
      </c>
      <c r="AW55" s="626"/>
      <c r="AX55" s="607">
        <v>1.19</v>
      </c>
      <c r="AY55" s="438"/>
      <c r="AZ55" s="439"/>
      <c r="BA55" s="439"/>
      <c r="BB55" s="439"/>
      <c r="BC55" s="608">
        <f t="shared" si="5"/>
        <v>0</v>
      </c>
      <c r="BD55" s="627" t="s">
        <v>484</v>
      </c>
      <c r="BE55" s="580">
        <v>41610</v>
      </c>
      <c r="BF55" s="438"/>
      <c r="BG55" s="439"/>
      <c r="BH55" s="439"/>
      <c r="BI55" s="439"/>
      <c r="BJ55" s="628"/>
      <c r="BK55" s="438"/>
      <c r="BL55" s="439">
        <v>14.201230329265492</v>
      </c>
      <c r="BM55" s="439">
        <v>0</v>
      </c>
      <c r="BN55" s="439"/>
      <c r="BO55" s="353">
        <v>87</v>
      </c>
      <c r="BP55" s="353">
        <f t="shared" si="9"/>
        <v>17.399999999999999</v>
      </c>
      <c r="BQ55" s="610">
        <f t="shared" si="10"/>
        <v>62.142857142857146</v>
      </c>
      <c r="BR55" s="610">
        <f t="shared" si="11"/>
        <v>23.513513513513512</v>
      </c>
      <c r="BT55" s="648"/>
      <c r="BU55" s="648"/>
      <c r="BV55" s="648"/>
      <c r="BW55" s="648"/>
      <c r="BX55" s="648"/>
      <c r="BY55" s="616" t="s">
        <v>485</v>
      </c>
      <c r="BZ55" s="617">
        <v>30</v>
      </c>
      <c r="CA55" s="608">
        <v>1.4</v>
      </c>
      <c r="CB55" s="608">
        <f t="shared" si="12"/>
        <v>14</v>
      </c>
      <c r="CC55" s="608"/>
      <c r="CD55" s="631">
        <f t="shared" si="13"/>
        <v>205.8</v>
      </c>
      <c r="CE55" s="364"/>
      <c r="CF55" s="364"/>
      <c r="CG55" s="364"/>
      <c r="CH55" s="364"/>
      <c r="CI55" s="364"/>
      <c r="CJ55" s="364"/>
      <c r="CK55" s="364"/>
      <c r="CL55" s="623"/>
      <c r="CM55" s="364"/>
      <c r="CN55" s="632" t="s">
        <v>444</v>
      </c>
      <c r="CO55" s="580">
        <f>'[3]Plots R2&gt;.75 - UPDATED'!R52</f>
        <v>41611</v>
      </c>
      <c r="CP55" s="620"/>
      <c r="CQ55" s="633">
        <v>41611</v>
      </c>
      <c r="CR55" s="596">
        <v>73469.758309363344</v>
      </c>
      <c r="CS55" s="597">
        <v>315034.125275117</v>
      </c>
      <c r="CT55" s="597">
        <v>97097.0593676649</v>
      </c>
      <c r="CU55" s="621">
        <v>114780.00981471108</v>
      </c>
      <c r="CV55" s="569">
        <f t="shared" si="33"/>
        <v>0.41159792404198042</v>
      </c>
      <c r="CW55" s="569">
        <f t="shared" si="51"/>
        <v>1.0647371738160529</v>
      </c>
      <c r="CX55" s="569">
        <f t="shared" si="35"/>
        <v>9.5989601042717601E-2</v>
      </c>
      <c r="CY55" s="569">
        <f t="shared" si="52"/>
        <v>1.5117976768859271</v>
      </c>
      <c r="CZ55" s="450"/>
      <c r="DA55" s="450"/>
      <c r="DB55" s="569">
        <f t="shared" si="19"/>
        <v>0.26346051066571879</v>
      </c>
      <c r="DC55" s="569">
        <f t="shared" ref="DC55:DC64" si="60">IF(ABS(DY56)&lt;=DB55,0,IF(DY56&gt;0,DY56-DB55,DY56+DB55))</f>
        <v>0.91194336364727979</v>
      </c>
      <c r="DD55" s="622"/>
      <c r="DE55" s="464">
        <v>41609</v>
      </c>
      <c r="DF55" s="483">
        <v>7.7695090607471862</v>
      </c>
      <c r="DG55" s="483">
        <v>33.215588748334895</v>
      </c>
      <c r="DH55" s="483">
        <v>10.13050927837134</v>
      </c>
      <c r="DI55" s="483">
        <v>12.319091850528888</v>
      </c>
      <c r="DJ55" s="473"/>
      <c r="DK55" s="473"/>
      <c r="DL55" s="473"/>
      <c r="DM55" s="545"/>
      <c r="DN55" s="528">
        <f t="shared" si="37"/>
        <v>0</v>
      </c>
      <c r="DO55" s="528">
        <f t="shared" si="38"/>
        <v>0</v>
      </c>
      <c r="DP55" s="528">
        <f t="shared" si="39"/>
        <v>0</v>
      </c>
      <c r="DQ55" s="528">
        <f t="shared" si="40"/>
        <v>0</v>
      </c>
      <c r="DR55" s="483">
        <v>0.74300483883262447</v>
      </c>
      <c r="DS55" s="483">
        <v>0.5497049522342099</v>
      </c>
      <c r="DT55" s="483">
        <v>1.0932014697977956</v>
      </c>
      <c r="DU55" s="483">
        <v>0.23920146979778442</v>
      </c>
      <c r="DV55" s="483">
        <v>1.058943944663802</v>
      </c>
      <c r="DW55" s="483">
        <v>1.4801596817324467</v>
      </c>
      <c r="DX55" s="483">
        <v>1.9122669059671247</v>
      </c>
      <c r="DY55" s="483">
        <v>0.18924768096589073</v>
      </c>
      <c r="DZ55" s="483"/>
      <c r="EA55" s="483"/>
      <c r="EB55" s="483"/>
      <c r="EC55" s="483"/>
      <c r="ED55" s="463">
        <f t="shared" si="24"/>
        <v>0</v>
      </c>
      <c r="EE55" s="463">
        <f t="shared" si="25"/>
        <v>0</v>
      </c>
      <c r="EF55" s="463">
        <f t="shared" si="26"/>
        <v>0</v>
      </c>
      <c r="EG55" s="463">
        <f t="shared" si="27"/>
        <v>0</v>
      </c>
      <c r="EH55" s="473">
        <f>'[3]Plots R2&gt;.75 - UPDATED'!S52</f>
        <v>1.6298924910133441</v>
      </c>
      <c r="EI55" s="473">
        <f>'[3]Plots R2&gt;.75 - UPDATED'!T52</f>
        <v>2.8964924910133441</v>
      </c>
      <c r="EJ55" s="473">
        <f>'[3]Plots R2&gt;.75 - UPDATED'!U52</f>
        <v>3.2615924910133449</v>
      </c>
      <c r="EK55" s="545">
        <f>'[3]Plots R2&gt;.75 - UPDATED'!V52</f>
        <v>2.797992491013344</v>
      </c>
      <c r="EL55" s="675">
        <v>0.55000000000000004</v>
      </c>
      <c r="EM55" s="495">
        <v>1.9500000000000002</v>
      </c>
      <c r="EN55" s="464">
        <v>41609</v>
      </c>
      <c r="EO55" s="473">
        <v>1.6298924910133441</v>
      </c>
      <c r="EP55" s="473">
        <v>2.8964924910133441</v>
      </c>
      <c r="EQ55" s="473">
        <v>3.2615924910133449</v>
      </c>
      <c r="ER55" s="545">
        <v>2.797992491013344</v>
      </c>
      <c r="GN55" s="640"/>
      <c r="GO55" s="640"/>
      <c r="GP55" s="640"/>
      <c r="GQ55" s="640"/>
      <c r="GR55" s="640"/>
      <c r="GS55" s="640"/>
      <c r="GT55" s="640"/>
      <c r="GU55" s="640"/>
      <c r="GV55" s="640"/>
      <c r="HF55" s="560">
        <v>0.31644694891337161</v>
      </c>
      <c r="HG55" s="560">
        <v>3.2985196220494446</v>
      </c>
      <c r="HH55" s="513">
        <v>7.5436467454301562E-2</v>
      </c>
      <c r="HI55" s="513">
        <v>1.4663346367105776</v>
      </c>
      <c r="HJ55" s="515">
        <v>0.25332123115910721</v>
      </c>
      <c r="HK55" s="515">
        <v>2.2334949092146847</v>
      </c>
      <c r="HL55" s="515">
        <v>0.1960542720609445</v>
      </c>
      <c r="HM55" s="515">
        <v>-0.11851498703205737</v>
      </c>
    </row>
    <row r="56" spans="10:221" ht="16">
      <c r="J56" s="580">
        <v>41593</v>
      </c>
      <c r="K56" s="581">
        <v>0</v>
      </c>
      <c r="L56" s="582">
        <v>12.574299999999999</v>
      </c>
      <c r="M56" s="582">
        <v>12.437900000000001</v>
      </c>
      <c r="N56" s="582">
        <v>13.0008</v>
      </c>
      <c r="O56" s="582">
        <v>12.8444</v>
      </c>
      <c r="P56" s="582">
        <v>98.849500000000006</v>
      </c>
      <c r="Q56" s="582">
        <v>10.107306088632027</v>
      </c>
      <c r="R56" s="582">
        <v>2.2819939113679717</v>
      </c>
      <c r="S56" s="582">
        <v>2.9805939113679738</v>
      </c>
      <c r="T56" s="582">
        <v>3.0834939113679729</v>
      </c>
      <c r="U56" s="582">
        <v>3.0070939113679724</v>
      </c>
      <c r="W56" s="580">
        <v>41611</v>
      </c>
      <c r="X56" s="582">
        <f t="shared" si="54"/>
        <v>1.6284911692527761</v>
      </c>
      <c r="Y56" s="582">
        <f t="shared" si="54"/>
        <v>2.8956680923297</v>
      </c>
      <c r="Z56" s="582">
        <f t="shared" si="54"/>
        <v>3.2612219384835459</v>
      </c>
      <c r="AA56" s="582">
        <f t="shared" si="54"/>
        <v>3.0873834769450834</v>
      </c>
      <c r="AB56" s="606"/>
      <c r="AC56" s="438">
        <f t="shared" si="47"/>
        <v>3.0908270086015044E-2</v>
      </c>
      <c r="AD56" s="439">
        <f t="shared" si="48"/>
        <v>2.0054423932169829E-2</v>
      </c>
      <c r="AE56" s="439">
        <f t="shared" si="49"/>
        <v>2.7354423932168803E-2</v>
      </c>
      <c r="AF56" s="439">
        <f t="shared" si="50"/>
        <v>2.1169808547553348E-2</v>
      </c>
      <c r="AG56" s="633">
        <v>41611</v>
      </c>
      <c r="AH56" s="511">
        <v>-1.7279371537081565E-2</v>
      </c>
      <c r="AI56" s="512">
        <v>-4.9136248411722769E-3</v>
      </c>
      <c r="AJ56" s="512">
        <v>-9.0814084029848512E-3</v>
      </c>
      <c r="AK56" s="512">
        <v>-2.4200603187421579E-2</v>
      </c>
      <c r="AL56" s="634"/>
      <c r="AM56" s="438">
        <v>-1.77E-5</v>
      </c>
      <c r="AN56" s="439">
        <v>-3.0199999999999999E-6</v>
      </c>
      <c r="AO56" s="439"/>
      <c r="AP56" s="439">
        <v>-5.8000000000000004E-6</v>
      </c>
      <c r="AR56" s="438"/>
      <c r="AS56" s="439"/>
      <c r="AT56" s="439"/>
      <c r="AU56" s="439"/>
      <c r="AV56" s="633">
        <v>41611</v>
      </c>
      <c r="AW56" s="626"/>
      <c r="AX56" s="607">
        <v>0.51</v>
      </c>
      <c r="AY56" s="438"/>
      <c r="AZ56" s="439"/>
      <c r="BA56" s="439"/>
      <c r="BB56" s="439"/>
      <c r="BC56" s="608">
        <f t="shared" si="5"/>
        <v>0</v>
      </c>
      <c r="BD56" s="627" t="s">
        <v>486</v>
      </c>
      <c r="BE56" s="580">
        <v>41611</v>
      </c>
      <c r="BF56" s="438"/>
      <c r="BG56" s="439"/>
      <c r="BH56" s="439"/>
      <c r="BI56" s="439"/>
      <c r="BJ56" s="645"/>
      <c r="BK56" s="438">
        <v>5.4202700860150435</v>
      </c>
      <c r="BL56" s="439">
        <v>15.70562393216983</v>
      </c>
      <c r="BM56" s="439">
        <v>0</v>
      </c>
      <c r="BN56" s="439">
        <v>12.817808547553348</v>
      </c>
      <c r="BO56" s="353">
        <v>88</v>
      </c>
      <c r="BP56" s="353">
        <f t="shared" si="9"/>
        <v>17.600000000000001</v>
      </c>
      <c r="BQ56" s="610">
        <f t="shared" si="10"/>
        <v>62.857142857142861</v>
      </c>
      <c r="BR56" s="610">
        <f t="shared" si="11"/>
        <v>23.783783783783782</v>
      </c>
      <c r="BT56" s="648"/>
      <c r="BU56" s="648"/>
      <c r="BV56" s="648"/>
      <c r="BW56" s="648"/>
      <c r="BX56" s="648"/>
      <c r="BY56" s="616" t="s">
        <v>487</v>
      </c>
      <c r="BZ56" s="617">
        <v>29</v>
      </c>
      <c r="CA56" s="608">
        <v>0</v>
      </c>
      <c r="CB56" s="608">
        <f t="shared" si="12"/>
        <v>0</v>
      </c>
      <c r="CC56" s="608"/>
      <c r="CD56" s="631">
        <f t="shared" si="13"/>
        <v>205.8</v>
      </c>
      <c r="CE56" s="364"/>
      <c r="CF56" s="364"/>
      <c r="CG56" s="364"/>
      <c r="CH56" s="364"/>
      <c r="CI56" s="364"/>
      <c r="CJ56" s="364"/>
      <c r="CK56" s="364"/>
      <c r="CL56" s="623"/>
      <c r="CM56" s="364"/>
      <c r="CN56" s="632" t="s">
        <v>446</v>
      </c>
      <c r="CO56" s="580">
        <f>'[3]Plots R2&gt;.75 - UPDATED'!R53</f>
        <v>41612</v>
      </c>
      <c r="CP56" s="620"/>
      <c r="CQ56" s="633">
        <v>41612</v>
      </c>
      <c r="CR56" s="641">
        <v>71889.282478442838</v>
      </c>
      <c r="CS56" s="642">
        <v>308546.7286314466</v>
      </c>
      <c r="CT56" s="642">
        <v>95617.864694241041</v>
      </c>
      <c r="CU56" s="643">
        <v>111931.82808740652</v>
      </c>
      <c r="CV56" s="513">
        <f t="shared" si="33"/>
        <v>0.42064684689359577</v>
      </c>
      <c r="CW56" s="513">
        <f t="shared" si="51"/>
        <v>1.3370636822232289</v>
      </c>
      <c r="CX56" s="513">
        <f t="shared" si="35"/>
        <v>9.8007845145949096E-2</v>
      </c>
      <c r="CY56" s="513">
        <f t="shared" si="52"/>
        <v>1.3273437555520986</v>
      </c>
      <c r="CZ56" s="513">
        <f t="shared" si="41"/>
        <v>0.31625889258977902</v>
      </c>
      <c r="DA56" s="513">
        <f t="shared" ref="DA56:DA64" si="61">IF(ABS(DX57)&lt;=CZ56,0,IF(DX57&gt;0,DX57-CZ56,DX57+CZ56))</f>
        <v>0.83142674657106175</v>
      </c>
      <c r="DB56" s="513">
        <f t="shared" si="19"/>
        <v>0.27016444309643423</v>
      </c>
      <c r="DC56" s="513">
        <f t="shared" si="60"/>
        <v>0.10467642120356851</v>
      </c>
      <c r="DD56" s="653"/>
      <c r="DE56" s="464">
        <v>41610</v>
      </c>
      <c r="DF56" s="483">
        <v>7.5557670563580626</v>
      </c>
      <c r="DG56" s="483">
        <v>32.382600466403787</v>
      </c>
      <c r="DH56" s="483">
        <v>9.9816966118984425</v>
      </c>
      <c r="DI56" s="483">
        <v>11.965139511254248</v>
      </c>
      <c r="DJ56" s="473"/>
      <c r="DK56" s="473"/>
      <c r="DL56" s="473"/>
      <c r="DM56" s="545"/>
      <c r="DN56" s="528">
        <f t="shared" si="37"/>
        <v>0</v>
      </c>
      <c r="DO56" s="528">
        <f t="shared" si="38"/>
        <v>0</v>
      </c>
      <c r="DP56" s="528">
        <f t="shared" si="39"/>
        <v>0</v>
      </c>
      <c r="DQ56" s="528">
        <f t="shared" si="40"/>
        <v>0</v>
      </c>
      <c r="DR56" s="483">
        <v>0.65856774493438575</v>
      </c>
      <c r="DS56" s="483">
        <v>0.62013404295643182</v>
      </c>
      <c r="DT56" s="483">
        <v>1.2820321655778175</v>
      </c>
      <c r="DU56" s="483">
        <v>0.19603216557781505</v>
      </c>
      <c r="DV56" s="483">
        <v>1.4763350978580334</v>
      </c>
      <c r="DW56" s="483">
        <v>1.6077872779286448</v>
      </c>
      <c r="DX56" s="483">
        <v>1.9293660481899981</v>
      </c>
      <c r="DY56" s="483">
        <v>1.1754038743129986</v>
      </c>
      <c r="DZ56" s="483"/>
      <c r="EA56" s="483"/>
      <c r="EB56" s="483"/>
      <c r="EC56" s="483"/>
      <c r="ED56" s="463">
        <f t="shared" si="24"/>
        <v>0</v>
      </c>
      <c r="EE56" s="463">
        <f t="shared" si="25"/>
        <v>0</v>
      </c>
      <c r="EF56" s="463">
        <f t="shared" si="26"/>
        <v>0</v>
      </c>
      <c r="EG56" s="463">
        <f t="shared" si="27"/>
        <v>0</v>
      </c>
      <c r="EH56" s="473">
        <f>'[3]Plots R2&gt;.75 - UPDATED'!S53</f>
        <v>1.5979663033140761</v>
      </c>
      <c r="EI56" s="473">
        <f>'[3]Plots R2&gt;.75 - UPDATED'!T53</f>
        <v>2.8756663033140768</v>
      </c>
      <c r="EJ56" s="473">
        <f>'[3]Plots R2&gt;.75 - UPDATED'!U53</f>
        <v>3.2337663033140762</v>
      </c>
      <c r="EK56" s="545">
        <f>'[3]Plots R2&gt;.75 - UPDATED'!V53</f>
        <v>2.7761663033140755</v>
      </c>
      <c r="EL56" s="675">
        <v>2.4500000000000002</v>
      </c>
      <c r="EM56" s="495">
        <v>0</v>
      </c>
      <c r="EN56" s="464">
        <v>41610</v>
      </c>
      <c r="EO56" s="473">
        <v>1.5979663033140761</v>
      </c>
      <c r="EP56" s="473">
        <v>2.8756663033140768</v>
      </c>
      <c r="EQ56" s="473">
        <v>3.2337663033140762</v>
      </c>
      <c r="ER56" s="545">
        <v>2.7761663033140755</v>
      </c>
      <c r="GN56" s="640"/>
      <c r="GO56" s="640"/>
      <c r="GP56" s="640"/>
      <c r="GQ56" s="640"/>
      <c r="GR56" s="640"/>
      <c r="GS56" s="640"/>
      <c r="GT56" s="640"/>
      <c r="GU56" s="640"/>
      <c r="GV56" s="640"/>
      <c r="HF56" s="560">
        <v>0.32598145324050731</v>
      </c>
      <c r="HG56" s="560">
        <v>1.5988679900558163</v>
      </c>
      <c r="HH56" s="513">
        <v>7.7101761571407884E-2</v>
      </c>
      <c r="HI56" s="513">
        <v>1.5352116720721476</v>
      </c>
      <c r="HJ56" s="515">
        <v>0.25809691537605928</v>
      </c>
      <c r="HK56" s="515">
        <v>2.2582380382118856</v>
      </c>
      <c r="HL56" s="515">
        <v>0.20153615049425638</v>
      </c>
      <c r="HM56" s="515">
        <v>-0.10046692570985433</v>
      </c>
    </row>
    <row r="57" spans="10:221" ht="16">
      <c r="J57" s="580">
        <v>41594</v>
      </c>
      <c r="K57" s="581">
        <v>0</v>
      </c>
      <c r="L57" s="582">
        <v>12.5136</v>
      </c>
      <c r="M57" s="582">
        <v>12.3973</v>
      </c>
      <c r="N57" s="582">
        <v>12.943</v>
      </c>
      <c r="O57" s="582">
        <v>12.792299999999999</v>
      </c>
      <c r="P57" s="582">
        <v>98.692700000000002</v>
      </c>
      <c r="Q57" s="582">
        <v>10.091273376330017</v>
      </c>
      <c r="R57" s="582">
        <v>2.2373266236699831</v>
      </c>
      <c r="S57" s="582">
        <v>2.9560266236699828</v>
      </c>
      <c r="T57" s="582">
        <v>3.0417266236699829</v>
      </c>
      <c r="U57" s="582">
        <v>2.9710266236699816</v>
      </c>
      <c r="W57" s="580">
        <v>41612</v>
      </c>
      <c r="X57" s="582">
        <f t="shared" si="54"/>
        <v>1.5975828991667611</v>
      </c>
      <c r="Y57" s="582">
        <f t="shared" si="54"/>
        <v>2.8756136683975302</v>
      </c>
      <c r="Z57" s="582">
        <f t="shared" si="54"/>
        <v>3.2338675145513771</v>
      </c>
      <c r="AA57" s="582">
        <f t="shared" si="54"/>
        <v>3.0662136683975301</v>
      </c>
      <c r="AB57" s="606"/>
      <c r="AC57" s="438">
        <f t="shared" si="47"/>
        <v>3.0503936104961271E-2</v>
      </c>
      <c r="AD57" s="439">
        <f t="shared" si="48"/>
        <v>2.7550089951114298E-2</v>
      </c>
      <c r="AE57" s="439">
        <f t="shared" si="49"/>
        <v>3.1403936104961616E-2</v>
      </c>
      <c r="AF57" s="439">
        <f t="shared" si="50"/>
        <v>2.5565474566499713E-2</v>
      </c>
      <c r="AG57" s="633">
        <v>41612</v>
      </c>
      <c r="AH57" s="511">
        <v>-1.6900031936350302E-2</v>
      </c>
      <c r="AI57" s="512">
        <v>-4.7064432690479994E-3</v>
      </c>
      <c r="AJ57" s="512">
        <v>-9.0586161081764333E-3</v>
      </c>
      <c r="AK57" s="512">
        <v>-2.4065776094920867E-2</v>
      </c>
      <c r="AL57" s="634"/>
      <c r="AM57" s="438">
        <v>-1.8E-5</v>
      </c>
      <c r="AN57" s="439">
        <v>-1.26E-5</v>
      </c>
      <c r="AO57" s="439">
        <v>-1.06E-5</v>
      </c>
      <c r="AP57" s="439">
        <v>-1.7E-5</v>
      </c>
      <c r="AR57" s="438"/>
      <c r="AS57" s="439"/>
      <c r="AT57" s="439"/>
      <c r="AU57" s="439"/>
      <c r="AV57" s="633">
        <v>41612</v>
      </c>
      <c r="AW57" s="644"/>
      <c r="AX57" s="607">
        <v>0.2</v>
      </c>
      <c r="AY57" s="438"/>
      <c r="AZ57" s="439"/>
      <c r="BA57" s="439"/>
      <c r="BB57" s="439"/>
      <c r="BC57" s="608">
        <f t="shared" si="5"/>
        <v>0</v>
      </c>
      <c r="BD57" s="627" t="s">
        <v>488</v>
      </c>
      <c r="BE57" s="580">
        <v>41612</v>
      </c>
      <c r="BF57" s="438"/>
      <c r="BG57" s="439"/>
      <c r="BH57" s="439"/>
      <c r="BI57" s="439"/>
      <c r="BJ57" s="645"/>
      <c r="BK57" s="438">
        <v>4.5839361049612695</v>
      </c>
      <c r="BL57" s="439">
        <v>9.4060899511142981</v>
      </c>
      <c r="BM57" s="439">
        <v>16.139936104961617</v>
      </c>
      <c r="BN57" s="439">
        <v>1.0854745664997147</v>
      </c>
      <c r="BO57" s="353">
        <v>85</v>
      </c>
      <c r="BP57" s="353">
        <f t="shared" si="9"/>
        <v>17</v>
      </c>
      <c r="BQ57" s="610">
        <f t="shared" si="10"/>
        <v>60.714285714285715</v>
      </c>
      <c r="BR57" s="610">
        <f t="shared" si="11"/>
        <v>22.972972972972972</v>
      </c>
      <c r="BT57" s="648"/>
      <c r="BU57" s="648"/>
      <c r="BV57" s="648"/>
      <c r="BW57" s="648"/>
      <c r="BX57" s="648"/>
      <c r="BY57" s="616" t="s">
        <v>489</v>
      </c>
      <c r="BZ57" s="617">
        <v>31</v>
      </c>
      <c r="CA57" s="608">
        <v>0</v>
      </c>
      <c r="CB57" s="608">
        <f t="shared" si="12"/>
        <v>0</v>
      </c>
      <c r="CC57" s="608"/>
      <c r="CD57" s="631">
        <f t="shared" si="13"/>
        <v>205.8</v>
      </c>
      <c r="CE57" s="364"/>
      <c r="CF57" s="364"/>
      <c r="CG57" s="364"/>
      <c r="CH57" s="364"/>
      <c r="CI57" s="364"/>
      <c r="CJ57" s="364"/>
      <c r="CK57" s="364"/>
      <c r="CL57" s="623"/>
      <c r="CM57" s="364"/>
      <c r="CN57" s="632" t="s">
        <v>448</v>
      </c>
      <c r="CO57" s="580">
        <f>'[3]Plots R2&gt;.75 - UPDATED'!R54</f>
        <v>41613</v>
      </c>
      <c r="CP57" s="620"/>
      <c r="CQ57" s="633">
        <v>41613</v>
      </c>
      <c r="CR57" s="641">
        <v>70367.67698699949</v>
      </c>
      <c r="CS57" s="642">
        <v>300115.91848844913</v>
      </c>
      <c r="CT57" s="642">
        <v>93981.943618657373</v>
      </c>
      <c r="CU57" s="643">
        <v>108654.01909486174</v>
      </c>
      <c r="CV57" s="513">
        <f t="shared" si="33"/>
        <v>0.42974276393388505</v>
      </c>
      <c r="CW57" s="513">
        <f t="shared" si="51"/>
        <v>0.47025404243108465</v>
      </c>
      <c r="CX57" s="513">
        <f t="shared" si="35"/>
        <v>0.10076106643161574</v>
      </c>
      <c r="CY57" s="513">
        <f t="shared" si="52"/>
        <v>1.2385946066635845</v>
      </c>
      <c r="CZ57" s="513">
        <f t="shared" si="41"/>
        <v>0.32176393502460754</v>
      </c>
      <c r="DA57" s="513">
        <f t="shared" si="61"/>
        <v>0.21237445415774903</v>
      </c>
      <c r="DB57" s="513">
        <f t="shared" si="19"/>
        <v>0.27831460126291868</v>
      </c>
      <c r="DC57" s="513">
        <f t="shared" si="60"/>
        <v>0</v>
      </c>
      <c r="DD57" s="653"/>
      <c r="DE57" s="464">
        <v>41611</v>
      </c>
      <c r="DF57" s="483">
        <v>7.3903868800684958</v>
      </c>
      <c r="DG57" s="483">
        <v>31.652873110515774</v>
      </c>
      <c r="DH57" s="483">
        <v>9.7842835378023718</v>
      </c>
      <c r="DI57" s="483">
        <v>11.613572083749787</v>
      </c>
      <c r="DJ57" s="473"/>
      <c r="DK57" s="473"/>
      <c r="DL57" s="473"/>
      <c r="DM57" s="545"/>
      <c r="DN57" s="528">
        <f t="shared" si="37"/>
        <v>0</v>
      </c>
      <c r="DO57" s="528">
        <f t="shared" si="38"/>
        <v>0</v>
      </c>
      <c r="DP57" s="528">
        <f t="shared" si="39"/>
        <v>0</v>
      </c>
      <c r="DQ57" s="528">
        <f t="shared" si="40"/>
        <v>0</v>
      </c>
      <c r="DR57" s="483">
        <v>0.57413065103614702</v>
      </c>
      <c r="DS57" s="483">
        <v>0.69449395032131878</v>
      </c>
      <c r="DT57" s="483">
        <v>1.4708628613578394</v>
      </c>
      <c r="DU57" s="483">
        <v>0.15286286135784569</v>
      </c>
      <c r="DV57" s="483">
        <v>1.7577105291168247</v>
      </c>
      <c r="DW57" s="483">
        <v>1.4253516006980478</v>
      </c>
      <c r="DX57" s="483">
        <v>1.1476856391608408</v>
      </c>
      <c r="DY57" s="483">
        <v>0.37484086430000274</v>
      </c>
      <c r="DZ57" s="483"/>
      <c r="EA57" s="483"/>
      <c r="EB57" s="483"/>
      <c r="EC57" s="483"/>
      <c r="ED57" s="463">
        <f t="shared" si="24"/>
        <v>0</v>
      </c>
      <c r="EE57" s="463">
        <f t="shared" si="25"/>
        <v>0</v>
      </c>
      <c r="EF57" s="463">
        <f t="shared" si="26"/>
        <v>0</v>
      </c>
      <c r="EG57" s="463">
        <f t="shared" si="27"/>
        <v>0</v>
      </c>
      <c r="EH57" s="473">
        <f>'[3]Plots R2&gt;.75 - UPDATED'!S54</f>
        <v>1.567169367742697</v>
      </c>
      <c r="EI57" s="473">
        <f>'[3]Plots R2&gt;.75 - UPDATED'!T54</f>
        <v>2.8481693677426971</v>
      </c>
      <c r="EJ57" s="473">
        <f>'[3]Plots R2&gt;.75 - UPDATED'!U54</f>
        <v>3.2027693677426976</v>
      </c>
      <c r="EK57" s="545">
        <f>'[3]Plots R2&gt;.75 - UPDATED'!V54</f>
        <v>2.7505693677426968</v>
      </c>
      <c r="EL57" s="675">
        <v>15.1</v>
      </c>
      <c r="EM57" s="495">
        <v>0</v>
      </c>
      <c r="EN57" s="464">
        <v>41611</v>
      </c>
      <c r="EO57" s="473">
        <v>1.567169367742697</v>
      </c>
      <c r="EP57" s="473">
        <v>2.8481693677426971</v>
      </c>
      <c r="EQ57" s="473">
        <v>3.2027693677426976</v>
      </c>
      <c r="ER57" s="545">
        <v>2.7505693677426968</v>
      </c>
      <c r="GN57" s="640"/>
      <c r="GO57" s="640"/>
      <c r="GP57" s="640"/>
      <c r="GQ57" s="640"/>
      <c r="GR57" s="640"/>
      <c r="GS57" s="640"/>
      <c r="GT57" s="640"/>
      <c r="GU57" s="640"/>
      <c r="GV57" s="640"/>
      <c r="HF57" s="560">
        <v>0.33468940044639511</v>
      </c>
      <c r="HG57" s="560">
        <v>1.7257873380430295</v>
      </c>
      <c r="HH57" s="513">
        <v>7.8575163996925712E-2</v>
      </c>
      <c r="HI57" s="513">
        <v>2.3519126193854683</v>
      </c>
      <c r="HJ57" s="515">
        <v>0.26348751935489673</v>
      </c>
      <c r="HK57" s="515">
        <v>2.6138345712988484</v>
      </c>
      <c r="HL57" s="515">
        <v>0.20710923728722228</v>
      </c>
      <c r="HM57" s="515">
        <v>-0.35468851802764878</v>
      </c>
    </row>
    <row r="58" spans="10:221" ht="16">
      <c r="J58" s="580">
        <v>41595</v>
      </c>
      <c r="K58" s="581">
        <v>0</v>
      </c>
      <c r="L58" s="582">
        <v>12.460599999999999</v>
      </c>
      <c r="M58" s="582">
        <v>12.3629</v>
      </c>
      <c r="N58" s="582">
        <v>12.8948</v>
      </c>
      <c r="O58" s="582">
        <v>12.746700000000001</v>
      </c>
      <c r="P58" s="582">
        <v>98.620800000000003</v>
      </c>
      <c r="Q58" s="582">
        <v>10.083921641543572</v>
      </c>
      <c r="R58" s="582">
        <v>2.1916783584564272</v>
      </c>
      <c r="S58" s="582">
        <v>2.928978358456428</v>
      </c>
      <c r="T58" s="582">
        <v>3.0008783584564283</v>
      </c>
      <c r="U58" s="582">
        <v>2.932778358456428</v>
      </c>
      <c r="W58" s="580">
        <v>41613</v>
      </c>
      <c r="X58" s="582">
        <f t="shared" si="54"/>
        <v>1.5670789630617998</v>
      </c>
      <c r="Y58" s="582">
        <f t="shared" si="54"/>
        <v>2.8480635784464159</v>
      </c>
      <c r="Z58" s="582">
        <f t="shared" si="54"/>
        <v>3.2024635784464155</v>
      </c>
      <c r="AA58" s="582">
        <f t="shared" si="54"/>
        <v>3.0406481938310304</v>
      </c>
      <c r="AB58" s="606"/>
      <c r="AC58" s="441">
        <f t="shared" si="47"/>
        <v>3.2153303659260946E-2</v>
      </c>
      <c r="AD58" s="440">
        <f t="shared" si="48"/>
        <v>3.0337919043876838E-2</v>
      </c>
      <c r="AE58" s="440">
        <f t="shared" si="49"/>
        <v>3.6614842120799018E-2</v>
      </c>
      <c r="AF58" s="440">
        <f t="shared" si="50"/>
        <v>3.0260995966953086E-2</v>
      </c>
      <c r="AG58" s="633">
        <v>41613</v>
      </c>
      <c r="AH58" s="560">
        <v>-1.6517265814184244E-2</v>
      </c>
      <c r="AI58" s="513">
        <v>-4.4171931079289078E-3</v>
      </c>
      <c r="AJ58" s="513">
        <v>-9.0312453038928712E-3</v>
      </c>
      <c r="AK58" s="513">
        <v>-2.38849129679547E-2</v>
      </c>
      <c r="AL58" s="634"/>
      <c r="AM58" s="441">
        <v>-1.88E-5</v>
      </c>
      <c r="AN58" s="440">
        <v>-1.6200000000000001E-5</v>
      </c>
      <c r="AO58" s="440">
        <v>-1.4100000000000001E-5</v>
      </c>
      <c r="AP58" s="440">
        <v>-1.2999999999999999E-5</v>
      </c>
      <c r="AR58" s="441">
        <f t="shared" si="42"/>
        <v>2.7071999999999999E-2</v>
      </c>
      <c r="AS58" s="440">
        <f t="shared" si="42"/>
        <v>2.3328000000000002E-2</v>
      </c>
      <c r="AT58" s="440">
        <f t="shared" si="42"/>
        <v>2.0303999999999999E-2</v>
      </c>
      <c r="AU58" s="440">
        <f t="shared" si="42"/>
        <v>1.8720000000000001E-2</v>
      </c>
      <c r="AV58" s="633">
        <v>41613</v>
      </c>
      <c r="AW58" s="644"/>
      <c r="AX58" s="608">
        <v>0</v>
      </c>
      <c r="AY58" s="441">
        <f t="shared" ref="AY58:BB65" si="62">AC58-AR58</f>
        <v>5.0813036592609467E-3</v>
      </c>
      <c r="AZ58" s="440">
        <f t="shared" si="62"/>
        <v>7.0099190438768361E-3</v>
      </c>
      <c r="BA58" s="440">
        <f t="shared" si="62"/>
        <v>1.6310842120799019E-2</v>
      </c>
      <c r="BB58" s="440">
        <f t="shared" si="62"/>
        <v>1.1540995966953085E-2</v>
      </c>
      <c r="BC58" s="608">
        <f t="shared" si="5"/>
        <v>0.11540995966953085</v>
      </c>
      <c r="BD58" s="627" t="s">
        <v>490</v>
      </c>
      <c r="BE58" s="580">
        <v>41613</v>
      </c>
      <c r="BF58" s="441">
        <f t="shared" ref="BF58:BI65" si="63">DR58*10</f>
        <v>4.8969355713790819</v>
      </c>
      <c r="BG58" s="440">
        <f t="shared" si="63"/>
        <v>9.3969355713796645</v>
      </c>
      <c r="BH58" s="440">
        <f t="shared" si="63"/>
        <v>16.596935571378616</v>
      </c>
      <c r="BI58" s="440">
        <f t="shared" si="63"/>
        <v>1.0969355713787632</v>
      </c>
      <c r="BJ58" s="645"/>
      <c r="BK58" s="441">
        <v>5.0813036592609473</v>
      </c>
      <c r="BL58" s="440">
        <v>7.0099190438768355</v>
      </c>
      <c r="BM58" s="440">
        <v>16.31084212079902</v>
      </c>
      <c r="BN58" s="440">
        <v>11.540995966953085</v>
      </c>
      <c r="BO58" s="353">
        <v>74</v>
      </c>
      <c r="BP58" s="353">
        <f t="shared" si="9"/>
        <v>14.8</v>
      </c>
      <c r="BQ58" s="610">
        <f t="shared" si="10"/>
        <v>52.857142857142861</v>
      </c>
      <c r="BR58" s="610">
        <f t="shared" si="11"/>
        <v>20</v>
      </c>
      <c r="BT58" s="648"/>
      <c r="BU58" s="648"/>
      <c r="BV58" s="648"/>
      <c r="BW58" s="648"/>
      <c r="BX58" s="648"/>
      <c r="BY58" s="616" t="s">
        <v>491</v>
      </c>
      <c r="BZ58" s="617">
        <v>31</v>
      </c>
      <c r="CA58" s="608">
        <v>0</v>
      </c>
      <c r="CB58" s="608">
        <f t="shared" si="12"/>
        <v>0</v>
      </c>
      <c r="CC58" s="608"/>
      <c r="CD58" s="631">
        <f t="shared" si="13"/>
        <v>205.8</v>
      </c>
      <c r="CE58" s="364"/>
      <c r="CF58" s="364"/>
      <c r="CG58" s="364"/>
      <c r="CH58" s="364"/>
      <c r="CI58" s="364"/>
      <c r="CJ58" s="364"/>
      <c r="CK58" s="364"/>
      <c r="CL58" s="623"/>
      <c r="CM58" s="364"/>
      <c r="CN58" s="632" t="s">
        <v>450</v>
      </c>
      <c r="CO58" s="580">
        <f>'[3]Plots R2&gt;.75 - UPDATED'!R55</f>
        <v>41614</v>
      </c>
      <c r="CP58" s="620"/>
      <c r="CQ58" s="633">
        <v>41614</v>
      </c>
      <c r="CR58" s="641">
        <v>68784.142779891918</v>
      </c>
      <c r="CS58" s="642">
        <v>290997.28532020154</v>
      </c>
      <c r="CT58" s="642">
        <v>92050.013670390967</v>
      </c>
      <c r="CU58" s="643">
        <v>104858.31509030568</v>
      </c>
      <c r="CV58" s="513">
        <f t="shared" si="33"/>
        <v>0.43963621232829031</v>
      </c>
      <c r="CW58" s="513">
        <f t="shared" si="51"/>
        <v>0.61583720625328542</v>
      </c>
      <c r="CX58" s="513">
        <f t="shared" si="35"/>
        <v>0.10391849520769632</v>
      </c>
      <c r="CY58" s="513">
        <f t="shared" si="52"/>
        <v>1.7871621939994131</v>
      </c>
      <c r="CZ58" s="513">
        <f t="shared" si="41"/>
        <v>0.32851706147792858</v>
      </c>
      <c r="DA58" s="513">
        <f t="shared" si="61"/>
        <v>0.79875840813278398</v>
      </c>
      <c r="DB58" s="513">
        <f t="shared" si="19"/>
        <v>0.28838914657322906</v>
      </c>
      <c r="DC58" s="513">
        <f t="shared" si="60"/>
        <v>-0.22810215022224117</v>
      </c>
      <c r="DD58" s="653"/>
      <c r="DE58" s="299">
        <v>41612</v>
      </c>
      <c r="DF58" s="463">
        <v>7.3469758309363344</v>
      </c>
      <c r="DG58" s="463">
        <v>31.503412527511699</v>
      </c>
      <c r="DH58" s="463">
        <v>9.7097059367664897</v>
      </c>
      <c r="DI58" s="463">
        <v>11.478000981471109</v>
      </c>
      <c r="DJ58" s="528">
        <v>0.48969355713790819</v>
      </c>
      <c r="DK58" s="528">
        <v>0.93969355713796654</v>
      </c>
      <c r="DL58" s="528">
        <v>1.6596935571378615</v>
      </c>
      <c r="DM58" s="546">
        <v>0.10969355713787632</v>
      </c>
      <c r="DN58" s="528">
        <f t="shared" si="37"/>
        <v>4.8969355713790819</v>
      </c>
      <c r="DO58" s="528">
        <f t="shared" si="38"/>
        <v>9.3969355713796645</v>
      </c>
      <c r="DP58" s="528">
        <f t="shared" si="39"/>
        <v>16.596935571378616</v>
      </c>
      <c r="DQ58" s="528">
        <f t="shared" si="40"/>
        <v>1.0969355713787632</v>
      </c>
      <c r="DR58" s="463">
        <v>0.48969355713790819</v>
      </c>
      <c r="DS58" s="463">
        <v>0.93969355713796654</v>
      </c>
      <c r="DT58" s="463">
        <v>1.6596935571378615</v>
      </c>
      <c r="DU58" s="463">
        <v>0.10969355713787632</v>
      </c>
      <c r="DV58" s="463">
        <v>0.8999968063649697</v>
      </c>
      <c r="DW58" s="463">
        <v>1.3393556730952001</v>
      </c>
      <c r="DX58" s="463">
        <v>0.53413838918235657</v>
      </c>
      <c r="DY58" s="463">
        <v>4.3422390507913633E-2</v>
      </c>
      <c r="DZ58" s="463">
        <v>0.8999968063649697</v>
      </c>
      <c r="EA58" s="463">
        <v>1.3393556730952001</v>
      </c>
      <c r="EB58" s="463">
        <v>0.53413838918235657</v>
      </c>
      <c r="EC58" s="463">
        <v>4.3422390507913633E-2</v>
      </c>
      <c r="ED58" s="463">
        <f t="shared" si="24"/>
        <v>8.9999680636496961</v>
      </c>
      <c r="EE58" s="463">
        <f t="shared" si="25"/>
        <v>13.393556730952001</v>
      </c>
      <c r="EF58" s="463">
        <f t="shared" si="26"/>
        <v>5.3413838918235657</v>
      </c>
      <c r="EG58" s="463">
        <f t="shared" si="27"/>
        <v>0.43422390507913633</v>
      </c>
      <c r="EH58" s="528">
        <f>'[3]Plots R2&gt;.75 - UPDATED'!S55</f>
        <v>1.5350550443621054</v>
      </c>
      <c r="EI58" s="528">
        <f>'[3]Plots R2&gt;.75 - UPDATED'!T55</f>
        <v>2.8178550443621067</v>
      </c>
      <c r="EJ58" s="528">
        <f>'[3]Plots R2&gt;.75 - UPDATED'!U55</f>
        <v>3.1658550443621065</v>
      </c>
      <c r="EK58" s="546">
        <f>'[3]Plots R2&gt;.75 - UPDATED'!V55</f>
        <v>2.7202550443621063</v>
      </c>
      <c r="EL58" s="676">
        <v>1.9500000000000002</v>
      </c>
      <c r="EM58" s="495">
        <v>0</v>
      </c>
      <c r="EN58" s="299">
        <v>41612</v>
      </c>
      <c r="EO58" s="528">
        <v>1.5350550443621054</v>
      </c>
      <c r="EP58" s="528">
        <v>2.8178550443621067</v>
      </c>
      <c r="EQ58" s="528">
        <v>3.1658550443621065</v>
      </c>
      <c r="ER58" s="546">
        <v>2.7202550443621063</v>
      </c>
      <c r="GN58" s="640"/>
      <c r="GO58" s="640"/>
      <c r="GP58" s="640"/>
      <c r="GQ58" s="640"/>
      <c r="GR58" s="640"/>
      <c r="GS58" s="640"/>
      <c r="GT58" s="640"/>
      <c r="GU58" s="640"/>
      <c r="GV58" s="640"/>
      <c r="HF58" s="560">
        <v>0.34396299989471729</v>
      </c>
      <c r="HG58" s="560">
        <v>2.1282308496684261</v>
      </c>
      <c r="HH58" s="513">
        <v>8.0293775296724573E-2</v>
      </c>
      <c r="HI58" s="513">
        <v>1.8891008768346937</v>
      </c>
      <c r="HJ58" s="515">
        <v>0.2689548942895279</v>
      </c>
      <c r="HK58" s="515">
        <v>2.2207529612015913</v>
      </c>
      <c r="HL58" s="515">
        <v>0.21264889689947289</v>
      </c>
      <c r="HM58" s="515">
        <v>-0.37731560957509236</v>
      </c>
    </row>
    <row r="59" spans="10:221" ht="16">
      <c r="J59" s="580">
        <v>41596</v>
      </c>
      <c r="K59" s="581">
        <v>0</v>
      </c>
      <c r="L59" s="582">
        <v>12.546200000000001</v>
      </c>
      <c r="M59" s="582">
        <v>12.686199999999999</v>
      </c>
      <c r="N59" s="582">
        <v>13.7012</v>
      </c>
      <c r="O59" s="582">
        <v>13.284800000000001</v>
      </c>
      <c r="P59" s="582">
        <v>98.832099999999997</v>
      </c>
      <c r="Q59" s="582">
        <v>10.105526948363819</v>
      </c>
      <c r="R59" s="582">
        <v>2.2556730516361818</v>
      </c>
      <c r="S59" s="582">
        <v>3.230673051636181</v>
      </c>
      <c r="T59" s="582">
        <v>3.7856730516361816</v>
      </c>
      <c r="U59" s="582">
        <v>3.4492730516361814</v>
      </c>
      <c r="W59" s="580">
        <v>41614</v>
      </c>
      <c r="X59" s="582">
        <f t="shared" si="54"/>
        <v>1.5349256594025389</v>
      </c>
      <c r="Y59" s="582">
        <f t="shared" si="54"/>
        <v>2.8177256594025391</v>
      </c>
      <c r="Z59" s="582">
        <f t="shared" si="54"/>
        <v>3.1658487363256165</v>
      </c>
      <c r="AA59" s="582">
        <f t="shared" si="54"/>
        <v>3.0103871978640773</v>
      </c>
      <c r="AB59" s="606"/>
      <c r="AC59" s="441">
        <f t="shared" si="47"/>
        <v>3.079624180906837E-2</v>
      </c>
      <c r="AD59" s="440">
        <f t="shared" si="48"/>
        <v>3.7334703347529086E-2</v>
      </c>
      <c r="AE59" s="440">
        <f t="shared" si="49"/>
        <v>3.9811626424453461E-2</v>
      </c>
      <c r="AF59" s="440">
        <f t="shared" si="50"/>
        <v>3.7657780270607066E-2</v>
      </c>
      <c r="AG59" s="633">
        <v>41614</v>
      </c>
      <c r="AH59" s="560">
        <v>-1.6099348900547619E-2</v>
      </c>
      <c r="AI59" s="513">
        <v>-4.0764026002900024E-3</v>
      </c>
      <c r="AJ59" s="513">
        <v>-8.9957874556789458E-3</v>
      </c>
      <c r="AK59" s="513">
        <v>-2.3636636184015351E-2</v>
      </c>
      <c r="AL59" s="634"/>
      <c r="AM59" s="441">
        <v>-1.59E-5</v>
      </c>
      <c r="AN59" s="440">
        <v>-1.5299999999999999E-5</v>
      </c>
      <c r="AO59" s="440">
        <v>-1.6900000000000001E-5</v>
      </c>
      <c r="AP59" s="440">
        <v>-2.0800000000000001E-5</v>
      </c>
      <c r="AR59" s="441">
        <f t="shared" si="42"/>
        <v>2.2896E-2</v>
      </c>
      <c r="AS59" s="440">
        <f t="shared" si="42"/>
        <v>2.2032E-2</v>
      </c>
      <c r="AT59" s="440">
        <f t="shared" si="42"/>
        <v>2.4336E-2</v>
      </c>
      <c r="AU59" s="440">
        <f t="shared" si="42"/>
        <v>2.9951999999999999E-2</v>
      </c>
      <c r="AV59" s="633">
        <v>41614</v>
      </c>
      <c r="AW59" s="644"/>
      <c r="AX59" s="608">
        <v>0</v>
      </c>
      <c r="AY59" s="441">
        <f t="shared" si="62"/>
        <v>7.9002418090683701E-3</v>
      </c>
      <c r="AZ59" s="440">
        <f t="shared" si="62"/>
        <v>1.5302703347529086E-2</v>
      </c>
      <c r="BA59" s="440">
        <f t="shared" si="62"/>
        <v>1.5475626424453461E-2</v>
      </c>
      <c r="BB59" s="440">
        <f t="shared" si="62"/>
        <v>7.7057802706070669E-3</v>
      </c>
      <c r="BC59" s="608">
        <f t="shared" si="5"/>
        <v>7.7057802706070669E-2</v>
      </c>
      <c r="BD59" s="627" t="s">
        <v>492</v>
      </c>
      <c r="BE59" s="580">
        <v>41614</v>
      </c>
      <c r="BF59" s="441">
        <f t="shared" si="63"/>
        <v>5.0423233805916157</v>
      </c>
      <c r="BG59" s="440">
        <f t="shared" si="63"/>
        <v>6.9863233805904779</v>
      </c>
      <c r="BH59" s="440">
        <f t="shared" si="63"/>
        <v>16.610323380591087</v>
      </c>
      <c r="BI59" s="440">
        <f t="shared" si="63"/>
        <v>11.594323380590479</v>
      </c>
      <c r="BJ59" s="645"/>
      <c r="BK59" s="441">
        <v>7.9002418090683699</v>
      </c>
      <c r="BL59" s="440">
        <v>15.302703347529086</v>
      </c>
      <c r="BM59" s="440">
        <v>15.475626424453461</v>
      </c>
      <c r="BN59" s="440">
        <v>7.7057802706070664</v>
      </c>
      <c r="BO59" s="353">
        <v>68</v>
      </c>
      <c r="BP59" s="353">
        <f t="shared" si="9"/>
        <v>13.6</v>
      </c>
      <c r="BQ59" s="610">
        <f t="shared" si="10"/>
        <v>48.571428571428577</v>
      </c>
      <c r="BR59" s="610">
        <f t="shared" si="11"/>
        <v>18.378378378378379</v>
      </c>
      <c r="BT59" s="648"/>
      <c r="BU59" s="648"/>
      <c r="BV59" s="648"/>
      <c r="BW59" s="648"/>
      <c r="BX59" s="648"/>
      <c r="BY59" s="616" t="s">
        <v>493</v>
      </c>
      <c r="BZ59" s="617">
        <v>31</v>
      </c>
      <c r="CA59" s="608">
        <v>0</v>
      </c>
      <c r="CB59" s="608">
        <f t="shared" si="12"/>
        <v>0</v>
      </c>
      <c r="CC59" s="608"/>
      <c r="CD59" s="631">
        <f t="shared" si="13"/>
        <v>205.8</v>
      </c>
      <c r="CE59" s="364"/>
      <c r="CF59" s="364"/>
      <c r="CG59" s="364"/>
      <c r="CH59" s="364"/>
      <c r="CI59" s="364"/>
      <c r="CJ59" s="364"/>
      <c r="CK59" s="364"/>
      <c r="CL59" s="623"/>
      <c r="CM59" s="364"/>
      <c r="CN59" s="632" t="s">
        <v>452</v>
      </c>
      <c r="CO59" s="580">
        <f>'[3]Plots R2&gt;.75 - UPDATED'!R56</f>
        <v>41615</v>
      </c>
      <c r="CP59" s="620"/>
      <c r="CQ59" s="633">
        <v>41615</v>
      </c>
      <c r="CR59" s="641">
        <v>67242.486673832798</v>
      </c>
      <c r="CS59" s="642">
        <v>279787.40502915427</v>
      </c>
      <c r="CT59" s="642">
        <v>89985.441626155269</v>
      </c>
      <c r="CU59" s="643">
        <v>100274.9286230721</v>
      </c>
      <c r="CV59" s="513">
        <f t="shared" si="33"/>
        <v>0.44971567078835883</v>
      </c>
      <c r="CW59" s="513">
        <f t="shared" si="51"/>
        <v>0.22994943915687938</v>
      </c>
      <c r="CX59" s="513">
        <f t="shared" si="35"/>
        <v>0.10808206322528686</v>
      </c>
      <c r="CY59" s="513">
        <f t="shared" si="52"/>
        <v>1.6874776767457127</v>
      </c>
      <c r="CZ59" s="513">
        <f t="shared" si="41"/>
        <v>0.33605436005562045</v>
      </c>
      <c r="DA59" s="513">
        <f t="shared" si="61"/>
        <v>1.1979668943764852</v>
      </c>
      <c r="DB59" s="513">
        <f t="shared" si="19"/>
        <v>0.30157089528999298</v>
      </c>
      <c r="DC59" s="513">
        <f t="shared" si="60"/>
        <v>0.32996548630847194</v>
      </c>
      <c r="DD59" s="653"/>
      <c r="DE59" s="299">
        <v>41613</v>
      </c>
      <c r="DF59" s="463">
        <v>7.1889282478442835</v>
      </c>
      <c r="DG59" s="463">
        <v>30.854672863144661</v>
      </c>
      <c r="DH59" s="463">
        <v>9.5617864694241046</v>
      </c>
      <c r="DI59" s="463">
        <v>11.193182808740652</v>
      </c>
      <c r="DJ59" s="528">
        <v>0.50423233805916157</v>
      </c>
      <c r="DK59" s="528">
        <v>0.69863233805904779</v>
      </c>
      <c r="DL59" s="528">
        <v>1.6610323380591088</v>
      </c>
      <c r="DM59" s="546">
        <v>1.1594323380590479</v>
      </c>
      <c r="DN59" s="528">
        <f t="shared" si="37"/>
        <v>5.0423233805916157</v>
      </c>
      <c r="DO59" s="528">
        <f t="shared" si="38"/>
        <v>6.9863233805904779</v>
      </c>
      <c r="DP59" s="528">
        <f t="shared" si="39"/>
        <v>16.610323380591087</v>
      </c>
      <c r="DQ59" s="528">
        <f t="shared" si="40"/>
        <v>11.594323380590479</v>
      </c>
      <c r="DR59" s="463">
        <v>0.50423233805916157</v>
      </c>
      <c r="DS59" s="463">
        <v>0.69863233805904779</v>
      </c>
      <c r="DT59" s="463">
        <v>1.6610323380591088</v>
      </c>
      <c r="DU59" s="463">
        <v>1.1594323380590479</v>
      </c>
      <c r="DV59" s="463">
        <v>1.0554734185815757</v>
      </c>
      <c r="DW59" s="463">
        <v>1.8910806892071095</v>
      </c>
      <c r="DX59" s="463">
        <v>1.1272754696107126</v>
      </c>
      <c r="DY59" s="463">
        <v>-0.51649129679547023</v>
      </c>
      <c r="DZ59" s="463">
        <v>1.0554734185815757</v>
      </c>
      <c r="EA59" s="463">
        <v>1.8910806892071095</v>
      </c>
      <c r="EB59" s="463">
        <v>1.1272754696107126</v>
      </c>
      <c r="EC59" s="463">
        <v>-0.51649129679547023</v>
      </c>
      <c r="ED59" s="463">
        <f t="shared" si="24"/>
        <v>10.554734185815757</v>
      </c>
      <c r="EE59" s="463">
        <f t="shared" si="25"/>
        <v>18.910806892071093</v>
      </c>
      <c r="EF59" s="463">
        <f t="shared" si="26"/>
        <v>11.272754696107125</v>
      </c>
      <c r="EG59" s="463">
        <f t="shared" si="27"/>
        <v>-5.1649129679547023</v>
      </c>
      <c r="EH59" s="528">
        <f>'[3]Plots R2&gt;.75 - UPDATED'!S56</f>
        <v>1.5037257992832953</v>
      </c>
      <c r="EI59" s="528">
        <f>'[3]Plots R2&gt;.75 - UPDATED'!T56</f>
        <v>2.7797257992832947</v>
      </c>
      <c r="EJ59" s="528">
        <f>'[3]Plots R2&gt;.75 - UPDATED'!U56</f>
        <v>3.1260257992832949</v>
      </c>
      <c r="EK59" s="546">
        <f>'[3]Plots R2&gt;.75 - UPDATED'!V56</f>
        <v>2.6826257992832949</v>
      </c>
      <c r="EL59" s="676">
        <v>0</v>
      </c>
      <c r="EM59" s="495">
        <v>0</v>
      </c>
      <c r="EN59" s="299">
        <v>41613</v>
      </c>
      <c r="EO59" s="528">
        <v>1.5037257992832953</v>
      </c>
      <c r="EP59" s="528">
        <v>2.7797257992832947</v>
      </c>
      <c r="EQ59" s="528">
        <v>3.1260257992832949</v>
      </c>
      <c r="ER59" s="546">
        <v>2.6826257992832949</v>
      </c>
      <c r="GN59" s="640"/>
      <c r="GO59" s="640"/>
      <c r="GP59" s="640"/>
      <c r="GQ59" s="640"/>
      <c r="GR59" s="640"/>
      <c r="GS59" s="640"/>
      <c r="GT59" s="640"/>
      <c r="GU59" s="640"/>
      <c r="GV59" s="640"/>
      <c r="HF59" s="560">
        <v>0.3530620085599413</v>
      </c>
      <c r="HG59" s="560">
        <v>0.78796317005615701</v>
      </c>
      <c r="HH59" s="513">
        <v>8.2407323583684619E-2</v>
      </c>
      <c r="HI59" s="513">
        <v>1.4872704260777243</v>
      </c>
      <c r="HJ59" s="515">
        <v>0.27439488139713231</v>
      </c>
      <c r="HK59" s="515">
        <v>1.4822715047939239</v>
      </c>
      <c r="HL59" s="515">
        <v>0.2183686020572726</v>
      </c>
      <c r="HM59" s="515">
        <v>-0.13930537931302667</v>
      </c>
    </row>
    <row r="60" spans="10:221" ht="16">
      <c r="J60" s="580">
        <v>41597</v>
      </c>
      <c r="K60" s="581">
        <v>0</v>
      </c>
      <c r="L60" s="582">
        <v>12.5205</v>
      </c>
      <c r="M60" s="582">
        <v>12.6844</v>
      </c>
      <c r="N60" s="582">
        <v>13.7111</v>
      </c>
      <c r="O60" s="582">
        <v>13.283899999999999</v>
      </c>
      <c r="P60" s="582">
        <v>98.997299999999996</v>
      </c>
      <c r="Q60" s="582">
        <v>10.122418555967721</v>
      </c>
      <c r="R60" s="582">
        <v>2.2130814440322788</v>
      </c>
      <c r="S60" s="582">
        <v>3.2119814440322791</v>
      </c>
      <c r="T60" s="582">
        <v>3.7786814440322791</v>
      </c>
      <c r="U60" s="582">
        <v>3.4314814440322774</v>
      </c>
      <c r="W60" s="580">
        <v>41615</v>
      </c>
      <c r="X60" s="582">
        <f t="shared" si="54"/>
        <v>1.5041294175934705</v>
      </c>
      <c r="Y60" s="582">
        <f t="shared" si="54"/>
        <v>2.78039095605501</v>
      </c>
      <c r="Z60" s="582">
        <f t="shared" si="54"/>
        <v>3.126037109901163</v>
      </c>
      <c r="AA60" s="582">
        <f t="shared" si="54"/>
        <v>2.9727294175934702</v>
      </c>
      <c r="AB60" s="606"/>
      <c r="AC60" s="441">
        <f t="shared" si="47"/>
        <v>2.7156958775847118E-2</v>
      </c>
      <c r="AD60" s="440">
        <f t="shared" si="48"/>
        <v>3.4380035698925226E-2</v>
      </c>
      <c r="AE60" s="440">
        <f t="shared" si="49"/>
        <v>2.9310804929693735E-2</v>
      </c>
      <c r="AF60" s="440">
        <f t="shared" si="50"/>
        <v>3.496465108354041E-2</v>
      </c>
      <c r="AG60" s="633">
        <v>41615</v>
      </c>
      <c r="AH60" s="560">
        <v>-1.5671941959420985E-2</v>
      </c>
      <c r="AI60" s="513">
        <v>-3.6128326141423683E-3</v>
      </c>
      <c r="AJ60" s="513">
        <v>-8.9538399910019904E-3</v>
      </c>
      <c r="AK60" s="513">
        <v>-2.3272470917886083E-2</v>
      </c>
      <c r="AL60" s="634"/>
      <c r="AM60" s="441">
        <v>-1.2500000000000001E-5</v>
      </c>
      <c r="AN60" s="440">
        <v>-1.7200000000000001E-5</v>
      </c>
      <c r="AO60" s="440">
        <v>-2.1100000000000001E-5</v>
      </c>
      <c r="AP60" s="440">
        <v>-2.27E-5</v>
      </c>
      <c r="AR60" s="441">
        <f t="shared" si="42"/>
        <v>1.8000000000000002E-2</v>
      </c>
      <c r="AS60" s="440">
        <f t="shared" si="42"/>
        <v>2.4768000000000002E-2</v>
      </c>
      <c r="AT60" s="440">
        <f t="shared" si="42"/>
        <v>3.0384000000000001E-2</v>
      </c>
      <c r="AU60" s="440">
        <f t="shared" si="42"/>
        <v>3.2688000000000002E-2</v>
      </c>
      <c r="AV60" s="633">
        <v>41615</v>
      </c>
      <c r="AW60" s="644"/>
      <c r="AX60" s="608">
        <v>0</v>
      </c>
      <c r="AY60" s="441">
        <f t="shared" si="62"/>
        <v>9.1569587758471155E-3</v>
      </c>
      <c r="AZ60" s="440">
        <f t="shared" si="62"/>
        <v>9.6120356989252247E-3</v>
      </c>
      <c r="BA60" s="440">
        <f t="shared" si="62"/>
        <v>-1.0731950703062668E-3</v>
      </c>
      <c r="BB60" s="440">
        <f t="shared" si="62"/>
        <v>2.2766510835404083E-3</v>
      </c>
      <c r="BC60" s="608">
        <f t="shared" si="5"/>
        <v>2.2766510835404083E-2</v>
      </c>
      <c r="BD60" s="627" t="s">
        <v>494</v>
      </c>
      <c r="BE60" s="580">
        <v>41615</v>
      </c>
      <c r="BF60" s="441">
        <f t="shared" si="63"/>
        <v>8.4332450788100743</v>
      </c>
      <c r="BG60" s="440">
        <f t="shared" si="63"/>
        <v>16.097245078811994</v>
      </c>
      <c r="BH60" s="440">
        <f t="shared" si="63"/>
        <v>15.493245078811579</v>
      </c>
      <c r="BI60" s="440">
        <f t="shared" si="63"/>
        <v>7.6772450788113789</v>
      </c>
      <c r="BJ60" s="645"/>
      <c r="BK60" s="441">
        <v>9.1569587758471158</v>
      </c>
      <c r="BL60" s="440">
        <v>9.612035698925224</v>
      </c>
      <c r="BM60" s="440"/>
      <c r="BN60" s="440">
        <v>2.2766510835404081</v>
      </c>
      <c r="BO60" s="353">
        <v>72</v>
      </c>
      <c r="BP60" s="353">
        <f t="shared" si="9"/>
        <v>14.4</v>
      </c>
      <c r="BQ60" s="610">
        <f t="shared" si="10"/>
        <v>51.428571428571431</v>
      </c>
      <c r="BR60" s="610">
        <f t="shared" si="11"/>
        <v>19.45945945945946</v>
      </c>
      <c r="BT60" s="648"/>
      <c r="BU60" s="648"/>
      <c r="BV60" s="648"/>
      <c r="BW60" s="648"/>
      <c r="BX60" s="648"/>
      <c r="BY60" s="616" t="s">
        <v>495</v>
      </c>
      <c r="BZ60" s="617">
        <v>31</v>
      </c>
      <c r="CA60" s="608">
        <v>0</v>
      </c>
      <c r="CB60" s="608">
        <f t="shared" si="12"/>
        <v>0</v>
      </c>
      <c r="CC60" s="608"/>
      <c r="CD60" s="631">
        <f t="shared" si="13"/>
        <v>205.8</v>
      </c>
      <c r="CE60" s="364"/>
      <c r="CF60" s="364"/>
      <c r="CG60" s="364"/>
      <c r="CH60" s="364"/>
      <c r="CI60" s="364"/>
      <c r="CJ60" s="364"/>
      <c r="CK60" s="364"/>
      <c r="CL60" s="623"/>
      <c r="CM60" s="364"/>
      <c r="CN60" s="632" t="s">
        <v>454</v>
      </c>
      <c r="CO60" s="580">
        <f>'[3]Plots R2&gt;.75 - UPDATED'!R57</f>
        <v>41616</v>
      </c>
      <c r="CP60" s="620"/>
      <c r="CQ60" s="633">
        <v>41616</v>
      </c>
      <c r="CR60" s="596">
        <v>65887.429760024374</v>
      </c>
      <c r="CS60" s="597">
        <v>269893.59829110256</v>
      </c>
      <c r="CT60" s="597">
        <v>88464.998621104736</v>
      </c>
      <c r="CU60" s="621">
        <v>96091.824586844246</v>
      </c>
      <c r="CV60" s="569">
        <f t="shared" si="33"/>
        <v>0.45896463270976462</v>
      </c>
      <c r="CW60" s="569">
        <f t="shared" si="51"/>
        <v>0</v>
      </c>
      <c r="CX60" s="569">
        <f t="shared" si="35"/>
        <v>0.11204415440555821</v>
      </c>
      <c r="CY60" s="569">
        <f t="shared" si="52"/>
        <v>2.0034725841802055</v>
      </c>
      <c r="CZ60" s="569">
        <f t="shared" si="41"/>
        <v>0.34183010762841703</v>
      </c>
      <c r="DA60" s="569">
        <f t="shared" si="61"/>
        <v>0.23849869175802196</v>
      </c>
      <c r="DB60" s="569">
        <f t="shared" si="19"/>
        <v>0.3146989884937631</v>
      </c>
      <c r="DC60" s="569">
        <f t="shared" si="60"/>
        <v>0.62685391971762894</v>
      </c>
      <c r="DD60" s="622"/>
      <c r="DE60" s="299">
        <v>41614</v>
      </c>
      <c r="DF60" s="463">
        <v>7.0367676986999488</v>
      </c>
      <c r="DG60" s="463">
        <v>30.011591848844912</v>
      </c>
      <c r="DH60" s="463">
        <v>9.3981943618657375</v>
      </c>
      <c r="DI60" s="463">
        <v>10.865401909486174</v>
      </c>
      <c r="DJ60" s="528">
        <v>0.84332450788100743</v>
      </c>
      <c r="DK60" s="528">
        <v>1.6097245078811993</v>
      </c>
      <c r="DL60" s="528">
        <v>1.5493245078811579</v>
      </c>
      <c r="DM60" s="546">
        <v>0.76772450788113789</v>
      </c>
      <c r="DN60" s="528">
        <f t="shared" si="37"/>
        <v>8.4332450788100743</v>
      </c>
      <c r="DO60" s="528">
        <f t="shared" si="38"/>
        <v>16.097245078811994</v>
      </c>
      <c r="DP60" s="528">
        <f t="shared" si="39"/>
        <v>15.493245078811579</v>
      </c>
      <c r="DQ60" s="528">
        <f t="shared" si="40"/>
        <v>7.6772450788113789</v>
      </c>
      <c r="DR60" s="463">
        <v>0.84332450788100743</v>
      </c>
      <c r="DS60" s="463">
        <v>1.6097245078811993</v>
      </c>
      <c r="DT60" s="463">
        <v>1.5493245078811579</v>
      </c>
      <c r="DU60" s="463">
        <v>0.76772450788113789</v>
      </c>
      <c r="DV60" s="463">
        <v>0.67966510994523821</v>
      </c>
      <c r="DW60" s="463">
        <v>1.7955597399709995</v>
      </c>
      <c r="DX60" s="463">
        <v>1.5340212544321057</v>
      </c>
      <c r="DY60" s="463">
        <v>0.63153638159846492</v>
      </c>
      <c r="DZ60" s="463">
        <v>0.67966510994523821</v>
      </c>
      <c r="EA60" s="463">
        <v>1.7955597399709995</v>
      </c>
      <c r="EB60" s="463">
        <v>1.5340212544321057</v>
      </c>
      <c r="EC60" s="463">
        <v>0.63153638159846492</v>
      </c>
      <c r="ED60" s="463">
        <f t="shared" si="24"/>
        <v>6.7966510994523821</v>
      </c>
      <c r="EE60" s="463">
        <f t="shared" si="25"/>
        <v>17.955597399709994</v>
      </c>
      <c r="EF60" s="463">
        <f t="shared" si="26"/>
        <v>15.340212544321057</v>
      </c>
      <c r="EG60" s="463">
        <f t="shared" si="27"/>
        <v>6.3153638159846492</v>
      </c>
      <c r="EH60" s="528">
        <f>'[3]Plots R2&gt;.75 - UPDATED'!S57</f>
        <v>1.4761350043176198</v>
      </c>
      <c r="EI60" s="528">
        <f>'[3]Plots R2&gt;.75 - UPDATED'!T57</f>
        <v>2.7452350043176192</v>
      </c>
      <c r="EJ60" s="528">
        <f>'[3]Plots R2&gt;.75 - UPDATED'!U57</f>
        <v>3.0964350043176188</v>
      </c>
      <c r="EK60" s="546">
        <f>'[3]Plots R2&gt;.75 - UPDATED'!V57</f>
        <v>2.6472350043176198</v>
      </c>
      <c r="EL60" s="676">
        <v>0</v>
      </c>
      <c r="EM60" s="495">
        <v>1.6500000000000001</v>
      </c>
      <c r="EN60" s="299">
        <v>41614</v>
      </c>
      <c r="EO60" s="528">
        <v>1.4761350043176198</v>
      </c>
      <c r="EP60" s="528">
        <v>2.7452350043176192</v>
      </c>
      <c r="EQ60" s="528">
        <v>3.0964350043176188</v>
      </c>
      <c r="ER60" s="546">
        <v>2.6472350043176198</v>
      </c>
      <c r="GN60" s="640"/>
      <c r="GO60" s="640"/>
      <c r="GP60" s="640"/>
      <c r="GQ60" s="640"/>
      <c r="GR60" s="640"/>
      <c r="GS60" s="640"/>
      <c r="GT60" s="640"/>
      <c r="GU60" s="640"/>
      <c r="GV60" s="640"/>
      <c r="HF60" s="560">
        <v>0.3609333659189381</v>
      </c>
      <c r="HG60" s="560">
        <v>1.0569188970994938</v>
      </c>
      <c r="HH60" s="513">
        <v>8.4691013232896364E-2</v>
      </c>
      <c r="HI60" s="513">
        <v>2.5417501357402048</v>
      </c>
      <c r="HJ60" s="515">
        <v>0.27954094481909986</v>
      </c>
      <c r="HK60" s="515">
        <v>2.0401696786318673</v>
      </c>
      <c r="HL60" s="515">
        <v>0.22445621380833264</v>
      </c>
      <c r="HM60" s="515">
        <v>-0.23067304510029413</v>
      </c>
    </row>
    <row r="61" spans="10:221" ht="16">
      <c r="J61" s="580">
        <v>41598</v>
      </c>
      <c r="K61" s="581">
        <v>0</v>
      </c>
      <c r="L61" s="582">
        <v>12.4643</v>
      </c>
      <c r="M61" s="582">
        <v>12.653</v>
      </c>
      <c r="N61" s="582">
        <v>13.6617</v>
      </c>
      <c r="O61" s="582">
        <v>13.249000000000001</v>
      </c>
      <c r="P61" s="582">
        <v>98.882300000000001</v>
      </c>
      <c r="Q61" s="582">
        <v>10.110659870287039</v>
      </c>
      <c r="R61" s="582">
        <v>2.1686401297129607</v>
      </c>
      <c r="S61" s="582">
        <v>3.1923401297129619</v>
      </c>
      <c r="T61" s="582">
        <v>3.7410401297129612</v>
      </c>
      <c r="U61" s="582">
        <v>3.4083401297129612</v>
      </c>
      <c r="W61" s="580">
        <v>41616</v>
      </c>
      <c r="X61" s="582">
        <f t="shared" si="54"/>
        <v>1.4769724588176234</v>
      </c>
      <c r="Y61" s="582">
        <f t="shared" si="54"/>
        <v>2.7460109203560847</v>
      </c>
      <c r="Z61" s="582">
        <f t="shared" si="54"/>
        <v>3.0967263049714693</v>
      </c>
      <c r="AA61" s="582">
        <f t="shared" si="54"/>
        <v>2.9377647665099298</v>
      </c>
      <c r="AB61" s="606"/>
      <c r="AC61" s="441">
        <f t="shared" si="47"/>
        <v>2.8636759653220434E-2</v>
      </c>
      <c r="AD61" s="440">
        <f t="shared" si="48"/>
        <v>3.5613682730143204E-2</v>
      </c>
      <c r="AE61" s="440">
        <f t="shared" si="49"/>
        <v>2.7190605807066337E-2</v>
      </c>
      <c r="AF61" s="440">
        <f t="shared" si="50"/>
        <v>3.6113682730142926E-2</v>
      </c>
      <c r="AG61" s="633">
        <v>41616</v>
      </c>
      <c r="AH61" s="560">
        <v>-1.527836087090529E-2</v>
      </c>
      <c r="AI61" s="513">
        <v>-3.1574114683453947E-3</v>
      </c>
      <c r="AJ61" s="513">
        <v>-8.9200549733784076E-3</v>
      </c>
      <c r="AK61" s="513">
        <v>-2.2867811302829315E-2</v>
      </c>
      <c r="AL61" s="634"/>
      <c r="AM61" s="441">
        <v>-1.5099999999999999E-5</v>
      </c>
      <c r="AN61" s="440">
        <v>-1.8099999999999999E-5</v>
      </c>
      <c r="AO61" s="440">
        <v>-2.1299999999999999E-5</v>
      </c>
      <c r="AP61" s="440">
        <v>-2.1800000000000001E-5</v>
      </c>
      <c r="AR61" s="441">
        <f t="shared" si="42"/>
        <v>2.1743999999999999E-2</v>
      </c>
      <c r="AS61" s="440">
        <f t="shared" si="42"/>
        <v>2.6064E-2</v>
      </c>
      <c r="AT61" s="440">
        <f t="shared" si="42"/>
        <v>3.0671999999999998E-2</v>
      </c>
      <c r="AU61" s="440">
        <f t="shared" si="42"/>
        <v>3.1392000000000003E-2</v>
      </c>
      <c r="AV61" s="633">
        <v>41616</v>
      </c>
      <c r="AW61" s="626"/>
      <c r="AX61" s="608">
        <v>0</v>
      </c>
      <c r="AY61" s="441">
        <f t="shared" si="62"/>
        <v>6.8927596532204344E-3</v>
      </c>
      <c r="AZ61" s="440">
        <f t="shared" si="62"/>
        <v>9.5496827301432032E-3</v>
      </c>
      <c r="BA61" s="440">
        <f t="shared" si="62"/>
        <v>-3.4813941929336609E-3</v>
      </c>
      <c r="BB61" s="440">
        <f t="shared" si="62"/>
        <v>4.7216827301429232E-3</v>
      </c>
      <c r="BC61" s="608">
        <f t="shared" si="5"/>
        <v>4.7216827301429232E-2</v>
      </c>
      <c r="BD61" s="627" t="s">
        <v>496</v>
      </c>
      <c r="BE61" s="580">
        <v>41616</v>
      </c>
      <c r="BF61" s="441">
        <f t="shared" si="63"/>
        <v>9.59079496567551</v>
      </c>
      <c r="BG61" s="440">
        <f t="shared" si="63"/>
        <v>9.7227949656754156</v>
      </c>
      <c r="BH61" s="440">
        <f t="shared" si="63"/>
        <v>14.833666980809801</v>
      </c>
      <c r="BI61" s="440">
        <f t="shared" si="63"/>
        <v>2.7027949656750971</v>
      </c>
      <c r="BJ61" s="645"/>
      <c r="BK61" s="441">
        <v>6.8927596532204349</v>
      </c>
      <c r="BL61" s="440">
        <v>9.5496827301432035</v>
      </c>
      <c r="BM61" s="440"/>
      <c r="BN61" s="440">
        <v>4.7216827301429234</v>
      </c>
      <c r="BO61" s="353">
        <v>72</v>
      </c>
      <c r="BP61" s="353">
        <f t="shared" si="9"/>
        <v>14.4</v>
      </c>
      <c r="BQ61" s="610">
        <f t="shared" si="10"/>
        <v>51.428571428571431</v>
      </c>
      <c r="BR61" s="610">
        <f t="shared" si="11"/>
        <v>19.45945945945946</v>
      </c>
      <c r="BT61" s="648"/>
      <c r="BU61" s="648"/>
      <c r="BV61" s="648"/>
      <c r="BW61" s="648"/>
      <c r="BX61" s="648"/>
      <c r="BY61" s="616" t="s">
        <v>497</v>
      </c>
      <c r="BZ61" s="617">
        <v>31</v>
      </c>
      <c r="CA61" s="608">
        <v>0</v>
      </c>
      <c r="CB61" s="608">
        <f t="shared" si="12"/>
        <v>0</v>
      </c>
      <c r="CC61" s="608"/>
      <c r="CD61" s="631">
        <f t="shared" si="13"/>
        <v>205.8</v>
      </c>
      <c r="CE61" s="364"/>
      <c r="CF61" s="364"/>
      <c r="CG61" s="364"/>
      <c r="CH61" s="364"/>
      <c r="CI61" s="364"/>
      <c r="CJ61" s="364"/>
      <c r="CK61" s="364"/>
      <c r="CL61" s="623"/>
      <c r="CM61" s="364"/>
      <c r="CN61" s="632" t="s">
        <v>456</v>
      </c>
      <c r="CO61" s="580">
        <f>'[3]Plots R2&gt;.75 - UPDATED'!R58</f>
        <v>41617</v>
      </c>
      <c r="CP61" s="620"/>
      <c r="CQ61" s="633">
        <v>41617</v>
      </c>
      <c r="CR61" s="596">
        <v>64526.372620970062</v>
      </c>
      <c r="CS61" s="597">
        <v>260238.41706020749</v>
      </c>
      <c r="CT61" s="597">
        <v>87099.640942482903</v>
      </c>
      <c r="CU61" s="621">
        <v>91988.170806339331</v>
      </c>
      <c r="CV61" s="569">
        <f t="shared" si="33"/>
        <v>0.46864559050344745</v>
      </c>
      <c r="CW61" s="569">
        <f t="shared" si="51"/>
        <v>0.17368673674720636</v>
      </c>
      <c r="CX61" s="569">
        <f t="shared" si="35"/>
        <v>0.11620113717877333</v>
      </c>
      <c r="CY61" s="569">
        <f t="shared" si="52"/>
        <v>2.1132261303278748</v>
      </c>
      <c r="CZ61" s="569">
        <f t="shared" si="41"/>
        <v>0.3471885724531204</v>
      </c>
      <c r="DA61" s="569">
        <f t="shared" si="61"/>
        <v>0.18485894341501841</v>
      </c>
      <c r="DB61" s="569">
        <f t="shared" si="19"/>
        <v>0.32873792070138674</v>
      </c>
      <c r="DC61" s="569">
        <f t="shared" si="60"/>
        <v>0.79746132233960831</v>
      </c>
      <c r="DD61" s="622"/>
      <c r="DE61" s="299">
        <v>41615</v>
      </c>
      <c r="DF61" s="463">
        <v>6.8784142779891919</v>
      </c>
      <c r="DG61" s="463">
        <v>29.099728532020155</v>
      </c>
      <c r="DH61" s="463">
        <v>9.2050013670390971</v>
      </c>
      <c r="DI61" s="463">
        <v>10.485831509030568</v>
      </c>
      <c r="DJ61" s="528">
        <v>0.95907949656755109</v>
      </c>
      <c r="DK61" s="528">
        <v>0.97227949656754165</v>
      </c>
      <c r="DL61" s="528"/>
      <c r="DM61" s="546">
        <v>0.27027949656750971</v>
      </c>
      <c r="DN61" s="528">
        <f t="shared" si="37"/>
        <v>9.59079496567551</v>
      </c>
      <c r="DO61" s="528">
        <f t="shared" si="38"/>
        <v>9.7227949656754156</v>
      </c>
      <c r="DP61" s="528">
        <f t="shared" si="39"/>
        <v>0</v>
      </c>
      <c r="DQ61" s="528">
        <f t="shared" si="40"/>
        <v>2.7027949656750971</v>
      </c>
      <c r="DR61" s="463">
        <v>0.95907949656755109</v>
      </c>
      <c r="DS61" s="463">
        <v>0.97227949656754165</v>
      </c>
      <c r="DT61" s="463">
        <v>1.4833666980809801</v>
      </c>
      <c r="DU61" s="463">
        <v>0.27027949656750971</v>
      </c>
      <c r="DV61" s="463">
        <v>0.23280580405790197</v>
      </c>
      <c r="DW61" s="463">
        <v>2.1155167385857636</v>
      </c>
      <c r="DX61" s="463">
        <v>0.580328799386439</v>
      </c>
      <c r="DY61" s="463">
        <v>0.94155290821139204</v>
      </c>
      <c r="DZ61" s="463">
        <v>0.23280580405790197</v>
      </c>
      <c r="EA61" s="463">
        <v>2.1155167385857636</v>
      </c>
      <c r="EB61" s="463">
        <v>0.580328799386439</v>
      </c>
      <c r="EC61" s="463">
        <v>0.94155290821139204</v>
      </c>
      <c r="ED61" s="463">
        <f t="shared" si="24"/>
        <v>2.3280580405790197</v>
      </c>
      <c r="EE61" s="463">
        <f t="shared" si="25"/>
        <v>21.155167385857638</v>
      </c>
      <c r="EF61" s="463">
        <f t="shared" si="26"/>
        <v>5.80328799386439</v>
      </c>
      <c r="EG61" s="463">
        <f t="shared" si="27"/>
        <v>9.4155290821139204</v>
      </c>
      <c r="EH61" s="528">
        <f>'[3]Plots R2&gt;.75 - UPDATED'!S58</f>
        <v>1.4483703853027508</v>
      </c>
      <c r="EI61" s="528">
        <f>'[3]Plots R2&gt;.75 - UPDATED'!T58</f>
        <v>2.7107703853027498</v>
      </c>
      <c r="EJ61" s="528">
        <f>'[3]Plots R2&gt;.75 - UPDATED'!U58</f>
        <v>3.0696703853027509</v>
      </c>
      <c r="EK61" s="546">
        <f>'[3]Plots R2&gt;.75 - UPDATED'!V58</f>
        <v>2.6114703853027499</v>
      </c>
      <c r="EL61" s="676">
        <v>0</v>
      </c>
      <c r="EM61" s="495">
        <v>0.1</v>
      </c>
      <c r="EN61" s="299">
        <v>41615</v>
      </c>
      <c r="EO61" s="528">
        <v>1.4483703853027508</v>
      </c>
      <c r="EP61" s="528">
        <v>2.7107703853027498</v>
      </c>
      <c r="EQ61" s="528">
        <v>3.0696703853027509</v>
      </c>
      <c r="ER61" s="546">
        <v>2.6114703853027499</v>
      </c>
      <c r="GN61" s="640"/>
      <c r="GO61" s="640"/>
      <c r="GP61" s="640"/>
      <c r="GQ61" s="640"/>
      <c r="GR61" s="640"/>
      <c r="GS61" s="640"/>
      <c r="GT61" s="640"/>
      <c r="GU61" s="640"/>
      <c r="GV61" s="640"/>
      <c r="HF61" s="560">
        <v>0.36916522944506969</v>
      </c>
      <c r="HG61" s="560">
        <v>0.43433757204688783</v>
      </c>
      <c r="HH61" s="513">
        <v>8.7025732557840255E-2</v>
      </c>
      <c r="HI61" s="513">
        <v>1.6532884463799511</v>
      </c>
      <c r="HJ61" s="515">
        <v>0.28636099409938798</v>
      </c>
      <c r="HK61" s="515">
        <v>2.0930943821574197</v>
      </c>
      <c r="HL61" s="515">
        <v>0.23134874265266533</v>
      </c>
      <c r="HM61" s="515">
        <v>-0.14639492746654878</v>
      </c>
    </row>
    <row r="62" spans="10:221" ht="16">
      <c r="J62" s="580">
        <v>41599</v>
      </c>
      <c r="K62" s="581">
        <v>0</v>
      </c>
      <c r="L62" s="582">
        <v>12.3873</v>
      </c>
      <c r="M62" s="582">
        <v>12.5989</v>
      </c>
      <c r="N62" s="582">
        <v>13.5886</v>
      </c>
      <c r="O62" s="582">
        <v>13.1911</v>
      </c>
      <c r="P62" s="582">
        <v>98.559799999999996</v>
      </c>
      <c r="Q62" s="582">
        <v>10.077684425660776</v>
      </c>
      <c r="R62" s="582">
        <v>2.1246155743392241</v>
      </c>
      <c r="S62" s="582">
        <v>3.1712155743392252</v>
      </c>
      <c r="T62" s="582">
        <v>3.7009155743392244</v>
      </c>
      <c r="U62" s="582">
        <v>3.3834155743392245</v>
      </c>
      <c r="W62" s="580">
        <v>41617</v>
      </c>
      <c r="X62" s="582">
        <f t="shared" si="54"/>
        <v>1.448335699164403</v>
      </c>
      <c r="Y62" s="582">
        <f t="shared" si="54"/>
        <v>2.7103972376259415</v>
      </c>
      <c r="Z62" s="582">
        <f t="shared" si="54"/>
        <v>3.0695356991644029</v>
      </c>
      <c r="AA62" s="582">
        <f t="shared" si="54"/>
        <v>2.9016510837797869</v>
      </c>
      <c r="AB62" s="606"/>
      <c r="AC62" s="441">
        <f t="shared" si="47"/>
        <v>2.6985108201502461E-2</v>
      </c>
      <c r="AD62" s="440">
        <f t="shared" si="48"/>
        <v>3.5577415893809583E-2</v>
      </c>
      <c r="AE62" s="440">
        <f t="shared" si="49"/>
        <v>3.8477415893809486E-2</v>
      </c>
      <c r="AF62" s="440">
        <f t="shared" si="50"/>
        <v>3.5085108201501569E-2</v>
      </c>
      <c r="AG62" s="633">
        <v>41617</v>
      </c>
      <c r="AH62" s="560">
        <v>-1.4865028136669846E-2</v>
      </c>
      <c r="AI62" s="513">
        <v>-2.665346807613927E-3</v>
      </c>
      <c r="AJ62" s="513">
        <v>-8.8874734560310843E-3</v>
      </c>
      <c r="AK62" s="513">
        <v>-2.2391303400716555E-2</v>
      </c>
      <c r="AL62" s="634"/>
      <c r="AM62" s="441">
        <v>-1.26E-5</v>
      </c>
      <c r="AN62" s="440">
        <v>-1.9300000000000002E-5</v>
      </c>
      <c r="AO62" s="440">
        <v>-1.9899999999999999E-5</v>
      </c>
      <c r="AP62" s="440">
        <v>-2.0100000000000001E-5</v>
      </c>
      <c r="AR62" s="441">
        <f t="shared" si="42"/>
        <v>1.8144E-2</v>
      </c>
      <c r="AS62" s="440">
        <f t="shared" si="42"/>
        <v>2.7792000000000001E-2</v>
      </c>
      <c r="AT62" s="440">
        <f t="shared" si="42"/>
        <v>2.8655999999999997E-2</v>
      </c>
      <c r="AU62" s="440">
        <f t="shared" si="42"/>
        <v>2.8944000000000001E-2</v>
      </c>
      <c r="AV62" s="633">
        <v>41617</v>
      </c>
      <c r="AW62" s="626"/>
      <c r="AX62" s="608">
        <v>0</v>
      </c>
      <c r="AY62" s="441">
        <f t="shared" si="62"/>
        <v>8.8411082015024609E-3</v>
      </c>
      <c r="AZ62" s="440">
        <f t="shared" si="62"/>
        <v>7.7854158938095823E-3</v>
      </c>
      <c r="BA62" s="440">
        <f t="shared" si="62"/>
        <v>9.8214158938094882E-3</v>
      </c>
      <c r="BB62" s="440">
        <f t="shared" si="62"/>
        <v>6.1411082015015682E-3</v>
      </c>
      <c r="BC62" s="608">
        <f t="shared" si="5"/>
        <v>6.1411082015015682E-2</v>
      </c>
      <c r="BD62" s="627" t="s">
        <v>498</v>
      </c>
      <c r="BE62" s="580">
        <v>41617</v>
      </c>
      <c r="BF62" s="441">
        <f t="shared" si="63"/>
        <v>7.7129348714572146</v>
      </c>
      <c r="BG62" s="440">
        <f t="shared" si="63"/>
        <v>10.662934871457539</v>
      </c>
      <c r="BH62" s="440">
        <f t="shared" si="63"/>
        <v>14.174088882808022</v>
      </c>
      <c r="BI62" s="440">
        <f t="shared" si="63"/>
        <v>3.2848152816306686</v>
      </c>
      <c r="BJ62" s="645"/>
      <c r="BK62" s="441">
        <v>8.8411082015024611</v>
      </c>
      <c r="BL62" s="440">
        <v>7.7854158938095814</v>
      </c>
      <c r="BM62" s="440">
        <v>9.8214158938094887</v>
      </c>
      <c r="BN62" s="440">
        <v>6.1411082015015683</v>
      </c>
      <c r="BO62" s="353">
        <v>77</v>
      </c>
      <c r="BP62" s="353">
        <f t="shared" si="9"/>
        <v>15.4</v>
      </c>
      <c r="BQ62" s="610">
        <f t="shared" si="10"/>
        <v>55</v>
      </c>
      <c r="BR62" s="610">
        <f t="shared" si="11"/>
        <v>20.810810810810811</v>
      </c>
      <c r="BT62" s="648"/>
      <c r="BU62" s="648"/>
      <c r="BV62" s="648"/>
      <c r="BW62" s="648"/>
      <c r="BX62" s="648"/>
      <c r="BY62" s="616" t="s">
        <v>499</v>
      </c>
      <c r="BZ62" s="617">
        <v>31</v>
      </c>
      <c r="CA62" s="608">
        <v>0</v>
      </c>
      <c r="CB62" s="608">
        <f t="shared" si="12"/>
        <v>0</v>
      </c>
      <c r="CC62" s="608"/>
      <c r="CD62" s="631">
        <f t="shared" si="13"/>
        <v>205.8</v>
      </c>
      <c r="CE62" s="364"/>
      <c r="CF62" s="364"/>
      <c r="CG62" s="364"/>
      <c r="CH62" s="364"/>
      <c r="CI62" s="364"/>
      <c r="CJ62" s="364"/>
      <c r="CK62" s="364"/>
      <c r="CL62" s="623"/>
      <c r="CM62" s="364"/>
      <c r="CN62" s="632" t="s">
        <v>458</v>
      </c>
      <c r="CO62" s="580">
        <f>'[3]Plots R2&gt;.75 - UPDATED'!R59</f>
        <v>41618</v>
      </c>
      <c r="CP62" s="620"/>
      <c r="CQ62" s="633">
        <v>41618</v>
      </c>
      <c r="CR62" s="596">
        <v>63213.367289268361</v>
      </c>
      <c r="CS62" s="597">
        <v>250387.6889513614</v>
      </c>
      <c r="CT62" s="597">
        <v>85145.324322079847</v>
      </c>
      <c r="CU62" s="621">
        <v>88075.874695683568</v>
      </c>
      <c r="CV62" s="569">
        <f t="shared" si="33"/>
        <v>0.47837983162042058</v>
      </c>
      <c r="CW62" s="569">
        <f t="shared" si="51"/>
        <v>0.1450664767099708</v>
      </c>
      <c r="CX62" s="569">
        <f t="shared" si="35"/>
        <v>0.12077271101725059</v>
      </c>
      <c r="CY62" s="569">
        <f t="shared" si="52"/>
        <v>2.0658417302184682</v>
      </c>
      <c r="CZ62" s="569">
        <f t="shared" si="41"/>
        <v>0.35515749385851098</v>
      </c>
      <c r="DA62" s="569">
        <f t="shared" si="61"/>
        <v>1.2781006817789387</v>
      </c>
      <c r="DB62" s="569">
        <f t="shared" si="19"/>
        <v>0.34334033132777964</v>
      </c>
      <c r="DC62" s="569">
        <f t="shared" si="60"/>
        <v>0.55430236856305037</v>
      </c>
      <c r="DD62" s="622"/>
      <c r="DE62" s="464">
        <v>41616</v>
      </c>
      <c r="DF62" s="483">
        <v>6.7242486673832795</v>
      </c>
      <c r="DG62" s="483">
        <v>27.978740502915425</v>
      </c>
      <c r="DH62" s="483">
        <v>8.9985441626155271</v>
      </c>
      <c r="DI62" s="483">
        <v>10.027492862307211</v>
      </c>
      <c r="DJ62" s="473"/>
      <c r="DK62" s="473"/>
      <c r="DL62" s="473"/>
      <c r="DM62" s="545"/>
      <c r="DN62" s="528">
        <f t="shared" si="37"/>
        <v>0</v>
      </c>
      <c r="DO62" s="528">
        <f t="shared" si="38"/>
        <v>0</v>
      </c>
      <c r="DP62" s="528">
        <f t="shared" si="39"/>
        <v>0</v>
      </c>
      <c r="DQ62" s="528">
        <f t="shared" si="40"/>
        <v>0</v>
      </c>
      <c r="DR62" s="483">
        <v>0.77129348714572143</v>
      </c>
      <c r="DS62" s="483">
        <v>1.0662934871457539</v>
      </c>
      <c r="DT62" s="483">
        <v>1.4174088882808022</v>
      </c>
      <c r="DU62" s="483">
        <v>0.32848152816306686</v>
      </c>
      <c r="DV62" s="483">
        <v>0.64233232725065381</v>
      </c>
      <c r="DW62" s="483">
        <v>2.2294272675066482</v>
      </c>
      <c r="DX62" s="483">
        <v>0.53204751586813881</v>
      </c>
      <c r="DY62" s="483">
        <v>1.1261992430409951</v>
      </c>
      <c r="DZ62" s="483"/>
      <c r="EA62" s="483"/>
      <c r="EB62" s="483"/>
      <c r="EC62" s="483"/>
      <c r="ED62" s="463">
        <f t="shared" si="24"/>
        <v>0</v>
      </c>
      <c r="EE62" s="463">
        <f t="shared" si="25"/>
        <v>0</v>
      </c>
      <c r="EF62" s="463">
        <f t="shared" si="26"/>
        <v>0</v>
      </c>
      <c r="EG62" s="463">
        <f t="shared" si="27"/>
        <v>0</v>
      </c>
      <c r="EH62" s="473">
        <f>'[3]Plots R2&gt;.75 - UPDATED'!S59</f>
        <v>1.4215358193055381</v>
      </c>
      <c r="EI62" s="473">
        <f>'[3]Plots R2&gt;.75 - UPDATED'!T59</f>
        <v>2.6747358193055391</v>
      </c>
      <c r="EJ62" s="473">
        <f>'[3]Plots R2&gt;.75 - UPDATED'!U59</f>
        <v>3.0310358193055391</v>
      </c>
      <c r="EK62" s="545">
        <f>'[3]Plots R2&gt;.75 - UPDATED'!V59</f>
        <v>2.5763358193055388</v>
      </c>
      <c r="EL62" s="675">
        <v>0</v>
      </c>
      <c r="EM62" s="495">
        <v>0.95</v>
      </c>
      <c r="EN62" s="464">
        <v>41616</v>
      </c>
      <c r="EO62" s="473">
        <v>1.4215358193055381</v>
      </c>
      <c r="EP62" s="473">
        <v>2.6747358193055391</v>
      </c>
      <c r="EQ62" s="473">
        <v>3.0310358193055391</v>
      </c>
      <c r="ER62" s="545">
        <v>2.5763358193055388</v>
      </c>
      <c r="GN62" s="640"/>
      <c r="GO62" s="640"/>
      <c r="GP62" s="640"/>
      <c r="GQ62" s="640"/>
      <c r="GR62" s="640"/>
      <c r="GS62" s="640"/>
      <c r="GT62" s="640"/>
      <c r="GU62" s="640"/>
      <c r="GV62" s="640"/>
      <c r="HF62" s="560">
        <v>0.37750310213353355</v>
      </c>
      <c r="HG62" s="560">
        <v>0.66184001163422823</v>
      </c>
      <c r="HH62" s="513">
        <v>8.9109559551517128E-2</v>
      </c>
      <c r="HI62" s="513">
        <v>1.8721601844254701</v>
      </c>
      <c r="HJ62" s="515">
        <v>0.29310044085598236</v>
      </c>
      <c r="HK62" s="515">
        <v>1.4983239815998386</v>
      </c>
      <c r="HL62" s="515">
        <v>0.23825539114043334</v>
      </c>
      <c r="HM62" s="515">
        <v>0</v>
      </c>
    </row>
    <row r="63" spans="10:221" ht="16">
      <c r="J63" s="580">
        <v>41600</v>
      </c>
      <c r="K63" s="581">
        <v>0</v>
      </c>
      <c r="L63" s="582">
        <v>12.3392</v>
      </c>
      <c r="M63" s="582">
        <v>12.5829</v>
      </c>
      <c r="N63" s="582">
        <v>13.5541</v>
      </c>
      <c r="O63" s="582">
        <v>13.171900000000001</v>
      </c>
      <c r="P63" s="582">
        <v>98.621300000000005</v>
      </c>
      <c r="Q63" s="582">
        <v>10.083972766263924</v>
      </c>
      <c r="R63" s="582">
        <v>2.0702272337360754</v>
      </c>
      <c r="S63" s="582">
        <v>3.1489272337360763</v>
      </c>
      <c r="T63" s="582">
        <v>3.660127233736076</v>
      </c>
      <c r="U63" s="582">
        <v>3.3579272337360759</v>
      </c>
      <c r="W63" s="580">
        <v>41618</v>
      </c>
      <c r="X63" s="582">
        <f t="shared" si="54"/>
        <v>1.4213505909629005</v>
      </c>
      <c r="Y63" s="582">
        <f t="shared" si="54"/>
        <v>2.674819821732132</v>
      </c>
      <c r="Z63" s="582">
        <f t="shared" si="54"/>
        <v>3.0310582832705935</v>
      </c>
      <c r="AA63" s="582">
        <f t="shared" si="54"/>
        <v>2.8665659755782853</v>
      </c>
      <c r="AB63" s="606"/>
      <c r="AC63" s="441">
        <f t="shared" si="47"/>
        <v>2.6809072421745572E-2</v>
      </c>
      <c r="AD63" s="440">
        <f t="shared" si="48"/>
        <v>3.9847533960207127E-2</v>
      </c>
      <c r="AE63" s="440">
        <f t="shared" si="49"/>
        <v>3.5339841652514803E-2</v>
      </c>
      <c r="AF63" s="440">
        <f t="shared" si="50"/>
        <v>3.6332149344822984E-2</v>
      </c>
      <c r="AG63" s="633">
        <v>41618</v>
      </c>
      <c r="AH63" s="560">
        <v>-1.4448063615759021E-2</v>
      </c>
      <c r="AI63" s="513">
        <v>-2.1081877822585996E-3</v>
      </c>
      <c r="AJ63" s="513">
        <v>-8.8368790957634186E-3</v>
      </c>
      <c r="AK63" s="513">
        <v>-2.1850316505784336E-2</v>
      </c>
      <c r="AL63" s="634"/>
      <c r="AM63" s="441">
        <v>-1.2099999999999999E-5</v>
      </c>
      <c r="AN63" s="440">
        <v>-1.6099999999999998E-5</v>
      </c>
      <c r="AO63" s="440">
        <v>-1.9400000000000001E-5</v>
      </c>
      <c r="AP63" s="440">
        <v>-2.0000000000000002E-5</v>
      </c>
      <c r="AR63" s="441">
        <f t="shared" si="42"/>
        <v>1.7423999999999999E-2</v>
      </c>
      <c r="AS63" s="440">
        <f t="shared" si="42"/>
        <v>2.3183999999999996E-2</v>
      </c>
      <c r="AT63" s="440">
        <f t="shared" si="42"/>
        <v>2.7936000000000002E-2</v>
      </c>
      <c r="AU63" s="440">
        <f t="shared" si="42"/>
        <v>2.8800000000000003E-2</v>
      </c>
      <c r="AV63" s="633">
        <v>41618</v>
      </c>
      <c r="AW63" s="626"/>
      <c r="AX63" s="608">
        <v>0</v>
      </c>
      <c r="AY63" s="441">
        <f t="shared" si="62"/>
        <v>9.3850724217455737E-3</v>
      </c>
      <c r="AZ63" s="440">
        <f t="shared" si="62"/>
        <v>1.666353396020713E-2</v>
      </c>
      <c r="BA63" s="440">
        <f t="shared" si="62"/>
        <v>7.4038416525148004E-3</v>
      </c>
      <c r="BB63" s="440">
        <f t="shared" si="62"/>
        <v>7.5321493448229811E-3</v>
      </c>
      <c r="BC63" s="608">
        <f t="shared" si="5"/>
        <v>7.5321493448229804E-2</v>
      </c>
      <c r="BD63" s="627" t="s">
        <v>500</v>
      </c>
      <c r="BE63" s="580">
        <v>41618</v>
      </c>
      <c r="BF63" s="441">
        <f t="shared" si="63"/>
        <v>5.8350747772389173</v>
      </c>
      <c r="BG63" s="440">
        <f t="shared" si="63"/>
        <v>11.603074777239662</v>
      </c>
      <c r="BH63" s="440">
        <f t="shared" si="63"/>
        <v>13.514510784806244</v>
      </c>
      <c r="BI63" s="440">
        <f t="shared" si="63"/>
        <v>3.8668355975862401</v>
      </c>
      <c r="BJ63" s="645"/>
      <c r="BK63" s="441">
        <v>9.3850724217455745</v>
      </c>
      <c r="BL63" s="440">
        <v>16.663533960207133</v>
      </c>
      <c r="BM63" s="440">
        <v>7.4038416525147994</v>
      </c>
      <c r="BN63" s="440">
        <v>7.5321493448229813</v>
      </c>
      <c r="BO63" s="353">
        <v>77</v>
      </c>
      <c r="BP63" s="353">
        <f t="shared" si="9"/>
        <v>15.4</v>
      </c>
      <c r="BQ63" s="610">
        <f t="shared" si="10"/>
        <v>55</v>
      </c>
      <c r="BR63" s="610">
        <f t="shared" si="11"/>
        <v>20.810810810810811</v>
      </c>
      <c r="BT63" s="648"/>
      <c r="BU63" s="648"/>
      <c r="BV63" s="648"/>
      <c r="BW63" s="648"/>
      <c r="BX63" s="648"/>
      <c r="BY63" s="616" t="s">
        <v>501</v>
      </c>
      <c r="BZ63" s="617">
        <v>32</v>
      </c>
      <c r="CA63" s="608">
        <v>1.3</v>
      </c>
      <c r="CB63" s="608">
        <f t="shared" si="12"/>
        <v>13</v>
      </c>
      <c r="CC63" s="608"/>
      <c r="CD63" s="631">
        <f t="shared" si="13"/>
        <v>218.8</v>
      </c>
      <c r="CE63" s="364"/>
      <c r="CF63" s="364"/>
      <c r="CG63" s="364"/>
      <c r="CH63" s="364"/>
      <c r="CI63" s="364"/>
      <c r="CJ63" s="364"/>
      <c r="CK63" s="364"/>
      <c r="CL63" s="623"/>
      <c r="CM63" s="364"/>
      <c r="CN63" s="632" t="s">
        <v>460</v>
      </c>
      <c r="CO63" s="580">
        <f>'[3]Plots R2&gt;.75 - UPDATED'!R60</f>
        <v>41619</v>
      </c>
      <c r="CP63" s="620"/>
      <c r="CQ63" s="633">
        <v>41619</v>
      </c>
      <c r="CR63" s="641">
        <v>61892.983463937722</v>
      </c>
      <c r="CS63" s="642">
        <v>239916.07107414189</v>
      </c>
      <c r="CT63" s="642">
        <v>83394.982264264603</v>
      </c>
      <c r="CU63" s="643">
        <v>84119.968197370457</v>
      </c>
      <c r="CV63" s="513">
        <f t="shared" si="33"/>
        <v>0.48858526940488328</v>
      </c>
      <c r="CW63" s="513">
        <f t="shared" si="51"/>
        <v>0.46950602808376024</v>
      </c>
      <c r="CX63" s="513">
        <f t="shared" si="35"/>
        <v>0.12604407810035723</v>
      </c>
      <c r="CY63" s="513">
        <f t="shared" si="52"/>
        <v>2.437434802738188</v>
      </c>
      <c r="CZ63" s="513">
        <f t="shared" si="41"/>
        <v>0.36261174448331379</v>
      </c>
      <c r="DA63" s="513">
        <f t="shared" si="61"/>
        <v>1.0568262046266184</v>
      </c>
      <c r="DB63" s="513">
        <f t="shared" si="19"/>
        <v>0.35948658383997439</v>
      </c>
      <c r="DC63" s="513">
        <f t="shared" si="60"/>
        <v>0.76921530159409035</v>
      </c>
      <c r="DD63" s="653"/>
      <c r="DE63" s="464">
        <v>41617</v>
      </c>
      <c r="DF63" s="483">
        <v>6.588742976002437</v>
      </c>
      <c r="DG63" s="483">
        <v>26.989359829110256</v>
      </c>
      <c r="DH63" s="483">
        <v>8.8464998621104733</v>
      </c>
      <c r="DI63" s="483">
        <v>9.6091824586844243</v>
      </c>
      <c r="DJ63" s="473"/>
      <c r="DK63" s="473"/>
      <c r="DL63" s="473"/>
      <c r="DM63" s="545"/>
      <c r="DN63" s="528">
        <f t="shared" si="37"/>
        <v>0</v>
      </c>
      <c r="DO63" s="528">
        <f t="shared" si="38"/>
        <v>0</v>
      </c>
      <c r="DP63" s="528">
        <f t="shared" si="39"/>
        <v>0</v>
      </c>
      <c r="DQ63" s="528">
        <f t="shared" si="40"/>
        <v>0</v>
      </c>
      <c r="DR63" s="483">
        <v>0.58350747772389178</v>
      </c>
      <c r="DS63" s="483">
        <v>1.1603074777239661</v>
      </c>
      <c r="DT63" s="483">
        <v>1.3514510784806244</v>
      </c>
      <c r="DU63" s="483">
        <v>0.38668355975862401</v>
      </c>
      <c r="DV63" s="483">
        <v>0.62344630833039139</v>
      </c>
      <c r="DW63" s="483">
        <v>2.1866144412357187</v>
      </c>
      <c r="DX63" s="483">
        <v>1.6332581756374496</v>
      </c>
      <c r="DY63" s="483">
        <v>0.89764269989083001</v>
      </c>
      <c r="DZ63" s="483"/>
      <c r="EA63" s="483"/>
      <c r="EB63" s="483"/>
      <c r="EC63" s="483"/>
      <c r="ED63" s="463">
        <f t="shared" si="24"/>
        <v>0</v>
      </c>
      <c r="EE63" s="463">
        <f t="shared" si="25"/>
        <v>0</v>
      </c>
      <c r="EF63" s="463">
        <f t="shared" si="26"/>
        <v>0</v>
      </c>
      <c r="EG63" s="463">
        <f t="shared" si="27"/>
        <v>0</v>
      </c>
      <c r="EH63" s="473">
        <f>'[3]Plots R2&gt;.75 - UPDATED'!S60</f>
        <v>1.394499628031872</v>
      </c>
      <c r="EI63" s="473">
        <f>'[3]Plots R2&gt;.75 - UPDATED'!T60</f>
        <v>2.6353996280318732</v>
      </c>
      <c r="EJ63" s="473">
        <f>'[3]Plots R2&gt;.75 - UPDATED'!U60</f>
        <v>2.9960996280318719</v>
      </c>
      <c r="EK63" s="545">
        <f>'[3]Plots R2&gt;.75 - UPDATED'!V60</f>
        <v>2.539699628031872</v>
      </c>
      <c r="EL63" s="675">
        <v>1.6500000000000001</v>
      </c>
      <c r="EM63" s="495">
        <v>0</v>
      </c>
      <c r="EN63" s="464">
        <v>41617</v>
      </c>
      <c r="EO63" s="473">
        <v>1.394499628031872</v>
      </c>
      <c r="EP63" s="473">
        <v>2.6353996280318732</v>
      </c>
      <c r="EQ63" s="473">
        <v>2.9960996280318719</v>
      </c>
      <c r="ER63" s="545">
        <v>2.539699628031872</v>
      </c>
      <c r="GN63" s="640"/>
      <c r="GO63" s="640"/>
      <c r="GP63" s="640"/>
      <c r="GQ63" s="640"/>
      <c r="GR63" s="640"/>
      <c r="GS63" s="640"/>
      <c r="GT63" s="640"/>
      <c r="GU63" s="640"/>
      <c r="GV63" s="640"/>
      <c r="HF63" s="559">
        <v>0.3892137812513452</v>
      </c>
      <c r="HG63" s="559">
        <v>1.6632737697976525</v>
      </c>
      <c r="HH63" s="569">
        <v>9.1041589625642072E-2</v>
      </c>
      <c r="HI63" s="569">
        <v>1.7446200411227548</v>
      </c>
      <c r="HJ63" s="599">
        <v>0.29850424266983755</v>
      </c>
      <c r="HK63" s="599">
        <v>1.35099297680881</v>
      </c>
      <c r="HL63" s="599">
        <v>0.24547264008508651</v>
      </c>
      <c r="HM63" s="599">
        <v>0</v>
      </c>
    </row>
    <row r="64" spans="10:221" ht="16">
      <c r="J64" s="580">
        <v>41601</v>
      </c>
      <c r="K64" s="581">
        <v>0</v>
      </c>
      <c r="L64" s="582">
        <v>12.296099999999999</v>
      </c>
      <c r="M64" s="582">
        <v>12.571199999999999</v>
      </c>
      <c r="N64" s="582">
        <v>13.5282</v>
      </c>
      <c r="O64" s="582">
        <v>13.1577</v>
      </c>
      <c r="P64" s="582">
        <v>98.739199999999997</v>
      </c>
      <c r="Q64" s="582">
        <v>10.096027975322642</v>
      </c>
      <c r="R64" s="582">
        <v>2.0150720246773575</v>
      </c>
      <c r="S64" s="582">
        <v>3.125172024677358</v>
      </c>
      <c r="T64" s="582">
        <v>3.6221720246773588</v>
      </c>
      <c r="U64" s="582">
        <v>3.3316720246773581</v>
      </c>
      <c r="W64" s="580">
        <v>41619</v>
      </c>
      <c r="X64" s="582">
        <f t="shared" si="54"/>
        <v>1.3945415185411549</v>
      </c>
      <c r="Y64" s="582">
        <f>AVERAGE(S82,S244,S406,S568,S730,S892,S1054,S1216,S1378,S1540,S1702,S1864,S2026)</f>
        <v>2.6349722877719248</v>
      </c>
      <c r="Z64" s="582">
        <f t="shared" si="54"/>
        <v>2.9957184416180787</v>
      </c>
      <c r="AA64" s="582">
        <f t="shared" si="54"/>
        <v>2.8302338262334623</v>
      </c>
      <c r="AB64" s="606"/>
      <c r="AC64" s="441">
        <f t="shared" si="47"/>
        <v>2.3615361764736109E-2</v>
      </c>
      <c r="AD64" s="440">
        <f t="shared" si="48"/>
        <v>4.3176900226274739E-2</v>
      </c>
      <c r="AE64" s="440">
        <f t="shared" si="49"/>
        <v>4.2123054072428889E-2</v>
      </c>
      <c r="AF64" s="440">
        <f t="shared" si="50"/>
        <v>3.817690022627529E-2</v>
      </c>
      <c r="AG64" s="633">
        <v>41619</v>
      </c>
      <c r="AH64" s="560">
        <v>-1.4009511549226496E-2</v>
      </c>
      <c r="AI64" s="513">
        <v>-1.4459856932844163E-3</v>
      </c>
      <c r="AJ64" s="513">
        <v>-8.7873054763962614E-3</v>
      </c>
      <c r="AK64" s="513">
        <v>-2.1201339216117734E-2</v>
      </c>
      <c r="AL64" s="634"/>
      <c r="AM64" s="441">
        <v>-1.5E-5</v>
      </c>
      <c r="AN64" s="440">
        <v>-2.09E-5</v>
      </c>
      <c r="AO64" s="440">
        <v>-2.1100000000000001E-5</v>
      </c>
      <c r="AP64" s="440">
        <v>-2.7100000000000001E-5</v>
      </c>
      <c r="AR64" s="441">
        <f t="shared" si="42"/>
        <v>2.1600000000000001E-2</v>
      </c>
      <c r="AS64" s="440">
        <f t="shared" si="42"/>
        <v>3.0096000000000001E-2</v>
      </c>
      <c r="AT64" s="440">
        <f t="shared" si="42"/>
        <v>3.0384000000000001E-2</v>
      </c>
      <c r="AU64" s="440">
        <f t="shared" si="42"/>
        <v>3.9024000000000003E-2</v>
      </c>
      <c r="AV64" s="633">
        <v>41619</v>
      </c>
      <c r="AW64" s="644"/>
      <c r="AX64" s="608">
        <v>0</v>
      </c>
      <c r="AY64" s="441">
        <f t="shared" si="62"/>
        <v>2.015361764736108E-3</v>
      </c>
      <c r="AZ64" s="440">
        <f t="shared" si="62"/>
        <v>1.3080900226274738E-2</v>
      </c>
      <c r="BA64" s="440">
        <f t="shared" si="62"/>
        <v>1.1739054072428888E-2</v>
      </c>
      <c r="BB64" s="440">
        <f t="shared" si="62"/>
        <v>-8.4709977372471323E-4</v>
      </c>
      <c r="BC64" s="608">
        <f t="shared" si="5"/>
        <v>-8.4709977372471323E-3</v>
      </c>
      <c r="BD64" s="627" t="s">
        <v>502</v>
      </c>
      <c r="BE64" s="580">
        <v>41619</v>
      </c>
      <c r="BF64" s="441">
        <f t="shared" si="63"/>
        <v>3.957214683020621</v>
      </c>
      <c r="BG64" s="440">
        <f t="shared" si="63"/>
        <v>12.543214683021784</v>
      </c>
      <c r="BH64" s="440">
        <f t="shared" si="63"/>
        <v>12.854932686804466</v>
      </c>
      <c r="BI64" s="440">
        <f t="shared" si="63"/>
        <v>4.4488559135418111</v>
      </c>
      <c r="BJ64" s="645"/>
      <c r="BK64" s="441">
        <v>2.0153617647361082</v>
      </c>
      <c r="BL64" s="440">
        <v>13.080900226274739</v>
      </c>
      <c r="BM64" s="440">
        <v>11.739054072428887</v>
      </c>
      <c r="BN64" s="440"/>
      <c r="BO64" s="353">
        <v>74</v>
      </c>
      <c r="BP64" s="353">
        <f t="shared" si="9"/>
        <v>14.8</v>
      </c>
      <c r="BQ64" s="610">
        <f t="shared" si="10"/>
        <v>52.857142857142861</v>
      </c>
      <c r="BR64" s="610">
        <f t="shared" si="11"/>
        <v>20</v>
      </c>
      <c r="BT64" s="648"/>
      <c r="BU64" s="648"/>
      <c r="BV64" s="648"/>
      <c r="BW64" s="648"/>
      <c r="BX64" s="648"/>
      <c r="BY64" s="616" t="s">
        <v>372</v>
      </c>
      <c r="BZ64" s="617">
        <v>31</v>
      </c>
      <c r="CA64" s="608">
        <v>0</v>
      </c>
      <c r="CB64" s="608">
        <f t="shared" si="12"/>
        <v>0</v>
      </c>
      <c r="CC64" s="608"/>
      <c r="CD64" s="631">
        <f t="shared" si="13"/>
        <v>218.8</v>
      </c>
      <c r="CE64" s="364"/>
      <c r="CF64" s="364"/>
      <c r="CG64" s="364"/>
      <c r="CH64" s="364"/>
      <c r="CI64" s="364"/>
      <c r="CJ64" s="364"/>
      <c r="CK64" s="364"/>
      <c r="CL64" s="623"/>
      <c r="CM64" s="364"/>
      <c r="CN64" s="632" t="s">
        <v>462</v>
      </c>
      <c r="CO64" s="580">
        <f>'[3]Plots R2&gt;.75 - UPDATED'!R61</f>
        <v>41620</v>
      </c>
      <c r="CP64" s="620"/>
      <c r="CQ64" s="633">
        <v>41620</v>
      </c>
      <c r="CR64" s="641">
        <v>60738.624394500534</v>
      </c>
      <c r="CS64" s="642">
        <v>228653.6791615125</v>
      </c>
      <c r="CT64" s="642">
        <v>81283.460745780059</v>
      </c>
      <c r="CU64" s="643">
        <v>80170.515907154026</v>
      </c>
      <c r="CV64" s="513">
        <f t="shared" si="33"/>
        <v>0.49787100550038171</v>
      </c>
      <c r="CW64" s="513">
        <f t="shared" si="51"/>
        <v>0.26117783957696877</v>
      </c>
      <c r="CX64" s="513">
        <f t="shared" si="35"/>
        <v>0.13225240945560984</v>
      </c>
      <c r="CY64" s="513">
        <f t="shared" si="52"/>
        <v>2.7327490212159491</v>
      </c>
      <c r="CZ64" s="513">
        <f t="shared" si="41"/>
        <v>0.37203140371419219</v>
      </c>
      <c r="DA64" s="513">
        <f t="shared" si="61"/>
        <v>1.787638048646182</v>
      </c>
      <c r="DB64" s="513">
        <f t="shared" si="19"/>
        <v>0.37719602596821417</v>
      </c>
      <c r="DC64" s="513">
        <f t="shared" si="60"/>
        <v>0.77751788835059554</v>
      </c>
      <c r="DD64" s="622"/>
      <c r="DE64" s="464">
        <v>41618</v>
      </c>
      <c r="DF64" s="483">
        <v>6.4526372620970065</v>
      </c>
      <c r="DG64" s="483">
        <v>26.02384170602075</v>
      </c>
      <c r="DH64" s="483">
        <v>8.7099640942482903</v>
      </c>
      <c r="DI64" s="483">
        <v>9.1988170806339333</v>
      </c>
      <c r="DJ64" s="473"/>
      <c r="DK64" s="473"/>
      <c r="DL64" s="473"/>
      <c r="DM64" s="545"/>
      <c r="DN64" s="528">
        <f t="shared" si="37"/>
        <v>0</v>
      </c>
      <c r="DO64" s="528">
        <f t="shared" si="38"/>
        <v>0</v>
      </c>
      <c r="DP64" s="528">
        <f t="shared" si="39"/>
        <v>0</v>
      </c>
      <c r="DQ64" s="528">
        <f t="shared" si="40"/>
        <v>0</v>
      </c>
      <c r="DR64" s="483">
        <v>0.39572146830206212</v>
      </c>
      <c r="DS64" s="483">
        <v>1.2543214683021784</v>
      </c>
      <c r="DT64" s="483">
        <v>1.2854932686804466</v>
      </c>
      <c r="DU64" s="483">
        <v>0.44488559135418115</v>
      </c>
      <c r="DV64" s="483">
        <v>0.95809129748864352</v>
      </c>
      <c r="DW64" s="483">
        <v>2.5634788808385451</v>
      </c>
      <c r="DX64" s="483">
        <v>1.4194379491099323</v>
      </c>
      <c r="DY64" s="483">
        <v>1.1287018854340647</v>
      </c>
      <c r="DZ64" s="483"/>
      <c r="EA64" s="483"/>
      <c r="EB64" s="483"/>
      <c r="EC64" s="483"/>
      <c r="ED64" s="463">
        <f t="shared" si="24"/>
        <v>0</v>
      </c>
      <c r="EE64" s="463">
        <f t="shared" si="25"/>
        <v>0</v>
      </c>
      <c r="EF64" s="463">
        <f t="shared" si="26"/>
        <v>0</v>
      </c>
      <c r="EG64" s="463">
        <f t="shared" si="27"/>
        <v>0</v>
      </c>
      <c r="EH64" s="473">
        <f>'[3]Plots R2&gt;.75 - UPDATED'!S61</f>
        <v>1.3708202734430697</v>
      </c>
      <c r="EI64" s="473">
        <f>'[3]Plots R2&gt;.75 - UPDATED'!T61</f>
        <v>2.5918202734430693</v>
      </c>
      <c r="EJ64" s="473">
        <f>'[3]Plots R2&gt;.75 - UPDATED'!U61</f>
        <v>2.9535202734430692</v>
      </c>
      <c r="EK64" s="545">
        <f>'[3]Plots R2&gt;.75 - UPDATED'!V61</f>
        <v>2.5019202734430688</v>
      </c>
      <c r="EL64" s="675">
        <v>0.1</v>
      </c>
      <c r="EM64" s="495">
        <v>0</v>
      </c>
      <c r="EN64" s="464">
        <v>41618</v>
      </c>
      <c r="EO64" s="473">
        <v>1.3708202734430697</v>
      </c>
      <c r="EP64" s="473">
        <v>2.5918202734430693</v>
      </c>
      <c r="EQ64" s="473">
        <v>2.9535202734430692</v>
      </c>
      <c r="ER64" s="545">
        <v>2.5019202734430688</v>
      </c>
      <c r="GN64" s="640"/>
      <c r="GO64" s="640"/>
      <c r="GP64" s="640"/>
      <c r="GQ64" s="640"/>
      <c r="GR64" s="640"/>
      <c r="GS64" s="640"/>
      <c r="GT64" s="640"/>
      <c r="GU64" s="640"/>
      <c r="GV64" s="640"/>
      <c r="HF64" s="559">
        <v>0.40022409074342091</v>
      </c>
      <c r="HG64" s="559">
        <v>0</v>
      </c>
      <c r="HH64" s="569">
        <v>9.3383482377745755E-2</v>
      </c>
      <c r="HI64" s="569">
        <v>-0.22826355030133871</v>
      </c>
      <c r="HJ64" s="599">
        <v>0.30295450939625962</v>
      </c>
      <c r="HK64" s="599">
        <v>0.59956219972309266</v>
      </c>
      <c r="HL64" s="599">
        <v>0.25273420315372558</v>
      </c>
      <c r="HM64" s="599">
        <v>-1.353848312728305</v>
      </c>
    </row>
    <row r="65" spans="10:221" ht="16">
      <c r="J65" s="580">
        <v>41602</v>
      </c>
      <c r="K65" s="581">
        <v>0</v>
      </c>
      <c r="L65" s="582">
        <v>12.2583</v>
      </c>
      <c r="M65" s="582">
        <v>12.560700000000001</v>
      </c>
      <c r="N65" s="582">
        <v>13.496600000000001</v>
      </c>
      <c r="O65" s="582">
        <v>13.1419</v>
      </c>
      <c r="P65" s="582">
        <v>98.836500000000001</v>
      </c>
      <c r="Q65" s="582">
        <v>10.105976845902907</v>
      </c>
      <c r="R65" s="582">
        <v>1.9673231540970932</v>
      </c>
      <c r="S65" s="582">
        <v>3.1047231540970941</v>
      </c>
      <c r="T65" s="582">
        <v>3.5806231540970943</v>
      </c>
      <c r="U65" s="582">
        <v>3.3059231540970924</v>
      </c>
      <c r="W65" s="580">
        <v>41620</v>
      </c>
      <c r="X65" s="582">
        <f t="shared" si="54"/>
        <v>1.3709261567764188</v>
      </c>
      <c r="Y65" s="582">
        <f t="shared" si="54"/>
        <v>2.5917953875456501</v>
      </c>
      <c r="Z65" s="582">
        <f t="shared" si="54"/>
        <v>2.9535953875456498</v>
      </c>
      <c r="AA65" s="582">
        <f t="shared" si="54"/>
        <v>2.792056926007187</v>
      </c>
      <c r="AB65" s="606"/>
      <c r="AC65" s="441">
        <f t="shared" si="47"/>
        <v>4.5740026862051142E-3</v>
      </c>
      <c r="AD65" s="440">
        <f t="shared" si="48"/>
        <v>3.4355411477426934E-3</v>
      </c>
      <c r="AE65" s="440">
        <f t="shared" si="49"/>
        <v>6.6816949938965919E-3</v>
      </c>
      <c r="AF65" s="440">
        <f t="shared" si="50"/>
        <v>3.4970796092803624E-3</v>
      </c>
      <c r="AG65" s="633">
        <v>41620</v>
      </c>
      <c r="AH65" s="560">
        <v>-1.3609279759499346E-2</v>
      </c>
      <c r="AI65" s="513">
        <v>-7.5930492003119167E-4</v>
      </c>
      <c r="AJ65" s="513">
        <v>-8.7216643255130753E-3</v>
      </c>
      <c r="AK65" s="513">
        <v>-2.0431771408564895E-2</v>
      </c>
      <c r="AL65" s="634"/>
      <c r="AM65" s="441">
        <v>-9.7799999999999995E-6</v>
      </c>
      <c r="AN65" s="440">
        <v>-2.73E-5</v>
      </c>
      <c r="AO65" s="440">
        <v>-2.1299999999999999E-5</v>
      </c>
      <c r="AP65" s="440">
        <v>-2.1100000000000001E-5</v>
      </c>
      <c r="AR65" s="441">
        <f>-AM65*1440</f>
        <v>1.4083199999999999E-2</v>
      </c>
      <c r="AS65" s="440">
        <f>-AN65*1440</f>
        <v>3.9312E-2</v>
      </c>
      <c r="AT65" s="440">
        <f>-AO65*1440</f>
        <v>3.0671999999999998E-2</v>
      </c>
      <c r="AU65" s="440">
        <f>-AP65*1440</f>
        <v>3.0384000000000001E-2</v>
      </c>
      <c r="AV65" s="633">
        <v>41620</v>
      </c>
      <c r="AW65" s="644"/>
      <c r="AX65" s="607">
        <v>0.03</v>
      </c>
      <c r="AY65" s="441">
        <f t="shared" si="62"/>
        <v>-9.5091973137948847E-3</v>
      </c>
      <c r="AZ65" s="440">
        <f t="shared" si="62"/>
        <v>-3.5876458852257306E-2</v>
      </c>
      <c r="BA65" s="440">
        <f t="shared" si="62"/>
        <v>-2.3990305006103406E-2</v>
      </c>
      <c r="BB65" s="440">
        <f t="shared" si="62"/>
        <v>-2.6886920390719639E-2</v>
      </c>
      <c r="BC65" s="608">
        <f t="shared" si="5"/>
        <v>-0.26886920390719637</v>
      </c>
      <c r="BD65" s="627" t="s">
        <v>503</v>
      </c>
      <c r="BE65" s="580">
        <v>41620</v>
      </c>
      <c r="BF65" s="441">
        <f t="shared" si="63"/>
        <v>2.0793545888023246</v>
      </c>
      <c r="BG65" s="440">
        <f t="shared" si="63"/>
        <v>13.483354588803905</v>
      </c>
      <c r="BH65" s="440">
        <f t="shared" si="63"/>
        <v>12.195354588802685</v>
      </c>
      <c r="BI65" s="440">
        <f t="shared" si="63"/>
        <v>5.030876229497383</v>
      </c>
      <c r="BJ65" s="645"/>
      <c r="BK65" s="441"/>
      <c r="BL65" s="440"/>
      <c r="BM65" s="440"/>
      <c r="BN65" s="440"/>
      <c r="BO65" s="353">
        <v>80</v>
      </c>
      <c r="BP65" s="353">
        <f t="shared" si="9"/>
        <v>16</v>
      </c>
      <c r="BQ65" s="610">
        <f t="shared" si="10"/>
        <v>57.142857142857146</v>
      </c>
      <c r="BR65" s="610">
        <f t="shared" si="11"/>
        <v>21.621621621621621</v>
      </c>
      <c r="BT65" s="648"/>
      <c r="BU65" s="648"/>
      <c r="BV65" s="648"/>
      <c r="BW65" s="648"/>
      <c r="BX65" s="648"/>
      <c r="BY65" s="616" t="s">
        <v>375</v>
      </c>
      <c r="BZ65" s="617">
        <v>32</v>
      </c>
      <c r="CA65" s="608">
        <v>0</v>
      </c>
      <c r="CB65" s="608">
        <f t="shared" si="12"/>
        <v>0</v>
      </c>
      <c r="CC65" s="608"/>
      <c r="CD65" s="631">
        <f t="shared" si="13"/>
        <v>218.8</v>
      </c>
      <c r="CE65" s="364"/>
      <c r="CF65" s="364"/>
      <c r="CG65" s="364"/>
      <c r="CH65" s="364"/>
      <c r="CI65" s="364"/>
      <c r="CJ65" s="364"/>
      <c r="CK65" s="364"/>
      <c r="CL65" s="623"/>
      <c r="CM65" s="364"/>
      <c r="CN65" s="632" t="s">
        <v>464</v>
      </c>
      <c r="CO65" s="580">
        <f>'[3]Plots R2&gt;.75 - UPDATED'!R62</f>
        <v>41621</v>
      </c>
      <c r="CP65" s="620"/>
      <c r="CQ65" s="633">
        <v>41621</v>
      </c>
      <c r="CR65" s="641">
        <v>60555.361457826533</v>
      </c>
      <c r="CS65" s="642">
        <v>227875.36381641121</v>
      </c>
      <c r="CT65" s="642">
        <v>80910.914141853311</v>
      </c>
      <c r="CU65" s="643">
        <v>79835.514125695336</v>
      </c>
      <c r="CV65" s="450"/>
      <c r="CW65" s="450"/>
      <c r="CX65" s="450"/>
      <c r="CY65" s="450"/>
      <c r="CZ65" s="450"/>
      <c r="DA65" s="450"/>
      <c r="DB65" s="450"/>
      <c r="DC65" s="450"/>
      <c r="DD65" s="622"/>
      <c r="DE65" s="299">
        <v>41619</v>
      </c>
      <c r="DF65" s="463">
        <v>6.3213367289268358</v>
      </c>
      <c r="DG65" s="463">
        <v>25.03876889513614</v>
      </c>
      <c r="DH65" s="463">
        <v>8.5145324322079841</v>
      </c>
      <c r="DI65" s="463">
        <v>8.8075874695683574</v>
      </c>
      <c r="DJ65" s="528">
        <v>0.20793545888023246</v>
      </c>
      <c r="DK65" s="528">
        <v>1.3483354588803906</v>
      </c>
      <c r="DL65" s="528">
        <v>1.2195354588802685</v>
      </c>
      <c r="DM65" s="546"/>
      <c r="DN65" s="528">
        <f t="shared" si="37"/>
        <v>2.0793545888023246</v>
      </c>
      <c r="DO65" s="528">
        <f t="shared" si="38"/>
        <v>13.483354588803905</v>
      </c>
      <c r="DP65" s="528">
        <f t="shared" si="39"/>
        <v>12.195354588802685</v>
      </c>
      <c r="DQ65" s="528">
        <f t="shared" si="40"/>
        <v>0</v>
      </c>
      <c r="DR65" s="463">
        <v>0.20793545888023246</v>
      </c>
      <c r="DS65" s="463">
        <v>1.3483354588803906</v>
      </c>
      <c r="DT65" s="463">
        <v>1.2195354588802685</v>
      </c>
      <c r="DU65" s="463">
        <v>0.5030876229497383</v>
      </c>
      <c r="DV65" s="463">
        <v>0.75904884507735049</v>
      </c>
      <c r="DW65" s="463">
        <v>2.8650014306715588</v>
      </c>
      <c r="DX65" s="463">
        <v>2.1596694523603741</v>
      </c>
      <c r="DY65" s="463">
        <v>1.1547139143188097</v>
      </c>
      <c r="DZ65" s="463">
        <v>0.75904884507735049</v>
      </c>
      <c r="EA65" s="463">
        <v>2.8650014306715588</v>
      </c>
      <c r="EB65" s="463">
        <v>2.1596694523603741</v>
      </c>
      <c r="EC65" s="463">
        <v>1.1547139143188097</v>
      </c>
      <c r="ED65" s="463">
        <f t="shared" si="24"/>
        <v>7.5904884507735044</v>
      </c>
      <c r="EE65" s="463">
        <f t="shared" si="25"/>
        <v>28.650014306715587</v>
      </c>
      <c r="EF65" s="463">
        <f t="shared" si="26"/>
        <v>21.596694523603741</v>
      </c>
      <c r="EG65" s="463">
        <f t="shared" si="27"/>
        <v>11.547139143188097</v>
      </c>
      <c r="EH65" s="528">
        <f>'[3]Plots R2&gt;.75 - UPDATED'!S62</f>
        <v>1.3670572820543492</v>
      </c>
      <c r="EI65" s="528">
        <f>'[3]Plots R2&gt;.75 - UPDATED'!T62</f>
        <v>2.588757282054349</v>
      </c>
      <c r="EJ65" s="528">
        <f>'[3]Plots R2&gt;.75 - UPDATED'!U62</f>
        <v>2.9459572820543505</v>
      </c>
      <c r="EK65" s="546">
        <f>'[3]Plots R2&gt;.75 - UPDATED'!V62</f>
        <v>2.4986572820543489</v>
      </c>
      <c r="EL65" s="676">
        <v>0.95</v>
      </c>
      <c r="EM65" s="495">
        <v>0</v>
      </c>
      <c r="EN65" s="299">
        <v>41619</v>
      </c>
      <c r="EO65" s="528">
        <v>1.3670572820543492</v>
      </c>
      <c r="EP65" s="528">
        <v>2.588757282054349</v>
      </c>
      <c r="EQ65" s="528">
        <v>2.9459572820543505</v>
      </c>
      <c r="ER65" s="546">
        <v>2.4986572820543489</v>
      </c>
      <c r="GN65" s="640"/>
      <c r="GO65" s="640"/>
      <c r="GP65" s="640"/>
      <c r="GQ65" s="640"/>
      <c r="GR65" s="640"/>
      <c r="GS65" s="640"/>
      <c r="GT65" s="640"/>
      <c r="GU65" s="640"/>
      <c r="GV65" s="640"/>
      <c r="HF65" s="559">
        <v>0.4091802024810875</v>
      </c>
      <c r="HG65" s="559">
        <v>0</v>
      </c>
      <c r="HH65" s="569">
        <v>9.5536351137595815E-2</v>
      </c>
      <c r="HI65" s="569">
        <v>-1.2385011216926443</v>
      </c>
      <c r="HJ65" s="598"/>
      <c r="HK65" s="598"/>
      <c r="HL65" s="598"/>
      <c r="HM65" s="598"/>
    </row>
    <row r="66" spans="10:221" ht="16">
      <c r="J66" s="580">
        <v>41603</v>
      </c>
      <c r="K66" s="581">
        <v>0</v>
      </c>
      <c r="L66" s="582">
        <v>12.214499999999999</v>
      </c>
      <c r="M66" s="582">
        <v>12.542</v>
      </c>
      <c r="N66" s="582">
        <v>13.4603</v>
      </c>
      <c r="O66" s="582">
        <v>13.121700000000001</v>
      </c>
      <c r="P66" s="582">
        <v>98.880600000000001</v>
      </c>
      <c r="Q66" s="582">
        <v>10.110486046237847</v>
      </c>
      <c r="R66" s="582">
        <v>1.919013953762152</v>
      </c>
      <c r="S66" s="582">
        <v>3.081513953762153</v>
      </c>
      <c r="T66" s="582">
        <v>3.5398139537621534</v>
      </c>
      <c r="U66" s="582">
        <v>3.281213953762153</v>
      </c>
      <c r="W66" s="580">
        <v>41621</v>
      </c>
      <c r="X66" s="582">
        <f t="shared" si="54"/>
        <v>1.3663521540902137</v>
      </c>
      <c r="Y66" s="582">
        <f t="shared" si="54"/>
        <v>2.5883598463979074</v>
      </c>
      <c r="Z66" s="582">
        <f t="shared" si="54"/>
        <v>2.9469136925517532</v>
      </c>
      <c r="AA66" s="582">
        <f t="shared" si="54"/>
        <v>2.7885598463979067</v>
      </c>
      <c r="AB66" s="606"/>
      <c r="AC66" s="438">
        <f t="shared" si="47"/>
        <v>-7.8437534225097583E-3</v>
      </c>
      <c r="AD66" s="439">
        <f t="shared" si="48"/>
        <v>-3.3905291884047006E-2</v>
      </c>
      <c r="AE66" s="439">
        <f t="shared" si="49"/>
        <v>-1.1982214960970516E-2</v>
      </c>
      <c r="AF66" s="439">
        <f t="shared" si="50"/>
        <v>-2.3682214960970782E-2</v>
      </c>
      <c r="AG66" s="633">
        <v>41621</v>
      </c>
      <c r="AH66" s="511">
        <v>-1.3544231449485595E-2</v>
      </c>
      <c r="AI66" s="512">
        <v>-7.5916511839244918E-4</v>
      </c>
      <c r="AJ66" s="512">
        <v>-8.7093771878579366E-3</v>
      </c>
      <c r="AK66" s="512">
        <v>-2.0360173030996388E-2</v>
      </c>
      <c r="AL66" s="634"/>
      <c r="AM66" s="438"/>
      <c r="AN66" s="439"/>
      <c r="AO66" s="439"/>
      <c r="AP66" s="439"/>
      <c r="AR66" s="438"/>
      <c r="AS66" s="439"/>
      <c r="AT66" s="439"/>
      <c r="AU66" s="439"/>
      <c r="AV66" s="633">
        <v>41621</v>
      </c>
      <c r="AW66" s="644"/>
      <c r="AX66" s="607">
        <v>1.37</v>
      </c>
      <c r="AY66" s="438"/>
      <c r="AZ66" s="439"/>
      <c r="BA66" s="439"/>
      <c r="BB66" s="439"/>
      <c r="BC66" s="608">
        <f>BB66*10</f>
        <v>0</v>
      </c>
      <c r="BD66" s="627" t="s">
        <v>504</v>
      </c>
      <c r="BE66" s="580">
        <v>41621</v>
      </c>
      <c r="BF66" s="438"/>
      <c r="BG66" s="439"/>
      <c r="BH66" s="439"/>
      <c r="BI66" s="439"/>
      <c r="BJ66" s="628"/>
      <c r="BK66" s="438"/>
      <c r="BL66" s="439"/>
      <c r="BM66" s="439"/>
      <c r="BN66" s="439"/>
      <c r="BO66" s="353">
        <v>90</v>
      </c>
      <c r="BP66" s="353">
        <f t="shared" si="9"/>
        <v>18</v>
      </c>
      <c r="BQ66" s="610">
        <f t="shared" si="10"/>
        <v>64.285714285714292</v>
      </c>
      <c r="BR66" s="610">
        <f t="shared" si="11"/>
        <v>24.324324324324323</v>
      </c>
      <c r="BT66" s="648"/>
      <c r="BU66" s="648"/>
      <c r="BV66" s="648"/>
      <c r="BW66" s="648"/>
      <c r="BX66" s="648"/>
      <c r="BY66" s="616" t="s">
        <v>378</v>
      </c>
      <c r="BZ66" s="617">
        <v>31</v>
      </c>
      <c r="CA66" s="608">
        <v>0</v>
      </c>
      <c r="CB66" s="608">
        <f t="shared" si="12"/>
        <v>0</v>
      </c>
      <c r="CC66" s="608"/>
      <c r="CD66" s="631">
        <f t="shared" si="13"/>
        <v>218.8</v>
      </c>
      <c r="CE66" s="364"/>
      <c r="CF66" s="364"/>
      <c r="CG66" s="364"/>
      <c r="CH66" s="364"/>
      <c r="CI66" s="364"/>
      <c r="CJ66" s="364"/>
      <c r="CK66" s="364"/>
      <c r="CL66" s="623"/>
      <c r="CM66" s="364"/>
      <c r="CN66" s="632" t="s">
        <v>466</v>
      </c>
      <c r="CO66" s="580">
        <f>'[3]Plots R2&gt;.75 - UPDATED'!R63</f>
        <v>41622</v>
      </c>
      <c r="CP66" s="620"/>
      <c r="CQ66" s="633">
        <v>41622</v>
      </c>
      <c r="CR66" s="641">
        <v>60920.423381005989</v>
      </c>
      <c r="CS66" s="642">
        <v>236403.02801285899</v>
      </c>
      <c r="CT66" s="642">
        <v>81551.499003104051</v>
      </c>
      <c r="CU66" s="643">
        <v>82300.700530499773</v>
      </c>
      <c r="CV66" s="513">
        <f t="shared" si="33"/>
        <v>0.49638525672867112</v>
      </c>
      <c r="CW66" s="513">
        <f t="shared" ref="CW66:CW100" si="64">IF(ABS(DV67)&lt;=CV66,0,IF(DV67&gt;0,DV67-CV66,DV67+CV66))</f>
        <v>-2.0806444773299511</v>
      </c>
      <c r="CX66" s="513">
        <f t="shared" si="35"/>
        <v>0.12791714325399889</v>
      </c>
      <c r="CY66" s="513">
        <f t="shared" ref="CY66:CY88" si="65">IF(ABS(DW67)&lt;=CX66,0,IF(DW67&gt;0,DW67-CX66,DW67+CX66))</f>
        <v>-4.469698199075812</v>
      </c>
      <c r="CZ66" s="513">
        <f t="shared" si="41"/>
        <v>0.37080863466223951</v>
      </c>
      <c r="DA66" s="513">
        <f t="shared" ref="DA66:DA97" si="66">IF(ABS(DX67)&lt;=CZ66,0,IF(DX67&gt;0,DX67-CZ66,DX67+CZ66))</f>
        <v>-3.1371356732334879</v>
      </c>
      <c r="DB66" s="513">
        <f t="shared" si="19"/>
        <v>0.36743308143280473</v>
      </c>
      <c r="DC66" s="513">
        <f t="shared" ref="DC66:DC97" si="67">IF(ABS(DY67)&lt;=DB66,0,IF(DY67&gt;0,DY67-DB66,DY67+DB66))</f>
        <v>-4.6675668928116272</v>
      </c>
      <c r="DD66" s="653"/>
      <c r="DE66" s="299">
        <v>41620</v>
      </c>
      <c r="DF66" s="463">
        <v>6.1892983463937723</v>
      </c>
      <c r="DG66" s="463">
        <v>23.99160710741419</v>
      </c>
      <c r="DH66" s="463">
        <v>8.3394982264264605</v>
      </c>
      <c r="DI66" s="463">
        <v>8.4119968197370465</v>
      </c>
      <c r="DJ66" s="528"/>
      <c r="DK66" s="528"/>
      <c r="DL66" s="528"/>
      <c r="DM66" s="546"/>
      <c r="DN66" s="528">
        <f t="shared" si="37"/>
        <v>0</v>
      </c>
      <c r="DO66" s="528">
        <f t="shared" si="38"/>
        <v>0</v>
      </c>
      <c r="DP66" s="528">
        <f t="shared" si="39"/>
        <v>0</v>
      </c>
      <c r="DQ66" s="528">
        <f t="shared" si="40"/>
        <v>0</v>
      </c>
      <c r="DR66" s="463">
        <v>0.34052553149323217</v>
      </c>
      <c r="DS66" s="463">
        <v>1.2188455314933204</v>
      </c>
      <c r="DT66" s="463">
        <v>1.2785255314932047</v>
      </c>
      <c r="DU66" s="463">
        <v>0.56128965454529545</v>
      </c>
      <c r="DV66" s="463">
        <v>-1.3251543685711176</v>
      </c>
      <c r="DW66" s="463">
        <v>-0.98847688462440475</v>
      </c>
      <c r="DX66" s="463">
        <v>-1.3943928251726381</v>
      </c>
      <c r="DY66" s="463">
        <v>-2.2781676565297966</v>
      </c>
      <c r="DZ66" s="483"/>
      <c r="EA66" s="483"/>
      <c r="EB66" s="483"/>
      <c r="EC66" s="483"/>
      <c r="ED66" s="463">
        <f t="shared" si="24"/>
        <v>0</v>
      </c>
      <c r="EE66" s="463">
        <f t="shared" si="25"/>
        <v>0</v>
      </c>
      <c r="EF66" s="463">
        <f t="shared" si="26"/>
        <v>0</v>
      </c>
      <c r="EG66" s="463">
        <f t="shared" si="27"/>
        <v>0</v>
      </c>
      <c r="EH66" s="528">
        <f>'[3]Plots R2&gt;.75 - UPDATED'!S63</f>
        <v>1.3745521919043875</v>
      </c>
      <c r="EI66" s="528">
        <f>'[3]Plots R2&gt;.75 - UPDATED'!T63</f>
        <v>2.6219521919043878</v>
      </c>
      <c r="EJ66" s="528">
        <f>'[3]Plots R2&gt;.75 - UPDATED'!U63</f>
        <v>2.9589521919043884</v>
      </c>
      <c r="EK66" s="546">
        <f>'[3]Plots R2&gt;.75 - UPDATED'!V63</f>
        <v>2.5224521919043883</v>
      </c>
      <c r="EL66" s="676">
        <v>0</v>
      </c>
      <c r="EM66" s="495">
        <v>0.5</v>
      </c>
      <c r="EN66" s="299">
        <v>41620</v>
      </c>
      <c r="EO66" s="528">
        <v>1.3745521919043875</v>
      </c>
      <c r="EP66" s="528">
        <v>2.6219521919043878</v>
      </c>
      <c r="EQ66" s="528">
        <v>2.9589521919043884</v>
      </c>
      <c r="ER66" s="546">
        <v>2.5224521919043883</v>
      </c>
      <c r="GN66" s="640"/>
      <c r="GO66" s="640"/>
      <c r="GP66" s="640"/>
      <c r="GQ66" s="640"/>
      <c r="GR66" s="640"/>
      <c r="GS66" s="640"/>
      <c r="GT66" s="640"/>
      <c r="GU66" s="640"/>
      <c r="GV66" s="640"/>
      <c r="HF66" s="559">
        <v>0.41159792404198042</v>
      </c>
      <c r="HG66" s="559">
        <v>0.40926492224986305</v>
      </c>
      <c r="HH66" s="569">
        <v>9.5989601042717601E-2</v>
      </c>
      <c r="HI66" s="569">
        <v>0</v>
      </c>
      <c r="HJ66" s="598"/>
      <c r="HK66" s="598"/>
      <c r="HL66" s="599">
        <v>0.26346051066571879</v>
      </c>
      <c r="HM66" s="599">
        <v>-1.3213998080764393</v>
      </c>
    </row>
    <row r="67" spans="10:221" ht="16">
      <c r="J67" s="580">
        <v>41604</v>
      </c>
      <c r="K67" s="581">
        <v>0</v>
      </c>
      <c r="L67" s="582">
        <v>12.155900000000001</v>
      </c>
      <c r="M67" s="582">
        <v>12.5008</v>
      </c>
      <c r="N67" s="582">
        <v>13.407400000000001</v>
      </c>
      <c r="O67" s="582">
        <v>13.083500000000001</v>
      </c>
      <c r="P67" s="582">
        <v>98.748000000000005</v>
      </c>
      <c r="Q67" s="582">
        <v>10.096927770400816</v>
      </c>
      <c r="R67" s="582">
        <v>1.8739722295991847</v>
      </c>
      <c r="S67" s="582">
        <v>3.0538722295991843</v>
      </c>
      <c r="T67" s="582">
        <v>3.5004722295991852</v>
      </c>
      <c r="U67" s="582">
        <v>3.2565722295991844</v>
      </c>
      <c r="W67" s="580">
        <v>41622</v>
      </c>
      <c r="X67" s="582">
        <f t="shared" si="54"/>
        <v>1.3741959075127235</v>
      </c>
      <c r="Y67" s="582">
        <f t="shared" si="54"/>
        <v>2.6222651382819544</v>
      </c>
      <c r="Z67" s="582">
        <f t="shared" si="54"/>
        <v>2.9588959075127237</v>
      </c>
      <c r="AA67" s="582">
        <f t="shared" si="54"/>
        <v>2.8122420613588774</v>
      </c>
      <c r="AB67" s="606"/>
      <c r="AC67" s="441">
        <f t="shared" si="47"/>
        <v>2.8264791506532161E-2</v>
      </c>
      <c r="AD67" s="440">
        <f t="shared" si="48"/>
        <v>2.4995560737300693E-2</v>
      </c>
      <c r="AE67" s="440">
        <f t="shared" si="49"/>
        <v>1.8834022275762141E-2</v>
      </c>
      <c r="AF67" s="440">
        <f t="shared" si="50"/>
        <v>2.2234022275763099E-2</v>
      </c>
      <c r="AG67" s="633">
        <v>41622</v>
      </c>
      <c r="AH67" s="560">
        <v>-1.3673393330021164E-2</v>
      </c>
      <c r="AI67" s="513">
        <v>-1.2058056972454173E-3</v>
      </c>
      <c r="AJ67" s="513">
        <v>-8.7303700252423788E-3</v>
      </c>
      <c r="AK67" s="513">
        <v>-2.0863280111500584E-2</v>
      </c>
      <c r="AL67" s="634"/>
      <c r="AM67" s="441">
        <v>-1.31E-5</v>
      </c>
      <c r="AN67" s="440">
        <v>-1.31E-5</v>
      </c>
      <c r="AO67" s="440">
        <v>-1.2899999999999999E-6</v>
      </c>
      <c r="AP67" s="440">
        <v>-8.5299999999999996E-6</v>
      </c>
      <c r="AR67" s="441">
        <f>-AM67*1440</f>
        <v>1.8863999999999999E-2</v>
      </c>
      <c r="AS67" s="440">
        <f>-AN67*1440</f>
        <v>1.8863999999999999E-2</v>
      </c>
      <c r="AT67" s="440">
        <f>-AO67*1440</f>
        <v>1.8575999999999998E-3</v>
      </c>
      <c r="AU67" s="440">
        <f>-AP67*1440</f>
        <v>1.2283199999999999E-2</v>
      </c>
      <c r="AV67" s="633">
        <v>41622</v>
      </c>
      <c r="AW67" s="644"/>
      <c r="AX67" s="607">
        <v>0.05</v>
      </c>
      <c r="AY67" s="441">
        <f t="shared" ref="AY67:AY89" si="68">AC67-AR67</f>
        <v>9.4007915065321621E-3</v>
      </c>
      <c r="AZ67" s="440">
        <f t="shared" ref="AZ67:AZ89" si="69">AD67-AS67</f>
        <v>6.1315607373006939E-3</v>
      </c>
      <c r="BA67" s="440">
        <f t="shared" ref="BA67:BA89" si="70">AE67-AT67</f>
        <v>1.697642227576214E-2</v>
      </c>
      <c r="BB67" s="440">
        <f t="shared" ref="BB67:BB89" si="71">AF67-AU67</f>
        <v>9.9508222757630996E-3</v>
      </c>
      <c r="BC67" s="608">
        <f t="shared" si="5"/>
        <v>9.9508222757630993E-2</v>
      </c>
      <c r="BD67" s="627" t="s">
        <v>505</v>
      </c>
      <c r="BE67" s="580">
        <v>41622</v>
      </c>
      <c r="BF67" s="441">
        <f t="shared" ref="BF67:BI71" si="72">DR67*10</f>
        <v>4.7311560410623184</v>
      </c>
      <c r="BG67" s="440">
        <f t="shared" si="72"/>
        <v>12.02207845486685</v>
      </c>
      <c r="BH67" s="440">
        <f t="shared" si="72"/>
        <v>13.375156041061409</v>
      </c>
      <c r="BI67" s="440">
        <f t="shared" si="72"/>
        <v>6.1949168614085259</v>
      </c>
      <c r="BJ67" s="645"/>
      <c r="BK67" s="441">
        <v>9.4007915065321619</v>
      </c>
      <c r="BL67" s="440">
        <v>6.1315607373006937</v>
      </c>
      <c r="BM67" s="440">
        <v>16.97642227576214</v>
      </c>
      <c r="BN67" s="440">
        <v>9.9508222757631</v>
      </c>
      <c r="BO67" s="353">
        <v>82</v>
      </c>
      <c r="BP67" s="353">
        <f t="shared" si="9"/>
        <v>16.399999999999999</v>
      </c>
      <c r="BQ67" s="610">
        <f t="shared" si="10"/>
        <v>58.571428571428577</v>
      </c>
      <c r="BR67" s="610">
        <f t="shared" si="11"/>
        <v>22.162162162162161</v>
      </c>
      <c r="BT67" s="648"/>
      <c r="BU67" s="648"/>
      <c r="BV67" s="648"/>
      <c r="BW67" s="648"/>
      <c r="BX67" s="648"/>
      <c r="BY67" s="616" t="s">
        <v>381</v>
      </c>
      <c r="BZ67" s="617">
        <v>31</v>
      </c>
      <c r="CA67" s="608">
        <v>0</v>
      </c>
      <c r="CB67" s="608">
        <f t="shared" si="12"/>
        <v>0</v>
      </c>
      <c r="CC67" s="608"/>
      <c r="CD67" s="631">
        <f t="shared" si="13"/>
        <v>218.8</v>
      </c>
      <c r="CE67" s="364"/>
      <c r="CF67" s="364"/>
      <c r="CG67" s="364"/>
      <c r="CH67" s="364"/>
      <c r="CI67" s="364"/>
      <c r="CJ67" s="364"/>
      <c r="CK67" s="364"/>
      <c r="CL67" s="623"/>
      <c r="CM67" s="364"/>
      <c r="CN67" s="632" t="s">
        <v>468</v>
      </c>
      <c r="CO67" s="580">
        <f>'[3]Plots R2&gt;.75 - UPDATED'!R64</f>
        <v>41623</v>
      </c>
      <c r="CP67" s="620"/>
      <c r="CQ67" s="633">
        <v>41623</v>
      </c>
      <c r="CR67" s="641">
        <v>59536.42006395448</v>
      </c>
      <c r="CS67" s="642">
        <v>230054.56062922237</v>
      </c>
      <c r="CT67" s="642">
        <v>80633.531828899548</v>
      </c>
      <c r="CU67" s="643">
        <v>79995.443542384368</v>
      </c>
      <c r="CV67" s="513">
        <f t="shared" si="33"/>
        <v>0.50792439262414424</v>
      </c>
      <c r="CW67" s="513">
        <f t="shared" si="64"/>
        <v>0.41262946780763798</v>
      </c>
      <c r="CX67" s="513">
        <f t="shared" si="35"/>
        <v>0.13144707897678948</v>
      </c>
      <c r="CY67" s="513">
        <f t="shared" si="65"/>
        <v>1.0146556532925075</v>
      </c>
      <c r="CZ67" s="513">
        <f t="shared" si="41"/>
        <v>0.37503008133350546</v>
      </c>
      <c r="DA67" s="513">
        <f t="shared" si="66"/>
        <v>0</v>
      </c>
      <c r="DB67" s="513">
        <f t="shared" si="19"/>
        <v>0.37802153048851828</v>
      </c>
      <c r="DC67" s="513">
        <f t="shared" si="67"/>
        <v>-0.11240132824461846</v>
      </c>
      <c r="DD67" s="653"/>
      <c r="DE67" s="464">
        <v>41621</v>
      </c>
      <c r="DF67" s="483">
        <v>6.0738624394500533</v>
      </c>
      <c r="DG67" s="483">
        <v>22.86536791615125</v>
      </c>
      <c r="DH67" s="483">
        <v>8.1283460745780065</v>
      </c>
      <c r="DI67" s="483">
        <v>8.0170515907154023</v>
      </c>
      <c r="DJ67" s="527"/>
      <c r="DK67" s="527"/>
      <c r="DL67" s="527"/>
      <c r="DM67" s="544"/>
      <c r="DN67" s="528">
        <f t="shared" si="37"/>
        <v>0</v>
      </c>
      <c r="DO67" s="528">
        <f t="shared" si="38"/>
        <v>0</v>
      </c>
      <c r="DP67" s="528">
        <f t="shared" si="39"/>
        <v>0</v>
      </c>
      <c r="DQ67" s="528">
        <f t="shared" si="40"/>
        <v>0</v>
      </c>
      <c r="DR67" s="483">
        <v>0.47311560410623188</v>
      </c>
      <c r="DS67" s="483">
        <v>1.2022078454866851</v>
      </c>
      <c r="DT67" s="483">
        <v>1.3375156041061409</v>
      </c>
      <c r="DU67" s="483">
        <v>0.61949168614085259</v>
      </c>
      <c r="DV67" s="483">
        <v>-2.5770297340586223</v>
      </c>
      <c r="DW67" s="483">
        <v>-4.597615342329811</v>
      </c>
      <c r="DX67" s="483">
        <v>-3.5079443078957273</v>
      </c>
      <c r="DY67" s="483">
        <v>-5.0349999742444318</v>
      </c>
      <c r="DZ67" s="483"/>
      <c r="EA67" s="483"/>
      <c r="EB67" s="483"/>
      <c r="EC67" s="483"/>
      <c r="ED67" s="463">
        <f t="shared" si="24"/>
        <v>0</v>
      </c>
      <c r="EE67" s="463">
        <f t="shared" si="25"/>
        <v>0</v>
      </c>
      <c r="EF67" s="463">
        <f t="shared" si="26"/>
        <v>0</v>
      </c>
      <c r="EG67" s="463">
        <f t="shared" si="27"/>
        <v>0</v>
      </c>
      <c r="EH67" s="527">
        <f>'[3]Plots R2&gt;.75 - UPDATED'!S64</f>
        <v>1.3461162032028562</v>
      </c>
      <c r="EI67" s="527">
        <f>'[3]Plots R2&gt;.75 - UPDATED'!T64</f>
        <v>2.5973162032028565</v>
      </c>
      <c r="EJ67" s="527">
        <f>'[3]Plots R2&gt;.75 - UPDATED'!U64</f>
        <v>2.9403162032028556</v>
      </c>
      <c r="EK67" s="544">
        <f>'[3]Plots R2&gt;.75 - UPDATED'!V64</f>
        <v>2.500216203202855</v>
      </c>
      <c r="EL67" s="675">
        <v>0</v>
      </c>
      <c r="EM67" s="495">
        <v>0</v>
      </c>
      <c r="EN67" s="464">
        <v>41621</v>
      </c>
      <c r="EO67" s="527">
        <v>1.3461162032028562</v>
      </c>
      <c r="EP67" s="527">
        <v>2.5973162032028565</v>
      </c>
      <c r="EQ67" s="527">
        <v>2.9403162032028556</v>
      </c>
      <c r="ER67" s="544">
        <v>2.500216203202855</v>
      </c>
      <c r="GN67" s="640"/>
      <c r="GO67" s="640"/>
      <c r="GP67" s="640"/>
      <c r="GQ67" s="640"/>
      <c r="GR67" s="640"/>
      <c r="GS67" s="640"/>
      <c r="GT67" s="640"/>
      <c r="GU67" s="640"/>
      <c r="GV67" s="640"/>
      <c r="HF67" s="560">
        <v>0.42064684689359577</v>
      </c>
      <c r="HG67" s="560">
        <v>0.48134995947137416</v>
      </c>
      <c r="HH67" s="513">
        <v>9.8007845145949096E-2</v>
      </c>
      <c r="HI67" s="513">
        <v>1.2457478279492509</v>
      </c>
      <c r="HJ67" s="515">
        <v>0.31625889258977902</v>
      </c>
      <c r="HK67" s="515">
        <v>0.30427949659257758</v>
      </c>
      <c r="HL67" s="515">
        <v>0.27016444309643423</v>
      </c>
      <c r="HM67" s="515">
        <v>0</v>
      </c>
    </row>
    <row r="68" spans="10:221" ht="16">
      <c r="J68" s="580">
        <v>41605</v>
      </c>
      <c r="K68" s="581">
        <v>0</v>
      </c>
      <c r="L68" s="582">
        <v>12.1143</v>
      </c>
      <c r="M68" s="582">
        <v>12.467599999999999</v>
      </c>
      <c r="N68" s="582">
        <v>13.366899999999999</v>
      </c>
      <c r="O68" s="582">
        <v>13.053800000000001</v>
      </c>
      <c r="P68" s="582">
        <v>98.705100000000002</v>
      </c>
      <c r="Q68" s="582">
        <v>10.092541269394717</v>
      </c>
      <c r="R68" s="582">
        <v>1.8367587306052831</v>
      </c>
      <c r="S68" s="582">
        <v>3.0250587306052825</v>
      </c>
      <c r="T68" s="582">
        <v>3.4643587306052828</v>
      </c>
      <c r="U68" s="582">
        <v>3.2312587306052833</v>
      </c>
      <c r="W68" s="580">
        <v>41623</v>
      </c>
      <c r="X68" s="582">
        <f t="shared" si="54"/>
        <v>1.3459311160061913</v>
      </c>
      <c r="Y68" s="582">
        <f t="shared" si="54"/>
        <v>2.5972695775446537</v>
      </c>
      <c r="Z68" s="582">
        <f t="shared" si="54"/>
        <v>2.9400618852369615</v>
      </c>
      <c r="AA68" s="582">
        <f t="shared" si="54"/>
        <v>2.7900080390831143</v>
      </c>
      <c r="AB68" s="606"/>
      <c r="AC68" s="441">
        <f t="shared" si="47"/>
        <v>2.9141777274832803E-2</v>
      </c>
      <c r="AD68" s="440">
        <f t="shared" si="48"/>
        <v>2.1949469582525971E-2</v>
      </c>
      <c r="AE68" s="440">
        <f t="shared" si="49"/>
        <v>3.1049469582525635E-2</v>
      </c>
      <c r="AF68" s="440">
        <f t="shared" si="50"/>
        <v>2.5426392659448016E-2</v>
      </c>
      <c r="AG68" s="633">
        <v>41623</v>
      </c>
      <c r="AH68" s="560">
        <v>-1.3174718460552102E-2</v>
      </c>
      <c r="AI68" s="513">
        <v>-7.5953903561067244E-4</v>
      </c>
      <c r="AJ68" s="513">
        <v>-8.7000854006441929E-3</v>
      </c>
      <c r="AK68" s="513">
        <v>-2.039448526949654E-2</v>
      </c>
      <c r="AL68" s="634"/>
      <c r="AM68" s="441">
        <v>-1.52E-5</v>
      </c>
      <c r="AN68" s="440">
        <v>-9.6299999999999993E-6</v>
      </c>
      <c r="AO68" s="440">
        <v>-1.1399999999999999E-5</v>
      </c>
      <c r="AP68" s="440">
        <v>-1.2300000000000001E-5</v>
      </c>
      <c r="AR68" s="441">
        <f t="shared" si="42"/>
        <v>2.1888000000000001E-2</v>
      </c>
      <c r="AS68" s="440">
        <f t="shared" si="42"/>
        <v>1.38672E-2</v>
      </c>
      <c r="AT68" s="440">
        <f t="shared" si="42"/>
        <v>1.6416E-2</v>
      </c>
      <c r="AU68" s="440">
        <f t="shared" si="42"/>
        <v>1.7712000000000002E-2</v>
      </c>
      <c r="AV68" s="633">
        <v>41623</v>
      </c>
      <c r="AW68" s="644"/>
      <c r="AX68" s="608">
        <v>0</v>
      </c>
      <c r="AY68" s="441">
        <f t="shared" si="68"/>
        <v>7.2537772748328018E-3</v>
      </c>
      <c r="AZ68" s="440">
        <f t="shared" si="69"/>
        <v>8.0822695825259715E-3</v>
      </c>
      <c r="BA68" s="440">
        <f t="shared" si="70"/>
        <v>1.4633469582525635E-2</v>
      </c>
      <c r="BB68" s="440">
        <f t="shared" si="71"/>
        <v>7.714392659448014E-3</v>
      </c>
      <c r="BC68" s="608">
        <f t="shared" si="5"/>
        <v>7.7143926594480133E-2</v>
      </c>
      <c r="BD68" s="627" t="s">
        <v>506</v>
      </c>
      <c r="BE68" s="580">
        <v>41623</v>
      </c>
      <c r="BF68" s="441">
        <f t="shared" si="72"/>
        <v>6.0570567671923161</v>
      </c>
      <c r="BG68" s="440">
        <f t="shared" si="72"/>
        <v>12.469155681592889</v>
      </c>
      <c r="BH68" s="440">
        <f t="shared" si="72"/>
        <v>13.96505676719077</v>
      </c>
      <c r="BI68" s="440">
        <f t="shared" si="72"/>
        <v>6.776937177364097</v>
      </c>
      <c r="BJ68" s="645"/>
      <c r="BK68" s="441">
        <v>7.2537772748328022</v>
      </c>
      <c r="BL68" s="440">
        <v>8.0822695825259707</v>
      </c>
      <c r="BM68" s="440">
        <v>14.633469582525635</v>
      </c>
      <c r="BN68" s="440">
        <v>7.7143926594480137</v>
      </c>
      <c r="BO68" s="353">
        <v>80</v>
      </c>
      <c r="BP68" s="353">
        <f t="shared" si="9"/>
        <v>16</v>
      </c>
      <c r="BQ68" s="610">
        <f t="shared" si="10"/>
        <v>57.142857142857146</v>
      </c>
      <c r="BR68" s="610">
        <f t="shared" si="11"/>
        <v>21.621621621621621</v>
      </c>
      <c r="BT68" s="648"/>
      <c r="BU68" s="648"/>
      <c r="BV68" s="648"/>
      <c r="BW68" s="648"/>
      <c r="BX68" s="648"/>
      <c r="BY68" s="616" t="s">
        <v>384</v>
      </c>
      <c r="BZ68" s="617">
        <v>32</v>
      </c>
      <c r="CA68" s="608">
        <v>0</v>
      </c>
      <c r="CB68" s="608">
        <f t="shared" si="12"/>
        <v>0</v>
      </c>
      <c r="CC68" s="608"/>
      <c r="CD68" s="631">
        <f t="shared" si="13"/>
        <v>218.8</v>
      </c>
      <c r="CE68" s="364"/>
      <c r="CF68" s="364"/>
      <c r="CG68" s="364"/>
      <c r="CH68" s="364"/>
      <c r="CI68" s="364"/>
      <c r="CJ68" s="364"/>
      <c r="CK68" s="364"/>
      <c r="CL68" s="623"/>
      <c r="CM68" s="364"/>
      <c r="CN68" s="632" t="s">
        <v>470</v>
      </c>
      <c r="CO68" s="580">
        <f>'[3]Plots R2&gt;.75 - UPDATED'!R65</f>
        <v>41624</v>
      </c>
      <c r="CP68" s="620"/>
      <c r="CQ68" s="633">
        <v>41624</v>
      </c>
      <c r="CR68" s="641">
        <v>58114.808012899164</v>
      </c>
      <c r="CS68" s="642">
        <v>224437.43768107219</v>
      </c>
      <c r="CT68" s="642">
        <v>79118.137595055436</v>
      </c>
      <c r="CU68" s="643">
        <v>77450.032731014187</v>
      </c>
      <c r="CV68" s="513">
        <f t="shared" si="33"/>
        <v>0.520349305693102</v>
      </c>
      <c r="CW68" s="513">
        <f t="shared" si="64"/>
        <v>0.3509788482516879</v>
      </c>
      <c r="CX68" s="513">
        <f t="shared" si="35"/>
        <v>0.13473687951727259</v>
      </c>
      <c r="CY68" s="513">
        <f t="shared" si="65"/>
        <v>1.1760292169216602</v>
      </c>
      <c r="CZ68" s="513">
        <f t="shared" si="41"/>
        <v>0.38221324362784137</v>
      </c>
      <c r="DA68" s="513">
        <f t="shared" si="66"/>
        <v>0.38937821630773928</v>
      </c>
      <c r="DB68" s="513">
        <f t="shared" si="19"/>
        <v>0.39044528367114112</v>
      </c>
      <c r="DC68" s="513">
        <f t="shared" si="67"/>
        <v>0</v>
      </c>
      <c r="DD68" s="653"/>
      <c r="DE68" s="464">
        <v>41622</v>
      </c>
      <c r="DF68" s="483">
        <v>6.0555361457826535</v>
      </c>
      <c r="DG68" s="483">
        <v>22.787536381641122</v>
      </c>
      <c r="DH68" s="483">
        <v>8.0910914141853318</v>
      </c>
      <c r="DI68" s="483">
        <v>7.9835514125695335</v>
      </c>
      <c r="DJ68" s="473"/>
      <c r="DK68" s="473"/>
      <c r="DL68" s="473"/>
      <c r="DM68" s="545"/>
      <c r="DN68" s="528">
        <f t="shared" si="37"/>
        <v>0</v>
      </c>
      <c r="DO68" s="528">
        <f t="shared" si="38"/>
        <v>0</v>
      </c>
      <c r="DP68" s="528">
        <f t="shared" si="39"/>
        <v>0</v>
      </c>
      <c r="DQ68" s="528">
        <f t="shared" si="40"/>
        <v>0</v>
      </c>
      <c r="DR68" s="483">
        <v>0.60570567671923159</v>
      </c>
      <c r="DS68" s="483">
        <v>1.2469155681592889</v>
      </c>
      <c r="DT68" s="483">
        <v>1.3965056767190771</v>
      </c>
      <c r="DU68" s="483">
        <v>0.67769371773640974</v>
      </c>
      <c r="DV68" s="483">
        <v>0.92055386043178222</v>
      </c>
      <c r="DW68" s="483">
        <v>1.1461027322692969</v>
      </c>
      <c r="DX68" s="483">
        <v>-0.35594380909003265</v>
      </c>
      <c r="DY68" s="483">
        <v>-0.49042285873313674</v>
      </c>
      <c r="DZ68" s="483"/>
      <c r="EA68" s="483"/>
      <c r="EB68" s="483"/>
      <c r="EC68" s="483"/>
      <c r="ED68" s="463">
        <f t="shared" si="24"/>
        <v>0</v>
      </c>
      <c r="EE68" s="463">
        <f t="shared" si="25"/>
        <v>0</v>
      </c>
      <c r="EF68" s="463">
        <f t="shared" si="26"/>
        <v>0</v>
      </c>
      <c r="EG68" s="463">
        <f t="shared" si="27"/>
        <v>0</v>
      </c>
      <c r="EH68" s="473">
        <f>'[3]Plots R2&gt;.75 - UPDATED'!S65</f>
        <v>1.3168452457095339</v>
      </c>
      <c r="EI68" s="473">
        <f>'[3]Plots R2&gt;.75 - UPDATED'!T65</f>
        <v>2.5751452457095354</v>
      </c>
      <c r="EJ68" s="473">
        <f>'[3]Plots R2&gt;.75 - UPDATED'!U65</f>
        <v>2.9093452457095355</v>
      </c>
      <c r="EK68" s="545">
        <f>'[3]Plots R2&gt;.75 - UPDATED'!V65</f>
        <v>2.4751452457095353</v>
      </c>
      <c r="EL68" s="675">
        <v>0</v>
      </c>
      <c r="EM68" s="495">
        <v>0</v>
      </c>
      <c r="EN68" s="464">
        <v>41622</v>
      </c>
      <c r="EO68" s="473">
        <v>1.3168452457095339</v>
      </c>
      <c r="EP68" s="473">
        <v>2.5751452457095354</v>
      </c>
      <c r="EQ68" s="473">
        <v>2.9093452457095355</v>
      </c>
      <c r="ER68" s="545">
        <v>2.4751452457095353</v>
      </c>
      <c r="GN68" s="640"/>
      <c r="GO68" s="640"/>
      <c r="GP68" s="640"/>
      <c r="GQ68" s="640"/>
      <c r="GR68" s="640"/>
      <c r="GS68" s="640"/>
      <c r="GT68" s="640"/>
      <c r="GU68" s="640"/>
      <c r="GV68" s="640"/>
      <c r="HF68" s="560">
        <v>0.42974276393388505</v>
      </c>
      <c r="HG68" s="560">
        <v>0.6257306546476904</v>
      </c>
      <c r="HH68" s="513">
        <v>0.10076106643161574</v>
      </c>
      <c r="HI68" s="513">
        <v>1.7903196227754936</v>
      </c>
      <c r="HJ68" s="515">
        <v>0.32176393502460754</v>
      </c>
      <c r="HK68" s="515">
        <v>0.80551153458610525</v>
      </c>
      <c r="HL68" s="515">
        <v>0.27831460126291868</v>
      </c>
      <c r="HM68" s="515">
        <v>-0.23817669553255133</v>
      </c>
    </row>
    <row r="69" spans="10:221" ht="17" thickBot="1">
      <c r="J69" s="580">
        <v>41606</v>
      </c>
      <c r="K69" s="581">
        <v>0</v>
      </c>
      <c r="L69" s="582">
        <v>12.0877</v>
      </c>
      <c r="M69" s="582">
        <v>12.4499</v>
      </c>
      <c r="N69" s="582">
        <v>13.331300000000001</v>
      </c>
      <c r="O69" s="582">
        <v>13.036899999999999</v>
      </c>
      <c r="P69" s="582">
        <v>98.809700000000007</v>
      </c>
      <c r="Q69" s="582">
        <v>10.103236560892103</v>
      </c>
      <c r="R69" s="582">
        <v>1.7994634391078965</v>
      </c>
      <c r="S69" s="582">
        <v>2.9966634391078966</v>
      </c>
      <c r="T69" s="582">
        <v>3.4180634391078977</v>
      </c>
      <c r="U69" s="582">
        <v>3.2036634391078955</v>
      </c>
      <c r="W69" s="580">
        <v>41624</v>
      </c>
      <c r="X69" s="582">
        <f t="shared" si="54"/>
        <v>1.3167893387313585</v>
      </c>
      <c r="Y69" s="582">
        <f t="shared" si="54"/>
        <v>2.5753201079621277</v>
      </c>
      <c r="Z69" s="582">
        <f t="shared" si="54"/>
        <v>2.9090124156544359</v>
      </c>
      <c r="AA69" s="582">
        <f t="shared" si="54"/>
        <v>2.7645816464236663</v>
      </c>
      <c r="AB69" s="606"/>
      <c r="AC69" s="441">
        <f t="shared" si="47"/>
        <v>2.9194887256847046E-2</v>
      </c>
      <c r="AD69" s="440">
        <f t="shared" si="48"/>
        <v>2.1956425718384409E-2</v>
      </c>
      <c r="AE69" s="440">
        <f t="shared" si="49"/>
        <v>2.7641041103000585E-2</v>
      </c>
      <c r="AF69" s="440">
        <f t="shared" si="50"/>
        <v>3.0025656487616459E-2</v>
      </c>
      <c r="AG69" s="633">
        <v>41624</v>
      </c>
      <c r="AH69" s="560">
        <v>-1.2635932579670075E-2</v>
      </c>
      <c r="AI69" s="513">
        <v>-7.5846135640285231E-4</v>
      </c>
      <c r="AJ69" s="513">
        <v>-8.6470898717784343E-3</v>
      </c>
      <c r="AK69" s="513">
        <v>-1.9818663109586316E-2</v>
      </c>
      <c r="AL69" s="634"/>
      <c r="AM69" s="441">
        <v>-1.5E-5</v>
      </c>
      <c r="AN69" s="440">
        <v>-6.99E-6</v>
      </c>
      <c r="AO69" s="440">
        <v>-1.6500000000000001E-5</v>
      </c>
      <c r="AP69" s="440">
        <v>-1.5400000000000002E-5</v>
      </c>
      <c r="AR69" s="441">
        <f t="shared" si="42"/>
        <v>2.1600000000000001E-2</v>
      </c>
      <c r="AS69" s="440">
        <f t="shared" si="42"/>
        <v>1.0065599999999999E-2</v>
      </c>
      <c r="AT69" s="440">
        <f t="shared" si="42"/>
        <v>2.3760000000000003E-2</v>
      </c>
      <c r="AU69" s="440">
        <f t="shared" si="42"/>
        <v>2.2176000000000001E-2</v>
      </c>
      <c r="AV69" s="633">
        <v>41624</v>
      </c>
      <c r="AW69" s="644"/>
      <c r="AX69" s="608">
        <v>0</v>
      </c>
      <c r="AY69" s="441">
        <f t="shared" si="68"/>
        <v>7.5948872568470452E-3</v>
      </c>
      <c r="AZ69" s="440">
        <f t="shared" si="69"/>
        <v>1.189082571838441E-2</v>
      </c>
      <c r="BA69" s="440">
        <f t="shared" si="70"/>
        <v>3.881041103000582E-3</v>
      </c>
      <c r="BB69" s="440">
        <f t="shared" si="71"/>
        <v>7.8496564876164576E-3</v>
      </c>
      <c r="BC69" s="608">
        <f t="shared" si="5"/>
        <v>7.8496564876164576E-2</v>
      </c>
      <c r="BD69" s="627" t="s">
        <v>507</v>
      </c>
      <c r="BE69" s="580">
        <v>41624</v>
      </c>
      <c r="BF69" s="441">
        <f t="shared" si="72"/>
        <v>7.382957493322313</v>
      </c>
      <c r="BG69" s="440">
        <f t="shared" si="72"/>
        <v>8.3037574933210969</v>
      </c>
      <c r="BH69" s="440">
        <f t="shared" si="72"/>
        <v>14.554957493320128</v>
      </c>
      <c r="BI69" s="440">
        <f t="shared" si="72"/>
        <v>7.3589574933196662</v>
      </c>
      <c r="BJ69" s="645"/>
      <c r="BK69" s="441">
        <v>7.5948872568470449</v>
      </c>
      <c r="BL69" s="440">
        <v>11.890825718384409</v>
      </c>
      <c r="BM69" s="440">
        <v>3.881041103000582</v>
      </c>
      <c r="BN69" s="440">
        <v>7.8496564876164578</v>
      </c>
      <c r="BO69" s="353">
        <v>69</v>
      </c>
      <c r="BP69" s="353">
        <f t="shared" si="9"/>
        <v>13.8</v>
      </c>
      <c r="BQ69" s="610">
        <f t="shared" si="10"/>
        <v>49.285714285714292</v>
      </c>
      <c r="BR69" s="610">
        <f t="shared" si="11"/>
        <v>18.648648648648649</v>
      </c>
      <c r="BT69" s="648"/>
      <c r="BU69" s="648"/>
      <c r="BV69" s="648"/>
      <c r="BW69" s="648"/>
      <c r="BX69" s="648"/>
      <c r="BY69" s="616" t="s">
        <v>387</v>
      </c>
      <c r="BZ69" s="617">
        <v>32</v>
      </c>
      <c r="CA69" s="608">
        <v>0.05</v>
      </c>
      <c r="CB69" s="608">
        <f t="shared" si="12"/>
        <v>0.5</v>
      </c>
      <c r="CC69" s="608"/>
      <c r="CD69" s="631">
        <f t="shared" si="13"/>
        <v>219.3</v>
      </c>
      <c r="CE69" s="637"/>
      <c r="CF69" s="637"/>
      <c r="CG69" s="637"/>
      <c r="CH69" s="637"/>
      <c r="CI69" s="637"/>
      <c r="CJ69" s="637"/>
      <c r="CK69" s="637"/>
      <c r="CL69" s="638"/>
      <c r="CM69" s="364"/>
      <c r="CN69" s="632" t="s">
        <v>472</v>
      </c>
      <c r="CO69" s="580">
        <f>'[3]Plots R2&gt;.75 - UPDATED'!R66</f>
        <v>41625</v>
      </c>
      <c r="CP69" s="620"/>
      <c r="CQ69" s="633">
        <v>41625</v>
      </c>
      <c r="CR69" s="641">
        <v>56705.160374776184</v>
      </c>
      <c r="CS69" s="642">
        <v>219054.70154571382</v>
      </c>
      <c r="CT69" s="642">
        <v>77774.1169120501</v>
      </c>
      <c r="CU69" s="643">
        <v>74440.164430167235</v>
      </c>
      <c r="CV69" s="513">
        <f t="shared" si="33"/>
        <v>0.53328479807018547</v>
      </c>
      <c r="CW69" s="513">
        <f t="shared" si="64"/>
        <v>0.36312194396280717</v>
      </c>
      <c r="CX69" s="513">
        <f t="shared" si="35"/>
        <v>0.13804771039661665</v>
      </c>
      <c r="CY69" s="513">
        <f t="shared" si="65"/>
        <v>0.79266615396309792</v>
      </c>
      <c r="CZ69" s="513">
        <f t="shared" si="41"/>
        <v>0.38881830100618858</v>
      </c>
      <c r="DA69" s="513">
        <f t="shared" si="66"/>
        <v>1.1224727118159685</v>
      </c>
      <c r="DB69" s="513">
        <f t="shared" si="19"/>
        <v>0.40623231062806592</v>
      </c>
      <c r="DC69" s="513">
        <f t="shared" si="67"/>
        <v>0</v>
      </c>
      <c r="DD69" s="653"/>
      <c r="DE69" s="299">
        <v>41623</v>
      </c>
      <c r="DF69" s="463">
        <v>6.0920423381005993</v>
      </c>
      <c r="DG69" s="463">
        <v>23.640302801285898</v>
      </c>
      <c r="DH69" s="463">
        <v>8.1551499003104055</v>
      </c>
      <c r="DI69" s="463">
        <v>8.2300700530499764</v>
      </c>
      <c r="DJ69" s="528">
        <v>0.7382957493322313</v>
      </c>
      <c r="DK69" s="528">
        <v>0.83037574933210978</v>
      </c>
      <c r="DL69" s="528">
        <v>1.4554957493320129</v>
      </c>
      <c r="DM69" s="546">
        <v>0.73589574933196666</v>
      </c>
      <c r="DN69" s="528">
        <f t="shared" si="37"/>
        <v>7.382957493322313</v>
      </c>
      <c r="DO69" s="528">
        <f t="shared" si="38"/>
        <v>8.3037574933210969</v>
      </c>
      <c r="DP69" s="528">
        <f t="shared" si="39"/>
        <v>14.554957493320128</v>
      </c>
      <c r="DQ69" s="528">
        <f t="shared" si="40"/>
        <v>7.3589574933196662</v>
      </c>
      <c r="DR69" s="463">
        <v>0.7382957493322313</v>
      </c>
      <c r="DS69" s="463">
        <v>0.83037574933210978</v>
      </c>
      <c r="DT69" s="463">
        <v>1.4554957493320129</v>
      </c>
      <c r="DU69" s="463">
        <v>0.73589574933196666</v>
      </c>
      <c r="DV69" s="463">
        <v>0.87132815394478991</v>
      </c>
      <c r="DW69" s="463">
        <v>1.3107660964389327</v>
      </c>
      <c r="DX69" s="463">
        <v>0.77159145993558065</v>
      </c>
      <c r="DY69" s="463">
        <v>-0.26824852694965351</v>
      </c>
      <c r="DZ69" s="463">
        <v>0.87132815394478991</v>
      </c>
      <c r="EA69" s="463">
        <v>1.3107660964389327</v>
      </c>
      <c r="EB69" s="463">
        <v>0.77159145993558065</v>
      </c>
      <c r="EC69" s="463">
        <v>-0.26824852694965351</v>
      </c>
      <c r="ED69" s="463">
        <f t="shared" si="24"/>
        <v>8.7132815394478982</v>
      </c>
      <c r="EE69" s="463">
        <f t="shared" si="25"/>
        <v>13.107660964389327</v>
      </c>
      <c r="EF69" s="463">
        <f t="shared" si="26"/>
        <v>7.7159145993558065</v>
      </c>
      <c r="EG69" s="463">
        <f t="shared" si="27"/>
        <v>-2.6824852694965351</v>
      </c>
      <c r="EH69" s="528">
        <f>'[3]Plots R2&gt;.75 - UPDATED'!S66</f>
        <v>1.2877566978348676</v>
      </c>
      <c r="EI69" s="528">
        <f>'[3]Plots R2&gt;.75 - UPDATED'!T66</f>
        <v>2.5535566978348676</v>
      </c>
      <c r="EJ69" s="528">
        <f>'[3]Plots R2&gt;.75 - UPDATED'!U66</f>
        <v>2.8816566978348677</v>
      </c>
      <c r="EK69" s="546">
        <f>'[3]Plots R2&gt;.75 - UPDATED'!V66</f>
        <v>2.4447566978348667</v>
      </c>
      <c r="EL69" s="676">
        <v>0.5</v>
      </c>
      <c r="EM69" s="495">
        <v>0</v>
      </c>
      <c r="EN69" s="299">
        <v>41623</v>
      </c>
      <c r="EO69" s="528">
        <v>1.2877566978348676</v>
      </c>
      <c r="EP69" s="528">
        <v>2.5535566978348676</v>
      </c>
      <c r="EQ69" s="528">
        <v>2.8816566978348677</v>
      </c>
      <c r="ER69" s="546">
        <v>2.4447566978348667</v>
      </c>
      <c r="GN69" s="640"/>
      <c r="GO69" s="640"/>
      <c r="GP69" s="640"/>
      <c r="GQ69" s="640"/>
      <c r="GR69" s="640"/>
      <c r="GS69" s="640"/>
      <c r="GT69" s="640"/>
      <c r="GU69" s="640"/>
      <c r="GV69" s="640"/>
      <c r="HF69" s="560">
        <v>0.43963621232829031</v>
      </c>
      <c r="HG69" s="560">
        <v>0.24002889761694779</v>
      </c>
      <c r="HH69" s="513">
        <v>0.10391849520769632</v>
      </c>
      <c r="HI69" s="513">
        <v>1.6916412447633034</v>
      </c>
      <c r="HJ69" s="515">
        <v>0.32851706147792858</v>
      </c>
      <c r="HK69" s="515">
        <v>1.205504192954177</v>
      </c>
      <c r="HL69" s="515">
        <v>0.28838914657322906</v>
      </c>
      <c r="HM69" s="515">
        <v>0.34314723502523586</v>
      </c>
    </row>
    <row r="70" spans="10:221" ht="16">
      <c r="J70" s="580">
        <v>41607</v>
      </c>
      <c r="K70" s="581">
        <v>0</v>
      </c>
      <c r="L70" s="582">
        <v>12.067</v>
      </c>
      <c r="M70" s="582">
        <v>12.440899999999999</v>
      </c>
      <c r="N70" s="582">
        <v>13.3027</v>
      </c>
      <c r="O70" s="582">
        <v>13.0258</v>
      </c>
      <c r="P70" s="582">
        <v>98.961200000000005</v>
      </c>
      <c r="Q70" s="582">
        <v>10.118727351158395</v>
      </c>
      <c r="R70" s="582">
        <v>1.7632726488416055</v>
      </c>
      <c r="S70" s="582">
        <v>2.9721726488416049</v>
      </c>
      <c r="T70" s="582">
        <v>3.3739726488416055</v>
      </c>
      <c r="U70" s="582">
        <v>3.1770726488416052</v>
      </c>
      <c r="W70" s="580">
        <v>41625</v>
      </c>
      <c r="X70" s="582">
        <f t="shared" si="54"/>
        <v>1.2875944514745115</v>
      </c>
      <c r="Y70" s="582">
        <f t="shared" si="54"/>
        <v>2.5533636822437433</v>
      </c>
      <c r="Z70" s="582">
        <f t="shared" si="54"/>
        <v>2.8813713745514353</v>
      </c>
      <c r="AA70" s="582">
        <f t="shared" si="54"/>
        <v>2.7345559899360499</v>
      </c>
      <c r="AB70" s="606"/>
      <c r="AC70" s="441">
        <f t="shared" si="47"/>
        <v>2.7861323921843706E-2</v>
      </c>
      <c r="AD70" s="440">
        <f t="shared" si="48"/>
        <v>2.6069016229536501E-2</v>
      </c>
      <c r="AE70" s="440">
        <f t="shared" si="49"/>
        <v>3.6461323921844091E-2</v>
      </c>
      <c r="AF70" s="440">
        <f t="shared" si="50"/>
        <v>3.7653631614150029E-2</v>
      </c>
      <c r="AG70" s="633">
        <v>41625</v>
      </c>
      <c r="AH70" s="560">
        <v>-1.2073078658428021E-2</v>
      </c>
      <c r="AI70" s="513">
        <v>-7.5705864838152654E-4</v>
      </c>
      <c r="AJ70" s="513">
        <v>-8.5967720021060488E-3</v>
      </c>
      <c r="AK70" s="513">
        <v>-1.9048539826576096E-2</v>
      </c>
      <c r="AL70" s="634"/>
      <c r="AM70" s="441">
        <v>-1.33E-5</v>
      </c>
      <c r="AN70" s="440">
        <v>-9.02E-6</v>
      </c>
      <c r="AO70" s="440">
        <v>-1.6900000000000001E-5</v>
      </c>
      <c r="AP70" s="440">
        <v>-1.3900000000000001E-5</v>
      </c>
      <c r="AR70" s="441">
        <f t="shared" si="42"/>
        <v>1.9151999999999999E-2</v>
      </c>
      <c r="AS70" s="440">
        <f t="shared" si="42"/>
        <v>1.29888E-2</v>
      </c>
      <c r="AT70" s="440">
        <f t="shared" si="42"/>
        <v>2.4336E-2</v>
      </c>
      <c r="AU70" s="440">
        <f t="shared" si="42"/>
        <v>2.0016000000000003E-2</v>
      </c>
      <c r="AV70" s="633">
        <v>41625</v>
      </c>
      <c r="AW70" s="644"/>
      <c r="AX70" s="608">
        <v>0</v>
      </c>
      <c r="AY70" s="441">
        <f t="shared" si="68"/>
        <v>8.709323921843707E-3</v>
      </c>
      <c r="AZ70" s="440">
        <f t="shared" si="69"/>
        <v>1.3080216229536501E-2</v>
      </c>
      <c r="BA70" s="440">
        <f t="shared" si="70"/>
        <v>1.2125323921844091E-2</v>
      </c>
      <c r="BB70" s="440">
        <f t="shared" si="71"/>
        <v>1.7637631614150027E-2</v>
      </c>
      <c r="BC70" s="608">
        <f t="shared" si="5"/>
        <v>0.17637631614150026</v>
      </c>
      <c r="BD70" s="627" t="s">
        <v>508</v>
      </c>
      <c r="BE70" s="580">
        <v>41625</v>
      </c>
      <c r="BF70" s="441">
        <f t="shared" si="72"/>
        <v>7.4885478746663026</v>
      </c>
      <c r="BG70" s="440">
        <f t="shared" si="72"/>
        <v>11.522947874667796</v>
      </c>
      <c r="BH70" s="440">
        <f t="shared" si="72"/>
        <v>3.9285478746677871</v>
      </c>
      <c r="BI70" s="440">
        <f t="shared" si="72"/>
        <v>8.2125478746686031</v>
      </c>
      <c r="BJ70" s="645"/>
      <c r="BK70" s="441">
        <v>8.7093239218437066</v>
      </c>
      <c r="BL70" s="440">
        <v>13.0802162295365</v>
      </c>
      <c r="BM70" s="440">
        <v>12.125323921844091</v>
      </c>
      <c r="BN70" s="440">
        <v>17.637631614150028</v>
      </c>
      <c r="BO70" s="353">
        <v>73</v>
      </c>
      <c r="BP70" s="353">
        <f t="shared" si="9"/>
        <v>14.6</v>
      </c>
      <c r="BQ70" s="610">
        <f t="shared" si="10"/>
        <v>52.142857142857146</v>
      </c>
      <c r="BR70" s="610">
        <f t="shared" si="11"/>
        <v>19.72972972972973</v>
      </c>
      <c r="BT70" s="648"/>
      <c r="BU70" s="648"/>
      <c r="BV70" s="648"/>
      <c r="BW70" s="648"/>
      <c r="BX70" s="648"/>
      <c r="BY70" s="616" t="s">
        <v>390</v>
      </c>
      <c r="BZ70" s="617">
        <v>32</v>
      </c>
      <c r="CA70" s="608">
        <v>0</v>
      </c>
      <c r="CB70" s="608">
        <f t="shared" si="12"/>
        <v>0</v>
      </c>
      <c r="CC70" s="608"/>
      <c r="CD70" s="631">
        <f t="shared" si="13"/>
        <v>219.3</v>
      </c>
      <c r="CN70" s="632" t="s">
        <v>474</v>
      </c>
      <c r="CO70" s="580">
        <f>'[3]Plots R2&gt;.75 - UPDATED'!R67</f>
        <v>41626</v>
      </c>
      <c r="CP70" s="620"/>
      <c r="CQ70" s="633">
        <v>41626</v>
      </c>
      <c r="CR70" s="641">
        <v>55360.94669060989</v>
      </c>
      <c r="CS70" s="642">
        <v>212491.00725170592</v>
      </c>
      <c r="CT70" s="642">
        <v>75994.053821532318</v>
      </c>
      <c r="CU70" s="643">
        <v>70800.467308594933</v>
      </c>
      <c r="CV70" s="513">
        <f t="shared" si="33"/>
        <v>0.54623343363326538</v>
      </c>
      <c r="CW70" s="513">
        <f t="shared" si="64"/>
        <v>0.16165870052393216</v>
      </c>
      <c r="CX70" s="513">
        <f t="shared" si="35"/>
        <v>0.1423119048241851</v>
      </c>
      <c r="CY70" s="513">
        <f t="shared" si="65"/>
        <v>1.0808622303376625</v>
      </c>
      <c r="CZ70" s="513">
        <f t="shared" si="41"/>
        <v>0.3979258702400178</v>
      </c>
      <c r="DA70" s="513">
        <f t="shared" si="66"/>
        <v>1.1759969295493775</v>
      </c>
      <c r="DB70" s="513">
        <f t="shared" si="19"/>
        <v>0.4271158249308471</v>
      </c>
      <c r="DC70" s="513">
        <f t="shared" si="67"/>
        <v>0</v>
      </c>
      <c r="DD70" s="653"/>
      <c r="DE70" s="299">
        <v>41624</v>
      </c>
      <c r="DF70" s="463">
        <v>5.953642006395448</v>
      </c>
      <c r="DG70" s="463">
        <v>23.005456062922235</v>
      </c>
      <c r="DH70" s="463">
        <v>8.063353182889955</v>
      </c>
      <c r="DI70" s="463">
        <v>7.999544354238437</v>
      </c>
      <c r="DJ70" s="528">
        <v>0.74885478746663026</v>
      </c>
      <c r="DK70" s="528">
        <v>1.1522947874667797</v>
      </c>
      <c r="DL70" s="528">
        <v>0.39285478746677871</v>
      </c>
      <c r="DM70" s="546">
        <v>0.82125478746686031</v>
      </c>
      <c r="DN70" s="528">
        <f t="shared" si="37"/>
        <v>7.4885478746663026</v>
      </c>
      <c r="DO70" s="528">
        <f t="shared" si="38"/>
        <v>11.522947874667796</v>
      </c>
      <c r="DP70" s="528">
        <f t="shared" si="39"/>
        <v>3.9285478746677871</v>
      </c>
      <c r="DQ70" s="528">
        <f t="shared" si="40"/>
        <v>8.2125478746686031</v>
      </c>
      <c r="DR70" s="463">
        <v>0.74885478746663026</v>
      </c>
      <c r="DS70" s="463">
        <v>1.1522947874667797</v>
      </c>
      <c r="DT70" s="463">
        <v>0.39285478746677871</v>
      </c>
      <c r="DU70" s="463">
        <v>0.82125478746686031</v>
      </c>
      <c r="DV70" s="463">
        <v>0.89640674203299264</v>
      </c>
      <c r="DW70" s="463">
        <v>0.93071386435971459</v>
      </c>
      <c r="DX70" s="463">
        <v>1.5112910128221571</v>
      </c>
      <c r="DY70" s="463">
        <v>0.2357336890413686</v>
      </c>
      <c r="DZ70" s="463">
        <v>0.89640674203299264</v>
      </c>
      <c r="EA70" s="463">
        <v>0.93071386435971459</v>
      </c>
      <c r="EB70" s="463">
        <v>1.5112910128221571</v>
      </c>
      <c r="EC70" s="463">
        <v>0.2357336890413686</v>
      </c>
      <c r="ED70" s="463">
        <f t="shared" si="24"/>
        <v>8.9640674203299255</v>
      </c>
      <c r="EE70" s="463">
        <f t="shared" si="25"/>
        <v>9.3071386435971455</v>
      </c>
      <c r="EF70" s="463">
        <f t="shared" si="26"/>
        <v>15.112910128221571</v>
      </c>
      <c r="EG70" s="463">
        <f t="shared" si="27"/>
        <v>2.357336890413686</v>
      </c>
      <c r="EH70" s="528">
        <f>'[3]Plots R2&gt;.75 - UPDATED'!S67</f>
        <v>1.2599575104730953</v>
      </c>
      <c r="EI70" s="528">
        <f>'[3]Plots R2&gt;.75 - UPDATED'!T67</f>
        <v>2.5267575104730966</v>
      </c>
      <c r="EJ70" s="528">
        <f>'[3]Plots R2&gt;.75 - UPDATED'!U67</f>
        <v>2.8446575104730956</v>
      </c>
      <c r="EK70" s="546">
        <f>'[3]Plots R2&gt;.75 - UPDATED'!V67</f>
        <v>2.4068575104730967</v>
      </c>
      <c r="EL70" s="676">
        <v>0</v>
      </c>
      <c r="EM70" s="495">
        <v>0</v>
      </c>
      <c r="EN70" s="299">
        <v>41624</v>
      </c>
      <c r="EO70" s="528">
        <v>1.2599575104730953</v>
      </c>
      <c r="EP70" s="528">
        <v>2.5267575104730966</v>
      </c>
      <c r="EQ70" s="528">
        <v>2.8446575104730956</v>
      </c>
      <c r="ER70" s="546">
        <v>2.4068575104730967</v>
      </c>
      <c r="GN70" s="640"/>
      <c r="GO70" s="640"/>
      <c r="GP70" s="640"/>
      <c r="GQ70" s="640"/>
      <c r="GR70" s="640"/>
      <c r="GS70" s="640"/>
      <c r="GT70" s="640"/>
      <c r="GU70" s="640"/>
      <c r="GV70" s="640"/>
      <c r="HF70" s="560">
        <v>0.44971567078835883</v>
      </c>
      <c r="HG70" s="560">
        <v>0</v>
      </c>
      <c r="HH70" s="513">
        <v>0.10808206322528686</v>
      </c>
      <c r="HI70" s="513">
        <v>2.0074346753604764</v>
      </c>
      <c r="HJ70" s="515">
        <v>0.33605436005562045</v>
      </c>
      <c r="HK70" s="515">
        <v>1.8069616408441804</v>
      </c>
      <c r="HL70" s="515">
        <v>0.30157089528999298</v>
      </c>
      <c r="HM70" s="515">
        <v>0.63998201292139889</v>
      </c>
    </row>
    <row r="71" spans="10:221" ht="16">
      <c r="J71" s="580">
        <v>41608</v>
      </c>
      <c r="K71" s="581">
        <v>0</v>
      </c>
      <c r="L71" s="582">
        <v>12.023099999999999</v>
      </c>
      <c r="M71" s="582">
        <v>12.423299999999999</v>
      </c>
      <c r="N71" s="582">
        <v>13.2729</v>
      </c>
      <c r="O71" s="582">
        <v>13.003500000000001</v>
      </c>
      <c r="P71" s="582">
        <v>99.004499999999993</v>
      </c>
      <c r="Q71" s="582">
        <v>10.123154751940772</v>
      </c>
      <c r="R71" s="582">
        <v>1.7149452480592271</v>
      </c>
      <c r="S71" s="582">
        <v>2.9501452480592274</v>
      </c>
      <c r="T71" s="582">
        <v>3.339745248059228</v>
      </c>
      <c r="U71" s="582">
        <v>3.150345248059228</v>
      </c>
      <c r="W71" s="580">
        <v>41626</v>
      </c>
      <c r="X71" s="582">
        <f t="shared" si="54"/>
        <v>1.2597331275526678</v>
      </c>
      <c r="Y71" s="582">
        <f t="shared" si="54"/>
        <v>2.5272946660142068</v>
      </c>
      <c r="Z71" s="582">
        <f t="shared" si="54"/>
        <v>2.8449100506295912</v>
      </c>
      <c r="AA71" s="582">
        <f t="shared" si="54"/>
        <v>2.6969023583218998</v>
      </c>
      <c r="AB71" s="606"/>
      <c r="AC71" s="441">
        <f t="shared" si="47"/>
        <v>2.870286366394259E-2</v>
      </c>
      <c r="AD71" s="440">
        <f t="shared" si="48"/>
        <v>3.3079786740865647E-2</v>
      </c>
      <c r="AE71" s="440">
        <f t="shared" si="49"/>
        <v>3.8802863663943032E-2</v>
      </c>
      <c r="AF71" s="440">
        <f t="shared" si="50"/>
        <v>3.6772094433174196E-2</v>
      </c>
      <c r="AG71" s="633">
        <v>41626</v>
      </c>
      <c r="AH71" s="560">
        <v>-1.1507772507982746E-2</v>
      </c>
      <c r="AI71" s="513">
        <v>-7.5479827251059817E-4</v>
      </c>
      <c r="AJ71" s="513">
        <v>-8.5249710287702597E-3</v>
      </c>
      <c r="AK71" s="513">
        <v>-1.7967181110306017E-2</v>
      </c>
      <c r="AL71" s="634"/>
      <c r="AM71" s="441">
        <v>-1.38E-5</v>
      </c>
      <c r="AN71" s="440">
        <v>-1.2300000000000001E-5</v>
      </c>
      <c r="AO71" s="440">
        <v>-1.7099999999999999E-5</v>
      </c>
      <c r="AP71" s="440">
        <v>-2.0599999999999999E-5</v>
      </c>
      <c r="AR71" s="441">
        <f t="shared" si="42"/>
        <v>1.9872000000000001E-2</v>
      </c>
      <c r="AS71" s="440">
        <f t="shared" si="42"/>
        <v>1.7712000000000002E-2</v>
      </c>
      <c r="AT71" s="440">
        <f t="shared" si="42"/>
        <v>2.4624E-2</v>
      </c>
      <c r="AU71" s="440">
        <f t="shared" si="42"/>
        <v>2.9663999999999999E-2</v>
      </c>
      <c r="AV71" s="633">
        <v>41626</v>
      </c>
      <c r="AW71" s="644"/>
      <c r="AX71" s="608">
        <v>0</v>
      </c>
      <c r="AY71" s="441">
        <f t="shared" si="68"/>
        <v>8.8308636639425897E-3</v>
      </c>
      <c r="AZ71" s="440">
        <f t="shared" si="69"/>
        <v>1.5367786740865644E-2</v>
      </c>
      <c r="BA71" s="440">
        <f t="shared" si="70"/>
        <v>1.4178863663943032E-2</v>
      </c>
      <c r="BB71" s="440">
        <f t="shared" si="71"/>
        <v>7.1080944331741967E-3</v>
      </c>
      <c r="BC71" s="608">
        <f t="shared" si="5"/>
        <v>7.1080944331741974E-2</v>
      </c>
      <c r="BD71" s="627" t="s">
        <v>509</v>
      </c>
      <c r="BE71" s="580">
        <v>41626</v>
      </c>
      <c r="BF71" s="441">
        <f t="shared" si="72"/>
        <v>8.6471873617722288</v>
      </c>
      <c r="BG71" s="440">
        <f t="shared" si="72"/>
        <v>13.810387361771003</v>
      </c>
      <c r="BH71" s="440">
        <f t="shared" si="72"/>
        <v>12.663187361772099</v>
      </c>
      <c r="BI71" s="440">
        <f t="shared" si="72"/>
        <v>17.883187361770002</v>
      </c>
      <c r="BJ71" s="645"/>
      <c r="BK71" s="441">
        <v>8.8308636639425906</v>
      </c>
      <c r="BL71" s="440">
        <v>15.367786740865645</v>
      </c>
      <c r="BM71" s="440">
        <v>14.178863663943034</v>
      </c>
      <c r="BN71" s="440">
        <v>7.1080944331741964</v>
      </c>
      <c r="BO71" s="353">
        <v>76</v>
      </c>
      <c r="BP71" s="353">
        <f t="shared" si="9"/>
        <v>15.2</v>
      </c>
      <c r="BQ71" s="610">
        <f t="shared" si="10"/>
        <v>54.285714285714292</v>
      </c>
      <c r="BR71" s="610">
        <f t="shared" si="11"/>
        <v>20.54054054054054</v>
      </c>
      <c r="BT71" s="648"/>
      <c r="BU71" s="648"/>
      <c r="BV71" s="648"/>
      <c r="BW71" s="648"/>
      <c r="BX71" s="648"/>
      <c r="BY71" s="616" t="s">
        <v>393</v>
      </c>
      <c r="BZ71" s="617">
        <v>32</v>
      </c>
      <c r="CA71" s="608">
        <v>0.2</v>
      </c>
      <c r="CB71" s="608">
        <f t="shared" si="12"/>
        <v>2</v>
      </c>
      <c r="CC71" s="608"/>
      <c r="CD71" s="631">
        <f t="shared" si="13"/>
        <v>221.3</v>
      </c>
      <c r="CN71" s="632" t="s">
        <v>476</v>
      </c>
      <c r="CO71" s="580">
        <f>'[3]Plots R2&gt;.75 - UPDATED'!R68</f>
        <v>41627</v>
      </c>
      <c r="CP71" s="620"/>
      <c r="CQ71" s="654">
        <v>41627</v>
      </c>
      <c r="CR71" s="655">
        <v>53964.248713302921</v>
      </c>
      <c r="CS71" s="656">
        <v>204788.13500872563</v>
      </c>
      <c r="CT71" s="656">
        <v>74177.754242322946</v>
      </c>
      <c r="CU71" s="657">
        <v>67390.023637171907</v>
      </c>
      <c r="CV71" s="571">
        <f t="shared" si="33"/>
        <v>0.56037099970865389</v>
      </c>
      <c r="CW71" s="571">
        <f t="shared" si="64"/>
        <v>0.27605174949307143</v>
      </c>
      <c r="CX71" s="571">
        <f t="shared" si="35"/>
        <v>0.14766480489073025</v>
      </c>
      <c r="CY71" s="571">
        <f t="shared" si="65"/>
        <v>1.5480553678582101</v>
      </c>
      <c r="CZ71" s="571">
        <f t="shared" si="41"/>
        <v>0.4076693923789112</v>
      </c>
      <c r="DA71" s="571">
        <f t="shared" si="66"/>
        <v>1.2022335047440629</v>
      </c>
      <c r="DB71" s="571">
        <f t="shared" si="19"/>
        <v>0.44873110837313618</v>
      </c>
      <c r="DC71" s="571">
        <f t="shared" si="67"/>
        <v>0.72095078059626205</v>
      </c>
      <c r="DD71" s="653"/>
      <c r="DE71" s="299">
        <v>41625</v>
      </c>
      <c r="DF71" s="463">
        <v>5.8114808012899166</v>
      </c>
      <c r="DG71" s="463">
        <v>22.443743768107218</v>
      </c>
      <c r="DH71" s="463">
        <v>7.9118137595055433</v>
      </c>
      <c r="DI71" s="463">
        <v>7.7450032731014185</v>
      </c>
      <c r="DJ71" s="528">
        <v>0.86471873617722284</v>
      </c>
      <c r="DK71" s="528">
        <v>1.3810387361771004</v>
      </c>
      <c r="DL71" s="528">
        <v>1.2663187361772099</v>
      </c>
      <c r="DM71" s="546">
        <v>1.7883187361770001</v>
      </c>
      <c r="DN71" s="528">
        <f t="shared" si="37"/>
        <v>8.6471873617722288</v>
      </c>
      <c r="DO71" s="528">
        <f t="shared" si="38"/>
        <v>13.810387361771003</v>
      </c>
      <c r="DP71" s="528">
        <f t="shared" si="39"/>
        <v>12.663187361772099</v>
      </c>
      <c r="DQ71" s="528">
        <f t="shared" si="40"/>
        <v>17.883187361770002</v>
      </c>
      <c r="DR71" s="463">
        <v>0.86471873617722284</v>
      </c>
      <c r="DS71" s="463">
        <v>1.3810387361771004</v>
      </c>
      <c r="DT71" s="463">
        <v>1.2663187361772099</v>
      </c>
      <c r="DU71" s="463">
        <v>1.7883187361770001</v>
      </c>
      <c r="DV71" s="463">
        <v>0.70789213415719754</v>
      </c>
      <c r="DW71" s="463">
        <v>1.2231741351618475</v>
      </c>
      <c r="DX71" s="463">
        <v>1.5739227997893952</v>
      </c>
      <c r="DY71" s="463">
        <v>9.6746017342390633E-2</v>
      </c>
      <c r="DZ71" s="463">
        <v>0.70789213415719754</v>
      </c>
      <c r="EA71" s="463">
        <v>1.2231741351618475</v>
      </c>
      <c r="EB71" s="463">
        <v>1.5739227997893952</v>
      </c>
      <c r="EC71" s="463">
        <v>9.6746017342390633E-2</v>
      </c>
      <c r="ED71" s="463">
        <f t="shared" si="24"/>
        <v>7.0789213415719754</v>
      </c>
      <c r="EE71" s="463">
        <f t="shared" si="25"/>
        <v>12.231741351618474</v>
      </c>
      <c r="EF71" s="463">
        <f t="shared" si="26"/>
        <v>15.739227997893952</v>
      </c>
      <c r="EG71" s="463">
        <f t="shared" si="27"/>
        <v>0.96746017342390633</v>
      </c>
      <c r="EH71" s="528">
        <f>'[3]Plots R2&gt;.75 - UPDATED'!S68</f>
        <v>1.2310082253497936</v>
      </c>
      <c r="EI71" s="528">
        <f>'[3]Plots R2&gt;.75 - UPDATED'!T68</f>
        <v>2.4946082253497934</v>
      </c>
      <c r="EJ71" s="528">
        <f>'[3]Plots R2&gt;.75 - UPDATED'!U68</f>
        <v>2.8065082253497939</v>
      </c>
      <c r="EK71" s="546">
        <f>'[3]Plots R2&gt;.75 - UPDATED'!V68</f>
        <v>2.3701082253497936</v>
      </c>
      <c r="EL71" s="676">
        <v>0</v>
      </c>
      <c r="EM71" s="495">
        <v>0</v>
      </c>
      <c r="EN71" s="299">
        <v>41625</v>
      </c>
      <c r="EO71" s="528">
        <v>1.2310082253497936</v>
      </c>
      <c r="EP71" s="528">
        <v>2.4946082253497934</v>
      </c>
      <c r="EQ71" s="528">
        <v>2.8065082253497939</v>
      </c>
      <c r="ER71" s="546">
        <v>2.3701082253497936</v>
      </c>
      <c r="GN71" s="640"/>
      <c r="GO71" s="640"/>
      <c r="GP71" s="640"/>
      <c r="GQ71" s="640"/>
      <c r="GR71" s="640"/>
      <c r="GS71" s="640"/>
      <c r="GT71" s="640"/>
      <c r="GU71" s="640"/>
      <c r="GV71" s="640"/>
      <c r="HF71" s="559">
        <v>0.45896463270976462</v>
      </c>
      <c r="HG71" s="559">
        <v>0.18759928019970629</v>
      </c>
      <c r="HH71" s="569">
        <v>0.11204415440555821</v>
      </c>
      <c r="HI71" s="569">
        <v>2.1786146987599024</v>
      </c>
      <c r="HJ71" s="599">
        <v>0.34183010762841703</v>
      </c>
      <c r="HK71" s="599">
        <v>1.8333643950337417</v>
      </c>
      <c r="HL71" s="599">
        <v>0.3146989884937631</v>
      </c>
      <c r="HM71" s="599">
        <v>0.53771988122330572</v>
      </c>
    </row>
    <row r="72" spans="10:221" ht="16">
      <c r="J72" s="580">
        <v>41609</v>
      </c>
      <c r="K72" s="581">
        <v>0</v>
      </c>
      <c r="L72" s="582">
        <v>11.9779</v>
      </c>
      <c r="M72" s="582">
        <v>12.395200000000001</v>
      </c>
      <c r="N72" s="582">
        <v>13.2432</v>
      </c>
      <c r="O72" s="582">
        <v>12.9754</v>
      </c>
      <c r="P72" s="582">
        <v>98.982699999999994</v>
      </c>
      <c r="Q72" s="582">
        <v>10.120925714133477</v>
      </c>
      <c r="R72" s="582">
        <v>1.6719742858665225</v>
      </c>
      <c r="S72" s="582">
        <v>2.9242742858665238</v>
      </c>
      <c r="T72" s="582">
        <v>3.3122742858665228</v>
      </c>
      <c r="U72" s="582">
        <v>3.1244742858665226</v>
      </c>
      <c r="W72" s="580">
        <v>41627</v>
      </c>
      <c r="X72" s="582">
        <f t="shared" si="54"/>
        <v>1.2310302638887252</v>
      </c>
      <c r="Y72" s="582">
        <f t="shared" si="54"/>
        <v>2.4942148792733412</v>
      </c>
      <c r="Z72" s="582">
        <f t="shared" si="54"/>
        <v>2.8061071869656482</v>
      </c>
      <c r="AA72" s="582">
        <f t="shared" si="54"/>
        <v>2.6601302638887256</v>
      </c>
      <c r="AB72" s="606"/>
      <c r="AC72" s="441">
        <f t="shared" ref="AC72:AC97" si="73">X72-X73</f>
        <v>2.5093642685655837E-2</v>
      </c>
      <c r="AD72" s="440">
        <f t="shared" ref="AD72:AD97" si="74">Y72-Y73</f>
        <v>3.6978258070270886E-2</v>
      </c>
      <c r="AE72" s="440">
        <f t="shared" ref="AE72:AE97" si="75">Z72-Z73</f>
        <v>4.0216719608730855E-2</v>
      </c>
      <c r="AF72" s="440">
        <f t="shared" ref="AF72:AF97" si="76">AA72-AA73</f>
        <v>5.5062873454886585E-2</v>
      </c>
      <c r="AG72" s="633">
        <v>41627</v>
      </c>
      <c r="AH72" s="560">
        <v>-1.0888511181174581E-2</v>
      </c>
      <c r="AI72" s="513">
        <v>-7.5126682703474277E-4</v>
      </c>
      <c r="AJ72" s="513">
        <v>-8.4451542279765073E-3</v>
      </c>
      <c r="AK72" s="513">
        <v>-1.6777256467638862E-2</v>
      </c>
      <c r="AL72" s="634"/>
      <c r="AM72" s="441">
        <v>-1.17E-5</v>
      </c>
      <c r="AN72" s="440">
        <v>-3.6000000000000001E-5</v>
      </c>
      <c r="AO72" s="440">
        <v>-1.8300000000000001E-5</v>
      </c>
      <c r="AP72" s="440">
        <v>-2.2500000000000001E-5</v>
      </c>
      <c r="AR72" s="441">
        <f t="shared" si="42"/>
        <v>1.6847999999999998E-2</v>
      </c>
      <c r="AS72" s="440">
        <f t="shared" si="42"/>
        <v>5.1840000000000004E-2</v>
      </c>
      <c r="AT72" s="440">
        <f t="shared" si="42"/>
        <v>2.6352E-2</v>
      </c>
      <c r="AU72" s="440">
        <f t="shared" si="42"/>
        <v>3.2400000000000005E-2</v>
      </c>
      <c r="AV72" s="633">
        <v>41627</v>
      </c>
      <c r="AW72" s="644"/>
      <c r="AX72" s="608">
        <v>0</v>
      </c>
      <c r="AY72" s="441">
        <f t="shared" si="68"/>
        <v>8.2456426856558386E-3</v>
      </c>
      <c r="AZ72" s="440">
        <f t="shared" si="69"/>
        <v>-1.4861741929729118E-2</v>
      </c>
      <c r="BA72" s="440">
        <f t="shared" si="70"/>
        <v>1.3864719608730855E-2</v>
      </c>
      <c r="BB72" s="440">
        <f t="shared" si="71"/>
        <v>2.266287345488658E-2</v>
      </c>
      <c r="BC72" s="608">
        <f t="shared" ref="BC72:BC135" si="77">BB72*10</f>
        <v>0.22662873454886578</v>
      </c>
      <c r="BD72" s="627" t="s">
        <v>510</v>
      </c>
      <c r="BE72" s="580">
        <v>41627</v>
      </c>
      <c r="BF72" s="441">
        <f t="shared" ref="BF72:BF96" si="78">DR72*10</f>
        <v>9.0772851233017491</v>
      </c>
      <c r="BG72" s="440"/>
      <c r="BH72" s="440">
        <f t="shared" ref="BH72:BH103" si="79">DT72*10</f>
        <v>13.525285123301622</v>
      </c>
      <c r="BI72" s="440">
        <f t="shared" ref="BI72:BI103" si="80">DU72*10</f>
        <v>7.0852851233031089</v>
      </c>
      <c r="BJ72" s="645"/>
      <c r="BK72" s="441">
        <v>8.245642685655838</v>
      </c>
      <c r="BL72" s="440"/>
      <c r="BM72" s="440">
        <v>13.864719608730855</v>
      </c>
      <c r="BN72" s="440">
        <v>22.662873454886579</v>
      </c>
      <c r="BO72" s="353">
        <v>74</v>
      </c>
      <c r="BP72" s="353">
        <f t="shared" si="9"/>
        <v>14.8</v>
      </c>
      <c r="BQ72" s="610">
        <f t="shared" si="10"/>
        <v>52.857142857142861</v>
      </c>
      <c r="BR72" s="610">
        <f t="shared" si="11"/>
        <v>20</v>
      </c>
      <c r="BT72" s="648"/>
      <c r="BU72" s="648"/>
      <c r="BV72" s="648"/>
      <c r="BW72" s="648"/>
      <c r="BX72" s="648"/>
      <c r="BY72" s="616" t="s">
        <v>396</v>
      </c>
      <c r="BZ72" s="617">
        <v>32</v>
      </c>
      <c r="CA72" s="608">
        <v>0</v>
      </c>
      <c r="CB72" s="608">
        <f t="shared" si="12"/>
        <v>0</v>
      </c>
      <c r="CC72" s="608"/>
      <c r="CD72" s="631">
        <f t="shared" si="13"/>
        <v>221.3</v>
      </c>
      <c r="CN72" s="632" t="s">
        <v>478</v>
      </c>
      <c r="CO72" s="580">
        <f>'[3]Plots R2&gt;.75 - UPDATED'!R69</f>
        <v>41628</v>
      </c>
      <c r="CP72" s="620"/>
      <c r="CQ72" s="654">
        <v>41628</v>
      </c>
      <c r="CR72" s="655">
        <v>52750.096931800806</v>
      </c>
      <c r="CS72" s="656">
        <v>195962.74239121797</v>
      </c>
      <c r="CT72" s="656">
        <v>72255.803248609591</v>
      </c>
      <c r="CU72" s="657">
        <v>62489.245039029527</v>
      </c>
      <c r="CV72" s="571">
        <f t="shared" si="33"/>
        <v>0.57326908875819671</v>
      </c>
      <c r="CW72" s="571">
        <f t="shared" si="64"/>
        <v>2.2679793124345093E-2</v>
      </c>
      <c r="CX72" s="571">
        <f t="shared" si="35"/>
        <v>0.15431504800861165</v>
      </c>
      <c r="CY72" s="571">
        <f t="shared" si="65"/>
        <v>2.3756250926004503</v>
      </c>
      <c r="CZ72" s="571">
        <f t="shared" si="41"/>
        <v>0.41851309708583029</v>
      </c>
      <c r="DA72" s="571">
        <f t="shared" si="66"/>
        <v>1.3721714801165192</v>
      </c>
      <c r="DB72" s="571">
        <f t="shared" si="19"/>
        <v>0.483923273214658</v>
      </c>
      <c r="DC72" s="571">
        <f t="shared" si="67"/>
        <v>1.0783510800214566</v>
      </c>
      <c r="DD72" s="653"/>
      <c r="DE72" s="299">
        <v>41626</v>
      </c>
      <c r="DF72" s="463">
        <v>5.6705160374776185</v>
      </c>
      <c r="DG72" s="463">
        <v>21.905470154571383</v>
      </c>
      <c r="DH72" s="463">
        <v>7.7774116912050104</v>
      </c>
      <c r="DI72" s="463">
        <v>7.4440164430167233</v>
      </c>
      <c r="DJ72" s="528">
        <v>0.90772851233017482</v>
      </c>
      <c r="DK72" s="528">
        <v>1.4437285123303172</v>
      </c>
      <c r="DL72" s="528">
        <v>1.3525285123301622</v>
      </c>
      <c r="DM72" s="546">
        <v>0.70852851233031089</v>
      </c>
      <c r="DN72" s="528">
        <f t="shared" si="37"/>
        <v>9.0772851233017491</v>
      </c>
      <c r="DO72" s="528">
        <f t="shared" si="38"/>
        <v>14.437285123303171</v>
      </c>
      <c r="DP72" s="528">
        <f t="shared" si="39"/>
        <v>13.525285123301622</v>
      </c>
      <c r="DQ72" s="528">
        <f t="shared" si="40"/>
        <v>7.0852851233031089</v>
      </c>
      <c r="DR72" s="463">
        <v>0.90772851233017482</v>
      </c>
      <c r="DS72" s="463">
        <v>1.4437285123303172</v>
      </c>
      <c r="DT72" s="463">
        <v>1.3525285123301622</v>
      </c>
      <c r="DU72" s="463">
        <v>0.70852851233031089</v>
      </c>
      <c r="DV72" s="463">
        <v>0.83642274920172532</v>
      </c>
      <c r="DW72" s="463">
        <v>1.6957201727489404</v>
      </c>
      <c r="DX72" s="463">
        <v>1.6099028971229741</v>
      </c>
      <c r="DY72" s="463">
        <v>1.1696818889693983</v>
      </c>
      <c r="DZ72" s="463">
        <v>0.83642274920172532</v>
      </c>
      <c r="EA72" s="463">
        <v>1.6957201727489404</v>
      </c>
      <c r="EB72" s="463">
        <v>1.6099028971229741</v>
      </c>
      <c r="EC72" s="463">
        <v>1.1696818889693983</v>
      </c>
      <c r="ED72" s="463">
        <f t="shared" si="24"/>
        <v>8.3642274920172532</v>
      </c>
      <c r="EE72" s="463">
        <f t="shared" si="25"/>
        <v>16.957201727489405</v>
      </c>
      <c r="EF72" s="463">
        <f t="shared" si="26"/>
        <v>16.099028971229743</v>
      </c>
      <c r="EG72" s="463">
        <f t="shared" si="27"/>
        <v>11.696818889693983</v>
      </c>
      <c r="EH72" s="528">
        <f>'[3]Plots R2&gt;.75 - UPDATED'!S69</f>
        <v>1.2057875728895202</v>
      </c>
      <c r="EI72" s="528">
        <f>'[3]Plots R2&gt;.75 - UPDATED'!T69</f>
        <v>2.456787572889521</v>
      </c>
      <c r="EJ72" s="528">
        <f>'[3]Plots R2&gt;.75 - UPDATED'!U69</f>
        <v>2.7656875728895214</v>
      </c>
      <c r="EK72" s="546">
        <f>'[3]Plots R2&gt;.75 - UPDATED'!V69</f>
        <v>2.3149875728895206</v>
      </c>
      <c r="EL72" s="676">
        <v>0</v>
      </c>
      <c r="EM72" s="495">
        <v>0</v>
      </c>
      <c r="EN72" s="299">
        <v>41626</v>
      </c>
      <c r="EO72" s="528">
        <v>1.2057875728895202</v>
      </c>
      <c r="EP72" s="528">
        <v>2.456787572889521</v>
      </c>
      <c r="EQ72" s="528">
        <v>2.7656875728895214</v>
      </c>
      <c r="ER72" s="546">
        <v>2.3149875728895206</v>
      </c>
      <c r="GN72" s="640"/>
      <c r="GO72" s="640"/>
      <c r="GP72" s="640"/>
      <c r="GQ72" s="640"/>
      <c r="GR72" s="640"/>
      <c r="GS72" s="640"/>
      <c r="GT72" s="640"/>
      <c r="GU72" s="640"/>
      <c r="GV72" s="640"/>
      <c r="HF72" s="559">
        <v>0.46864559050344745</v>
      </c>
      <c r="HG72" s="559">
        <v>0</v>
      </c>
      <c r="HH72" s="569">
        <v>0.11620113717877333</v>
      </c>
      <c r="HI72" s="569">
        <v>2.3964641820598338</v>
      </c>
      <c r="HJ72" s="599">
        <v>0.3471885724531204</v>
      </c>
      <c r="HK72" s="599">
        <v>1.6296640819437709</v>
      </c>
      <c r="HL72" s="599">
        <v>0.32873792070138674</v>
      </c>
      <c r="HM72" s="599">
        <v>0.32653173922695788</v>
      </c>
    </row>
    <row r="73" spans="10:221" ht="16">
      <c r="J73" s="580">
        <v>41610</v>
      </c>
      <c r="K73" s="581">
        <v>0</v>
      </c>
      <c r="L73" s="582">
        <v>11.946099999999999</v>
      </c>
      <c r="M73" s="582">
        <v>12.373699999999999</v>
      </c>
      <c r="N73" s="582">
        <v>13.208</v>
      </c>
      <c r="O73" s="582">
        <v>12.950699999999999</v>
      </c>
      <c r="P73" s="582">
        <v>98.997600000000006</v>
      </c>
      <c r="Q73" s="582">
        <v>10.122449230799933</v>
      </c>
      <c r="R73" s="582">
        <v>1.638650769200066</v>
      </c>
      <c r="S73" s="582">
        <v>2.9012507692000664</v>
      </c>
      <c r="T73" s="582">
        <v>3.2755507692000672</v>
      </c>
      <c r="U73" s="582">
        <v>3.0982507692000656</v>
      </c>
      <c r="W73" s="580">
        <v>41628</v>
      </c>
      <c r="X73" s="582">
        <f t="shared" ref="X73:AA104" si="81">AVERAGE(R91,R253,R415,R577,R739,R901,R1063,R1225,R1387,R1549,R1711,R1873,R2035)</f>
        <v>1.2059366212030693</v>
      </c>
      <c r="Y73" s="582">
        <f t="shared" si="81"/>
        <v>2.4572366212030703</v>
      </c>
      <c r="Z73" s="582">
        <f t="shared" si="81"/>
        <v>2.7658904673569173</v>
      </c>
      <c r="AA73" s="582">
        <f t="shared" si="81"/>
        <v>2.6050673904338391</v>
      </c>
      <c r="AB73" s="606"/>
      <c r="AC73" s="441">
        <f t="shared" si="73"/>
        <v>2.44714885625823E-2</v>
      </c>
      <c r="AD73" s="440">
        <f t="shared" si="74"/>
        <v>3.0563796254890363E-2</v>
      </c>
      <c r="AE73" s="440">
        <f t="shared" si="75"/>
        <v>4.3356103947198577E-2</v>
      </c>
      <c r="AF73" s="440">
        <f t="shared" si="76"/>
        <v>8.5156103947197526E-2</v>
      </c>
      <c r="AG73" s="633">
        <v>41628</v>
      </c>
      <c r="AH73" s="560">
        <v>-1.0321759847792071E-2</v>
      </c>
      <c r="AI73" s="513">
        <v>-7.4585601516913801E-4</v>
      </c>
      <c r="AJ73" s="513">
        <v>-8.3528129703264141E-3</v>
      </c>
      <c r="AK73" s="513">
        <v>-1.4697483604611743E-2</v>
      </c>
      <c r="AL73" s="634"/>
      <c r="AM73" s="441">
        <v>-1.11E-5</v>
      </c>
      <c r="AN73" s="440">
        <v>-1.49E-5</v>
      </c>
      <c r="AO73" s="440">
        <v>-1.9700000000000001E-5</v>
      </c>
      <c r="AP73" s="440">
        <v>-6.1500000000000004E-5</v>
      </c>
      <c r="AR73" s="441">
        <f t="shared" si="42"/>
        <v>1.5984000000000002E-2</v>
      </c>
      <c r="AS73" s="440">
        <f t="shared" si="42"/>
        <v>2.1455999999999999E-2</v>
      </c>
      <c r="AT73" s="440">
        <f t="shared" si="42"/>
        <v>2.8368000000000001E-2</v>
      </c>
      <c r="AU73" s="440">
        <f t="shared" si="42"/>
        <v>8.856E-2</v>
      </c>
      <c r="AV73" s="633">
        <v>41628</v>
      </c>
      <c r="AW73" s="644"/>
      <c r="AX73" s="608">
        <v>0</v>
      </c>
      <c r="AY73" s="441">
        <f t="shared" si="68"/>
        <v>8.4874885625822981E-3</v>
      </c>
      <c r="AZ73" s="440">
        <f t="shared" si="69"/>
        <v>9.1077962548903636E-3</v>
      </c>
      <c r="BA73" s="440">
        <f t="shared" si="70"/>
        <v>1.4988103947198576E-2</v>
      </c>
      <c r="BB73" s="440">
        <f t="shared" si="71"/>
        <v>-3.4038960528024742E-3</v>
      </c>
      <c r="BC73" s="608">
        <f t="shared" si="77"/>
        <v>-3.4038960528024742E-2</v>
      </c>
      <c r="BD73" s="627" t="s">
        <v>511</v>
      </c>
      <c r="BE73" s="580">
        <v>41628</v>
      </c>
      <c r="BF73" s="441">
        <f t="shared" si="78"/>
        <v>8.3726524602733861</v>
      </c>
      <c r="BG73" s="440">
        <f>DS73*10</f>
        <v>11.769984227147079</v>
      </c>
      <c r="BH73" s="440">
        <f t="shared" si="79"/>
        <v>14.468652460272553</v>
      </c>
      <c r="BI73" s="440">
        <f t="shared" si="80"/>
        <v>22.720652460272973</v>
      </c>
      <c r="BJ73" s="645"/>
      <c r="BK73" s="441">
        <v>8.487488562582298</v>
      </c>
      <c r="BL73" s="440">
        <v>9.1077962548903635</v>
      </c>
      <c r="BM73" s="440">
        <v>14.988103947198576</v>
      </c>
      <c r="BN73" s="440"/>
      <c r="BO73" s="353">
        <v>75</v>
      </c>
      <c r="BP73" s="353">
        <f t="shared" ref="BP73:BP136" si="82">BO73/5</f>
        <v>15</v>
      </c>
      <c r="BQ73" s="610">
        <f t="shared" ref="BQ73:BQ136" si="83">BO73/1.4</f>
        <v>53.571428571428577</v>
      </c>
      <c r="BR73" s="610">
        <f t="shared" ref="BR73:BR136" si="84">BO73/3.7</f>
        <v>20.27027027027027</v>
      </c>
      <c r="BT73" s="648"/>
      <c r="BU73" s="648"/>
      <c r="BV73" s="648"/>
      <c r="BW73" s="648"/>
      <c r="BX73" s="648"/>
      <c r="BY73" s="616" t="s">
        <v>399</v>
      </c>
      <c r="BZ73" s="617">
        <v>31</v>
      </c>
      <c r="CA73" s="608">
        <v>0</v>
      </c>
      <c r="CB73" s="608">
        <f t="shared" ref="CB73:CB136" si="85">CA73*10</f>
        <v>0</v>
      </c>
      <c r="CC73" s="608"/>
      <c r="CD73" s="631">
        <f t="shared" si="13"/>
        <v>221.3</v>
      </c>
      <c r="CN73" s="632" t="s">
        <v>480</v>
      </c>
      <c r="CO73" s="580">
        <f>'[3]Plots R2&gt;.75 - UPDATED'!R70</f>
        <v>41629</v>
      </c>
      <c r="CP73" s="620"/>
      <c r="CQ73" s="654">
        <v>41629</v>
      </c>
      <c r="CR73" s="655">
        <v>51575.033095043618</v>
      </c>
      <c r="CS73" s="656">
        <v>189016.30649969843</v>
      </c>
      <c r="CT73" s="656">
        <v>70234.187279230231</v>
      </c>
      <c r="CU73" s="657">
        <v>55392.823162519846</v>
      </c>
      <c r="CV73" s="571">
        <f t="shared" si="33"/>
        <v>0.58633021028358923</v>
      </c>
      <c r="CW73" s="571">
        <f t="shared" si="64"/>
        <v>0</v>
      </c>
      <c r="CX73" s="571">
        <f t="shared" si="35"/>
        <v>0.15998619674672485</v>
      </c>
      <c r="CY73" s="571">
        <f t="shared" si="65"/>
        <v>1.9110282017363611</v>
      </c>
      <c r="CZ73" s="571">
        <f t="shared" si="41"/>
        <v>0.43055954900958354</v>
      </c>
      <c r="DA73" s="571">
        <f t="shared" si="66"/>
        <v>1.5709591539577754</v>
      </c>
      <c r="DB73" s="571">
        <f t="shared" si="19"/>
        <v>0.5459190969789951</v>
      </c>
      <c r="DC73" s="571">
        <f t="shared" si="67"/>
        <v>4.7166949277280779</v>
      </c>
      <c r="DD73" s="653"/>
      <c r="DE73" s="299">
        <v>41627</v>
      </c>
      <c r="DF73" s="463">
        <v>5.5360946690609891</v>
      </c>
      <c r="DG73" s="463">
        <v>21.249100725170592</v>
      </c>
      <c r="DH73" s="463">
        <v>7.5994053821532317</v>
      </c>
      <c r="DI73" s="463">
        <v>7.0800467308594932</v>
      </c>
      <c r="DJ73" s="528">
        <v>0.83726524602733865</v>
      </c>
      <c r="DK73" s="528"/>
      <c r="DL73" s="528">
        <v>1.4468652460272553</v>
      </c>
      <c r="DM73" s="546">
        <v>2.2720652460272972</v>
      </c>
      <c r="DN73" s="528">
        <f t="shared" si="37"/>
        <v>8.3726524602733861</v>
      </c>
      <c r="DO73" s="528">
        <f t="shared" si="38"/>
        <v>0</v>
      </c>
      <c r="DP73" s="528">
        <f t="shared" si="39"/>
        <v>14.468652460272553</v>
      </c>
      <c r="DQ73" s="528">
        <f t="shared" si="40"/>
        <v>22.720652460272973</v>
      </c>
      <c r="DR73" s="463">
        <v>0.83726524602733865</v>
      </c>
      <c r="DS73" s="463">
        <v>1.1769984227147079</v>
      </c>
      <c r="DT73" s="463">
        <v>1.4468652460272553</v>
      </c>
      <c r="DU73" s="463">
        <v>2.2720652460272972</v>
      </c>
      <c r="DV73" s="463">
        <v>0.5959488818825418</v>
      </c>
      <c r="DW73" s="463">
        <v>2.529940140609062</v>
      </c>
      <c r="DX73" s="463">
        <v>1.7906845772023496</v>
      </c>
      <c r="DY73" s="463">
        <v>1.5622743532361145</v>
      </c>
      <c r="DZ73" s="463">
        <v>0.5959488818825418</v>
      </c>
      <c r="EA73" s="463">
        <v>2.529940140609062</v>
      </c>
      <c r="EB73" s="463">
        <v>1.7906845772023496</v>
      </c>
      <c r="EC73" s="463">
        <v>1.5622743532361145</v>
      </c>
      <c r="ED73" s="463">
        <f t="shared" si="24"/>
        <v>5.9594888188254185</v>
      </c>
      <c r="EE73" s="463">
        <f t="shared" si="25"/>
        <v>25.29940140609062</v>
      </c>
      <c r="EF73" s="463">
        <f t="shared" si="26"/>
        <v>17.906845772023495</v>
      </c>
      <c r="EG73" s="463">
        <f t="shared" si="27"/>
        <v>15.622743532361145</v>
      </c>
      <c r="EH73" s="528">
        <f>'[3]Plots R2&gt;.75 - UPDATED'!S70</f>
        <v>1.1813288895585292</v>
      </c>
      <c r="EI73" s="528">
        <f>'[3]Plots R2&gt;.75 - UPDATED'!T70</f>
        <v>2.42622888955853</v>
      </c>
      <c r="EJ73" s="528">
        <f>'[3]Plots R2&gt;.75 - UPDATED'!U70</f>
        <v>2.7222288895585303</v>
      </c>
      <c r="EK73" s="546">
        <f>'[3]Plots R2&gt;.75 - UPDATED'!V70</f>
        <v>2.2296288895585294</v>
      </c>
      <c r="EL73" s="676">
        <v>0</v>
      </c>
      <c r="EM73" s="495">
        <v>0</v>
      </c>
      <c r="EN73" s="299">
        <v>41627</v>
      </c>
      <c r="EO73" s="528">
        <v>1.1813288895585292</v>
      </c>
      <c r="EP73" s="528">
        <v>2.42622888955853</v>
      </c>
      <c r="EQ73" s="528">
        <v>2.7222288895585303</v>
      </c>
      <c r="ER73" s="546">
        <v>2.2296288895585294</v>
      </c>
      <c r="GN73" s="640"/>
      <c r="GO73" s="640"/>
      <c r="GP73" s="640"/>
      <c r="GQ73" s="640"/>
      <c r="GR73" s="640"/>
      <c r="GS73" s="640"/>
      <c r="GT73" s="640"/>
      <c r="GU73" s="640"/>
      <c r="GV73" s="640"/>
      <c r="HF73" s="559">
        <v>0.47837983162042058</v>
      </c>
      <c r="HG73" s="559">
        <v>0</v>
      </c>
      <c r="HH73" s="569">
        <v>0.12077271101725059</v>
      </c>
      <c r="HI73" s="569">
        <v>1.9868085107568891</v>
      </c>
      <c r="HJ73" s="599">
        <v>0.35515749385851098</v>
      </c>
      <c r="HK73" s="599">
        <v>1.5547545965651477</v>
      </c>
      <c r="HL73" s="599">
        <v>0.34334033132777964</v>
      </c>
      <c r="HM73" s="599">
        <v>0.35162801809378696</v>
      </c>
    </row>
    <row r="74" spans="10:221" ht="16">
      <c r="J74" s="580">
        <v>41611</v>
      </c>
      <c r="K74" s="581">
        <v>0</v>
      </c>
      <c r="L74" s="582">
        <v>11.9459</v>
      </c>
      <c r="M74" s="582">
        <v>12.3775</v>
      </c>
      <c r="N74" s="582">
        <v>13.2026</v>
      </c>
      <c r="O74" s="582">
        <v>12.949</v>
      </c>
      <c r="P74" s="582">
        <v>99.081299999999999</v>
      </c>
      <c r="Q74" s="582">
        <v>10.131007508986656</v>
      </c>
      <c r="R74" s="582">
        <v>1.6298924910133441</v>
      </c>
      <c r="S74" s="582">
        <v>2.8964924910133441</v>
      </c>
      <c r="T74" s="582">
        <v>3.2615924910133449</v>
      </c>
      <c r="U74" s="582">
        <v>3.0879924910133436</v>
      </c>
      <c r="W74" s="580">
        <v>41629</v>
      </c>
      <c r="X74" s="582">
        <f t="shared" si="81"/>
        <v>1.181465132640487</v>
      </c>
      <c r="Y74" s="582">
        <f t="shared" si="81"/>
        <v>2.4266728249481799</v>
      </c>
      <c r="Z74" s="582">
        <f t="shared" si="81"/>
        <v>2.7225343634097188</v>
      </c>
      <c r="AA74" s="582">
        <f t="shared" si="81"/>
        <v>2.5199112864866415</v>
      </c>
      <c r="AB74" s="606"/>
      <c r="AC74" s="441">
        <f t="shared" si="73"/>
        <v>2.6453778763083191E-2</v>
      </c>
      <c r="AD74" s="440">
        <f t="shared" si="74"/>
        <v>3.3184547993852398E-2</v>
      </c>
      <c r="AE74" s="440">
        <f t="shared" si="75"/>
        <v>4.4584547993852475E-2</v>
      </c>
      <c r="AF74" s="440">
        <f t="shared" si="76"/>
        <v>8.5276855686160502E-2</v>
      </c>
      <c r="AG74" s="633">
        <v>41629</v>
      </c>
      <c r="AH74" s="560">
        <v>-9.7461882140857693E-3</v>
      </c>
      <c r="AI74" s="513">
        <v>-7.4039175108095618E-4</v>
      </c>
      <c r="AJ74" s="513">
        <v>-8.246065639794008E-3</v>
      </c>
      <c r="AK74" s="513">
        <v>-1.0648479452855636E-2</v>
      </c>
      <c r="AL74" s="634"/>
      <c r="AM74" s="441">
        <v>-1.1E-5</v>
      </c>
      <c r="AN74" s="440">
        <v>-1.6900000000000001E-5</v>
      </c>
      <c r="AO74" s="440">
        <v>-2.5999999999999998E-5</v>
      </c>
      <c r="AP74" s="440">
        <v>-6.1699999999999995E-5</v>
      </c>
      <c r="AR74" s="441">
        <f t="shared" si="42"/>
        <v>1.584E-2</v>
      </c>
      <c r="AS74" s="440">
        <f t="shared" si="42"/>
        <v>2.4336E-2</v>
      </c>
      <c r="AT74" s="440">
        <f t="shared" si="42"/>
        <v>3.7440000000000001E-2</v>
      </c>
      <c r="AU74" s="440">
        <f t="shared" si="42"/>
        <v>8.8847999999999996E-2</v>
      </c>
      <c r="AV74" s="633">
        <v>41629</v>
      </c>
      <c r="AW74" s="644"/>
      <c r="AX74" s="608">
        <v>0</v>
      </c>
      <c r="AY74" s="441">
        <f t="shared" si="68"/>
        <v>1.0613778763083191E-2</v>
      </c>
      <c r="AZ74" s="440">
        <f t="shared" si="69"/>
        <v>8.848547993852398E-3</v>
      </c>
      <c r="BA74" s="440">
        <f t="shared" si="70"/>
        <v>7.1445479938524736E-3</v>
      </c>
      <c r="BB74" s="440">
        <f t="shared" si="71"/>
        <v>-3.5711443138394944E-3</v>
      </c>
      <c r="BC74" s="608">
        <f t="shared" si="77"/>
        <v>-3.5711443138394944E-2</v>
      </c>
      <c r="BD74" s="627" t="s">
        <v>512</v>
      </c>
      <c r="BE74" s="580">
        <v>41629</v>
      </c>
      <c r="BF74" s="441">
        <f t="shared" si="78"/>
        <v>8.4746833309909917</v>
      </c>
      <c r="BG74" s="440">
        <f>DS74*10</f>
        <v>9.1026833309909883</v>
      </c>
      <c r="BH74" s="440">
        <f t="shared" si="79"/>
        <v>15.090683330991119</v>
      </c>
      <c r="BI74" s="440">
        <f t="shared" si="80"/>
        <v>18.035059479308696</v>
      </c>
      <c r="BJ74" s="645"/>
      <c r="BK74" s="441">
        <v>10.613778763083189</v>
      </c>
      <c r="BL74" s="440">
        <v>8.8485479938523977</v>
      </c>
      <c r="BM74" s="440">
        <v>7.1445479938524734</v>
      </c>
      <c r="BN74" s="440"/>
      <c r="BO74" s="353">
        <v>73</v>
      </c>
      <c r="BP74" s="353">
        <f t="shared" si="82"/>
        <v>14.6</v>
      </c>
      <c r="BQ74" s="610">
        <f t="shared" si="83"/>
        <v>52.142857142857146</v>
      </c>
      <c r="BR74" s="610">
        <f t="shared" si="84"/>
        <v>19.72972972972973</v>
      </c>
      <c r="BT74" s="648"/>
      <c r="BU74" s="648"/>
      <c r="BV74" s="648"/>
      <c r="BW74" s="648"/>
      <c r="BX74" s="648"/>
      <c r="BY74" s="616" t="s">
        <v>402</v>
      </c>
      <c r="BZ74" s="617">
        <v>32</v>
      </c>
      <c r="CA74" s="608">
        <v>0</v>
      </c>
      <c r="CB74" s="608">
        <f t="shared" si="85"/>
        <v>0</v>
      </c>
      <c r="CC74" s="608"/>
      <c r="CD74" s="631">
        <f t="shared" ref="CD74:CD137" si="86">CD73+CB74</f>
        <v>221.3</v>
      </c>
      <c r="CN74" s="632" t="s">
        <v>482</v>
      </c>
      <c r="CO74" s="580">
        <f>'[3]Plots R2&gt;.75 - UPDATED'!R71</f>
        <v>41630</v>
      </c>
      <c r="CP74" s="620"/>
      <c r="CQ74" s="654">
        <v>41630</v>
      </c>
      <c r="CR74" s="655">
        <v>50355.597167665954</v>
      </c>
      <c r="CS74" s="656">
        <v>181777.54549676244</v>
      </c>
      <c r="CT74" s="656">
        <v>68188.819510811052</v>
      </c>
      <c r="CU74" s="657">
        <v>48910.012969009629</v>
      </c>
      <c r="CV74" s="571">
        <f t="shared" si="33"/>
        <v>0.60052907126315513</v>
      </c>
      <c r="CW74" s="571">
        <f t="shared" si="64"/>
        <v>8.8521073282680218E-3</v>
      </c>
      <c r="CX74" s="571">
        <f t="shared" si="35"/>
        <v>0.16635718079127981</v>
      </c>
      <c r="CY74" s="571">
        <f t="shared" si="65"/>
        <v>2.1932036441006248</v>
      </c>
      <c r="CZ74" s="571">
        <f t="shared" si="41"/>
        <v>0.44347446131114754</v>
      </c>
      <c r="DA74" s="571">
        <f t="shared" si="66"/>
        <v>2.4759189747094519</v>
      </c>
      <c r="DB74" s="571">
        <f t="shared" si="19"/>
        <v>0.61827830671729056</v>
      </c>
      <c r="DC74" s="571">
        <f t="shared" si="67"/>
        <v>5.4654849839507769</v>
      </c>
      <c r="DD74" s="653"/>
      <c r="DE74" s="299">
        <v>41628</v>
      </c>
      <c r="DF74" s="463">
        <v>5.396424871330292</v>
      </c>
      <c r="DG74" s="463">
        <v>20.478813500872562</v>
      </c>
      <c r="DH74" s="463">
        <v>7.4177754242322944</v>
      </c>
      <c r="DI74" s="463">
        <v>6.7390023637171907</v>
      </c>
      <c r="DJ74" s="528">
        <v>0.84746833309909908</v>
      </c>
      <c r="DK74" s="528">
        <v>0.91026833309909883</v>
      </c>
      <c r="DL74" s="528">
        <v>1.5090683330991119</v>
      </c>
      <c r="DM74" s="546"/>
      <c r="DN74" s="528">
        <f t="shared" si="37"/>
        <v>8.4746833309909917</v>
      </c>
      <c r="DO74" s="528">
        <f t="shared" si="38"/>
        <v>9.1026833309909883</v>
      </c>
      <c r="DP74" s="528">
        <f t="shared" si="39"/>
        <v>15.090683330991119</v>
      </c>
      <c r="DQ74" s="528">
        <f t="shared" si="40"/>
        <v>0</v>
      </c>
      <c r="DR74" s="463">
        <v>0.84746833309909908</v>
      </c>
      <c r="DS74" s="463">
        <v>0.91026833309909883</v>
      </c>
      <c r="DT74" s="463">
        <v>1.5090683330991119</v>
      </c>
      <c r="DU74" s="463">
        <v>1.8035059479308697</v>
      </c>
      <c r="DV74" s="463">
        <v>0.56622401522079313</v>
      </c>
      <c r="DW74" s="463">
        <v>2.071014398483086</v>
      </c>
      <c r="DX74" s="463">
        <v>2.0015187029673589</v>
      </c>
      <c r="DY74" s="463">
        <v>5.262614024707073</v>
      </c>
      <c r="DZ74" s="463">
        <v>0.56622401522079313</v>
      </c>
      <c r="EA74" s="463">
        <v>2.071014398483086</v>
      </c>
      <c r="EB74" s="463">
        <v>2.0015187029673589</v>
      </c>
      <c r="EC74" s="463"/>
      <c r="ED74" s="463">
        <f t="shared" si="24"/>
        <v>5.6622401522079313</v>
      </c>
      <c r="EE74" s="463">
        <f t="shared" si="25"/>
        <v>20.710143984830861</v>
      </c>
      <c r="EF74" s="463">
        <f t="shared" si="26"/>
        <v>20.015187029673591</v>
      </c>
      <c r="EG74" s="463">
        <f t="shared" si="27"/>
        <v>0</v>
      </c>
      <c r="EH74" s="528">
        <f>'[3]Plots R2&gt;.75 - UPDATED'!S71</f>
        <v>1.1558933107006486</v>
      </c>
      <c r="EI74" s="528">
        <f>'[3]Plots R2&gt;.75 - UPDATED'!T71</f>
        <v>2.3935933107006484</v>
      </c>
      <c r="EJ74" s="528">
        <f>'[3]Plots R2&gt;.75 - UPDATED'!U71</f>
        <v>2.677693310700648</v>
      </c>
      <c r="EK74" s="546">
        <f>'[3]Plots R2&gt;.75 - UPDATED'!V71</f>
        <v>2.1447933107006487</v>
      </c>
      <c r="EL74" s="676">
        <v>0</v>
      </c>
      <c r="EM74" s="495">
        <v>0</v>
      </c>
      <c r="EN74" s="299">
        <v>41628</v>
      </c>
      <c r="EO74" s="528">
        <v>1.1558933107006486</v>
      </c>
      <c r="EP74" s="528">
        <v>2.3935933107006484</v>
      </c>
      <c r="EQ74" s="528">
        <v>2.677693310700648</v>
      </c>
      <c r="ER74" s="546">
        <v>2.1447933107006487</v>
      </c>
      <c r="GN74" s="640"/>
      <c r="GO74" s="640"/>
      <c r="GP74" s="640"/>
      <c r="GQ74" s="640"/>
      <c r="GR74" s="640"/>
      <c r="GS74" s="640"/>
      <c r="GT74" s="640"/>
      <c r="GU74" s="640"/>
      <c r="GV74" s="640"/>
      <c r="HF74" s="560">
        <v>0.48858526940488328</v>
      </c>
      <c r="HG74" s="560">
        <v>0.2704635756724672</v>
      </c>
      <c r="HH74" s="513">
        <v>0.12604407810035723</v>
      </c>
      <c r="HI74" s="513">
        <v>2.7389573525712012</v>
      </c>
      <c r="HJ74" s="515">
        <v>0.36261174448331379</v>
      </c>
      <c r="HK74" s="515">
        <v>1.7970577078770602</v>
      </c>
      <c r="HL74" s="515">
        <v>0.35948658383997439</v>
      </c>
      <c r="HM74" s="515">
        <v>1.4227794945482526</v>
      </c>
    </row>
    <row r="75" spans="10:221" ht="16">
      <c r="J75" s="580">
        <v>41612</v>
      </c>
      <c r="K75" s="581">
        <v>0</v>
      </c>
      <c r="L75" s="582">
        <v>11.8888</v>
      </c>
      <c r="M75" s="582">
        <v>12.3315</v>
      </c>
      <c r="N75" s="582">
        <v>13.1496</v>
      </c>
      <c r="O75" s="582">
        <v>12.901999999999999</v>
      </c>
      <c r="P75" s="582">
        <v>98.835099999999997</v>
      </c>
      <c r="Q75" s="582">
        <v>10.105833696685924</v>
      </c>
      <c r="R75" s="582">
        <v>1.5979663033140761</v>
      </c>
      <c r="S75" s="582">
        <v>2.8756663033140768</v>
      </c>
      <c r="T75" s="582">
        <v>3.2337663033140762</v>
      </c>
      <c r="U75" s="582">
        <v>3.0661663033140751</v>
      </c>
      <c r="W75" s="580">
        <v>41630</v>
      </c>
      <c r="X75" s="582">
        <f t="shared" si="81"/>
        <v>1.1550113538774038</v>
      </c>
      <c r="Y75" s="582">
        <f t="shared" si="81"/>
        <v>2.3934882769543275</v>
      </c>
      <c r="Z75" s="582">
        <f t="shared" si="81"/>
        <v>2.6779498154158663</v>
      </c>
      <c r="AA75" s="582">
        <f t="shared" si="81"/>
        <v>2.434634430800481</v>
      </c>
      <c r="AB75" s="606"/>
      <c r="AC75" s="441">
        <f t="shared" si="73"/>
        <v>2.5473680915017338E-2</v>
      </c>
      <c r="AD75" s="440">
        <f t="shared" si="74"/>
        <v>4.2789065530402404E-2</v>
      </c>
      <c r="AE75" s="440">
        <f t="shared" si="75"/>
        <v>3.335829629963305E-2</v>
      </c>
      <c r="AF75" s="440">
        <f t="shared" si="76"/>
        <v>6.7996757838094446E-2</v>
      </c>
      <c r="AG75" s="633">
        <v>41630</v>
      </c>
      <c r="AH75" s="560">
        <v>-9.2888243115744652E-3</v>
      </c>
      <c r="AI75" s="513">
        <v>-7.3336845239881327E-4</v>
      </c>
      <c r="AJ75" s="513">
        <v>-8.1269629446972785E-3</v>
      </c>
      <c r="AK75" s="513">
        <v>-5.3828997546796209E-3</v>
      </c>
      <c r="AL75" s="634"/>
      <c r="AM75" s="441">
        <v>-1.4100000000000001E-5</v>
      </c>
      <c r="AN75" s="440">
        <v>-3.3300000000000003E-5</v>
      </c>
      <c r="AO75" s="440">
        <v>-1.66E-5</v>
      </c>
      <c r="AP75" s="440">
        <v>-5.3499999999999999E-5</v>
      </c>
      <c r="AR75" s="441">
        <f t="shared" si="42"/>
        <v>2.0303999999999999E-2</v>
      </c>
      <c r="AS75" s="440">
        <f t="shared" si="42"/>
        <v>4.7952000000000002E-2</v>
      </c>
      <c r="AT75" s="440">
        <f t="shared" si="42"/>
        <v>2.3904000000000002E-2</v>
      </c>
      <c r="AU75" s="440">
        <f t="shared" si="42"/>
        <v>7.7039999999999997E-2</v>
      </c>
      <c r="AV75" s="633">
        <v>41630</v>
      </c>
      <c r="AW75" s="644"/>
      <c r="AX75" s="608">
        <v>0</v>
      </c>
      <c r="AY75" s="441">
        <f t="shared" si="68"/>
        <v>5.1696809150173391E-3</v>
      </c>
      <c r="AZ75" s="440">
        <f t="shared" si="69"/>
        <v>-5.1629344695975979E-3</v>
      </c>
      <c r="BA75" s="440">
        <f t="shared" si="70"/>
        <v>9.4542962996330485E-3</v>
      </c>
      <c r="BB75" s="440">
        <f t="shared" si="71"/>
        <v>-9.0432421619055514E-3</v>
      </c>
      <c r="BC75" s="608">
        <f t="shared" si="77"/>
        <v>-9.0432421619055514E-2</v>
      </c>
      <c r="BD75" s="627" t="s">
        <v>513</v>
      </c>
      <c r="BE75" s="580">
        <v>41630</v>
      </c>
      <c r="BF75" s="441">
        <f t="shared" si="78"/>
        <v>9.5955788578806143</v>
      </c>
      <c r="BG75" s="440"/>
      <c r="BH75" s="440">
        <f t="shared" si="79"/>
        <v>7.0955788578822832</v>
      </c>
      <c r="BI75" s="440">
        <f t="shared" si="80"/>
        <v>13.349466498344423</v>
      </c>
      <c r="BJ75" s="645"/>
      <c r="BK75" s="441">
        <v>5.1696809150173397</v>
      </c>
      <c r="BL75" s="440"/>
      <c r="BM75" s="440">
        <v>9.4542962996330484</v>
      </c>
      <c r="BN75" s="440"/>
      <c r="BO75" s="353">
        <v>75</v>
      </c>
      <c r="BP75" s="353">
        <f t="shared" si="82"/>
        <v>15</v>
      </c>
      <c r="BQ75" s="610">
        <f t="shared" si="83"/>
        <v>53.571428571428577</v>
      </c>
      <c r="BR75" s="610">
        <f t="shared" si="84"/>
        <v>20.27027027027027</v>
      </c>
      <c r="BT75" s="648"/>
      <c r="BU75" s="648"/>
      <c r="BV75" s="648"/>
      <c r="BW75" s="648"/>
      <c r="BX75" s="648"/>
      <c r="BY75" s="616" t="s">
        <v>405</v>
      </c>
      <c r="BZ75" s="617">
        <v>32</v>
      </c>
      <c r="CA75" s="608">
        <v>0</v>
      </c>
      <c r="CB75" s="608">
        <f t="shared" si="85"/>
        <v>0</v>
      </c>
      <c r="CC75" s="608"/>
      <c r="CD75" s="631">
        <f t="shared" si="86"/>
        <v>221.3</v>
      </c>
      <c r="CN75" s="632" t="s">
        <v>484</v>
      </c>
      <c r="CO75" s="580">
        <f>'[3]Plots R2&gt;.75 - UPDATED'!R72</f>
        <v>41631</v>
      </c>
      <c r="CP75" s="620"/>
      <c r="CQ75" s="654">
        <v>41631</v>
      </c>
      <c r="CR75" s="655">
        <v>49091.812601177771</v>
      </c>
      <c r="CS75" s="656">
        <v>172515.64063088445</v>
      </c>
      <c r="CT75" s="656">
        <v>66685.099432119459</v>
      </c>
      <c r="CU75" s="657">
        <v>44077.915518915412</v>
      </c>
      <c r="CV75" s="571">
        <f t="shared" si="33"/>
        <v>0.61598866282795406</v>
      </c>
      <c r="CW75" s="571">
        <f t="shared" si="64"/>
        <v>0.4855289060145993</v>
      </c>
      <c r="CX75" s="571">
        <f t="shared" si="35"/>
        <v>0.17528845436514184</v>
      </c>
      <c r="CY75" s="571">
        <f t="shared" si="65"/>
        <v>3.0540242585810926</v>
      </c>
      <c r="CZ75" s="571">
        <f t="shared" si="41"/>
        <v>0.45347461813087797</v>
      </c>
      <c r="DA75" s="571">
        <f t="shared" si="66"/>
        <v>1.1242290873993943</v>
      </c>
      <c r="DB75" s="571">
        <f t="shared" si="19"/>
        <v>0.68605785105747419</v>
      </c>
      <c r="DC75" s="571">
        <f t="shared" si="67"/>
        <v>4.7512073496376175</v>
      </c>
      <c r="DD75" s="653"/>
      <c r="DE75" s="299">
        <v>41629</v>
      </c>
      <c r="DF75" s="463">
        <v>5.2750096931800803</v>
      </c>
      <c r="DG75" s="463">
        <v>19.596274239121797</v>
      </c>
      <c r="DH75" s="463">
        <v>7.2255803248609594</v>
      </c>
      <c r="DI75" s="463">
        <v>6.2489245039029528</v>
      </c>
      <c r="DJ75" s="528">
        <v>0.95955788578806134</v>
      </c>
      <c r="DK75" s="528">
        <v>0.82995788578815954</v>
      </c>
      <c r="DL75" s="528">
        <v>0.70955788578822832</v>
      </c>
      <c r="DM75" s="546"/>
      <c r="DN75" s="528">
        <f t="shared" si="37"/>
        <v>9.5955788578806143</v>
      </c>
      <c r="DO75" s="528">
        <f t="shared" si="38"/>
        <v>8.2995788578815954</v>
      </c>
      <c r="DP75" s="528">
        <f t="shared" si="39"/>
        <v>7.0955788578822832</v>
      </c>
      <c r="DQ75" s="528">
        <f t="shared" si="40"/>
        <v>0</v>
      </c>
      <c r="DR75" s="463">
        <v>0.95955788578806134</v>
      </c>
      <c r="DS75" s="463">
        <v>0.82995788578815954</v>
      </c>
      <c r="DT75" s="463">
        <v>0.70955788578822832</v>
      </c>
      <c r="DU75" s="463">
        <v>1.3349466498344422</v>
      </c>
      <c r="DV75" s="463">
        <v>0.60938117859142316</v>
      </c>
      <c r="DW75" s="463">
        <v>2.3595608248919047</v>
      </c>
      <c r="DX75" s="463">
        <v>2.9193934360205995</v>
      </c>
      <c r="DY75" s="463">
        <v>6.0837632906680676</v>
      </c>
      <c r="DZ75" s="463">
        <v>0.60938117859142316</v>
      </c>
      <c r="EA75" s="463">
        <v>2.3595608248919047</v>
      </c>
      <c r="EB75" s="463">
        <v>2.9193934360205995</v>
      </c>
      <c r="EC75" s="463"/>
      <c r="ED75" s="463">
        <f t="shared" si="24"/>
        <v>6.093811785914232</v>
      </c>
      <c r="EE75" s="463">
        <f t="shared" si="25"/>
        <v>23.595608248919046</v>
      </c>
      <c r="EF75" s="463">
        <f t="shared" si="26"/>
        <v>29.193934360205994</v>
      </c>
      <c r="EG75" s="463">
        <f t="shared" si="27"/>
        <v>0</v>
      </c>
      <c r="EH75" s="528">
        <f>'[3]Plots R2&gt;.75 - UPDATED'!S72</f>
        <v>1.1294738854216377</v>
      </c>
      <c r="EI75" s="528">
        <f>'[3]Plots R2&gt;.75 - UPDATED'!T72</f>
        <v>2.3505738854216389</v>
      </c>
      <c r="EJ75" s="528">
        <f>'[3]Plots R2&gt;.75 - UPDATED'!U72</f>
        <v>2.6445738854216385</v>
      </c>
      <c r="EK75" s="546">
        <f>'[3]Plots R2&gt;.75 - UPDATED'!V72</f>
        <v>2.076373885421638</v>
      </c>
      <c r="EL75" s="676">
        <v>0</v>
      </c>
      <c r="EM75" s="495">
        <v>0</v>
      </c>
      <c r="EN75" s="299">
        <v>41629</v>
      </c>
      <c r="EO75" s="528">
        <v>1.1294738854216377</v>
      </c>
      <c r="EP75" s="528">
        <v>2.3505738854216389</v>
      </c>
      <c r="EQ75" s="528">
        <v>2.6445738854216385</v>
      </c>
      <c r="ER75" s="546">
        <v>2.076373885421638</v>
      </c>
      <c r="GN75" s="640"/>
      <c r="GO75" s="640"/>
      <c r="GP75" s="640"/>
      <c r="GQ75" s="640"/>
      <c r="GR75" s="640"/>
      <c r="GS75" s="640"/>
      <c r="GT75" s="640"/>
      <c r="GU75" s="640"/>
      <c r="GV75" s="640"/>
      <c r="HF75" s="560">
        <v>0.49787100550038171</v>
      </c>
      <c r="HG75" s="560">
        <v>0</v>
      </c>
      <c r="HH75" s="513">
        <v>0.13225240945560984</v>
      </c>
      <c r="HI75" s="513">
        <v>3.7230170985412712</v>
      </c>
      <c r="HJ75" s="515">
        <v>0.37203140371419219</v>
      </c>
      <c r="HK75" s="515">
        <v>1.8230021637345</v>
      </c>
      <c r="HL75" s="515">
        <v>0.37719602596821417</v>
      </c>
      <c r="HM75" s="515">
        <v>0.6180268331752965</v>
      </c>
    </row>
    <row r="76" spans="10:221" ht="16">
      <c r="J76" s="580">
        <v>41613</v>
      </c>
      <c r="K76" s="581">
        <v>0</v>
      </c>
      <c r="L76" s="582">
        <v>11.8515</v>
      </c>
      <c r="M76" s="582">
        <v>12.297499999999999</v>
      </c>
      <c r="N76" s="582">
        <v>13.1121</v>
      </c>
      <c r="O76" s="582">
        <v>12.869899999999999</v>
      </c>
      <c r="P76" s="582">
        <v>98.771500000000003</v>
      </c>
      <c r="Q76" s="582">
        <v>10.099330632257303</v>
      </c>
      <c r="R76" s="582">
        <v>1.567169367742697</v>
      </c>
      <c r="S76" s="582">
        <v>2.8481693677426971</v>
      </c>
      <c r="T76" s="582">
        <v>3.2027693677426976</v>
      </c>
      <c r="U76" s="582">
        <v>3.0405693677426964</v>
      </c>
      <c r="W76" s="580">
        <v>41631</v>
      </c>
      <c r="X76" s="582">
        <f t="shared" si="81"/>
        <v>1.1295376729623865</v>
      </c>
      <c r="Y76" s="582">
        <f t="shared" si="81"/>
        <v>2.3506992114239251</v>
      </c>
      <c r="Z76" s="582">
        <f t="shared" si="81"/>
        <v>2.6445915191162332</v>
      </c>
      <c r="AA76" s="582">
        <f t="shared" si="81"/>
        <v>2.3666376729623866</v>
      </c>
      <c r="AB76" s="606"/>
      <c r="AC76" s="441">
        <f t="shared" si="73"/>
        <v>2.7180932394859747E-2</v>
      </c>
      <c r="AD76" s="440">
        <f t="shared" si="74"/>
        <v>3.9404009317936417E-2</v>
      </c>
      <c r="AE76" s="440">
        <f t="shared" si="75"/>
        <v>3.2034778548705845E-2</v>
      </c>
      <c r="AF76" s="443">
        <f t="shared" si="76"/>
        <v>5.3911701625628528E-2</v>
      </c>
      <c r="AG76" s="633">
        <v>41631</v>
      </c>
      <c r="AH76" s="560">
        <v>-8.8492555041352616E-3</v>
      </c>
      <c r="AI76" s="513">
        <v>-7.2203449834137216E-4</v>
      </c>
      <c r="AJ76" s="513">
        <v>-8.0315632726529335E-3</v>
      </c>
      <c r="AK76" s="572">
        <v>0</v>
      </c>
      <c r="AL76" s="634"/>
      <c r="AM76" s="441">
        <v>-1.01E-5</v>
      </c>
      <c r="AN76" s="440">
        <v>-1.88E-5</v>
      </c>
      <c r="AO76" s="440">
        <v>-1.59E-5</v>
      </c>
      <c r="AP76" s="443">
        <v>-3.4499999999999998E-5</v>
      </c>
      <c r="AR76" s="441">
        <f t="shared" si="42"/>
        <v>1.4544E-2</v>
      </c>
      <c r="AS76" s="440">
        <f t="shared" si="42"/>
        <v>2.7071999999999999E-2</v>
      </c>
      <c r="AT76" s="440">
        <f t="shared" si="42"/>
        <v>2.2896E-2</v>
      </c>
      <c r="AU76" s="443">
        <f t="shared" si="42"/>
        <v>4.9679999999999995E-2</v>
      </c>
      <c r="AV76" s="633">
        <v>41631</v>
      </c>
      <c r="AW76" s="644"/>
      <c r="AX76" s="608">
        <v>0</v>
      </c>
      <c r="AY76" s="441">
        <f t="shared" si="68"/>
        <v>1.2636932394859747E-2</v>
      </c>
      <c r="AZ76" s="440">
        <f t="shared" si="69"/>
        <v>1.2332009317936418E-2</v>
      </c>
      <c r="BA76" s="440">
        <f t="shared" si="70"/>
        <v>9.1387785487058448E-3</v>
      </c>
      <c r="BB76" s="443">
        <f t="shared" si="71"/>
        <v>4.2317016256285325E-3</v>
      </c>
      <c r="BC76" s="608">
        <f t="shared" si="77"/>
        <v>4.2317016256285325E-2</v>
      </c>
      <c r="BD76" s="627" t="s">
        <v>514</v>
      </c>
      <c r="BE76" s="580">
        <v>41631</v>
      </c>
      <c r="BF76" s="441">
        <f t="shared" si="78"/>
        <v>6.1154252790108687</v>
      </c>
      <c r="BG76" s="440">
        <f t="shared" ref="BG76:BG89" si="87">DS76*10</f>
        <v>9.9929296971483268</v>
      </c>
      <c r="BH76" s="440">
        <f t="shared" si="79"/>
        <v>9.2154252790094624</v>
      </c>
      <c r="BI76" s="443">
        <f t="shared" si="80"/>
        <v>8.6638735173801464</v>
      </c>
      <c r="BJ76" s="658"/>
      <c r="BK76" s="441">
        <v>12.636932394859748</v>
      </c>
      <c r="BL76" s="440">
        <v>12.332009317936418</v>
      </c>
      <c r="BM76" s="440">
        <v>9.1387785487058455</v>
      </c>
      <c r="BN76" s="443">
        <v>4.2317016256285322</v>
      </c>
      <c r="BO76" s="353">
        <v>72</v>
      </c>
      <c r="BP76" s="353">
        <f t="shared" si="82"/>
        <v>14.4</v>
      </c>
      <c r="BQ76" s="610">
        <f t="shared" si="83"/>
        <v>51.428571428571431</v>
      </c>
      <c r="BR76" s="610">
        <f t="shared" si="84"/>
        <v>19.45945945945946</v>
      </c>
      <c r="BT76" s="648"/>
      <c r="BU76" s="648"/>
      <c r="BV76" s="648"/>
      <c r="BW76" s="648"/>
      <c r="BX76" s="648"/>
      <c r="BY76" s="616" t="s">
        <v>408</v>
      </c>
      <c r="BZ76" s="617">
        <v>31</v>
      </c>
      <c r="CA76" s="608">
        <v>5.1100000000000003</v>
      </c>
      <c r="CB76" s="608">
        <f t="shared" si="85"/>
        <v>51.1</v>
      </c>
      <c r="CC76" s="608"/>
      <c r="CD76" s="631">
        <f t="shared" si="86"/>
        <v>272.40000000000003</v>
      </c>
      <c r="CN76" s="632" t="s">
        <v>486</v>
      </c>
      <c r="CO76" s="580">
        <f>'[3]Plots R2&gt;.75 - UPDATED'!R73</f>
        <v>41632</v>
      </c>
      <c r="CP76" s="620"/>
      <c r="CQ76" s="633">
        <v>41632</v>
      </c>
      <c r="CR76" s="641">
        <v>47819.574629018942</v>
      </c>
      <c r="CS76" s="642">
        <v>164440.0275059019</v>
      </c>
      <c r="CT76" s="642">
        <v>65248.163033948644</v>
      </c>
      <c r="CU76" s="643">
        <v>40526.296158566423</v>
      </c>
      <c r="CV76" s="513">
        <f t="shared" si="33"/>
        <v>0.63237701787604539</v>
      </c>
      <c r="CW76" s="513">
        <f t="shared" si="64"/>
        <v>0</v>
      </c>
      <c r="CX76" s="513">
        <f t="shared" si="35"/>
        <v>0.1838968313169046</v>
      </c>
      <c r="CY76" s="513">
        <f t="shared" si="65"/>
        <v>2.4510997188489578</v>
      </c>
      <c r="CZ76" s="513">
        <f t="shared" si="41"/>
        <v>0.46346132356655184</v>
      </c>
      <c r="DA76" s="513">
        <f t="shared" si="66"/>
        <v>1.0229823491681549</v>
      </c>
      <c r="DB76" s="572">
        <f t="shared" si="19"/>
        <v>0.7461821796317275</v>
      </c>
      <c r="DC76" s="572">
        <f t="shared" si="67"/>
        <v>4.2218178203682717</v>
      </c>
      <c r="DD76" s="653"/>
      <c r="DE76" s="299">
        <v>41630</v>
      </c>
      <c r="DF76" s="463">
        <v>5.1575033095043619</v>
      </c>
      <c r="DG76" s="463">
        <v>18.901630649969842</v>
      </c>
      <c r="DH76" s="463">
        <v>7.0234187279230227</v>
      </c>
      <c r="DI76" s="463">
        <v>5.5392823162519846</v>
      </c>
      <c r="DJ76" s="528">
        <v>0.61154252790108687</v>
      </c>
      <c r="DK76" s="528"/>
      <c r="DL76" s="528">
        <v>0.92154252790094615</v>
      </c>
      <c r="DM76" s="546"/>
      <c r="DN76" s="528">
        <f t="shared" si="37"/>
        <v>6.1154252790108687</v>
      </c>
      <c r="DO76" s="528">
        <f t="shared" si="38"/>
        <v>0</v>
      </c>
      <c r="DP76" s="528">
        <f t="shared" si="39"/>
        <v>9.2154252790094624</v>
      </c>
      <c r="DQ76" s="528">
        <f t="shared" si="40"/>
        <v>0</v>
      </c>
      <c r="DR76" s="463">
        <v>0.61154252790108687</v>
      </c>
      <c r="DS76" s="463">
        <v>0.99929296971483272</v>
      </c>
      <c r="DT76" s="463">
        <v>0.92154252790094615</v>
      </c>
      <c r="DU76" s="463">
        <v>0.86638735173801462</v>
      </c>
      <c r="DV76" s="463">
        <v>1.1015175688425534</v>
      </c>
      <c r="DW76" s="463">
        <v>3.2293127129462342</v>
      </c>
      <c r="DX76" s="463">
        <v>1.5777037055302723</v>
      </c>
      <c r="DY76" s="463">
        <v>5.4372652006950917</v>
      </c>
      <c r="DZ76" s="463">
        <v>1.1015175688425534</v>
      </c>
      <c r="EA76" s="463">
        <v>3.2293127129462342</v>
      </c>
      <c r="EB76" s="463">
        <v>1.5777037055302723</v>
      </c>
      <c r="EC76" s="463"/>
      <c r="ED76" s="463">
        <f t="shared" si="24"/>
        <v>11.015175688425533</v>
      </c>
      <c r="EE76" s="463">
        <f t="shared" si="25"/>
        <v>32.293127129462341</v>
      </c>
      <c r="EF76" s="463">
        <f t="shared" si="26"/>
        <v>15.777037055302722</v>
      </c>
      <c r="EG76" s="463">
        <f t="shared" si="27"/>
        <v>0</v>
      </c>
      <c r="EH76" s="528">
        <f>'[3]Plots R2&gt;.75 - UPDATED'!S73</f>
        <v>1.1028156048852229</v>
      </c>
      <c r="EI76" s="528">
        <f>'[3]Plots R2&gt;.75 - UPDATED'!T73</f>
        <v>2.3118156048852239</v>
      </c>
      <c r="EJ76" s="528">
        <f>'[3]Plots R2&gt;.75 - UPDATED'!U73</f>
        <v>2.6126156048852236</v>
      </c>
      <c r="EK76" s="546">
        <f>'[3]Plots R2&gt;.75 - UPDATED'!V73</f>
        <v>2.0227156048852222</v>
      </c>
      <c r="EL76" s="676">
        <v>0</v>
      </c>
      <c r="EM76" s="495">
        <v>0</v>
      </c>
      <c r="EN76" s="299">
        <v>41630</v>
      </c>
      <c r="EO76" s="528">
        <v>1.1028156048852229</v>
      </c>
      <c r="EP76" s="528">
        <v>2.3118156048852239</v>
      </c>
      <c r="EQ76" s="528">
        <v>2.6126156048852236</v>
      </c>
      <c r="ER76" s="546">
        <v>2.0227156048852222</v>
      </c>
      <c r="GN76" s="640"/>
      <c r="GO76" s="640"/>
      <c r="GP76" s="640"/>
      <c r="GQ76" s="640"/>
      <c r="GR76" s="640"/>
      <c r="GS76" s="640"/>
      <c r="GT76" s="640"/>
      <c r="GU76" s="640"/>
      <c r="GV76" s="640"/>
      <c r="HF76" s="558"/>
      <c r="HG76" s="558"/>
      <c r="HH76" s="450"/>
      <c r="HI76" s="450"/>
      <c r="HJ76" s="598"/>
      <c r="HK76" s="598"/>
      <c r="HL76" s="598"/>
      <c r="HM76" s="598"/>
    </row>
    <row r="77" spans="10:221" ht="16">
      <c r="J77" s="580">
        <v>41614</v>
      </c>
      <c r="K77" s="581">
        <v>0</v>
      </c>
      <c r="L77" s="582">
        <v>11.801399999999999</v>
      </c>
      <c r="M77" s="582">
        <v>12.2492</v>
      </c>
      <c r="N77" s="582">
        <v>13.0572</v>
      </c>
      <c r="O77" s="582">
        <v>12.8216</v>
      </c>
      <c r="P77" s="582">
        <v>98.595600000000005</v>
      </c>
      <c r="Q77" s="582">
        <v>10.081344955637894</v>
      </c>
      <c r="R77" s="582">
        <v>1.5350550443621054</v>
      </c>
      <c r="S77" s="582">
        <v>2.8178550443621067</v>
      </c>
      <c r="T77" s="582">
        <v>3.1658550443621065</v>
      </c>
      <c r="U77" s="582">
        <v>3.0102550443621059</v>
      </c>
      <c r="W77" s="580">
        <v>41632</v>
      </c>
      <c r="X77" s="582">
        <f t="shared" si="81"/>
        <v>1.1023567405675267</v>
      </c>
      <c r="Y77" s="582">
        <f t="shared" si="81"/>
        <v>2.3112952021059887</v>
      </c>
      <c r="Z77" s="582">
        <f t="shared" si="81"/>
        <v>2.6125567405675274</v>
      </c>
      <c r="AA77" s="582">
        <f t="shared" si="81"/>
        <v>2.3127259713367581</v>
      </c>
      <c r="AB77" s="606"/>
      <c r="AC77" s="441">
        <f t="shared" si="73"/>
        <v>2.3970564678104989E-2</v>
      </c>
      <c r="AD77" s="440">
        <f t="shared" si="74"/>
        <v>3.4432103139643289E-2</v>
      </c>
      <c r="AE77" s="440">
        <f t="shared" si="75"/>
        <v>3.4362872370413022E-2</v>
      </c>
      <c r="AF77" s="443">
        <f t="shared" si="76"/>
        <v>4.5770564678105696E-2</v>
      </c>
      <c r="AG77" s="633">
        <v>41632</v>
      </c>
      <c r="AH77" s="560">
        <v>-8.3816400787774005E-3</v>
      </c>
      <c r="AI77" s="513">
        <v>-7.095659373483464E-4</v>
      </c>
      <c r="AJ77" s="513">
        <v>-7.9336282326570185E-3</v>
      </c>
      <c r="AK77" s="572">
        <v>0</v>
      </c>
      <c r="AL77" s="634"/>
      <c r="AM77" s="441">
        <v>-8.5499999999999995E-6</v>
      </c>
      <c r="AN77" s="440">
        <v>-1.4800000000000001E-5</v>
      </c>
      <c r="AO77" s="440">
        <v>-1.5299999999999999E-5</v>
      </c>
      <c r="AP77" s="443">
        <v>-2.4600000000000002E-5</v>
      </c>
      <c r="AR77" s="441">
        <f t="shared" si="42"/>
        <v>1.2312E-2</v>
      </c>
      <c r="AS77" s="440">
        <f t="shared" si="42"/>
        <v>2.1312000000000001E-2</v>
      </c>
      <c r="AT77" s="440">
        <f t="shared" si="42"/>
        <v>2.2032E-2</v>
      </c>
      <c r="AU77" s="443">
        <f t="shared" si="42"/>
        <v>3.5424000000000004E-2</v>
      </c>
      <c r="AV77" s="633">
        <v>41632</v>
      </c>
      <c r="AW77" s="644"/>
      <c r="AX77" s="608">
        <v>0</v>
      </c>
      <c r="AY77" s="441">
        <f t="shared" si="68"/>
        <v>1.1658564678104989E-2</v>
      </c>
      <c r="AZ77" s="440">
        <f t="shared" si="69"/>
        <v>1.3120103139643288E-2</v>
      </c>
      <c r="BA77" s="440">
        <f t="shared" si="70"/>
        <v>1.2330872370413023E-2</v>
      </c>
      <c r="BB77" s="443">
        <f t="shared" si="71"/>
        <v>1.0346564678105692E-2</v>
      </c>
      <c r="BC77" s="608">
        <f t="shared" si="77"/>
        <v>0.10346564678105692</v>
      </c>
      <c r="BD77" s="627" t="s">
        <v>515</v>
      </c>
      <c r="BE77" s="580">
        <v>41632</v>
      </c>
      <c r="BF77" s="441">
        <f t="shared" si="78"/>
        <v>12.114280536414837</v>
      </c>
      <c r="BG77" s="440">
        <f t="shared" si="87"/>
        <v>11.686280536415058</v>
      </c>
      <c r="BH77" s="440">
        <f t="shared" si="79"/>
        <v>9.0622805364149173</v>
      </c>
      <c r="BI77" s="443">
        <f t="shared" si="80"/>
        <v>3.978280536415868</v>
      </c>
      <c r="BJ77" s="658"/>
      <c r="BK77" s="441">
        <v>11.658564678104987</v>
      </c>
      <c r="BL77" s="440">
        <v>13.120103139643287</v>
      </c>
      <c r="BM77" s="440">
        <v>12.330872370413022</v>
      </c>
      <c r="BN77" s="443">
        <v>10.346564678105691</v>
      </c>
      <c r="BO77" s="353">
        <v>73</v>
      </c>
      <c r="BP77" s="353">
        <f t="shared" si="82"/>
        <v>14.6</v>
      </c>
      <c r="BQ77" s="610">
        <f t="shared" si="83"/>
        <v>52.142857142857146</v>
      </c>
      <c r="BR77" s="610">
        <f t="shared" si="84"/>
        <v>19.72972972972973</v>
      </c>
      <c r="BT77" s="648"/>
      <c r="BU77" s="648"/>
      <c r="BV77" s="648"/>
      <c r="BW77" s="648"/>
      <c r="BX77" s="648"/>
      <c r="BY77" s="616" t="s">
        <v>411</v>
      </c>
      <c r="BZ77" s="617">
        <v>28</v>
      </c>
      <c r="CA77" s="608">
        <v>0</v>
      </c>
      <c r="CB77" s="608">
        <f t="shared" si="85"/>
        <v>0</v>
      </c>
      <c r="CC77" s="608"/>
      <c r="CD77" s="631">
        <f t="shared" si="86"/>
        <v>272.40000000000003</v>
      </c>
      <c r="CN77" s="632" t="s">
        <v>488</v>
      </c>
      <c r="CO77" s="580">
        <f>'[3]Plots R2&gt;.75 - UPDATED'!R74</f>
        <v>41633</v>
      </c>
      <c r="CP77" s="620"/>
      <c r="CQ77" s="633">
        <v>41633</v>
      </c>
      <c r="CR77" s="641">
        <v>46659.105750522998</v>
      </c>
      <c r="CS77" s="642">
        <v>157348.89365006483</v>
      </c>
      <c r="CT77" s="642">
        <v>63709.293218585954</v>
      </c>
      <c r="CU77" s="643">
        <v>37638.306771710304</v>
      </c>
      <c r="CV77" s="513">
        <f t="shared" si="33"/>
        <v>0.64810500573429952</v>
      </c>
      <c r="CW77" s="513">
        <f t="shared" si="64"/>
        <v>0</v>
      </c>
      <c r="CX77" s="513">
        <f t="shared" si="35"/>
        <v>0.19218438273390134</v>
      </c>
      <c r="CY77" s="513">
        <f t="shared" si="65"/>
        <v>1.868059023531264</v>
      </c>
      <c r="CZ77" s="513">
        <f t="shared" si="41"/>
        <v>0.47465602696684861</v>
      </c>
      <c r="DA77" s="513">
        <f t="shared" si="66"/>
        <v>0.93518114976744926</v>
      </c>
      <c r="DB77" s="572">
        <f t="shared" si="19"/>
        <v>0.80343678007133368</v>
      </c>
      <c r="DC77" s="572">
        <f t="shared" si="67"/>
        <v>2.7389632199286664</v>
      </c>
      <c r="DD77" s="653"/>
      <c r="DE77" s="299">
        <v>41631</v>
      </c>
      <c r="DF77" s="463">
        <v>5.0355597167665955</v>
      </c>
      <c r="DG77" s="463">
        <v>18.177754549676244</v>
      </c>
      <c r="DH77" s="463">
        <v>6.8188819510811056</v>
      </c>
      <c r="DI77" s="463">
        <v>4.8910012969009626</v>
      </c>
      <c r="DJ77" s="528">
        <v>1.2114280536414836</v>
      </c>
      <c r="DK77" s="528">
        <v>1.1686280536415059</v>
      </c>
      <c r="DL77" s="528">
        <v>0.90622805364149173</v>
      </c>
      <c r="DM77" s="546">
        <v>0.3978280536415868</v>
      </c>
      <c r="DN77" s="528">
        <f t="shared" si="37"/>
        <v>12.114280536414837</v>
      </c>
      <c r="DO77" s="528">
        <f t="shared" si="38"/>
        <v>11.686280536415058</v>
      </c>
      <c r="DP77" s="528">
        <f t="shared" si="39"/>
        <v>9.0622805364149173</v>
      </c>
      <c r="DQ77" s="528">
        <f t="shared" si="40"/>
        <v>3.978280536415868</v>
      </c>
      <c r="DR77" s="463">
        <v>1.2114280536414836</v>
      </c>
      <c r="DS77" s="463">
        <v>1.1686280536415059</v>
      </c>
      <c r="DT77" s="463">
        <v>0.90622805364149173</v>
      </c>
      <c r="DU77" s="463">
        <v>0.3978280536415868</v>
      </c>
      <c r="DV77" s="463">
        <v>0.56947444958647386</v>
      </c>
      <c r="DW77" s="463">
        <v>2.6349965501658623</v>
      </c>
      <c r="DX77" s="463">
        <v>1.4864436727347068</v>
      </c>
      <c r="DY77" s="463">
        <v>4.9679999999999991</v>
      </c>
      <c r="DZ77" s="463">
        <v>0.56947444958647386</v>
      </c>
      <c r="EA77" s="463">
        <v>2.6349965501658623</v>
      </c>
      <c r="EB77" s="463">
        <v>1.4864436727347068</v>
      </c>
      <c r="EC77" s="463">
        <v>4.9679999999999991</v>
      </c>
      <c r="ED77" s="463">
        <f t="shared" si="24"/>
        <v>5.6947444958647386</v>
      </c>
      <c r="EE77" s="463">
        <f t="shared" si="25"/>
        <v>26.349965501658623</v>
      </c>
      <c r="EF77" s="463">
        <f t="shared" si="26"/>
        <v>14.864436727347067</v>
      </c>
      <c r="EG77" s="463">
        <f t="shared" si="27"/>
        <v>49.679999999999993</v>
      </c>
      <c r="EH77" s="528">
        <f>'[3]Plots R2&gt;.75 - UPDATED'!S74</f>
        <v>1.0784434202106383</v>
      </c>
      <c r="EI77" s="528">
        <f>'[3]Plots R2&gt;.75 - UPDATED'!T74</f>
        <v>2.2767434202106376</v>
      </c>
      <c r="EJ77" s="528">
        <f>'[3]Plots R2&gt;.75 - UPDATED'!U74</f>
        <v>2.5780434202106379</v>
      </c>
      <c r="EK77" s="546">
        <f>'[3]Plots R2&gt;.75 - UPDATED'!V74</f>
        <v>1.9766434202106367</v>
      </c>
      <c r="EL77" s="676">
        <v>0</v>
      </c>
      <c r="EM77" s="495">
        <v>0</v>
      </c>
      <c r="EN77" s="299">
        <v>41631</v>
      </c>
      <c r="EO77" s="528">
        <v>1.0784434202106383</v>
      </c>
      <c r="EP77" s="528">
        <v>2.2767434202106376</v>
      </c>
      <c r="EQ77" s="528">
        <v>2.5780434202106379</v>
      </c>
      <c r="ER77" s="546">
        <v>1.9766434202106367</v>
      </c>
      <c r="GN77" s="640"/>
      <c r="GO77" s="640"/>
      <c r="GP77" s="640"/>
      <c r="GQ77" s="640"/>
      <c r="GR77" s="640"/>
      <c r="GS77" s="640"/>
      <c r="GT77" s="640"/>
      <c r="GU77" s="640"/>
      <c r="GV77" s="640"/>
      <c r="HF77" s="560">
        <v>0.49638525672867112</v>
      </c>
      <c r="HG77" s="560">
        <v>2.2675410269212326E-2</v>
      </c>
      <c r="HH77" s="513">
        <v>0.12791714325399889</v>
      </c>
      <c r="HI77" s="513">
        <v>1.637902287021459</v>
      </c>
      <c r="HJ77" s="515">
        <v>0.37080863466223951</v>
      </c>
      <c r="HK77" s="515">
        <v>-0.31646836786199833</v>
      </c>
      <c r="HL77" s="515">
        <v>0.36743308143280473</v>
      </c>
      <c r="HM77" s="515">
        <v>-0.4905749297172538</v>
      </c>
    </row>
    <row r="78" spans="10:221" ht="16">
      <c r="J78" s="580">
        <v>41615</v>
      </c>
      <c r="K78" s="581">
        <v>0</v>
      </c>
      <c r="L78" s="582">
        <v>11.766400000000001</v>
      </c>
      <c r="M78" s="582">
        <v>12.2074</v>
      </c>
      <c r="N78" s="582">
        <v>13.0137</v>
      </c>
      <c r="O78" s="582">
        <v>12.7803</v>
      </c>
      <c r="P78" s="582">
        <v>98.559700000000007</v>
      </c>
      <c r="Q78" s="582">
        <v>10.077674200716705</v>
      </c>
      <c r="R78" s="582">
        <v>1.5037257992832953</v>
      </c>
      <c r="S78" s="582">
        <v>2.7797257992832947</v>
      </c>
      <c r="T78" s="582">
        <v>3.1260257992832949</v>
      </c>
      <c r="U78" s="582">
        <v>2.9726257992832945</v>
      </c>
      <c r="W78" s="580">
        <v>41633</v>
      </c>
      <c r="X78" s="582">
        <f t="shared" si="81"/>
        <v>1.0783861758894218</v>
      </c>
      <c r="Y78" s="582">
        <f t="shared" si="81"/>
        <v>2.2768630989663454</v>
      </c>
      <c r="Z78" s="582">
        <f t="shared" si="81"/>
        <v>2.5781938681971144</v>
      </c>
      <c r="AA78" s="582">
        <f t="shared" si="81"/>
        <v>2.2669554066586524</v>
      </c>
      <c r="AB78" s="606"/>
      <c r="AC78" s="441">
        <f t="shared" si="73"/>
        <v>2.692820326050116E-2</v>
      </c>
      <c r="AD78" s="440">
        <f t="shared" si="74"/>
        <v>3.492051095280857E-2</v>
      </c>
      <c r="AE78" s="440">
        <f t="shared" si="75"/>
        <v>3.2743587875885716E-2</v>
      </c>
      <c r="AF78" s="443">
        <f t="shared" si="76"/>
        <v>3.1151280183577157E-2</v>
      </c>
      <c r="AG78" s="633">
        <v>41633</v>
      </c>
      <c r="AH78" s="560">
        <v>-7.9313563643456046E-3</v>
      </c>
      <c r="AI78" s="513">
        <v>-6.9621957618253916E-4</v>
      </c>
      <c r="AJ78" s="513">
        <v>-7.8207923085348192E-3</v>
      </c>
      <c r="AK78" s="572">
        <v>0</v>
      </c>
      <c r="AL78" s="634"/>
      <c r="AM78" s="441">
        <v>-9.02E-6</v>
      </c>
      <c r="AN78" s="440">
        <v>-2.0299999999999999E-5</v>
      </c>
      <c r="AO78" s="440">
        <v>-1.5800000000000001E-5</v>
      </c>
      <c r="AP78" s="443">
        <v>-2.3900000000000002E-5</v>
      </c>
      <c r="AR78" s="441">
        <f t="shared" si="42"/>
        <v>1.29888E-2</v>
      </c>
      <c r="AS78" s="440">
        <f t="shared" si="42"/>
        <v>2.9231999999999998E-2</v>
      </c>
      <c r="AT78" s="440">
        <f t="shared" si="42"/>
        <v>2.2752000000000001E-2</v>
      </c>
      <c r="AU78" s="443">
        <f t="shared" si="42"/>
        <v>3.4416000000000002E-2</v>
      </c>
      <c r="AV78" s="633">
        <v>41633</v>
      </c>
      <c r="AW78" s="644"/>
      <c r="AX78" s="608">
        <v>0</v>
      </c>
      <c r="AY78" s="441">
        <f t="shared" si="68"/>
        <v>1.393940326050116E-2</v>
      </c>
      <c r="AZ78" s="440">
        <f t="shared" si="69"/>
        <v>5.6885109528085724E-3</v>
      </c>
      <c r="BA78" s="440">
        <f t="shared" si="70"/>
        <v>9.9915878758857143E-3</v>
      </c>
      <c r="BB78" s="443">
        <f t="shared" si="71"/>
        <v>-3.2647198164228453E-3</v>
      </c>
      <c r="BC78" s="608">
        <f t="shared" si="77"/>
        <v>-3.2647198164228453E-2</v>
      </c>
      <c r="BD78" s="627" t="s">
        <v>516</v>
      </c>
      <c r="BE78" s="580">
        <v>41633</v>
      </c>
      <c r="BF78" s="441">
        <f t="shared" si="78"/>
        <v>12.060184674584573</v>
      </c>
      <c r="BG78" s="440">
        <f t="shared" si="87"/>
        <v>13.760184674586281</v>
      </c>
      <c r="BH78" s="440">
        <f t="shared" si="79"/>
        <v>12.540184674585673</v>
      </c>
      <c r="BI78" s="443">
        <f t="shared" si="80"/>
        <v>10.648184674585512</v>
      </c>
      <c r="BJ78" s="658"/>
      <c r="BK78" s="441">
        <v>13.939403260501159</v>
      </c>
      <c r="BL78" s="440">
        <v>5.6885109528085724</v>
      </c>
      <c r="BM78" s="440">
        <v>9.9915878758857151</v>
      </c>
      <c r="BN78" s="443"/>
      <c r="BO78" s="353">
        <v>72</v>
      </c>
      <c r="BP78" s="353">
        <f t="shared" si="82"/>
        <v>14.4</v>
      </c>
      <c r="BQ78" s="610">
        <f t="shared" si="83"/>
        <v>51.428571428571431</v>
      </c>
      <c r="BR78" s="610">
        <f t="shared" si="84"/>
        <v>19.45945945945946</v>
      </c>
      <c r="BT78" s="648"/>
      <c r="BU78" s="648"/>
      <c r="BV78" s="648"/>
      <c r="BW78" s="648"/>
      <c r="BX78" s="648"/>
      <c r="BY78" s="616" t="s">
        <v>414</v>
      </c>
      <c r="BZ78" s="617">
        <v>30</v>
      </c>
      <c r="CA78" s="608">
        <v>0.71</v>
      </c>
      <c r="CB78" s="608">
        <f t="shared" si="85"/>
        <v>7.1</v>
      </c>
      <c r="CC78" s="608"/>
      <c r="CD78" s="631">
        <f t="shared" si="86"/>
        <v>279.50000000000006</v>
      </c>
      <c r="CN78" s="632" t="s">
        <v>490</v>
      </c>
      <c r="CO78" s="580">
        <f>'[3]Plots R2&gt;.75 - UPDATED'!R75</f>
        <v>41634</v>
      </c>
      <c r="CP78" s="620"/>
      <c r="CQ78" s="633">
        <v>41634</v>
      </c>
      <c r="CR78" s="641">
        <v>45374.546265263685</v>
      </c>
      <c r="CS78" s="642">
        <v>150543.75865196524</v>
      </c>
      <c r="CT78" s="642">
        <v>62266.857149561692</v>
      </c>
      <c r="CU78" s="643">
        <v>35792.110681105696</v>
      </c>
      <c r="CV78" s="513">
        <f t="shared" si="33"/>
        <v>0.6664529452970005</v>
      </c>
      <c r="CW78" s="513">
        <f t="shared" si="64"/>
        <v>0</v>
      </c>
      <c r="CX78" s="513">
        <f t="shared" si="35"/>
        <v>0.20087182803712492</v>
      </c>
      <c r="CY78" s="513">
        <f t="shared" si="65"/>
        <v>2.6527062143446209</v>
      </c>
      <c r="CZ78" s="513">
        <f t="shared" si="41"/>
        <v>0.48565161924529321</v>
      </c>
      <c r="DA78" s="513">
        <f t="shared" si="66"/>
        <v>1.0074691499012252</v>
      </c>
      <c r="DB78" s="572">
        <f t="shared" si="19"/>
        <v>0.84487892511919938</v>
      </c>
      <c r="DC78" s="572">
        <f t="shared" si="67"/>
        <v>1.5491194975952451</v>
      </c>
      <c r="DD78" s="653"/>
      <c r="DE78" s="299">
        <v>41632</v>
      </c>
      <c r="DF78" s="463">
        <v>4.9091812601177773</v>
      </c>
      <c r="DG78" s="463">
        <v>17.251564063088445</v>
      </c>
      <c r="DH78" s="463">
        <v>6.6685099432119461</v>
      </c>
      <c r="DI78" s="463">
        <v>4.4077915518915409</v>
      </c>
      <c r="DJ78" s="528">
        <v>1.2060184674584573</v>
      </c>
      <c r="DK78" s="528">
        <v>1.376018467458628</v>
      </c>
      <c r="DL78" s="528">
        <v>1.2540184674585673</v>
      </c>
      <c r="DM78" s="546">
        <v>1.0648184674585512</v>
      </c>
      <c r="DN78" s="528">
        <f t="shared" si="37"/>
        <v>12.060184674584573</v>
      </c>
      <c r="DO78" s="528">
        <f t="shared" si="38"/>
        <v>13.760184674586281</v>
      </c>
      <c r="DP78" s="528">
        <f t="shared" si="39"/>
        <v>12.540184674585673</v>
      </c>
      <c r="DQ78" s="528">
        <f t="shared" si="40"/>
        <v>10.648184674585512</v>
      </c>
      <c r="DR78" s="463">
        <v>1.2060184674584573</v>
      </c>
      <c r="DS78" s="463">
        <v>1.376018467458628</v>
      </c>
      <c r="DT78" s="463">
        <v>1.2540184674585673</v>
      </c>
      <c r="DU78" s="463">
        <v>1.0648184674585512</v>
      </c>
      <c r="DV78" s="463">
        <v>0.39303599212226015</v>
      </c>
      <c r="DW78" s="463">
        <v>2.0602434062651653</v>
      </c>
      <c r="DX78" s="463">
        <v>1.4098371767342979</v>
      </c>
      <c r="DY78" s="463">
        <v>3.5424000000000002</v>
      </c>
      <c r="DZ78" s="463">
        <v>0.39303599212226015</v>
      </c>
      <c r="EA78" s="463">
        <v>2.0602434062651653</v>
      </c>
      <c r="EB78" s="463">
        <v>1.4098371767342979</v>
      </c>
      <c r="EC78" s="463">
        <v>3.5424000000000002</v>
      </c>
      <c r="ED78" s="463">
        <f t="shared" si="24"/>
        <v>3.9303599212226015</v>
      </c>
      <c r="EE78" s="463">
        <f t="shared" si="25"/>
        <v>20.602434062651653</v>
      </c>
      <c r="EF78" s="463">
        <f t="shared" si="26"/>
        <v>14.098371767342979</v>
      </c>
      <c r="EG78" s="463">
        <f t="shared" si="27"/>
        <v>35.423999999999999</v>
      </c>
      <c r="EH78" s="528">
        <f>'[3]Plots R2&gt;.75 - UPDATED'!S75</f>
        <v>1.0514010906809603</v>
      </c>
      <c r="EI78" s="528">
        <f>'[3]Plots R2&gt;.75 - UPDATED'!T75</f>
        <v>2.2421010906809613</v>
      </c>
      <c r="EJ78" s="528">
        <f>'[3]Plots R2&gt;.75 - UPDATED'!U75</f>
        <v>2.5453010906809608</v>
      </c>
      <c r="EK78" s="546">
        <f>'[3]Plots R2&gt;.75 - UPDATED'!V75</f>
        <v>1.9459010906809602</v>
      </c>
      <c r="EL78" s="676">
        <v>0</v>
      </c>
      <c r="EM78" s="495">
        <v>0</v>
      </c>
      <c r="EN78" s="299">
        <v>41632</v>
      </c>
      <c r="EO78" s="528">
        <v>1.0514010906809603</v>
      </c>
      <c r="EP78" s="528">
        <v>2.2421010906809613</v>
      </c>
      <c r="EQ78" s="528">
        <v>2.5453010906809608</v>
      </c>
      <c r="ER78" s="546">
        <v>1.9459010906809602</v>
      </c>
      <c r="GN78" s="640"/>
      <c r="GO78" s="640"/>
      <c r="GP78" s="640"/>
      <c r="GQ78" s="640"/>
      <c r="GR78" s="640"/>
      <c r="GS78" s="640"/>
      <c r="GT78" s="640"/>
      <c r="GU78" s="640"/>
      <c r="GV78" s="640"/>
      <c r="HF78" s="560">
        <v>0.50792439262414424</v>
      </c>
      <c r="HG78" s="560">
        <v>0.36340376132064567</v>
      </c>
      <c r="HH78" s="513">
        <v>0.13144707897678948</v>
      </c>
      <c r="HI78" s="513">
        <v>1.1793190174621433</v>
      </c>
      <c r="HJ78" s="515">
        <v>0.37503008133350546</v>
      </c>
      <c r="HK78" s="515">
        <v>0.3965613786020753</v>
      </c>
      <c r="HL78" s="515">
        <v>0.37802153048851828</v>
      </c>
      <c r="HM78" s="515">
        <v>0</v>
      </c>
    </row>
    <row r="79" spans="10:221" ht="16">
      <c r="J79" s="580">
        <v>41616</v>
      </c>
      <c r="K79" s="581">
        <v>0</v>
      </c>
      <c r="L79" s="582">
        <v>11.744300000000001</v>
      </c>
      <c r="M79" s="582">
        <v>12.1784</v>
      </c>
      <c r="N79" s="582">
        <v>12.989599999999999</v>
      </c>
      <c r="O79" s="582">
        <v>12.750400000000001</v>
      </c>
      <c r="P79" s="582">
        <v>98.613399999999999</v>
      </c>
      <c r="Q79" s="582">
        <v>10.083164995682381</v>
      </c>
      <c r="R79" s="582">
        <v>1.4761350043176198</v>
      </c>
      <c r="S79" s="582">
        <v>2.7452350043176192</v>
      </c>
      <c r="T79" s="582">
        <v>3.0964350043176188</v>
      </c>
      <c r="U79" s="582">
        <v>2.9372350043176194</v>
      </c>
      <c r="W79" s="580">
        <v>41634</v>
      </c>
      <c r="X79" s="582">
        <f t="shared" si="81"/>
        <v>1.0514579726289206</v>
      </c>
      <c r="Y79" s="582">
        <f t="shared" si="81"/>
        <v>2.2419425880135369</v>
      </c>
      <c r="Z79" s="582">
        <f t="shared" si="81"/>
        <v>2.5454502803212287</v>
      </c>
      <c r="AA79" s="582">
        <f t="shared" si="81"/>
        <v>2.2358041264750752</v>
      </c>
      <c r="AB79" s="606"/>
      <c r="AC79" s="441">
        <f t="shared" si="73"/>
        <v>3.0200006868330798E-2</v>
      </c>
      <c r="AD79" s="440">
        <f t="shared" si="74"/>
        <v>3.6015391483716019E-2</v>
      </c>
      <c r="AE79" s="440">
        <f t="shared" si="75"/>
        <v>3.7492314560637841E-2</v>
      </c>
      <c r="AF79" s="443">
        <f t="shared" si="76"/>
        <v>2.0046160714485506E-2</v>
      </c>
      <c r="AG79" s="633">
        <v>41634</v>
      </c>
      <c r="AH79" s="560">
        <v>-7.4042862813273524E-3</v>
      </c>
      <c r="AI79" s="513">
        <v>-6.8089920525141732E-4</v>
      </c>
      <c r="AJ79" s="513">
        <v>-7.7069300846023701E-3</v>
      </c>
      <c r="AK79" s="572">
        <v>0</v>
      </c>
      <c r="AL79" s="634"/>
      <c r="AM79" s="441">
        <v>-1.6500000000000001E-5</v>
      </c>
      <c r="AN79" s="440">
        <v>-1.59E-5</v>
      </c>
      <c r="AO79" s="440">
        <v>-1.3499999999999999E-5</v>
      </c>
      <c r="AP79" s="443">
        <v>-1.17E-5</v>
      </c>
      <c r="AR79" s="441">
        <f t="shared" si="42"/>
        <v>2.3760000000000003E-2</v>
      </c>
      <c r="AS79" s="440">
        <f t="shared" si="42"/>
        <v>2.2896E-2</v>
      </c>
      <c r="AT79" s="440">
        <f t="shared" si="42"/>
        <v>1.9439999999999999E-2</v>
      </c>
      <c r="AU79" s="443">
        <f t="shared" si="42"/>
        <v>1.6847999999999998E-2</v>
      </c>
      <c r="AV79" s="633">
        <v>41634</v>
      </c>
      <c r="AW79" s="644"/>
      <c r="AX79" s="608">
        <v>0</v>
      </c>
      <c r="AY79" s="441">
        <f t="shared" si="68"/>
        <v>6.4400068683307943E-3</v>
      </c>
      <c r="AZ79" s="440">
        <f t="shared" si="69"/>
        <v>1.311939148371602E-2</v>
      </c>
      <c r="BA79" s="440">
        <f t="shared" si="70"/>
        <v>1.8052314560637842E-2</v>
      </c>
      <c r="BB79" s="443">
        <f t="shared" si="71"/>
        <v>3.1981607144855075E-3</v>
      </c>
      <c r="BC79" s="608">
        <f t="shared" si="77"/>
        <v>3.1981607144855075E-2</v>
      </c>
      <c r="BD79" s="627" t="s">
        <v>517</v>
      </c>
      <c r="BE79" s="580">
        <v>41634</v>
      </c>
      <c r="BF79" s="441">
        <f t="shared" si="78"/>
        <v>14.053529529677999</v>
      </c>
      <c r="BG79" s="440">
        <f t="shared" si="87"/>
        <v>5.4103295296762788</v>
      </c>
      <c r="BH79" s="440">
        <f t="shared" si="79"/>
        <v>9.9903295296771475</v>
      </c>
      <c r="BI79" s="443">
        <f t="shared" si="80"/>
        <v>6.8023453025320348</v>
      </c>
      <c r="BJ79" s="658"/>
      <c r="BK79" s="441">
        <v>6.4400068683307943</v>
      </c>
      <c r="BL79" s="440">
        <v>13.119391483716019</v>
      </c>
      <c r="BM79" s="440">
        <v>18.052314560637839</v>
      </c>
      <c r="BN79" s="443">
        <v>3.1981607144855073</v>
      </c>
      <c r="BO79" s="353">
        <v>76</v>
      </c>
      <c r="BP79" s="353">
        <f t="shared" si="82"/>
        <v>15.2</v>
      </c>
      <c r="BQ79" s="610">
        <f t="shared" si="83"/>
        <v>54.285714285714292</v>
      </c>
      <c r="BR79" s="610">
        <f t="shared" si="84"/>
        <v>20.54054054054054</v>
      </c>
      <c r="BT79" s="648"/>
      <c r="BU79" s="648"/>
      <c r="BV79" s="648"/>
      <c r="BW79" s="648"/>
      <c r="BX79" s="648"/>
      <c r="BY79" s="616" t="s">
        <v>417</v>
      </c>
      <c r="BZ79" s="617">
        <v>30</v>
      </c>
      <c r="CA79" s="608">
        <v>0</v>
      </c>
      <c r="CB79" s="608">
        <f t="shared" si="85"/>
        <v>0</v>
      </c>
      <c r="CC79" s="608"/>
      <c r="CD79" s="631">
        <f t="shared" si="86"/>
        <v>279.50000000000006</v>
      </c>
      <c r="CN79" s="632" t="s">
        <v>492</v>
      </c>
      <c r="CO79" s="580">
        <f>'[3]Plots R2&gt;.75 - UPDATED'!R76</f>
        <v>41635</v>
      </c>
      <c r="CP79" s="620"/>
      <c r="CQ79" s="633">
        <v>41635</v>
      </c>
      <c r="CR79" s="641">
        <v>43934.194555399765</v>
      </c>
      <c r="CS79" s="642">
        <v>143640.29549026708</v>
      </c>
      <c r="CT79" s="642">
        <v>60649.917599183893</v>
      </c>
      <c r="CU79" s="643">
        <v>34636.37727311565</v>
      </c>
      <c r="CV79" s="513">
        <f t="shared" si="33"/>
        <v>0.68830213700329068</v>
      </c>
      <c r="CW79" s="513">
        <f t="shared" si="64"/>
        <v>0.94726923486397441</v>
      </c>
      <c r="CX79" s="513">
        <f t="shared" si="35"/>
        <v>0.21052588270433509</v>
      </c>
      <c r="CY79" s="513">
        <f t="shared" si="65"/>
        <v>2.0109841967705231</v>
      </c>
      <c r="CZ79" s="513">
        <f t="shared" si="41"/>
        <v>0.49859919348689941</v>
      </c>
      <c r="DA79" s="513">
        <f t="shared" si="66"/>
        <v>0.67470779805286352</v>
      </c>
      <c r="DB79" s="572">
        <f t="shared" si="19"/>
        <v>0.87307052240339045</v>
      </c>
      <c r="DC79" s="572">
        <f t="shared" si="67"/>
        <v>0.81172947759660941</v>
      </c>
      <c r="DD79" s="653"/>
      <c r="DE79" s="299">
        <v>41633</v>
      </c>
      <c r="DF79" s="463">
        <v>4.7819574629018939</v>
      </c>
      <c r="DG79" s="463">
        <v>16.44400275059019</v>
      </c>
      <c r="DH79" s="463">
        <v>6.5248163033948643</v>
      </c>
      <c r="DI79" s="463">
        <v>4.0526296158566426</v>
      </c>
      <c r="DJ79" s="528">
        <v>1.4053529529677999</v>
      </c>
      <c r="DK79" s="528">
        <v>0.54103295296762788</v>
      </c>
      <c r="DL79" s="528">
        <v>0.99903295296771466</v>
      </c>
      <c r="DM79" s="546"/>
      <c r="DN79" s="528">
        <f t="shared" si="37"/>
        <v>14.053529529677999</v>
      </c>
      <c r="DO79" s="528">
        <f t="shared" si="38"/>
        <v>5.4103295296762788</v>
      </c>
      <c r="DP79" s="528">
        <f t="shared" si="39"/>
        <v>9.9903295296771475</v>
      </c>
      <c r="DQ79" s="528">
        <f t="shared" si="40"/>
        <v>0</v>
      </c>
      <c r="DR79" s="463">
        <v>1.4053529529677999</v>
      </c>
      <c r="DS79" s="463">
        <v>0.54103295296762788</v>
      </c>
      <c r="DT79" s="463">
        <v>0.99903295296771466</v>
      </c>
      <c r="DU79" s="463">
        <v>0.68023453025320346</v>
      </c>
      <c r="DV79" s="463">
        <v>0.5057443635654395</v>
      </c>
      <c r="DW79" s="463">
        <v>2.8535780423817458</v>
      </c>
      <c r="DX79" s="463">
        <v>1.4931207691465183</v>
      </c>
      <c r="DY79" s="463">
        <v>2.3939984227144446</v>
      </c>
      <c r="DZ79" s="463">
        <v>0.5057443635654395</v>
      </c>
      <c r="EA79" s="463">
        <v>2.8535780423817458</v>
      </c>
      <c r="EB79" s="463">
        <v>1.4931207691465183</v>
      </c>
      <c r="EC79" s="463">
        <v>2.3939984227144446</v>
      </c>
      <c r="ED79" s="463">
        <f t="shared" si="24"/>
        <v>5.057443635654395</v>
      </c>
      <c r="EE79" s="463">
        <f t="shared" si="25"/>
        <v>28.535780423817457</v>
      </c>
      <c r="EF79" s="463">
        <f t="shared" si="26"/>
        <v>14.931207691465183</v>
      </c>
      <c r="EG79" s="463">
        <f t="shared" si="27"/>
        <v>23.939984227144446</v>
      </c>
      <c r="EH79" s="528">
        <f>'[3]Plots R2&gt;.75 - UPDATED'!S76</f>
        <v>1.0209965847504816</v>
      </c>
      <c r="EI79" s="528">
        <f>'[3]Plots R2&gt;.75 - UPDATED'!T76</f>
        <v>2.2058965847504819</v>
      </c>
      <c r="EJ79" s="528">
        <f>'[3]Plots R2&gt;.75 - UPDATED'!U76</f>
        <v>2.5081965847504817</v>
      </c>
      <c r="EK79" s="546">
        <f>'[3]Plots R2&gt;.75 - UPDATED'!V76</f>
        <v>1.9260965847504816</v>
      </c>
      <c r="EL79" s="676">
        <v>0</v>
      </c>
      <c r="EM79" s="495">
        <v>0</v>
      </c>
      <c r="EN79" s="299">
        <v>41633</v>
      </c>
      <c r="EO79" s="528">
        <v>1.0209965847504816</v>
      </c>
      <c r="EP79" s="528">
        <v>2.2058965847504819</v>
      </c>
      <c r="EQ79" s="528">
        <v>2.5081965847504817</v>
      </c>
      <c r="ER79" s="546">
        <v>1.9260965847504816</v>
      </c>
      <c r="GN79" s="640"/>
      <c r="GO79" s="640"/>
      <c r="GP79" s="640"/>
      <c r="GQ79" s="640"/>
      <c r="GR79" s="640"/>
      <c r="GS79" s="640"/>
      <c r="GT79" s="640"/>
      <c r="GU79" s="640"/>
      <c r="GV79" s="640"/>
      <c r="HF79" s="560">
        <v>0.520349305693102</v>
      </c>
      <c r="HG79" s="560">
        <v>0.37605743633989064</v>
      </c>
      <c r="HH79" s="513">
        <v>0.13473687951727259</v>
      </c>
      <c r="HI79" s="513">
        <v>0.79597698484244206</v>
      </c>
      <c r="HJ79" s="515">
        <v>0.38221324362784137</v>
      </c>
      <c r="HK79" s="515">
        <v>1.1290777691943155</v>
      </c>
      <c r="HL79" s="515">
        <v>0.39044528367114112</v>
      </c>
      <c r="HM79" s="515">
        <v>0</v>
      </c>
    </row>
    <row r="80" spans="10:221" ht="16">
      <c r="J80" s="580">
        <v>41617</v>
      </c>
      <c r="K80" s="581">
        <v>0</v>
      </c>
      <c r="L80" s="582">
        <v>11.722200000000001</v>
      </c>
      <c r="M80" s="582">
        <v>12.1496</v>
      </c>
      <c r="N80" s="582">
        <v>12.968500000000001</v>
      </c>
      <c r="O80" s="582">
        <v>12.7203</v>
      </c>
      <c r="P80" s="582">
        <v>98.668800000000005</v>
      </c>
      <c r="Q80" s="582">
        <v>10.08882961469725</v>
      </c>
      <c r="R80" s="582">
        <v>1.4483703853027508</v>
      </c>
      <c r="S80" s="582">
        <v>2.7107703853027498</v>
      </c>
      <c r="T80" s="582">
        <v>3.0696703853027509</v>
      </c>
      <c r="U80" s="582">
        <v>2.9014703853027495</v>
      </c>
      <c r="W80" s="580">
        <v>41635</v>
      </c>
      <c r="X80" s="582">
        <f t="shared" si="81"/>
        <v>1.0212579657605898</v>
      </c>
      <c r="Y80" s="582">
        <f t="shared" si="81"/>
        <v>2.2059271965298208</v>
      </c>
      <c r="Z80" s="582">
        <f t="shared" si="81"/>
        <v>2.5079579657605908</v>
      </c>
      <c r="AA80" s="582">
        <f t="shared" si="81"/>
        <v>2.2157579657605897</v>
      </c>
      <c r="AB80" s="606"/>
      <c r="AC80" s="441">
        <f t="shared" si="73"/>
        <v>2.9205082301191676E-2</v>
      </c>
      <c r="AD80" s="440">
        <f t="shared" si="74"/>
        <v>3.6251236147345267E-2</v>
      </c>
      <c r="AE80" s="440">
        <f t="shared" si="75"/>
        <v>3.9020466916577234E-2</v>
      </c>
      <c r="AF80" s="443">
        <f t="shared" si="76"/>
        <v>1.8497389993499258E-2</v>
      </c>
      <c r="AG80" s="633">
        <v>41635</v>
      </c>
      <c r="AH80" s="560">
        <v>-6.7742707133195239E-3</v>
      </c>
      <c r="AI80" s="513">
        <v>-6.6237133647092234E-4</v>
      </c>
      <c r="AJ80" s="513">
        <v>-7.5691443259936243E-3</v>
      </c>
      <c r="AK80" s="572">
        <v>0</v>
      </c>
      <c r="AL80" s="634"/>
      <c r="AM80" s="441">
        <v>-1.08E-5</v>
      </c>
      <c r="AN80" s="440">
        <v>-1.33E-5</v>
      </c>
      <c r="AO80" s="440">
        <v>-1.49E-5</v>
      </c>
      <c r="AP80" s="443">
        <v>-6.3799999999999999E-6</v>
      </c>
      <c r="AR80" s="441">
        <f t="shared" si="42"/>
        <v>1.5552E-2</v>
      </c>
      <c r="AS80" s="440">
        <f t="shared" si="42"/>
        <v>1.9151999999999999E-2</v>
      </c>
      <c r="AT80" s="440">
        <f t="shared" si="42"/>
        <v>2.1455999999999999E-2</v>
      </c>
      <c r="AU80" s="443">
        <f t="shared" si="42"/>
        <v>9.1871999999999995E-3</v>
      </c>
      <c r="AV80" s="633">
        <v>41635</v>
      </c>
      <c r="AW80" s="644"/>
      <c r="AX80" s="608">
        <v>0</v>
      </c>
      <c r="AY80" s="441">
        <f t="shared" si="68"/>
        <v>1.3653082301191676E-2</v>
      </c>
      <c r="AZ80" s="440">
        <f t="shared" si="69"/>
        <v>1.7099236147345268E-2</v>
      </c>
      <c r="BA80" s="440">
        <f t="shared" si="70"/>
        <v>1.7564466916577235E-2</v>
      </c>
      <c r="BB80" s="443">
        <f t="shared" si="71"/>
        <v>9.3101899934992585E-3</v>
      </c>
      <c r="BC80" s="608">
        <f t="shared" si="77"/>
        <v>9.3101899934992585E-2</v>
      </c>
      <c r="BD80" s="627" t="s">
        <v>518</v>
      </c>
      <c r="BE80" s="580">
        <v>41635</v>
      </c>
      <c r="BF80" s="441">
        <f t="shared" si="78"/>
        <v>6.6445059304787168</v>
      </c>
      <c r="BG80" s="440">
        <f t="shared" si="87"/>
        <v>13.308505930479413</v>
      </c>
      <c r="BH80" s="440">
        <f t="shared" si="79"/>
        <v>17.664505930479095</v>
      </c>
      <c r="BI80" s="443">
        <f t="shared" si="80"/>
        <v>2.9565059304785568</v>
      </c>
      <c r="BJ80" s="658"/>
      <c r="BK80" s="441">
        <v>13.653082301191677</v>
      </c>
      <c r="BL80" s="440">
        <v>17.09923614734527</v>
      </c>
      <c r="BM80" s="440">
        <v>17.564466916577235</v>
      </c>
      <c r="BN80" s="443">
        <v>9.3101899934992574</v>
      </c>
      <c r="BO80" s="353">
        <v>71</v>
      </c>
      <c r="BP80" s="353">
        <f t="shared" si="82"/>
        <v>14.2</v>
      </c>
      <c r="BQ80" s="610">
        <f t="shared" si="83"/>
        <v>50.714285714285715</v>
      </c>
      <c r="BR80" s="610">
        <f t="shared" si="84"/>
        <v>19.189189189189189</v>
      </c>
      <c r="BT80" s="648"/>
      <c r="BU80" s="648"/>
      <c r="BV80" s="648"/>
      <c r="BW80" s="648"/>
      <c r="BX80" s="648"/>
      <c r="BY80" s="616" t="s">
        <v>420</v>
      </c>
      <c r="BZ80" s="617">
        <v>29</v>
      </c>
      <c r="CA80" s="608">
        <v>0</v>
      </c>
      <c r="CB80" s="608">
        <f t="shared" si="85"/>
        <v>0</v>
      </c>
      <c r="CC80" s="608"/>
      <c r="CD80" s="631">
        <f t="shared" si="86"/>
        <v>279.50000000000006</v>
      </c>
      <c r="CN80" s="632" t="s">
        <v>494</v>
      </c>
      <c r="CO80" s="580">
        <f>'[3]Plots R2&gt;.75 - UPDATED'!R77</f>
        <v>41636</v>
      </c>
      <c r="CP80" s="620"/>
      <c r="CQ80" s="633">
        <v>41636</v>
      </c>
      <c r="CR80" s="641">
        <v>42578.027817843744</v>
      </c>
      <c r="CS80" s="642">
        <v>136946.0090596216</v>
      </c>
      <c r="CT80" s="642">
        <v>58965.97284253846</v>
      </c>
      <c r="CU80" s="643">
        <v>33568.370266413353</v>
      </c>
      <c r="CV80" s="513">
        <f t="shared" si="33"/>
        <v>0.7102254742603864</v>
      </c>
      <c r="CW80" s="513">
        <f t="shared" si="64"/>
        <v>0.16754745440766117</v>
      </c>
      <c r="CX80" s="513">
        <f t="shared" si="35"/>
        <v>0.22081694974283289</v>
      </c>
      <c r="CY80" s="513">
        <f t="shared" si="65"/>
        <v>1.6281459166100747</v>
      </c>
      <c r="CZ80" s="513">
        <f t="shared" si="41"/>
        <v>0.51283814278367434</v>
      </c>
      <c r="DA80" s="513">
        <f t="shared" si="66"/>
        <v>0.87584742461696297</v>
      </c>
      <c r="DB80" s="572">
        <f t="shared" ref="DB80:DB135" si="88">(302.4/CU80)*100</f>
        <v>0.90084802330295033</v>
      </c>
      <c r="DC80" s="572">
        <f t="shared" si="67"/>
        <v>1.7871976697049652E-2</v>
      </c>
      <c r="DD80" s="653"/>
      <c r="DE80" s="299">
        <v>41634</v>
      </c>
      <c r="DF80" s="463">
        <v>4.6659105750523002</v>
      </c>
      <c r="DG80" s="463">
        <v>15.734889365006483</v>
      </c>
      <c r="DH80" s="463">
        <v>6.3709293218585952</v>
      </c>
      <c r="DI80" s="463">
        <v>3.7638306771710304</v>
      </c>
      <c r="DJ80" s="528">
        <v>0.66445059304787168</v>
      </c>
      <c r="DK80" s="528">
        <v>1.3308505930479413</v>
      </c>
      <c r="DL80" s="528">
        <v>1.7664505930479093</v>
      </c>
      <c r="DM80" s="546">
        <v>0.29565059304785568</v>
      </c>
      <c r="DN80" s="528">
        <f t="shared" si="37"/>
        <v>6.6445059304787168</v>
      </c>
      <c r="DO80" s="528">
        <f t="shared" si="38"/>
        <v>13.308505930479413</v>
      </c>
      <c r="DP80" s="528">
        <f t="shared" si="39"/>
        <v>17.664505930479095</v>
      </c>
      <c r="DQ80" s="528">
        <f t="shared" si="40"/>
        <v>2.9565059304785568</v>
      </c>
      <c r="DR80" s="463">
        <v>0.66445059304787168</v>
      </c>
      <c r="DS80" s="463">
        <v>1.3308505930479413</v>
      </c>
      <c r="DT80" s="463">
        <v>1.7664505930479093</v>
      </c>
      <c r="DU80" s="463">
        <v>0.29565059304785568</v>
      </c>
      <c r="DV80" s="463">
        <v>1.6355713718672651</v>
      </c>
      <c r="DW80" s="463">
        <v>2.2215100794748581</v>
      </c>
      <c r="DX80" s="463">
        <v>1.1733069915397629</v>
      </c>
      <c r="DY80" s="463">
        <v>1.6847999999999999</v>
      </c>
      <c r="DZ80" s="463">
        <v>1.6355713718672651</v>
      </c>
      <c r="EA80" s="463">
        <v>2.2215100794748581</v>
      </c>
      <c r="EB80" s="463">
        <v>1.1733069915397629</v>
      </c>
      <c r="EC80" s="463">
        <v>1.6847999999999999</v>
      </c>
      <c r="ED80" s="463">
        <f t="shared" ref="ED80:ED143" si="89">DZ80*10</f>
        <v>16.35571371867265</v>
      </c>
      <c r="EE80" s="463">
        <f t="shared" ref="EE80:EE143" si="90">EA80*10</f>
        <v>22.215100794748579</v>
      </c>
      <c r="EF80" s="463">
        <f t="shared" ref="EF80:EF143" si="91">EB80*10</f>
        <v>11.733069915397628</v>
      </c>
      <c r="EG80" s="463">
        <f t="shared" ref="EG80:EG143" si="92">EC80*10</f>
        <v>16.847999999999999</v>
      </c>
      <c r="EH80" s="528">
        <f>'[3]Plots R2&gt;.75 - UPDATED'!S77</f>
        <v>0.99228676730036958</v>
      </c>
      <c r="EI80" s="528">
        <f>'[3]Plots R2&gt;.75 - UPDATED'!T77</f>
        <v>2.1696867673003695</v>
      </c>
      <c r="EJ80" s="528">
        <f>'[3]Plots R2&gt;.75 - UPDATED'!U77</f>
        <v>2.4690867673003689</v>
      </c>
      <c r="EK80" s="546">
        <f>'[3]Plots R2&gt;.75 - UPDATED'!V77</f>
        <v>1.9073867673003693</v>
      </c>
      <c r="EL80" s="676">
        <v>0</v>
      </c>
      <c r="EM80" s="495">
        <v>0</v>
      </c>
      <c r="EN80" s="299">
        <v>41634</v>
      </c>
      <c r="EO80" s="528">
        <v>0.99228676730036958</v>
      </c>
      <c r="EP80" s="528">
        <v>2.1696867673003695</v>
      </c>
      <c r="EQ80" s="528">
        <v>2.4690867673003689</v>
      </c>
      <c r="ER80" s="546">
        <v>1.9073867673003693</v>
      </c>
      <c r="GN80" s="640"/>
      <c r="GO80" s="640"/>
      <c r="GP80" s="640"/>
      <c r="GQ80" s="640"/>
      <c r="GR80" s="640"/>
      <c r="GS80" s="640"/>
      <c r="GT80" s="640"/>
      <c r="GU80" s="640"/>
      <c r="GV80" s="640"/>
      <c r="HF80" s="560">
        <v>0.53328479807018547</v>
      </c>
      <c r="HG80" s="560">
        <v>0.17460733608701229</v>
      </c>
      <c r="HH80" s="513">
        <v>0.13804771039661665</v>
      </c>
      <c r="HI80" s="513">
        <v>1.0851264247652306</v>
      </c>
      <c r="HJ80" s="515">
        <v>0.38881830100618858</v>
      </c>
      <c r="HK80" s="515">
        <v>1.1851044987832065</v>
      </c>
      <c r="HL80" s="515">
        <v>0.40623231062806592</v>
      </c>
      <c r="HM80" s="515">
        <v>0</v>
      </c>
    </row>
    <row r="81" spans="10:221" ht="16">
      <c r="J81" s="580">
        <v>41618</v>
      </c>
      <c r="K81" s="581">
        <v>0</v>
      </c>
      <c r="L81" s="582">
        <v>11.683299999999999</v>
      </c>
      <c r="M81" s="582">
        <v>12.1015</v>
      </c>
      <c r="N81" s="582">
        <v>12.9178</v>
      </c>
      <c r="O81" s="582">
        <v>12.6731</v>
      </c>
      <c r="P81" s="582">
        <v>98.550799999999995</v>
      </c>
      <c r="Q81" s="582">
        <v>10.076764180694461</v>
      </c>
      <c r="R81" s="582">
        <v>1.4215358193055381</v>
      </c>
      <c r="S81" s="582">
        <v>2.6754358193055392</v>
      </c>
      <c r="T81" s="582">
        <v>3.0310358193055391</v>
      </c>
      <c r="U81" s="582">
        <v>2.8663358193055384</v>
      </c>
      <c r="W81" s="580">
        <v>41636</v>
      </c>
      <c r="X81" s="582">
        <f t="shared" si="81"/>
        <v>0.99205288345939813</v>
      </c>
      <c r="Y81" s="582">
        <f t="shared" si="81"/>
        <v>2.1696759603824756</v>
      </c>
      <c r="Z81" s="582">
        <f t="shared" si="81"/>
        <v>2.4689374988440136</v>
      </c>
      <c r="AA81" s="582">
        <f t="shared" si="81"/>
        <v>2.1972605757670904</v>
      </c>
      <c r="AB81" s="606"/>
      <c r="AC81" s="441">
        <f t="shared" si="73"/>
        <v>2.5574046541692042E-2</v>
      </c>
      <c r="AD81" s="440">
        <f t="shared" si="74"/>
        <v>4.1304815772460923E-2</v>
      </c>
      <c r="AE81" s="440">
        <f t="shared" si="75"/>
        <v>3.8066354233999622E-2</v>
      </c>
      <c r="AF81" s="443">
        <f t="shared" si="76"/>
        <v>1.7897123464768683E-2</v>
      </c>
      <c r="AG81" s="633">
        <v>41636</v>
      </c>
      <c r="AH81" s="560">
        <v>-6.1396771683662216E-3</v>
      </c>
      <c r="AI81" s="513">
        <v>-6.4098416532081752E-4</v>
      </c>
      <c r="AJ81" s="513">
        <v>-7.4131655521623924E-3</v>
      </c>
      <c r="AK81" s="572">
        <v>0</v>
      </c>
      <c r="AL81" s="634"/>
      <c r="AM81" s="441">
        <v>-9.5999999999999996E-6</v>
      </c>
      <c r="AN81" s="440">
        <v>-1.2E-5</v>
      </c>
      <c r="AO81" s="440">
        <v>-1.91E-5</v>
      </c>
      <c r="AP81" s="443">
        <v>-6.7399999999999998E-6</v>
      </c>
      <c r="AR81" s="441">
        <f t="shared" si="42"/>
        <v>1.3823999999999999E-2</v>
      </c>
      <c r="AS81" s="440">
        <f t="shared" si="42"/>
        <v>1.728E-2</v>
      </c>
      <c r="AT81" s="440">
        <f t="shared" si="42"/>
        <v>2.7504000000000001E-2</v>
      </c>
      <c r="AU81" s="443">
        <f t="shared" si="42"/>
        <v>9.7056E-3</v>
      </c>
      <c r="AV81" s="633">
        <v>41636</v>
      </c>
      <c r="AW81" s="644"/>
      <c r="AX81" s="608">
        <v>0</v>
      </c>
      <c r="AY81" s="441">
        <f t="shared" si="68"/>
        <v>1.1750046541692042E-2</v>
      </c>
      <c r="AZ81" s="440">
        <f t="shared" si="69"/>
        <v>2.4024815772460923E-2</v>
      </c>
      <c r="BA81" s="440">
        <f t="shared" si="70"/>
        <v>1.0562354233999621E-2</v>
      </c>
      <c r="BB81" s="443">
        <f t="shared" si="71"/>
        <v>8.1915234647686828E-3</v>
      </c>
      <c r="BC81" s="608">
        <f t="shared" si="77"/>
        <v>8.1915234647686824E-2</v>
      </c>
      <c r="BD81" s="627" t="s">
        <v>519</v>
      </c>
      <c r="BE81" s="580">
        <v>41636</v>
      </c>
      <c r="BF81" s="441">
        <f t="shared" si="78"/>
        <v>13.157817450112031</v>
      </c>
      <c r="BG81" s="440">
        <f t="shared" si="87"/>
        <v>17.057817450112427</v>
      </c>
      <c r="BH81" s="440">
        <f t="shared" si="79"/>
        <v>17.653817450112772</v>
      </c>
      <c r="BI81" s="443">
        <f t="shared" si="80"/>
        <v>9.5226174501123531</v>
      </c>
      <c r="BJ81" s="658"/>
      <c r="BK81" s="441">
        <v>11.750046541692043</v>
      </c>
      <c r="BL81" s="440">
        <v>24.024815772460922</v>
      </c>
      <c r="BM81" s="440">
        <v>10.562354233999622</v>
      </c>
      <c r="BN81" s="443">
        <v>8.1915234647686823</v>
      </c>
      <c r="BO81" s="353">
        <v>76</v>
      </c>
      <c r="BP81" s="353">
        <f t="shared" si="82"/>
        <v>15.2</v>
      </c>
      <c r="BQ81" s="610">
        <f t="shared" si="83"/>
        <v>54.285714285714292</v>
      </c>
      <c r="BR81" s="610">
        <f t="shared" si="84"/>
        <v>20.54054054054054</v>
      </c>
      <c r="BT81" s="648"/>
      <c r="BU81" s="648"/>
      <c r="BV81" s="648"/>
      <c r="BW81" s="648"/>
      <c r="BX81" s="648"/>
      <c r="BY81" s="616" t="s">
        <v>423</v>
      </c>
      <c r="BZ81" s="617">
        <v>30</v>
      </c>
      <c r="CA81" s="608">
        <v>0</v>
      </c>
      <c r="CB81" s="608">
        <f t="shared" si="85"/>
        <v>0</v>
      </c>
      <c r="CC81" s="608"/>
      <c r="CD81" s="631">
        <f t="shared" si="86"/>
        <v>279.50000000000006</v>
      </c>
      <c r="CN81" s="632" t="s">
        <v>496</v>
      </c>
      <c r="CO81" s="580">
        <f>'[3]Plots R2&gt;.75 - UPDATED'!R78</f>
        <v>41637</v>
      </c>
      <c r="CP81" s="620"/>
      <c r="CQ81" s="633">
        <v>41637</v>
      </c>
      <c r="CR81" s="641">
        <v>41332.862481743075</v>
      </c>
      <c r="CS81" s="642">
        <v>129522.53659105247</v>
      </c>
      <c r="CT81" s="642">
        <v>57297.821265892955</v>
      </c>
      <c r="CU81" s="643">
        <v>32538.564893524661</v>
      </c>
      <c r="CV81" s="513">
        <f t="shared" si="33"/>
        <v>0.73162123754088293</v>
      </c>
      <c r="CW81" s="513">
        <f t="shared" si="64"/>
        <v>3.6811045622494709E-2</v>
      </c>
      <c r="CX81" s="513">
        <f t="shared" si="35"/>
        <v>0.23347288275767913</v>
      </c>
      <c r="CY81" s="513">
        <f t="shared" si="65"/>
        <v>1.430428700710239</v>
      </c>
      <c r="CZ81" s="513">
        <f t="shared" si="41"/>
        <v>0.52776875860026162</v>
      </c>
      <c r="DA81" s="513">
        <f t="shared" si="66"/>
        <v>1.4813146861834987</v>
      </c>
      <c r="DB81" s="572">
        <f t="shared" si="88"/>
        <v>0.92935875011555624</v>
      </c>
      <c r="DC81" s="572">
        <f t="shared" si="67"/>
        <v>4.1201249884443736E-2</v>
      </c>
      <c r="DD81" s="653"/>
      <c r="DE81" s="299">
        <v>41635</v>
      </c>
      <c r="DF81" s="463">
        <v>4.5374546265263689</v>
      </c>
      <c r="DG81" s="463">
        <v>15.054375865196524</v>
      </c>
      <c r="DH81" s="463">
        <v>6.2266857149561696</v>
      </c>
      <c r="DI81" s="463">
        <v>3.5792110681105695</v>
      </c>
      <c r="DJ81" s="528">
        <v>1.315781745011203</v>
      </c>
      <c r="DK81" s="528">
        <v>1.7057817450112427</v>
      </c>
      <c r="DL81" s="528">
        <v>1.7653817450112772</v>
      </c>
      <c r="DM81" s="546">
        <v>0.95226174501123539</v>
      </c>
      <c r="DN81" s="528">
        <f t="shared" si="37"/>
        <v>13.157817450112031</v>
      </c>
      <c r="DO81" s="528">
        <f t="shared" si="38"/>
        <v>17.057817450112427</v>
      </c>
      <c r="DP81" s="528">
        <f t="shared" si="39"/>
        <v>17.653817450112772</v>
      </c>
      <c r="DQ81" s="528">
        <f t="shared" si="40"/>
        <v>9.5226174501123531</v>
      </c>
      <c r="DR81" s="463">
        <v>1.315781745011203</v>
      </c>
      <c r="DS81" s="463">
        <v>1.7057817450112427</v>
      </c>
      <c r="DT81" s="463">
        <v>1.7653817450112772</v>
      </c>
      <c r="DU81" s="463">
        <v>0.95226174501123539</v>
      </c>
      <c r="DV81" s="463">
        <v>0.87777292866804757</v>
      </c>
      <c r="DW81" s="463">
        <v>1.8489628663529076</v>
      </c>
      <c r="DX81" s="463">
        <v>1.3886855674006373</v>
      </c>
      <c r="DY81" s="463">
        <v>0.91871999999999998</v>
      </c>
      <c r="DZ81" s="463">
        <v>0.87777292866804757</v>
      </c>
      <c r="EA81" s="463">
        <v>1.8489628663529076</v>
      </c>
      <c r="EB81" s="463">
        <v>1.3886855674006373</v>
      </c>
      <c r="EC81" s="463">
        <v>0.91871999999999998</v>
      </c>
      <c r="ED81" s="463">
        <f t="shared" si="89"/>
        <v>8.7777292866804757</v>
      </c>
      <c r="EE81" s="463">
        <f t="shared" si="90"/>
        <v>18.489628663529075</v>
      </c>
      <c r="EF81" s="463">
        <f t="shared" si="91"/>
        <v>13.886855674006373</v>
      </c>
      <c r="EG81" s="463">
        <f t="shared" si="92"/>
        <v>9.1872000000000007</v>
      </c>
      <c r="EH81" s="528">
        <f>'[3]Plots R2&gt;.75 - UPDATED'!S78</f>
        <v>0.96585404559959065</v>
      </c>
      <c r="EI81" s="528">
        <f>'[3]Plots R2&gt;.75 - UPDATED'!T78</f>
        <v>2.1281540455995902</v>
      </c>
      <c r="EJ81" s="528">
        <f>'[3]Plots R2&gt;.75 - UPDATED'!U78</f>
        <v>2.4298540455995914</v>
      </c>
      <c r="EK81" s="546">
        <f>'[3]Plots R2&gt;.75 - UPDATED'!V78</f>
        <v>1.8889540455995912</v>
      </c>
      <c r="EL81" s="676">
        <v>0</v>
      </c>
      <c r="EM81" s="495">
        <v>0</v>
      </c>
      <c r="EN81" s="299">
        <v>41635</v>
      </c>
      <c r="EO81" s="528">
        <v>0.96585404559959065</v>
      </c>
      <c r="EP81" s="528">
        <v>2.1281540455995902</v>
      </c>
      <c r="EQ81" s="528">
        <v>2.4298540455995914</v>
      </c>
      <c r="ER81" s="546">
        <v>1.8889540455995912</v>
      </c>
      <c r="GN81" s="640"/>
      <c r="GO81" s="640"/>
      <c r="GP81" s="640"/>
      <c r="GQ81" s="640"/>
      <c r="GR81" s="640"/>
      <c r="GS81" s="640"/>
      <c r="GT81" s="640"/>
      <c r="GU81" s="640"/>
      <c r="GV81" s="640"/>
      <c r="HF81" s="560">
        <v>0.54623343363326538</v>
      </c>
      <c r="HG81" s="560">
        <v>0.29018931556846017</v>
      </c>
      <c r="HH81" s="513">
        <v>0.1423119048241851</v>
      </c>
      <c r="HI81" s="513">
        <v>1.5534082679247554</v>
      </c>
      <c r="HJ81" s="515">
        <v>0.3979258702400178</v>
      </c>
      <c r="HK81" s="515">
        <v>1.2119770268829564</v>
      </c>
      <c r="HL81" s="515">
        <v>0.4271158249308471</v>
      </c>
      <c r="HM81" s="515">
        <v>0.74256606403855119</v>
      </c>
    </row>
    <row r="82" spans="10:221" ht="16">
      <c r="J82" s="580">
        <v>41619</v>
      </c>
      <c r="K82" s="581">
        <v>0</v>
      </c>
      <c r="L82" s="582">
        <v>11.667</v>
      </c>
      <c r="M82" s="582">
        <v>12.072900000000001</v>
      </c>
      <c r="N82" s="582">
        <v>12.893599999999999</v>
      </c>
      <c r="O82" s="582">
        <v>12.6472</v>
      </c>
      <c r="P82" s="582">
        <v>98.655799999999999</v>
      </c>
      <c r="Q82" s="582">
        <v>10.087500371968128</v>
      </c>
      <c r="R82" s="582">
        <v>1.394499628031872</v>
      </c>
      <c r="S82" s="582">
        <v>2.6353996280318732</v>
      </c>
      <c r="T82" s="582">
        <v>2.9960996280318719</v>
      </c>
      <c r="U82" s="582">
        <v>2.8296996280318716</v>
      </c>
      <c r="W82" s="580">
        <v>41637</v>
      </c>
      <c r="X82" s="582">
        <f t="shared" si="81"/>
        <v>0.96647883691770609</v>
      </c>
      <c r="Y82" s="582">
        <f t="shared" si="81"/>
        <v>2.1283711446100146</v>
      </c>
      <c r="Z82" s="582">
        <f t="shared" si="81"/>
        <v>2.430871144610014</v>
      </c>
      <c r="AA82" s="582">
        <f t="shared" si="81"/>
        <v>2.1793634523023218</v>
      </c>
      <c r="AB82" s="606"/>
      <c r="AC82" s="441">
        <f t="shared" si="73"/>
        <v>1.9389711641568774E-2</v>
      </c>
      <c r="AD82" s="440">
        <f t="shared" si="74"/>
        <v>3.9112788564646284E-2</v>
      </c>
      <c r="AE82" s="440">
        <f t="shared" si="75"/>
        <v>3.7289711641568246E-2</v>
      </c>
      <c r="AF82" s="443">
        <f t="shared" si="76"/>
        <v>3.4058942410799542E-2</v>
      </c>
      <c r="AG82" s="633">
        <v>41637</v>
      </c>
      <c r="AH82" s="560">
        <v>-5.5181340159914747E-3</v>
      </c>
      <c r="AI82" s="513">
        <v>-6.1251780647577779E-4</v>
      </c>
      <c r="AJ82" s="513">
        <v>-7.2448147270066793E-3</v>
      </c>
      <c r="AK82" s="572">
        <v>0</v>
      </c>
      <c r="AL82" s="634"/>
      <c r="AM82" s="441">
        <v>-4.9599999999999999E-6</v>
      </c>
      <c r="AN82" s="440">
        <v>-2.4600000000000002E-5</v>
      </c>
      <c r="AO82" s="440">
        <v>-1.1800000000000001E-5</v>
      </c>
      <c r="AP82" s="443">
        <v>-6.9299999999999997E-6</v>
      </c>
      <c r="AR82" s="441">
        <f t="shared" si="42"/>
        <v>7.1424000000000001E-3</v>
      </c>
      <c r="AS82" s="440">
        <f t="shared" si="42"/>
        <v>3.5424000000000004E-2</v>
      </c>
      <c r="AT82" s="440">
        <f t="shared" si="42"/>
        <v>1.6992E-2</v>
      </c>
      <c r="AU82" s="443">
        <f t="shared" si="42"/>
        <v>9.9791999999999988E-3</v>
      </c>
      <c r="AV82" s="633">
        <v>41637</v>
      </c>
      <c r="AW82" s="644"/>
      <c r="AX82" s="608">
        <v>0</v>
      </c>
      <c r="AY82" s="441">
        <f t="shared" si="68"/>
        <v>1.2247311641568774E-2</v>
      </c>
      <c r="AZ82" s="440">
        <f t="shared" si="69"/>
        <v>3.6887885646462795E-3</v>
      </c>
      <c r="BA82" s="440">
        <f t="shared" si="70"/>
        <v>2.0297711641568246E-2</v>
      </c>
      <c r="BB82" s="443">
        <f t="shared" si="71"/>
        <v>2.4079742410799541E-2</v>
      </c>
      <c r="BC82" s="608">
        <f t="shared" si="77"/>
        <v>0.24079742410799543</v>
      </c>
      <c r="BD82" s="627" t="s">
        <v>520</v>
      </c>
      <c r="BE82" s="580">
        <v>41637</v>
      </c>
      <c r="BF82" s="441">
        <f t="shared" si="78"/>
        <v>12.608721700778929</v>
      </c>
      <c r="BG82" s="440">
        <f t="shared" si="87"/>
        <v>24.252721700779265</v>
      </c>
      <c r="BH82" s="440">
        <f t="shared" si="79"/>
        <v>11.728721700777518</v>
      </c>
      <c r="BI82" s="443">
        <f t="shared" si="80"/>
        <v>8.7271217007780315</v>
      </c>
      <c r="BJ82" s="658"/>
      <c r="BK82" s="441">
        <v>12.247311641568775</v>
      </c>
      <c r="BL82" s="440">
        <v>3.6887885646462792</v>
      </c>
      <c r="BM82" s="440">
        <v>20.297711641568249</v>
      </c>
      <c r="BN82" s="443">
        <v>24.07974241079954</v>
      </c>
      <c r="BO82" s="353">
        <v>71</v>
      </c>
      <c r="BP82" s="353">
        <f t="shared" si="82"/>
        <v>14.2</v>
      </c>
      <c r="BQ82" s="610">
        <f t="shared" si="83"/>
        <v>50.714285714285715</v>
      </c>
      <c r="BR82" s="610">
        <f t="shared" si="84"/>
        <v>19.189189189189189</v>
      </c>
      <c r="BT82" s="648"/>
      <c r="BU82" s="648"/>
      <c r="BV82" s="648"/>
      <c r="BW82" s="648"/>
      <c r="BX82" s="648"/>
      <c r="BY82" s="616" t="s">
        <v>426</v>
      </c>
      <c r="BZ82" s="617">
        <v>31</v>
      </c>
      <c r="CA82" s="608">
        <v>0</v>
      </c>
      <c r="CB82" s="608">
        <f t="shared" si="85"/>
        <v>0</v>
      </c>
      <c r="CC82" s="608"/>
      <c r="CD82" s="631">
        <f t="shared" si="86"/>
        <v>279.50000000000006</v>
      </c>
      <c r="CN82" s="632" t="s">
        <v>498</v>
      </c>
      <c r="CO82" s="580">
        <f>'[3]Plots R2&gt;.75 - UPDATED'!R79</f>
        <v>41638</v>
      </c>
      <c r="CP82" s="620"/>
      <c r="CQ82" s="633">
        <v>41638</v>
      </c>
      <c r="CR82" s="641">
        <v>40440.239450527108</v>
      </c>
      <c r="CS82" s="642">
        <v>122763.03770305731</v>
      </c>
      <c r="CT82" s="642">
        <v>55756.829335070914</v>
      </c>
      <c r="CU82" s="643">
        <v>30712.754300120236</v>
      </c>
      <c r="CV82" s="513">
        <f t="shared" si="33"/>
        <v>0.74777005306791877</v>
      </c>
      <c r="CW82" s="513">
        <f t="shared" si="64"/>
        <v>0</v>
      </c>
      <c r="CX82" s="513">
        <f t="shared" si="35"/>
        <v>0.2463282154449889</v>
      </c>
      <c r="CY82" s="513">
        <f t="shared" si="65"/>
        <v>3.2348200039074335</v>
      </c>
      <c r="CZ82" s="513">
        <f t="shared" si="41"/>
        <v>0.5423550865540181</v>
      </c>
      <c r="DA82" s="513">
        <f t="shared" si="66"/>
        <v>0.4323634407453143</v>
      </c>
      <c r="DB82" s="572">
        <f t="shared" si="88"/>
        <v>0.98460723204761913</v>
      </c>
      <c r="DC82" s="572">
        <f t="shared" si="67"/>
        <v>1.3312767952380566E-2</v>
      </c>
      <c r="DD82" s="653"/>
      <c r="DE82" s="299">
        <v>41636</v>
      </c>
      <c r="DF82" s="463">
        <v>4.3934194555399761</v>
      </c>
      <c r="DG82" s="463">
        <v>14.364029549026707</v>
      </c>
      <c r="DH82" s="463">
        <v>6.0649917599183896</v>
      </c>
      <c r="DI82" s="463">
        <v>3.4636377273115651</v>
      </c>
      <c r="DJ82" s="528">
        <v>1.2608721700778929</v>
      </c>
      <c r="DK82" s="528">
        <v>2.4252721700779265</v>
      </c>
      <c r="DL82" s="528">
        <v>1.1728721700777518</v>
      </c>
      <c r="DM82" s="546">
        <v>0.87271217007780322</v>
      </c>
      <c r="DN82" s="528">
        <f t="shared" si="37"/>
        <v>12.608721700778929</v>
      </c>
      <c r="DO82" s="528">
        <f t="shared" si="38"/>
        <v>24.252721700779265</v>
      </c>
      <c r="DP82" s="528">
        <f t="shared" si="39"/>
        <v>11.728721700777518</v>
      </c>
      <c r="DQ82" s="528">
        <f t="shared" si="40"/>
        <v>8.7271217007780315</v>
      </c>
      <c r="DR82" s="463">
        <v>1.2608721700778929</v>
      </c>
      <c r="DS82" s="463">
        <v>2.4252721700779265</v>
      </c>
      <c r="DT82" s="463">
        <v>1.1728721700777518</v>
      </c>
      <c r="DU82" s="463">
        <v>0.87271217007780322</v>
      </c>
      <c r="DV82" s="463">
        <v>0.76843228316337764</v>
      </c>
      <c r="DW82" s="463">
        <v>1.6639015834679181</v>
      </c>
      <c r="DX82" s="463">
        <v>2.0090834447837604</v>
      </c>
      <c r="DY82" s="463">
        <v>0.97055999999999998</v>
      </c>
      <c r="DZ82" s="463">
        <v>0.76843228316337764</v>
      </c>
      <c r="EA82" s="463">
        <v>1.6639015834679181</v>
      </c>
      <c r="EB82" s="463">
        <v>2.0090834447837604</v>
      </c>
      <c r="EC82" s="463">
        <v>0.97055999999999998</v>
      </c>
      <c r="ED82" s="463">
        <f t="shared" si="89"/>
        <v>7.6843228316337768</v>
      </c>
      <c r="EE82" s="463">
        <f t="shared" si="90"/>
        <v>16.639015834679181</v>
      </c>
      <c r="EF82" s="463">
        <f t="shared" si="91"/>
        <v>20.090834447837604</v>
      </c>
      <c r="EG82" s="463">
        <f t="shared" si="92"/>
        <v>9.7056000000000004</v>
      </c>
      <c r="EH82" s="528">
        <f>'[3]Plots R2&gt;.75 - UPDATED'!S79</f>
        <v>0.94686099884352315</v>
      </c>
      <c r="EI82" s="528">
        <f>'[3]Plots R2&gt;.75 - UPDATED'!T79</f>
        <v>2.0889609988435236</v>
      </c>
      <c r="EJ82" s="528">
        <f>'[3]Plots R2&gt;.75 - UPDATED'!U79</f>
        <v>2.3931609988435225</v>
      </c>
      <c r="EK82" s="546">
        <f>'[3]Plots R2&gt;.75 - UPDATED'!V79</f>
        <v>1.8552609988435225</v>
      </c>
      <c r="EL82" s="676">
        <v>0</v>
      </c>
      <c r="EM82" s="495">
        <v>0</v>
      </c>
      <c r="EN82" s="299">
        <v>41636</v>
      </c>
      <c r="EO82" s="528">
        <v>0.94686099884352315</v>
      </c>
      <c r="EP82" s="528">
        <v>2.0889609988435236</v>
      </c>
      <c r="EQ82" s="528">
        <v>2.3931609988435225</v>
      </c>
      <c r="ER82" s="546">
        <v>1.8552609988435225</v>
      </c>
      <c r="GN82" s="640"/>
      <c r="GO82" s="640"/>
      <c r="GP82" s="640"/>
      <c r="GQ82" s="640"/>
      <c r="GR82" s="640"/>
      <c r="GS82" s="640"/>
      <c r="GT82" s="640"/>
      <c r="GU82" s="640"/>
      <c r="GV82" s="640"/>
      <c r="HF82" s="561">
        <v>0.56037099970865389</v>
      </c>
      <c r="HG82" s="561">
        <v>3.5577882173887909E-2</v>
      </c>
      <c r="HH82" s="571">
        <v>0.14766480489073025</v>
      </c>
      <c r="HI82" s="571">
        <v>4.961208512405797</v>
      </c>
      <c r="HJ82" s="601">
        <v>0.4076693923789112</v>
      </c>
      <c r="HK82" s="601">
        <v>1.383015184823438</v>
      </c>
      <c r="HL82" s="601">
        <v>0.44873110837313618</v>
      </c>
      <c r="HM82" s="601">
        <v>1.1135432448629781</v>
      </c>
    </row>
    <row r="83" spans="10:221" ht="16">
      <c r="J83" s="580">
        <v>41620</v>
      </c>
      <c r="K83" s="581">
        <v>0</v>
      </c>
      <c r="L83" s="582">
        <v>11.6242</v>
      </c>
      <c r="M83" s="582">
        <v>12.010199999999999</v>
      </c>
      <c r="N83" s="582">
        <v>12.831899999999999</v>
      </c>
      <c r="O83" s="582">
        <v>12.590299999999999</v>
      </c>
      <c r="P83" s="582">
        <v>98.468800000000002</v>
      </c>
      <c r="Q83" s="582">
        <v>10.06837972655693</v>
      </c>
      <c r="R83" s="582">
        <v>1.3708202734430697</v>
      </c>
      <c r="S83" s="582">
        <v>2.5918202734430693</v>
      </c>
      <c r="T83" s="582">
        <v>2.9535202734430692</v>
      </c>
      <c r="U83" s="582">
        <v>2.7919202734430684</v>
      </c>
      <c r="W83" s="580">
        <v>41638</v>
      </c>
      <c r="X83" s="582">
        <f t="shared" si="81"/>
        <v>0.94708912527613731</v>
      </c>
      <c r="Y83" s="582">
        <f t="shared" si="81"/>
        <v>2.0892583560453684</v>
      </c>
      <c r="Z83" s="582">
        <f t="shared" si="81"/>
        <v>2.3935814329684457</v>
      </c>
      <c r="AA83" s="582">
        <f t="shared" si="81"/>
        <v>2.1453045098915222</v>
      </c>
      <c r="AB83" s="606"/>
      <c r="AC83" s="441">
        <f t="shared" si="73"/>
        <v>1.9842612544609395E-2</v>
      </c>
      <c r="AD83" s="440">
        <f t="shared" si="74"/>
        <v>4.0888766390762665E-2</v>
      </c>
      <c r="AE83" s="440">
        <f t="shared" si="75"/>
        <v>4.3481074083071114E-2</v>
      </c>
      <c r="AF83" s="443">
        <f t="shared" si="76"/>
        <v>3.8965689467686193E-2</v>
      </c>
      <c r="AG83" s="633">
        <v>41638</v>
      </c>
      <c r="AH83" s="560">
        <v>-5.0476356201059258E-3</v>
      </c>
      <c r="AI83" s="513">
        <v>-5.8132523556365229E-4</v>
      </c>
      <c r="AJ83" s="513">
        <v>-7.0758080701970039E-3</v>
      </c>
      <c r="AK83" s="572">
        <v>0</v>
      </c>
      <c r="AL83" s="634"/>
      <c r="AM83" s="441">
        <v>-5.3900000000000001E-6</v>
      </c>
      <c r="AN83" s="440">
        <v>-6.6800000000000004E-6</v>
      </c>
      <c r="AO83" s="440">
        <v>-1.9199999999999999E-5</v>
      </c>
      <c r="AP83" s="443">
        <v>-2.4499999999999999E-5</v>
      </c>
      <c r="AR83" s="441">
        <f t="shared" si="42"/>
        <v>7.7616000000000004E-3</v>
      </c>
      <c r="AS83" s="440">
        <f t="shared" si="42"/>
        <v>9.6192000000000014E-3</v>
      </c>
      <c r="AT83" s="440">
        <f t="shared" si="42"/>
        <v>2.7647999999999999E-2</v>
      </c>
      <c r="AU83" s="443">
        <f t="shared" si="42"/>
        <v>3.5279999999999999E-2</v>
      </c>
      <c r="AV83" s="633">
        <v>41638</v>
      </c>
      <c r="AW83" s="644"/>
      <c r="AX83" s="608">
        <v>0</v>
      </c>
      <c r="AY83" s="441">
        <f t="shared" si="68"/>
        <v>1.2081012544609394E-2</v>
      </c>
      <c r="AZ83" s="440">
        <f t="shared" si="69"/>
        <v>3.1269566390762664E-2</v>
      </c>
      <c r="BA83" s="440">
        <f t="shared" si="70"/>
        <v>1.5833074083071115E-2</v>
      </c>
      <c r="BB83" s="443">
        <f t="shared" si="71"/>
        <v>3.6856894676861943E-3</v>
      </c>
      <c r="BC83" s="608">
        <f t="shared" si="77"/>
        <v>3.6856894676861943E-2</v>
      </c>
      <c r="BD83" s="627" t="s">
        <v>521</v>
      </c>
      <c r="BE83" s="580">
        <v>41638</v>
      </c>
      <c r="BF83" s="441">
        <f t="shared" si="78"/>
        <v>11.8506467560675</v>
      </c>
      <c r="BG83" s="440">
        <f t="shared" si="87"/>
        <v>3.7690467560666052</v>
      </c>
      <c r="BH83" s="440">
        <f t="shared" si="79"/>
        <v>19.70104675606888</v>
      </c>
      <c r="BI83" s="443">
        <f t="shared" si="80"/>
        <v>23.713846756068769</v>
      </c>
      <c r="BJ83" s="658"/>
      <c r="BK83" s="441">
        <v>12.081012544609395</v>
      </c>
      <c r="BL83" s="440">
        <v>31.269566390762662</v>
      </c>
      <c r="BM83" s="440">
        <v>15.833074083071114</v>
      </c>
      <c r="BN83" s="443">
        <v>3.6856894676861938</v>
      </c>
      <c r="BO83" s="353">
        <v>68</v>
      </c>
      <c r="BP83" s="353">
        <f t="shared" si="82"/>
        <v>13.6</v>
      </c>
      <c r="BQ83" s="610">
        <f t="shared" si="83"/>
        <v>48.571428571428577</v>
      </c>
      <c r="BR83" s="610">
        <f t="shared" si="84"/>
        <v>18.378378378378379</v>
      </c>
      <c r="BT83" s="648"/>
      <c r="BU83" s="648"/>
      <c r="BV83" s="648"/>
      <c r="BW83" s="648"/>
      <c r="BX83" s="648"/>
      <c r="BY83" s="616" t="s">
        <v>429</v>
      </c>
      <c r="BZ83" s="617">
        <v>30</v>
      </c>
      <c r="CA83" s="608">
        <v>0</v>
      </c>
      <c r="CB83" s="608">
        <f t="shared" si="85"/>
        <v>0</v>
      </c>
      <c r="CC83" s="608"/>
      <c r="CD83" s="631">
        <f t="shared" si="86"/>
        <v>279.50000000000006</v>
      </c>
      <c r="CN83" s="632" t="s">
        <v>500</v>
      </c>
      <c r="CO83" s="580">
        <f>'[3]Plots R2&gt;.75 - UPDATED'!R80</f>
        <v>41639</v>
      </c>
      <c r="CP83" s="620"/>
      <c r="CQ83" s="633">
        <v>41639</v>
      </c>
      <c r="CR83" s="641">
        <v>39520.465390699945</v>
      </c>
      <c r="CS83" s="642">
        <v>116039.28500459854</v>
      </c>
      <c r="CT83" s="642">
        <v>53978.316965056962</v>
      </c>
      <c r="CU83" s="643">
        <v>28688.364523050346</v>
      </c>
      <c r="CV83" s="513">
        <f t="shared" si="33"/>
        <v>0.76517317549393415</v>
      </c>
      <c r="CW83" s="513">
        <f t="shared" si="64"/>
        <v>0</v>
      </c>
      <c r="CX83" s="513">
        <f t="shared" si="35"/>
        <v>0.26060139890384199</v>
      </c>
      <c r="CY83" s="513">
        <f t="shared" si="65"/>
        <v>0.64318607753979262</v>
      </c>
      <c r="CZ83" s="513">
        <f t="shared" si="41"/>
        <v>0.56022495142958895</v>
      </c>
      <c r="DA83" s="513">
        <f t="shared" si="66"/>
        <v>1.4969942415507103</v>
      </c>
      <c r="DB83" s="572">
        <f t="shared" si="88"/>
        <v>1.0540858812534593</v>
      </c>
      <c r="DC83" s="572">
        <f t="shared" si="67"/>
        <v>2.4739141187465408</v>
      </c>
      <c r="DD83" s="653"/>
      <c r="DE83" s="299">
        <v>41637</v>
      </c>
      <c r="DF83" s="463">
        <v>4.257802781784374</v>
      </c>
      <c r="DG83" s="463">
        <v>13.69460090596216</v>
      </c>
      <c r="DH83" s="463">
        <v>5.8965972842538461</v>
      </c>
      <c r="DI83" s="463">
        <v>3.3568370266413354</v>
      </c>
      <c r="DJ83" s="528">
        <v>1.18506467560675</v>
      </c>
      <c r="DK83" s="528">
        <v>0.37690467560666052</v>
      </c>
      <c r="DL83" s="528">
        <v>1.9701046756068881</v>
      </c>
      <c r="DM83" s="546">
        <v>2.371384675606877</v>
      </c>
      <c r="DN83" s="528">
        <f t="shared" si="37"/>
        <v>11.8506467560675</v>
      </c>
      <c r="DO83" s="528">
        <f t="shared" si="38"/>
        <v>3.7690467560666052</v>
      </c>
      <c r="DP83" s="528">
        <f t="shared" si="39"/>
        <v>19.70104675606888</v>
      </c>
      <c r="DQ83" s="528">
        <f t="shared" si="40"/>
        <v>23.713846756068769</v>
      </c>
      <c r="DR83" s="463">
        <v>1.18506467560675</v>
      </c>
      <c r="DS83" s="463">
        <v>0.37690467560666052</v>
      </c>
      <c r="DT83" s="463">
        <v>1.9701046756068881</v>
      </c>
      <c r="DU83" s="463">
        <v>2.371384675606877</v>
      </c>
      <c r="DV83" s="463">
        <v>0.16242659840085238</v>
      </c>
      <c r="DW83" s="463">
        <v>3.4811482193524226</v>
      </c>
      <c r="DX83" s="463">
        <v>0.97471852729933239</v>
      </c>
      <c r="DY83" s="463">
        <v>0.9979199999999997</v>
      </c>
      <c r="DZ83" s="463">
        <v>0.16242659840085238</v>
      </c>
      <c r="EA83" s="463">
        <v>3.4811482193524226</v>
      </c>
      <c r="EB83" s="463">
        <v>0.97471852729933239</v>
      </c>
      <c r="EC83" s="463">
        <v>0.9979199999999997</v>
      </c>
      <c r="ED83" s="463">
        <f t="shared" si="89"/>
        <v>1.6242659840085238</v>
      </c>
      <c r="EE83" s="463">
        <f t="shared" si="90"/>
        <v>34.811482193524228</v>
      </c>
      <c r="EF83" s="463">
        <f t="shared" si="91"/>
        <v>9.7471852729933239</v>
      </c>
      <c r="EG83" s="463">
        <f t="shared" si="92"/>
        <v>9.979199999999997</v>
      </c>
      <c r="EH83" s="528">
        <f>'[3]Plots R2&gt;.75 - UPDATED'!S80</f>
        <v>0.92725057132731747</v>
      </c>
      <c r="EI83" s="528">
        <f>'[3]Plots R2&gt;.75 - UPDATED'!T80</f>
        <v>2.0485505713273184</v>
      </c>
      <c r="EJ83" s="528">
        <f>'[3]Plots R2&gt;.75 - UPDATED'!U80</f>
        <v>2.3502505713273179</v>
      </c>
      <c r="EK83" s="546">
        <f>'[3]Plots R2&gt;.75 - UPDATED'!V80</f>
        <v>1.8162505713273176</v>
      </c>
      <c r="EL83" s="676">
        <v>0</v>
      </c>
      <c r="EM83" s="495">
        <v>0</v>
      </c>
      <c r="EN83" s="299">
        <v>41637</v>
      </c>
      <c r="EO83" s="528">
        <v>0.92725057132731747</v>
      </c>
      <c r="EP83" s="528">
        <v>2.0485505713273184</v>
      </c>
      <c r="EQ83" s="528">
        <v>2.3502505713273179</v>
      </c>
      <c r="ER83" s="546">
        <v>1.8162505713273176</v>
      </c>
      <c r="GN83" s="640"/>
      <c r="GO83" s="640"/>
      <c r="GP83" s="640"/>
      <c r="GQ83" s="640"/>
      <c r="GR83" s="640"/>
      <c r="GS83" s="640"/>
      <c r="GT83" s="640"/>
      <c r="GU83" s="640"/>
      <c r="GV83" s="640"/>
      <c r="HF83" s="561">
        <v>0.57326908875819671</v>
      </c>
      <c r="HG83" s="561">
        <v>0</v>
      </c>
      <c r="HH83" s="571">
        <v>0.15431504800861165</v>
      </c>
      <c r="HI83" s="571">
        <v>1.9166993504744747</v>
      </c>
      <c r="HJ83" s="601">
        <v>0.41851309708583029</v>
      </c>
      <c r="HK83" s="601">
        <v>1.5830056058815285</v>
      </c>
      <c r="HL83" s="601">
        <v>0.483923273214658</v>
      </c>
      <c r="HM83" s="601">
        <v>6.9023283663241672</v>
      </c>
    </row>
    <row r="84" spans="10:221" ht="16">
      <c r="J84" s="580">
        <v>41621</v>
      </c>
      <c r="K84" s="581">
        <v>0</v>
      </c>
      <c r="L84" s="582">
        <v>11.6083</v>
      </c>
      <c r="M84" s="582">
        <v>11.994999999999999</v>
      </c>
      <c r="N84" s="582">
        <v>12.812200000000001</v>
      </c>
      <c r="O84" s="582">
        <v>12.5749</v>
      </c>
      <c r="P84" s="582">
        <v>98.350099999999998</v>
      </c>
      <c r="Q84" s="582">
        <v>10.056242717945651</v>
      </c>
      <c r="R84" s="582">
        <v>1.3670572820543492</v>
      </c>
      <c r="S84" s="582">
        <v>2.588757282054349</v>
      </c>
      <c r="T84" s="582">
        <v>2.9459572820543505</v>
      </c>
      <c r="U84" s="582">
        <v>2.7886572820543485</v>
      </c>
      <c r="W84" s="580">
        <v>41639</v>
      </c>
      <c r="X84" s="582">
        <f t="shared" si="81"/>
        <v>0.92724651273152792</v>
      </c>
      <c r="Y84" s="582">
        <f t="shared" si="81"/>
        <v>2.0483695896546057</v>
      </c>
      <c r="Z84" s="582">
        <f t="shared" si="81"/>
        <v>2.3501003588853746</v>
      </c>
      <c r="AA84" s="582">
        <f t="shared" si="81"/>
        <v>2.106338820423836</v>
      </c>
      <c r="AB84" s="606"/>
      <c r="AC84" s="441">
        <f t="shared" si="73"/>
        <v>2.037206507568512E-2</v>
      </c>
      <c r="AD84" s="440">
        <f t="shared" si="74"/>
        <v>4.3848988152609181E-2</v>
      </c>
      <c r="AE84" s="440">
        <f t="shared" si="75"/>
        <v>4.8079757383377775E-2</v>
      </c>
      <c r="AF84" s="443">
        <f t="shared" si="76"/>
        <v>3.7541295844916167E-2</v>
      </c>
      <c r="AG84" s="633">
        <v>41639</v>
      </c>
      <c r="AH84" s="560">
        <v>-4.5393269867627034E-3</v>
      </c>
      <c r="AI84" s="513">
        <v>-5.4419585998453555E-4</v>
      </c>
      <c r="AJ84" s="513">
        <v>-6.8629176162739681E-3</v>
      </c>
      <c r="AK84" s="572">
        <v>0</v>
      </c>
      <c r="AL84" s="634"/>
      <c r="AM84" s="441">
        <v>-1.15E-6</v>
      </c>
      <c r="AN84" s="440">
        <v>-1.13E-5</v>
      </c>
      <c r="AO84" s="440">
        <v>-2.0699999999999998E-5</v>
      </c>
      <c r="AP84" s="443">
        <v>-1.98E-5</v>
      </c>
      <c r="AR84" s="441">
        <f t="shared" si="42"/>
        <v>1.6559999999999999E-3</v>
      </c>
      <c r="AS84" s="440">
        <f t="shared" si="42"/>
        <v>1.6272000000000002E-2</v>
      </c>
      <c r="AT84" s="440">
        <f t="shared" si="42"/>
        <v>2.9807999999999998E-2</v>
      </c>
      <c r="AU84" s="443">
        <f t="shared" si="42"/>
        <v>2.8511999999999999E-2</v>
      </c>
      <c r="AV84" s="633">
        <v>41639</v>
      </c>
      <c r="AW84" s="644"/>
      <c r="AX84" s="608">
        <v>0</v>
      </c>
      <c r="AY84" s="441">
        <f t="shared" si="68"/>
        <v>1.8716065075685118E-2</v>
      </c>
      <c r="AZ84" s="440">
        <f t="shared" si="69"/>
        <v>2.7576988152609179E-2</v>
      </c>
      <c r="BA84" s="440">
        <f t="shared" si="70"/>
        <v>1.8271757383377777E-2</v>
      </c>
      <c r="BB84" s="443">
        <f t="shared" si="71"/>
        <v>9.029295844916168E-3</v>
      </c>
      <c r="BC84" s="608">
        <f t="shared" si="77"/>
        <v>9.0292958449161687E-2</v>
      </c>
      <c r="BD84" s="627" t="s">
        <v>522</v>
      </c>
      <c r="BE84" s="580">
        <v>41639</v>
      </c>
      <c r="BF84" s="441">
        <f t="shared" si="78"/>
        <v>11.848827516205676</v>
      </c>
      <c r="BG84" s="440">
        <f t="shared" si="87"/>
        <v>30.791227516205161</v>
      </c>
      <c r="BH84" s="440">
        <f t="shared" si="79"/>
        <v>15.262427516204667</v>
      </c>
      <c r="BI84" s="443">
        <f t="shared" si="80"/>
        <v>3.7304275162048706</v>
      </c>
      <c r="BJ84" s="658"/>
      <c r="BK84" s="441">
        <v>18.716065075685119</v>
      </c>
      <c r="BL84" s="440">
        <v>27.576988152609179</v>
      </c>
      <c r="BM84" s="440">
        <v>18.271757383377778</v>
      </c>
      <c r="BN84" s="443">
        <v>9.0292958449161667</v>
      </c>
      <c r="BO84" s="353">
        <v>72</v>
      </c>
      <c r="BP84" s="353">
        <f t="shared" si="82"/>
        <v>14.4</v>
      </c>
      <c r="BQ84" s="610">
        <f t="shared" si="83"/>
        <v>51.428571428571431</v>
      </c>
      <c r="BR84" s="610">
        <f t="shared" si="84"/>
        <v>19.45945945945946</v>
      </c>
      <c r="BT84" s="648"/>
      <c r="BU84" s="648"/>
      <c r="BV84" s="648"/>
      <c r="BW84" s="648"/>
      <c r="BX84" s="648"/>
      <c r="BY84" s="616" t="s">
        <v>370</v>
      </c>
      <c r="BZ84" s="617">
        <v>30</v>
      </c>
      <c r="CA84" s="608">
        <v>0.2</v>
      </c>
      <c r="CB84" s="608">
        <f t="shared" si="85"/>
        <v>2</v>
      </c>
      <c r="CC84" s="353">
        <v>74</v>
      </c>
      <c r="CD84" s="631">
        <f t="shared" si="86"/>
        <v>281.50000000000006</v>
      </c>
      <c r="CN84" s="632" t="s">
        <v>502</v>
      </c>
      <c r="CO84" s="580">
        <f>'[3]Plots R2&gt;.75 - UPDATED'!R81</f>
        <v>41640</v>
      </c>
      <c r="CP84" s="620"/>
      <c r="CQ84" s="633">
        <v>41640</v>
      </c>
      <c r="CR84" s="641">
        <v>38564.894160792493</v>
      </c>
      <c r="CS84" s="642">
        <v>108994.28399327271</v>
      </c>
      <c r="CT84" s="642">
        <v>52022.450150795252</v>
      </c>
      <c r="CU84" s="643">
        <v>26820.278391719996</v>
      </c>
      <c r="CV84" s="513">
        <f t="shared" si="33"/>
        <v>0.78413284045114506</v>
      </c>
      <c r="CW84" s="513">
        <f t="shared" si="64"/>
        <v>0</v>
      </c>
      <c r="CX84" s="513">
        <f t="shared" si="35"/>
        <v>0.27744574203420114</v>
      </c>
      <c r="CY84" s="513">
        <f t="shared" si="65"/>
        <v>1.2953346719673455</v>
      </c>
      <c r="CZ84" s="513">
        <f t="shared" si="41"/>
        <v>0.58128750015319541</v>
      </c>
      <c r="DA84" s="513">
        <f t="shared" si="66"/>
        <v>1.7132207382194076</v>
      </c>
      <c r="DB84" s="572">
        <f t="shared" si="88"/>
        <v>1.1275050750157665</v>
      </c>
      <c r="DC84" s="572">
        <f t="shared" si="67"/>
        <v>1.7236949249842335</v>
      </c>
      <c r="DD84" s="653"/>
      <c r="DE84" s="299">
        <v>41638</v>
      </c>
      <c r="DF84" s="463">
        <v>4.1332862481743078</v>
      </c>
      <c r="DG84" s="463">
        <v>12.952253659105248</v>
      </c>
      <c r="DH84" s="463">
        <v>5.7297821265892956</v>
      </c>
      <c r="DI84" s="463">
        <v>3.253856489352466</v>
      </c>
      <c r="DJ84" s="528">
        <v>1.1848827516205676</v>
      </c>
      <c r="DK84" s="528">
        <v>3.079122751620516</v>
      </c>
      <c r="DL84" s="528">
        <v>1.5262427516204666</v>
      </c>
      <c r="DM84" s="546">
        <v>0.37304275162048706</v>
      </c>
      <c r="DN84" s="528">
        <f t="shared" si="37"/>
        <v>11.848827516205676</v>
      </c>
      <c r="DO84" s="528">
        <f t="shared" si="38"/>
        <v>30.791227516205161</v>
      </c>
      <c r="DP84" s="528">
        <f t="shared" si="39"/>
        <v>15.262427516204667</v>
      </c>
      <c r="DQ84" s="528">
        <f t="shared" si="40"/>
        <v>3.7304275162048706</v>
      </c>
      <c r="DR84" s="463">
        <v>1.1848827516205676</v>
      </c>
      <c r="DS84" s="463">
        <v>3.079122751620516</v>
      </c>
      <c r="DT84" s="463">
        <v>1.5262427516204666</v>
      </c>
      <c r="DU84" s="463">
        <v>0.37304275162048706</v>
      </c>
      <c r="DV84" s="463">
        <v>0.27139643798940738</v>
      </c>
      <c r="DW84" s="463">
        <v>0.90378747644363466</v>
      </c>
      <c r="DX84" s="463">
        <v>2.0572191929802992</v>
      </c>
      <c r="DY84" s="463">
        <v>3.528</v>
      </c>
      <c r="DZ84" s="463">
        <v>0.27139643798940738</v>
      </c>
      <c r="EA84" s="463">
        <v>0.90378747644363466</v>
      </c>
      <c r="EB84" s="463">
        <v>2.0572191929802992</v>
      </c>
      <c r="EC84" s="463">
        <v>3.528</v>
      </c>
      <c r="ED84" s="463">
        <f t="shared" si="89"/>
        <v>2.7139643798940738</v>
      </c>
      <c r="EE84" s="463">
        <f t="shared" si="90"/>
        <v>9.0378747644363457</v>
      </c>
      <c r="EF84" s="463">
        <f t="shared" si="91"/>
        <v>20.57219192980299</v>
      </c>
      <c r="EG84" s="463">
        <f t="shared" si="92"/>
        <v>35.28</v>
      </c>
      <c r="EH84" s="528">
        <f>'[3]Plots R2&gt;.75 - UPDATED'!S81</f>
        <v>0.90683318586779882</v>
      </c>
      <c r="EI84" s="528">
        <f>'[3]Plots R2&gt;.75 - UPDATED'!T81</f>
        <v>2.0045331858677997</v>
      </c>
      <c r="EJ84" s="528">
        <f>'[3]Plots R2&gt;.75 - UPDATED'!U81</f>
        <v>2.3023331858677993</v>
      </c>
      <c r="EK84" s="546">
        <f>'[3]Plots R2&gt;.75 - UPDATED'!V81</f>
        <v>1.7785331858677984</v>
      </c>
      <c r="EL84" s="676">
        <v>0</v>
      </c>
      <c r="EM84" s="495">
        <v>0.3</v>
      </c>
      <c r="EN84" s="299">
        <v>41638</v>
      </c>
      <c r="EO84" s="528">
        <v>0.90683318586779882</v>
      </c>
      <c r="EP84" s="528">
        <v>2.0045331858677997</v>
      </c>
      <c r="EQ84" s="528">
        <v>2.3023331858677993</v>
      </c>
      <c r="ER84" s="546">
        <v>1.7785331858677984</v>
      </c>
      <c r="GN84" s="640"/>
      <c r="GO84" s="640"/>
      <c r="GP84" s="640"/>
      <c r="GQ84" s="640"/>
      <c r="GR84" s="640"/>
      <c r="GS84" s="640"/>
      <c r="GT84" s="640"/>
      <c r="GU84" s="640"/>
      <c r="GV84" s="640"/>
      <c r="HF84" s="561">
        <v>0.58633021028358923</v>
      </c>
      <c r="HG84" s="561">
        <v>2.3050968307833819E-2</v>
      </c>
      <c r="HH84" s="571">
        <v>0.15998619674672485</v>
      </c>
      <c r="HI84" s="571">
        <v>2.1995746281451796</v>
      </c>
      <c r="HJ84" s="601">
        <v>0.43055954900958354</v>
      </c>
      <c r="HK84" s="601">
        <v>2.4888338870110158</v>
      </c>
      <c r="HL84" s="601">
        <v>0.5459190969789951</v>
      </c>
      <c r="HM84" s="601">
        <v>7.2740329577354412</v>
      </c>
    </row>
    <row r="85" spans="10:221" ht="16">
      <c r="J85" s="580">
        <v>41622</v>
      </c>
      <c r="K85" s="581">
        <v>0</v>
      </c>
      <c r="L85" s="582">
        <v>11.6633</v>
      </c>
      <c r="M85" s="582">
        <v>12.075699999999999</v>
      </c>
      <c r="N85" s="582">
        <v>12.8727</v>
      </c>
      <c r="O85" s="582">
        <v>12.6462</v>
      </c>
      <c r="P85" s="582">
        <v>98.814700000000002</v>
      </c>
      <c r="Q85" s="582">
        <v>10.103747808095612</v>
      </c>
      <c r="R85" s="582">
        <v>1.3745521919043875</v>
      </c>
      <c r="S85" s="582">
        <v>2.6219521919043878</v>
      </c>
      <c r="T85" s="582">
        <v>2.9589521919043884</v>
      </c>
      <c r="U85" s="582">
        <v>2.8124521919043879</v>
      </c>
      <c r="W85" s="580">
        <v>41640</v>
      </c>
      <c r="X85" s="582">
        <f t="shared" si="81"/>
        <v>0.9068744476558428</v>
      </c>
      <c r="Y85" s="582">
        <f t="shared" si="81"/>
        <v>2.0045206015019965</v>
      </c>
      <c r="Z85" s="582">
        <f t="shared" si="81"/>
        <v>2.3020206015019968</v>
      </c>
      <c r="AA85" s="582">
        <f t="shared" si="81"/>
        <v>2.0687975245789199</v>
      </c>
      <c r="AB85" s="606"/>
      <c r="AC85" s="441">
        <f t="shared" si="73"/>
        <v>2.0875743546802994E-2</v>
      </c>
      <c r="AD85" s="440">
        <f t="shared" si="74"/>
        <v>2.3252666623725382E-2</v>
      </c>
      <c r="AE85" s="440">
        <f t="shared" si="75"/>
        <v>3.2614205085264913E-2</v>
      </c>
      <c r="AF85" s="443">
        <f t="shared" si="76"/>
        <v>3.371420508526457E-2</v>
      </c>
      <c r="AG85" s="633">
        <v>41640</v>
      </c>
      <c r="AH85" s="560">
        <v>-3.9841250010002986E-3</v>
      </c>
      <c r="AI85" s="513">
        <v>-4.9725082553273741E-4</v>
      </c>
      <c r="AJ85" s="513">
        <v>-6.6041409450189924E-3</v>
      </c>
      <c r="AK85" s="572">
        <v>0</v>
      </c>
      <c r="AL85" s="634"/>
      <c r="AM85" s="441">
        <v>-4.82E-7</v>
      </c>
      <c r="AN85" s="440">
        <v>-1.4E-5</v>
      </c>
      <c r="AO85" s="440">
        <v>-2.7100000000000001E-5</v>
      </c>
      <c r="AP85" s="443">
        <v>-1.7900000000000001E-5</v>
      </c>
      <c r="AR85" s="441">
        <f>-AM85*1440</f>
        <v>6.9408000000000002E-4</v>
      </c>
      <c r="AS85" s="440">
        <f>-AN85*1440</f>
        <v>2.0160000000000001E-2</v>
      </c>
      <c r="AT85" s="440">
        <f>-AO85*1440</f>
        <v>3.9024000000000003E-2</v>
      </c>
      <c r="AU85" s="443">
        <f>-AP85*1440</f>
        <v>2.5776E-2</v>
      </c>
      <c r="AV85" s="633">
        <v>41640</v>
      </c>
      <c r="AW85" s="644"/>
      <c r="AX85" s="607"/>
      <c r="AY85" s="441">
        <f t="shared" si="68"/>
        <v>2.0181663546802994E-2</v>
      </c>
      <c r="AZ85" s="440">
        <f t="shared" si="69"/>
        <v>3.0926666237253812E-3</v>
      </c>
      <c r="BA85" s="440">
        <f t="shared" si="70"/>
        <v>-6.4097949147350897E-3</v>
      </c>
      <c r="BB85" s="443">
        <f t="shared" si="71"/>
        <v>7.93820508526457E-3</v>
      </c>
      <c r="BC85" s="608">
        <f t="shared" si="77"/>
        <v>7.93820508526457E-2</v>
      </c>
      <c r="BD85" s="627" t="s">
        <v>523</v>
      </c>
      <c r="BE85" s="580">
        <v>41640</v>
      </c>
      <c r="BF85" s="441">
        <f t="shared" si="78"/>
        <v>18.761385459518657</v>
      </c>
      <c r="BG85" s="440">
        <f t="shared" si="87"/>
        <v>27.745385459518719</v>
      </c>
      <c r="BH85" s="440">
        <f t="shared" si="79"/>
        <v>18.109385459518514</v>
      </c>
      <c r="BI85" s="443">
        <f t="shared" si="80"/>
        <v>9.2053854595191922</v>
      </c>
      <c r="BJ85" s="658"/>
      <c r="BK85" s="441">
        <v>20.181663546802994</v>
      </c>
      <c r="BL85" s="440">
        <v>3.0926666237253815</v>
      </c>
      <c r="BM85" s="440"/>
      <c r="BN85" s="443">
        <v>7.9382050852645705</v>
      </c>
      <c r="BO85" s="353">
        <v>77</v>
      </c>
      <c r="BP85" s="353">
        <f t="shared" si="82"/>
        <v>15.4</v>
      </c>
      <c r="BQ85" s="610">
        <f t="shared" si="83"/>
        <v>55</v>
      </c>
      <c r="BR85" s="610">
        <f t="shared" si="84"/>
        <v>20.810810810810811</v>
      </c>
      <c r="BT85" s="648"/>
      <c r="BU85" s="648"/>
      <c r="BV85" s="648"/>
      <c r="BW85" s="648"/>
      <c r="BX85" s="648"/>
      <c r="BY85" s="616" t="s">
        <v>373</v>
      </c>
      <c r="BZ85" s="617">
        <v>29</v>
      </c>
      <c r="CA85" s="608">
        <v>0</v>
      </c>
      <c r="CB85" s="608">
        <f t="shared" si="85"/>
        <v>0</v>
      </c>
      <c r="CC85" s="353">
        <v>71</v>
      </c>
      <c r="CD85" s="631">
        <f t="shared" si="86"/>
        <v>281.50000000000006</v>
      </c>
      <c r="CN85" s="632" t="s">
        <v>503</v>
      </c>
      <c r="CO85" s="580">
        <f>'[3]Plots R2&gt;.75 - UPDATED'!R82</f>
        <v>41641</v>
      </c>
      <c r="CP85" s="620"/>
      <c r="CQ85" s="633">
        <v>41641</v>
      </c>
      <c r="CR85" s="641">
        <v>37591.121221764493</v>
      </c>
      <c r="CS85" s="642">
        <v>105326.80748681771</v>
      </c>
      <c r="CT85" s="642">
        <v>50703.923479969009</v>
      </c>
      <c r="CU85" s="643">
        <v>25225.702820888298</v>
      </c>
      <c r="CV85" s="513">
        <f t="shared" si="33"/>
        <v>0.80444527902220841</v>
      </c>
      <c r="CW85" s="513">
        <f t="shared" si="64"/>
        <v>0</v>
      </c>
      <c r="CX85" s="513">
        <f t="shared" si="35"/>
        <v>0.28710639505317503</v>
      </c>
      <c r="CY85" s="513">
        <f t="shared" si="65"/>
        <v>3.9778114074068172E-2</v>
      </c>
      <c r="CZ85" s="513">
        <f t="shared" si="41"/>
        <v>0.59640355074191742</v>
      </c>
      <c r="DA85" s="513">
        <f t="shared" si="66"/>
        <v>0.37895194643669194</v>
      </c>
      <c r="DB85" s="572">
        <f t="shared" si="88"/>
        <v>1.1987773032416595</v>
      </c>
      <c r="DC85" s="572">
        <f t="shared" si="67"/>
        <v>1.2483922884387582</v>
      </c>
      <c r="DD85" s="653"/>
      <c r="DE85" s="299">
        <v>41639</v>
      </c>
      <c r="DF85" s="463">
        <v>4.0440239450527109</v>
      </c>
      <c r="DG85" s="463">
        <v>12.276303770305731</v>
      </c>
      <c r="DH85" s="463">
        <v>5.5756829335070917</v>
      </c>
      <c r="DI85" s="463">
        <v>3.0712754300120237</v>
      </c>
      <c r="DJ85" s="528">
        <v>1.8761385459518656</v>
      </c>
      <c r="DK85" s="528">
        <v>2.7745385459518719</v>
      </c>
      <c r="DL85" s="528">
        <v>1.8109385459518514</v>
      </c>
      <c r="DM85" s="546">
        <v>0.92053854595191931</v>
      </c>
      <c r="DN85" s="528">
        <f t="shared" si="37"/>
        <v>18.761385459518657</v>
      </c>
      <c r="DO85" s="528">
        <f t="shared" si="38"/>
        <v>27.745385459518719</v>
      </c>
      <c r="DP85" s="528">
        <f t="shared" si="39"/>
        <v>18.109385459518514</v>
      </c>
      <c r="DQ85" s="528">
        <f t="shared" si="40"/>
        <v>9.2053854595191922</v>
      </c>
      <c r="DR85" s="463">
        <v>1.8761385459518656</v>
      </c>
      <c r="DS85" s="463">
        <v>2.7745385459518719</v>
      </c>
      <c r="DT85" s="463">
        <v>1.8109385459518514</v>
      </c>
      <c r="DU85" s="463">
        <v>0.92053854595191931</v>
      </c>
      <c r="DV85" s="463">
        <v>-0.2883326986762702</v>
      </c>
      <c r="DW85" s="463">
        <v>1.5727804140015467</v>
      </c>
      <c r="DX85" s="463">
        <v>2.294508238372603</v>
      </c>
      <c r="DY85" s="463">
        <v>2.8512</v>
      </c>
      <c r="DZ85" s="463">
        <v>-0.2883326986762702</v>
      </c>
      <c r="EA85" s="463">
        <v>1.5727804140015467</v>
      </c>
      <c r="EB85" s="463">
        <v>2.294508238372603</v>
      </c>
      <c r="EC85" s="463">
        <v>2.8512</v>
      </c>
      <c r="ED85" s="463">
        <f t="shared" si="89"/>
        <v>-2.883326986762702</v>
      </c>
      <c r="EE85" s="463">
        <f t="shared" si="90"/>
        <v>15.727804140015467</v>
      </c>
      <c r="EF85" s="463">
        <f t="shared" si="91"/>
        <v>22.945082383726032</v>
      </c>
      <c r="EG85" s="463">
        <f t="shared" si="92"/>
        <v>28.512</v>
      </c>
      <c r="EH85" s="528">
        <f>'[3]Plots R2&gt;.75 - UPDATED'!S82</f>
        <v>0.88597981170674578</v>
      </c>
      <c r="EI85" s="528">
        <f>'[3]Plots R2&gt;.75 - UPDATED'!T82</f>
        <v>1.9808798117067459</v>
      </c>
      <c r="EJ85" s="528">
        <f>'[3]Plots R2&gt;.75 - UPDATED'!U82</f>
        <v>2.2695798117067456</v>
      </c>
      <c r="EK85" s="546">
        <f>'[3]Plots R2&gt;.75 - UPDATED'!V82</f>
        <v>1.744879811706745</v>
      </c>
      <c r="EL85" s="676">
        <v>0</v>
      </c>
      <c r="EM85" s="495">
        <v>0</v>
      </c>
      <c r="EN85" s="299">
        <v>41639</v>
      </c>
      <c r="EO85" s="528">
        <v>0.88597981170674578</v>
      </c>
      <c r="EP85" s="528">
        <v>1.9808798117067459</v>
      </c>
      <c r="EQ85" s="528">
        <v>2.2695798117067456</v>
      </c>
      <c r="ER85" s="546">
        <v>1.744879811706745</v>
      </c>
      <c r="GN85" s="640"/>
      <c r="GO85" s="640"/>
      <c r="GP85" s="640"/>
      <c r="GQ85" s="640"/>
      <c r="GR85" s="640"/>
      <c r="GS85" s="640"/>
      <c r="GT85" s="640"/>
      <c r="GU85" s="640"/>
      <c r="GV85" s="640"/>
      <c r="HF85" s="561">
        <v>0.60052907126315513</v>
      </c>
      <c r="HG85" s="561">
        <v>0.50098849757939823</v>
      </c>
      <c r="HH85" s="571">
        <v>0.16635718079127981</v>
      </c>
      <c r="HI85" s="571">
        <v>4.5555059739688399</v>
      </c>
      <c r="HJ85" s="601">
        <v>0.44347446131114754</v>
      </c>
      <c r="HK85" s="601">
        <v>1.1342292442191244</v>
      </c>
      <c r="HL85" s="601">
        <v>0.61827830671729056</v>
      </c>
      <c r="HM85" s="601">
        <v>6.5474317178147468</v>
      </c>
    </row>
    <row r="86" spans="10:221" ht="16">
      <c r="J86" s="580">
        <v>41623</v>
      </c>
      <c r="K86" s="581">
        <v>0</v>
      </c>
      <c r="L86" s="582">
        <v>11.641500000000001</v>
      </c>
      <c r="M86" s="582">
        <v>12.057700000000001</v>
      </c>
      <c r="N86" s="582">
        <v>12.8607</v>
      </c>
      <c r="O86" s="582">
        <v>12.630599999999999</v>
      </c>
      <c r="P86" s="582">
        <v>98.879599999999996</v>
      </c>
      <c r="Q86" s="582">
        <v>10.110383796797144</v>
      </c>
      <c r="R86" s="582">
        <v>1.3461162032028562</v>
      </c>
      <c r="S86" s="582">
        <v>2.5973162032028565</v>
      </c>
      <c r="T86" s="582">
        <v>2.9403162032028556</v>
      </c>
      <c r="U86" s="582">
        <v>2.7902162032028546</v>
      </c>
      <c r="W86" s="580">
        <v>41641</v>
      </c>
      <c r="X86" s="582">
        <f t="shared" si="81"/>
        <v>0.8859987041090398</v>
      </c>
      <c r="Y86" s="582">
        <f t="shared" si="81"/>
        <v>1.9812679348782711</v>
      </c>
      <c r="Z86" s="582">
        <f t="shared" si="81"/>
        <v>2.2694063964167319</v>
      </c>
      <c r="AA86" s="582">
        <f t="shared" si="81"/>
        <v>2.0350833194936553</v>
      </c>
      <c r="AB86" s="606"/>
      <c r="AC86" s="441">
        <f t="shared" si="73"/>
        <v>2.9729352890896177E-2</v>
      </c>
      <c r="AD86" s="440">
        <f t="shared" si="74"/>
        <v>2.3260122121666171E-2</v>
      </c>
      <c r="AE86" s="440">
        <f t="shared" si="75"/>
        <v>2.9652429813972869E-2</v>
      </c>
      <c r="AF86" s="443">
        <f t="shared" si="76"/>
        <v>2.7713968275511203E-2</v>
      </c>
      <c r="AG86" s="633">
        <v>41641</v>
      </c>
      <c r="AH86" s="560">
        <v>-3.3877298888598164E-3</v>
      </c>
      <c r="AI86" s="513">
        <v>-4.6890022590097958E-4</v>
      </c>
      <c r="AJ86" s="513">
        <v>-6.413439793056923E-3</v>
      </c>
      <c r="AK86" s="572">
        <v>0</v>
      </c>
      <c r="AL86" s="634"/>
      <c r="AM86" s="441">
        <v>1.04E-6</v>
      </c>
      <c r="AN86" s="440">
        <v>-7.2200000000000003E-6</v>
      </c>
      <c r="AO86" s="440">
        <v>-1.01E-5</v>
      </c>
      <c r="AP86" s="443">
        <v>-1.22E-5</v>
      </c>
      <c r="AR86" s="441">
        <f t="shared" si="42"/>
        <v>-1.4976E-3</v>
      </c>
      <c r="AS86" s="440">
        <f t="shared" si="42"/>
        <v>1.0396800000000001E-2</v>
      </c>
      <c r="AT86" s="440">
        <f t="shared" si="42"/>
        <v>1.4544E-2</v>
      </c>
      <c r="AU86" s="443">
        <f t="shared" si="42"/>
        <v>1.7568E-2</v>
      </c>
      <c r="AV86" s="633">
        <v>41641</v>
      </c>
      <c r="AW86" s="644"/>
      <c r="AX86" s="608">
        <v>0</v>
      </c>
      <c r="AY86" s="441">
        <f t="shared" si="68"/>
        <v>3.1226952890896179E-2</v>
      </c>
      <c r="AZ86" s="440">
        <f t="shared" si="69"/>
        <v>1.286332212166617E-2</v>
      </c>
      <c r="BA86" s="440">
        <f t="shared" si="70"/>
        <v>1.510842981397287E-2</v>
      </c>
      <c r="BB86" s="443">
        <f t="shared" si="71"/>
        <v>1.0145968275511202E-2</v>
      </c>
      <c r="BC86" s="608">
        <f t="shared" si="77"/>
        <v>0.10145968275511202</v>
      </c>
      <c r="BD86" s="627" t="s">
        <v>524</v>
      </c>
      <c r="BE86" s="580">
        <v>41641</v>
      </c>
      <c r="BF86" s="441">
        <f t="shared" si="78"/>
        <v>24.992478244248829</v>
      </c>
      <c r="BG86" s="440">
        <f t="shared" si="87"/>
        <v>20.187278244248674</v>
      </c>
      <c r="BH86" s="440">
        <f t="shared" si="79"/>
        <v>16.69567824424864</v>
      </c>
      <c r="BI86" s="443">
        <f t="shared" si="80"/>
        <v>9.4816782442492293</v>
      </c>
      <c r="BJ86" s="658"/>
      <c r="BK86" s="441">
        <v>31.226952890896179</v>
      </c>
      <c r="BL86" s="440">
        <v>12.863322121666169</v>
      </c>
      <c r="BM86" s="440">
        <v>15.108429813972871</v>
      </c>
      <c r="BN86" s="443">
        <v>10.145968275511201</v>
      </c>
      <c r="BO86" s="353">
        <v>76</v>
      </c>
      <c r="BP86" s="353">
        <f t="shared" si="82"/>
        <v>15.2</v>
      </c>
      <c r="BQ86" s="610">
        <f t="shared" si="83"/>
        <v>54.285714285714292</v>
      </c>
      <c r="BR86" s="610">
        <f t="shared" si="84"/>
        <v>20.54054054054054</v>
      </c>
      <c r="BT86" s="648"/>
      <c r="BU86" s="648"/>
      <c r="BV86" s="648"/>
      <c r="BW86" s="648"/>
      <c r="BX86" s="648"/>
      <c r="BY86" s="616" t="s">
        <v>376</v>
      </c>
      <c r="BZ86" s="617">
        <v>30</v>
      </c>
      <c r="CA86" s="608">
        <v>0.05</v>
      </c>
      <c r="CB86" s="608">
        <f t="shared" si="85"/>
        <v>0.5</v>
      </c>
      <c r="CC86" s="353">
        <v>77</v>
      </c>
      <c r="CD86" s="631">
        <f t="shared" si="86"/>
        <v>282.00000000000006</v>
      </c>
      <c r="CN86" s="632" t="s">
        <v>504</v>
      </c>
      <c r="CO86" s="580">
        <f>'[3]Plots R2&gt;.75 - UPDATED'!R83</f>
        <v>41642</v>
      </c>
      <c r="CP86" s="620"/>
      <c r="CQ86" s="633">
        <v>41642</v>
      </c>
      <c r="CR86" s="641">
        <v>36206.974119805694</v>
      </c>
      <c r="CS86" s="642">
        <v>101834.9643493031</v>
      </c>
      <c r="CT86" s="642">
        <v>49516.272679751863</v>
      </c>
      <c r="CU86" s="643">
        <v>23979.924710149062</v>
      </c>
      <c r="CV86" s="513">
        <f t="shared" si="33"/>
        <v>0.83519821070765254</v>
      </c>
      <c r="CW86" s="513">
        <f t="shared" si="64"/>
        <v>0</v>
      </c>
      <c r="CX86" s="513">
        <f t="shared" si="35"/>
        <v>0.29695105402378374</v>
      </c>
      <c r="CY86" s="513">
        <f t="shared" si="65"/>
        <v>0.69583892338611852</v>
      </c>
      <c r="CZ86" s="513">
        <f t="shared" si="41"/>
        <v>0.61070832604017267</v>
      </c>
      <c r="DA86" s="513">
        <f t="shared" si="66"/>
        <v>0.20234769465413494</v>
      </c>
      <c r="DB86" s="572">
        <f t="shared" si="88"/>
        <v>1.261054835055486</v>
      </c>
      <c r="DC86" s="572">
        <f t="shared" si="67"/>
        <v>0.49574516494451415</v>
      </c>
      <c r="DD86" s="653"/>
      <c r="DE86" s="464">
        <v>41640</v>
      </c>
      <c r="DF86" s="483">
        <v>3.9520465390699946</v>
      </c>
      <c r="DG86" s="483">
        <v>11.603928500459855</v>
      </c>
      <c r="DH86" s="483">
        <v>5.3978316965056958</v>
      </c>
      <c r="DI86" s="483">
        <v>2.8688364523050347</v>
      </c>
      <c r="DJ86" s="473"/>
      <c r="DK86" s="473"/>
      <c r="DL86" s="473"/>
      <c r="DM86" s="545"/>
      <c r="DN86" s="528">
        <f t="shared" si="37"/>
        <v>0</v>
      </c>
      <c r="DO86" s="528">
        <f t="shared" si="38"/>
        <v>0</v>
      </c>
      <c r="DP86" s="528">
        <f t="shared" si="39"/>
        <v>0</v>
      </c>
      <c r="DQ86" s="528">
        <f t="shared" si="40"/>
        <v>0</v>
      </c>
      <c r="DR86" s="483">
        <v>2.499247824424883</v>
      </c>
      <c r="DS86" s="483">
        <v>2.0187278244248672</v>
      </c>
      <c r="DT86" s="483">
        <v>1.6695678244248642</v>
      </c>
      <c r="DU86" s="483">
        <v>0.94816782442492298</v>
      </c>
      <c r="DV86" s="483">
        <v>-0.78232290841960905</v>
      </c>
      <c r="DW86" s="483">
        <v>0.32688450912724321</v>
      </c>
      <c r="DX86" s="483">
        <v>0.97535549717860937</v>
      </c>
      <c r="DY86" s="483">
        <v>2.4471695916804177</v>
      </c>
      <c r="DZ86" s="483"/>
      <c r="EA86" s="483"/>
      <c r="EB86" s="483"/>
      <c r="EC86" s="483"/>
      <c r="ED86" s="463">
        <f t="shared" si="89"/>
        <v>0</v>
      </c>
      <c r="EE86" s="463">
        <f t="shared" si="90"/>
        <v>0</v>
      </c>
      <c r="EF86" s="463">
        <f t="shared" si="91"/>
        <v>0</v>
      </c>
      <c r="EG86" s="463">
        <f t="shared" si="92"/>
        <v>0</v>
      </c>
      <c r="EH86" s="473">
        <f>'[3]Plots R2&gt;.75 - UPDATED'!S83</f>
        <v>0.85625384067776678</v>
      </c>
      <c r="EI86" s="473">
        <f>'[3]Plots R2&gt;.75 - UPDATED'!T83</f>
        <v>1.9578538406777672</v>
      </c>
      <c r="EJ86" s="473">
        <f>'[3]Plots R2&gt;.75 - UPDATED'!U83</f>
        <v>2.2397538406777668</v>
      </c>
      <c r="EK86" s="545">
        <f>'[3]Plots R2&gt;.75 - UPDATED'!V83</f>
        <v>1.7175538406777657</v>
      </c>
      <c r="EL86" s="675">
        <v>0</v>
      </c>
      <c r="EM86" s="495">
        <v>0</v>
      </c>
      <c r="EN86" s="464">
        <v>41640</v>
      </c>
      <c r="EO86" s="473">
        <v>0.85625384067776678</v>
      </c>
      <c r="EP86" s="473">
        <v>1.9578538406777672</v>
      </c>
      <c r="EQ86" s="473">
        <v>2.2397538406777668</v>
      </c>
      <c r="ER86" s="545">
        <v>1.7175538406777657</v>
      </c>
      <c r="GN86" s="640"/>
      <c r="GO86" s="640"/>
      <c r="GP86" s="640"/>
      <c r="GQ86" s="640"/>
      <c r="GR86" s="640"/>
      <c r="GS86" s="640"/>
      <c r="GT86" s="640"/>
      <c r="GU86" s="640"/>
      <c r="GV86" s="640"/>
      <c r="HF86" s="561">
        <v>0.61598866282795406</v>
      </c>
      <c r="HG86" s="561">
        <v>0</v>
      </c>
      <c r="HH86" s="571">
        <v>0.17528845436514184</v>
      </c>
      <c r="HI86" s="571">
        <v>2.4597080958007211</v>
      </c>
      <c r="HJ86" s="601">
        <v>0.45347461813087797</v>
      </c>
      <c r="HK86" s="601">
        <v>1.0329690546038286</v>
      </c>
      <c r="HL86" s="601">
        <v>0.68605785105747419</v>
      </c>
      <c r="HM86" s="601">
        <v>4.2819421489425249</v>
      </c>
    </row>
    <row r="87" spans="10:221" ht="16">
      <c r="J87" s="580">
        <v>41624</v>
      </c>
      <c r="K87" s="581">
        <v>0</v>
      </c>
      <c r="L87" s="582">
        <v>11.62</v>
      </c>
      <c r="M87" s="582">
        <v>12.0433</v>
      </c>
      <c r="N87" s="582">
        <v>12.8375</v>
      </c>
      <c r="O87" s="582">
        <v>12.613300000000001</v>
      </c>
      <c r="P87" s="582">
        <v>98.955600000000004</v>
      </c>
      <c r="Q87" s="582">
        <v>10.118154754290465</v>
      </c>
      <c r="R87" s="582">
        <v>1.3168452457095339</v>
      </c>
      <c r="S87" s="582">
        <v>2.5751452457095354</v>
      </c>
      <c r="T87" s="582">
        <v>2.9093452457095355</v>
      </c>
      <c r="U87" s="582">
        <v>2.7651452457095349</v>
      </c>
      <c r="W87" s="580">
        <v>41642</v>
      </c>
      <c r="X87" s="582">
        <f t="shared" si="81"/>
        <v>0.85626935121814363</v>
      </c>
      <c r="Y87" s="582">
        <f t="shared" si="81"/>
        <v>1.958007812756605</v>
      </c>
      <c r="Z87" s="582">
        <f t="shared" si="81"/>
        <v>2.239753966602759</v>
      </c>
      <c r="AA87" s="582">
        <f t="shared" si="81"/>
        <v>2.0073693512181441</v>
      </c>
      <c r="AB87" s="606"/>
      <c r="AC87" s="441">
        <f t="shared" si="73"/>
        <v>2.8238228524366193E-2</v>
      </c>
      <c r="AD87" s="440">
        <f t="shared" si="74"/>
        <v>2.1968997755135611E-2</v>
      </c>
      <c r="AE87" s="440">
        <f t="shared" si="75"/>
        <v>2.8430536216673907E-2</v>
      </c>
      <c r="AF87" s="443">
        <f t="shared" si="76"/>
        <v>2.4622843908981951E-2</v>
      </c>
      <c r="AG87" s="633">
        <v>41642</v>
      </c>
      <c r="AH87" s="560">
        <v>-2.4818500903339203E-3</v>
      </c>
      <c r="AI87" s="513">
        <v>-4.3900057213444452E-4</v>
      </c>
      <c r="AJ87" s="513">
        <v>-6.2293060032076073E-3</v>
      </c>
      <c r="AK87" s="572">
        <v>0</v>
      </c>
      <c r="AL87" s="634"/>
      <c r="AM87" s="441">
        <v>-1.68E-6</v>
      </c>
      <c r="AN87" s="440">
        <v>-3.7799999999999998E-6</v>
      </c>
      <c r="AO87" s="440">
        <v>-1.03E-5</v>
      </c>
      <c r="AP87" s="443">
        <v>-1.31E-5</v>
      </c>
      <c r="AR87" s="441">
        <f t="shared" si="42"/>
        <v>2.4191999999999998E-3</v>
      </c>
      <c r="AS87" s="440">
        <f t="shared" si="42"/>
        <v>5.4431999999999996E-3</v>
      </c>
      <c r="AT87" s="440">
        <f t="shared" si="42"/>
        <v>1.4832E-2</v>
      </c>
      <c r="AU87" s="443">
        <f t="shared" si="42"/>
        <v>1.8863999999999999E-2</v>
      </c>
      <c r="AV87" s="633">
        <v>41642</v>
      </c>
      <c r="AW87" s="644"/>
      <c r="AX87" s="608">
        <v>0</v>
      </c>
      <c r="AY87" s="441">
        <f t="shared" si="68"/>
        <v>2.5819028524366194E-2</v>
      </c>
      <c r="AZ87" s="440">
        <f t="shared" si="69"/>
        <v>1.6525797755135612E-2</v>
      </c>
      <c r="BA87" s="440">
        <f t="shared" si="70"/>
        <v>1.3598536216673908E-2</v>
      </c>
      <c r="BB87" s="443">
        <f t="shared" si="71"/>
        <v>5.7588439089819518E-3</v>
      </c>
      <c r="BC87" s="608">
        <f t="shared" si="77"/>
        <v>5.7588439089819518E-2</v>
      </c>
      <c r="BD87" s="627" t="s">
        <v>525</v>
      </c>
      <c r="BE87" s="580">
        <v>41642</v>
      </c>
      <c r="BF87" s="441">
        <f t="shared" si="78"/>
        <v>31.223571028979006</v>
      </c>
      <c r="BG87" s="440">
        <f t="shared" si="87"/>
        <v>12.629171028978629</v>
      </c>
      <c r="BH87" s="440">
        <f t="shared" si="79"/>
        <v>15.281971028978772</v>
      </c>
      <c r="BI87" s="443">
        <f t="shared" si="80"/>
        <v>9.7579710289792665</v>
      </c>
      <c r="BJ87" s="658"/>
      <c r="BK87" s="441">
        <v>25.819028524366196</v>
      </c>
      <c r="BL87" s="440">
        <v>16.525797755135613</v>
      </c>
      <c r="BM87" s="440">
        <v>13.598536216673907</v>
      </c>
      <c r="BN87" s="443">
        <v>5.7588439089819516</v>
      </c>
      <c r="BO87" s="353">
        <v>77</v>
      </c>
      <c r="BP87" s="353">
        <f t="shared" si="82"/>
        <v>15.4</v>
      </c>
      <c r="BQ87" s="610">
        <f t="shared" si="83"/>
        <v>55</v>
      </c>
      <c r="BR87" s="610">
        <f t="shared" si="84"/>
        <v>20.810810810810811</v>
      </c>
      <c r="BT87" s="648"/>
      <c r="BU87" s="648"/>
      <c r="BV87" s="648"/>
      <c r="BW87" s="648"/>
      <c r="BX87" s="648"/>
      <c r="BY87" s="616" t="s">
        <v>379</v>
      </c>
      <c r="BZ87" s="617">
        <v>29</v>
      </c>
      <c r="CA87" s="608">
        <v>0.05</v>
      </c>
      <c r="CB87" s="608">
        <f t="shared" si="85"/>
        <v>0.5</v>
      </c>
      <c r="CC87" s="353">
        <v>79</v>
      </c>
      <c r="CD87" s="631">
        <f t="shared" si="86"/>
        <v>282.50000000000006</v>
      </c>
      <c r="CN87" s="632" t="s">
        <v>505</v>
      </c>
      <c r="CO87" s="580">
        <f>'[3]Plots R2&gt;.75 - UPDATED'!R84</f>
        <v>41643</v>
      </c>
      <c r="CP87" s="620"/>
      <c r="CQ87" s="633">
        <v>41643</v>
      </c>
      <c r="CR87" s="641">
        <v>34904.962395740746</v>
      </c>
      <c r="CS87" s="642">
        <v>98606.034874055447</v>
      </c>
      <c r="CT87" s="642">
        <v>48406.554096497945</v>
      </c>
      <c r="CU87" s="643">
        <v>22888.476483113791</v>
      </c>
      <c r="CV87" s="513">
        <f t="shared" ref="CV87:CV100" si="93">(302.4/CR87)*100</f>
        <v>0.86635245891827728</v>
      </c>
      <c r="CW87" s="513">
        <f t="shared" si="64"/>
        <v>0</v>
      </c>
      <c r="CX87" s="513">
        <f t="shared" si="35"/>
        <v>0.30667494173783622</v>
      </c>
      <c r="CY87" s="513">
        <f t="shared" si="65"/>
        <v>0.19374500104871922</v>
      </c>
      <c r="CZ87" s="513">
        <f t="shared" si="41"/>
        <v>0.624708793353001</v>
      </c>
      <c r="DA87" s="513">
        <f t="shared" si="66"/>
        <v>0.23556060632623821</v>
      </c>
      <c r="DB87" s="572">
        <f t="shared" si="88"/>
        <v>1.3211888533651364</v>
      </c>
      <c r="DC87" s="572">
        <f t="shared" si="67"/>
        <v>0.56521114663486349</v>
      </c>
      <c r="DD87" s="653"/>
      <c r="DE87" s="299">
        <v>41641</v>
      </c>
      <c r="DF87" s="463">
        <v>3.8564894160792496</v>
      </c>
      <c r="DG87" s="463">
        <v>10.89942839932727</v>
      </c>
      <c r="DH87" s="463">
        <v>5.2022450150795247</v>
      </c>
      <c r="DI87" s="463">
        <v>2.6820278391719996</v>
      </c>
      <c r="DJ87" s="528">
        <v>3.1223571028979005</v>
      </c>
      <c r="DK87" s="528">
        <v>1.262917102897863</v>
      </c>
      <c r="DL87" s="528">
        <v>1.5281971028978771</v>
      </c>
      <c r="DM87" s="546">
        <v>0.97579710289792665</v>
      </c>
      <c r="DN87" s="528">
        <f t="shared" si="37"/>
        <v>31.223571028979006</v>
      </c>
      <c r="DO87" s="528">
        <f t="shared" si="38"/>
        <v>12.629171028978629</v>
      </c>
      <c r="DP87" s="528">
        <f t="shared" si="39"/>
        <v>15.281971028978772</v>
      </c>
      <c r="DQ87" s="528">
        <f t="shared" si="40"/>
        <v>9.7579710289792665</v>
      </c>
      <c r="DR87" s="463">
        <v>3.1223571028979005</v>
      </c>
      <c r="DS87" s="463">
        <v>1.262917102897863</v>
      </c>
      <c r="DT87" s="463">
        <v>1.5281971028978771</v>
      </c>
      <c r="DU87" s="463">
        <v>0.97579710289792665</v>
      </c>
      <c r="DV87" s="463">
        <v>-0.48853298888598173</v>
      </c>
      <c r="DW87" s="463">
        <v>0.99278997740990227</v>
      </c>
      <c r="DX87" s="463">
        <v>0.8130560206943076</v>
      </c>
      <c r="DY87" s="463">
        <v>1.7568000000000001</v>
      </c>
      <c r="DZ87" s="463">
        <v>-0.48853298888598173</v>
      </c>
      <c r="EA87" s="463">
        <v>0.99278997740990227</v>
      </c>
      <c r="EB87" s="463">
        <v>0.8130560206943076</v>
      </c>
      <c r="EC87" s="463">
        <v>1.7568000000000001</v>
      </c>
      <c r="ED87" s="463">
        <f t="shared" si="89"/>
        <v>-4.8853298888598173</v>
      </c>
      <c r="EE87" s="463">
        <f t="shared" si="90"/>
        <v>9.9278997740990231</v>
      </c>
      <c r="EF87" s="463">
        <f t="shared" si="91"/>
        <v>8.1305602069430769</v>
      </c>
      <c r="EG87" s="463">
        <f t="shared" si="92"/>
        <v>17.568000000000001</v>
      </c>
      <c r="EH87" s="528">
        <f>'[3]Plots R2&gt;.75 - UPDATED'!S84</f>
        <v>0.82819800980449421</v>
      </c>
      <c r="EI87" s="528">
        <f>'[3]Plots R2&gt;.75 - UPDATED'!T84</f>
        <v>1.9360980098044942</v>
      </c>
      <c r="EJ87" s="528">
        <f>'[3]Plots R2&gt;.75 - UPDATED'!U84</f>
        <v>2.2115980098044945</v>
      </c>
      <c r="EK87" s="546">
        <f>'[3]Plots R2&gt;.75 - UPDATED'!V84</f>
        <v>1.6927980098044944</v>
      </c>
      <c r="EL87" s="676">
        <v>0.3</v>
      </c>
      <c r="EM87" s="495">
        <v>0</v>
      </c>
      <c r="EN87" s="299">
        <v>41641</v>
      </c>
      <c r="EO87" s="528">
        <v>0.82819800980449421</v>
      </c>
      <c r="EP87" s="528">
        <v>1.9360980098044942</v>
      </c>
      <c r="EQ87" s="528">
        <v>2.2115980098044945</v>
      </c>
      <c r="ER87" s="546">
        <v>1.6927980098044944</v>
      </c>
      <c r="GN87" s="640"/>
      <c r="GO87" s="640"/>
      <c r="GP87" s="640"/>
      <c r="GQ87" s="640"/>
      <c r="GR87" s="640"/>
      <c r="GS87" s="640"/>
      <c r="GT87" s="640"/>
      <c r="GU87" s="640"/>
      <c r="GV87" s="640"/>
      <c r="HF87" s="560">
        <v>0.63237701787604539</v>
      </c>
      <c r="HG87" s="560">
        <v>0</v>
      </c>
      <c r="HH87" s="513">
        <v>0.1838968313169046</v>
      </c>
      <c r="HI87" s="513">
        <v>1.8763465749482608</v>
      </c>
      <c r="HJ87" s="515">
        <v>0.46346132356655184</v>
      </c>
      <c r="HK87" s="515">
        <v>0.94637585316774619</v>
      </c>
      <c r="HL87" s="602">
        <v>0.7461821796317275</v>
      </c>
      <c r="HM87" s="602">
        <v>2.7962178203682728</v>
      </c>
    </row>
    <row r="88" spans="10:221" ht="16">
      <c r="J88" s="580">
        <v>41625</v>
      </c>
      <c r="K88" s="581">
        <v>0</v>
      </c>
      <c r="L88" s="582">
        <v>11.5913</v>
      </c>
      <c r="M88" s="582">
        <v>12.0221</v>
      </c>
      <c r="N88" s="582">
        <v>12.8102</v>
      </c>
      <c r="O88" s="582">
        <v>12.583299999999999</v>
      </c>
      <c r="P88" s="582">
        <v>98.959400000000002</v>
      </c>
      <c r="Q88" s="582">
        <v>10.118543302165133</v>
      </c>
      <c r="R88" s="582">
        <v>1.2877566978348676</v>
      </c>
      <c r="S88" s="582">
        <v>2.5535566978348676</v>
      </c>
      <c r="T88" s="582">
        <v>2.8816566978348677</v>
      </c>
      <c r="U88" s="582">
        <v>2.7347566978348663</v>
      </c>
      <c r="W88" s="580">
        <v>41643</v>
      </c>
      <c r="X88" s="582">
        <f t="shared" si="81"/>
        <v>0.82803112269377743</v>
      </c>
      <c r="Y88" s="582">
        <f t="shared" si="81"/>
        <v>1.9360388150014693</v>
      </c>
      <c r="Z88" s="582">
        <f t="shared" si="81"/>
        <v>2.2113234303860851</v>
      </c>
      <c r="AA88" s="582">
        <f t="shared" si="81"/>
        <v>1.9827465073091621</v>
      </c>
      <c r="AB88" s="606"/>
      <c r="AC88" s="441">
        <f t="shared" si="73"/>
        <v>3.3250028886447236E-2</v>
      </c>
      <c r="AD88" s="440">
        <f t="shared" si="74"/>
        <v>2.4480798117216374E-2</v>
      </c>
      <c r="AE88" s="440">
        <f t="shared" si="75"/>
        <v>2.7180798117216298E-2</v>
      </c>
      <c r="AF88" s="443">
        <f t="shared" si="76"/>
        <v>1.8896182732601297E-2</v>
      </c>
      <c r="AG88" s="633">
        <v>41643</v>
      </c>
      <c r="AH88" s="560">
        <v>-1.5607597728126822E-3</v>
      </c>
      <c r="AI88" s="513">
        <v>-4.0851175894375243E-4</v>
      </c>
      <c r="AJ88" s="513">
        <v>-6.0457627020447094E-3</v>
      </c>
      <c r="AK88" s="572">
        <v>0</v>
      </c>
      <c r="AL88" s="634"/>
      <c r="AM88" s="441">
        <v>-2.88E-6</v>
      </c>
      <c r="AN88" s="440">
        <v>-6.9299999999999997E-6</v>
      </c>
      <c r="AO88" s="440">
        <v>-1.1800000000000001E-5</v>
      </c>
      <c r="AP88" s="443">
        <v>-9.9499999999999996E-6</v>
      </c>
      <c r="AR88" s="441">
        <f t="shared" si="42"/>
        <v>4.1472000000000002E-3</v>
      </c>
      <c r="AS88" s="440">
        <f t="shared" si="42"/>
        <v>9.9791999999999988E-3</v>
      </c>
      <c r="AT88" s="440">
        <f t="shared" si="42"/>
        <v>1.6992E-2</v>
      </c>
      <c r="AU88" s="443">
        <f t="shared" si="42"/>
        <v>1.4327999999999999E-2</v>
      </c>
      <c r="AV88" s="633">
        <v>41643</v>
      </c>
      <c r="AW88" s="644"/>
      <c r="AX88" s="608">
        <v>0</v>
      </c>
      <c r="AY88" s="441">
        <f t="shared" si="68"/>
        <v>2.9102828886447236E-2</v>
      </c>
      <c r="AZ88" s="440">
        <f t="shared" si="69"/>
        <v>1.4501598117216375E-2</v>
      </c>
      <c r="BA88" s="440">
        <f t="shared" si="70"/>
        <v>1.0188798117216298E-2</v>
      </c>
      <c r="BB88" s="443">
        <f t="shared" si="71"/>
        <v>4.5681827326012978E-3</v>
      </c>
      <c r="BC88" s="608">
        <f t="shared" si="77"/>
        <v>4.5681827326012975E-2</v>
      </c>
      <c r="BD88" s="627" t="s">
        <v>526</v>
      </c>
      <c r="BE88" s="580">
        <v>41643</v>
      </c>
      <c r="BF88" s="441">
        <f t="shared" si="78"/>
        <v>25.636630873272569</v>
      </c>
      <c r="BG88" s="440">
        <f t="shared" si="87"/>
        <v>16.312630873273044</v>
      </c>
      <c r="BH88" s="440">
        <f t="shared" si="79"/>
        <v>13.323830873272335</v>
      </c>
      <c r="BI88" s="443">
        <f t="shared" si="80"/>
        <v>5.8918308732713793</v>
      </c>
      <c r="BJ88" s="658"/>
      <c r="BK88" s="441">
        <v>29.102828886447234</v>
      </c>
      <c r="BL88" s="440">
        <v>14.501598117216375</v>
      </c>
      <c r="BM88" s="440">
        <v>10.188798117216297</v>
      </c>
      <c r="BN88" s="443">
        <v>4.568182732601298</v>
      </c>
      <c r="BO88" s="353">
        <v>75</v>
      </c>
      <c r="BP88" s="353">
        <f t="shared" si="82"/>
        <v>15</v>
      </c>
      <c r="BQ88" s="610">
        <f t="shared" si="83"/>
        <v>53.571428571428577</v>
      </c>
      <c r="BR88" s="610">
        <f t="shared" si="84"/>
        <v>20.27027027027027</v>
      </c>
      <c r="BT88" s="648"/>
      <c r="BU88" s="648"/>
      <c r="BV88" s="648"/>
      <c r="BW88" s="648"/>
      <c r="BX88" s="648"/>
      <c r="BY88" s="616" t="s">
        <v>382</v>
      </c>
      <c r="BZ88" s="617">
        <v>27</v>
      </c>
      <c r="CA88" s="608">
        <v>0</v>
      </c>
      <c r="CB88" s="608">
        <f t="shared" si="85"/>
        <v>0</v>
      </c>
      <c r="CC88" s="353">
        <v>79</v>
      </c>
      <c r="CD88" s="631">
        <f t="shared" si="86"/>
        <v>282.50000000000006</v>
      </c>
      <c r="CN88" s="632" t="s">
        <v>506</v>
      </c>
      <c r="CO88" s="580">
        <f>'[3]Plots R2&gt;.75 - UPDATED'!R85</f>
        <v>41644</v>
      </c>
      <c r="CP88" s="620"/>
      <c r="CQ88" s="633">
        <v>41644</v>
      </c>
      <c r="CR88" s="641">
        <v>33346.224958955951</v>
      </c>
      <c r="CS88" s="642">
        <v>95020.253865276303</v>
      </c>
      <c r="CT88" s="642">
        <v>47297.993879199312</v>
      </c>
      <c r="CU88" s="643">
        <v>22078.050491996462</v>
      </c>
      <c r="CV88" s="513">
        <f t="shared" si="93"/>
        <v>0.9068492771586818</v>
      </c>
      <c r="CW88" s="513">
        <f t="shared" si="64"/>
        <v>0</v>
      </c>
      <c r="CX88" s="513">
        <f t="shared" ref="CX88:CX96" si="94">(302.4/CS88)*100</f>
        <v>0.31824793946431185</v>
      </c>
      <c r="CY88" s="513">
        <f t="shared" si="65"/>
        <v>0.63882088464131281</v>
      </c>
      <c r="CZ88" s="513">
        <f t="shared" si="41"/>
        <v>0.63935058381617593</v>
      </c>
      <c r="DA88" s="513">
        <f t="shared" si="66"/>
        <v>0.45527314597935331</v>
      </c>
      <c r="DB88" s="572">
        <f t="shared" si="88"/>
        <v>1.3696861510015268</v>
      </c>
      <c r="DC88" s="572">
        <f t="shared" si="67"/>
        <v>6.3113848998473054E-2</v>
      </c>
      <c r="DD88" s="653"/>
      <c r="DE88" s="299">
        <v>41642</v>
      </c>
      <c r="DF88" s="463">
        <v>3.7591121221764494</v>
      </c>
      <c r="DG88" s="463">
        <v>10.53268074868177</v>
      </c>
      <c r="DH88" s="463">
        <v>5.0703923479969006</v>
      </c>
      <c r="DI88" s="463">
        <v>2.5225702820888301</v>
      </c>
      <c r="DJ88" s="528">
        <v>2.563663087327257</v>
      </c>
      <c r="DK88" s="528">
        <v>1.6312630873273042</v>
      </c>
      <c r="DL88" s="528">
        <v>1.3323830873272335</v>
      </c>
      <c r="DM88" s="546">
        <v>0.58918308732713798</v>
      </c>
      <c r="DN88" s="528">
        <f t="shared" ref="DN88:DN137" si="95">DJ88*10</f>
        <v>25.636630873272569</v>
      </c>
      <c r="DO88" s="528">
        <f t="shared" ref="DO88:DO137" si="96">DK88*10</f>
        <v>16.312630873273044</v>
      </c>
      <c r="DP88" s="528">
        <f t="shared" ref="DP88:DP137" si="97">DL88*10</f>
        <v>13.323830873272335</v>
      </c>
      <c r="DQ88" s="528">
        <f t="shared" ref="DQ88:DQ137" si="98">DM88*10</f>
        <v>5.8918308732713793</v>
      </c>
      <c r="DR88" s="463">
        <v>2.563663087327257</v>
      </c>
      <c r="DS88" s="463">
        <v>1.6312630873273042</v>
      </c>
      <c r="DT88" s="463">
        <v>1.3323830873272335</v>
      </c>
      <c r="DU88" s="463">
        <v>0.58918308732713798</v>
      </c>
      <c r="DV88" s="463">
        <v>-6.2650090333922215E-3</v>
      </c>
      <c r="DW88" s="463">
        <v>0.50041994278655544</v>
      </c>
      <c r="DX88" s="463">
        <v>0.86026939967923921</v>
      </c>
      <c r="DY88" s="463">
        <v>1.8863999999999999</v>
      </c>
      <c r="DZ88" s="463">
        <v>-6.2650090333922215E-3</v>
      </c>
      <c r="EA88" s="463">
        <v>0.50041994278655544</v>
      </c>
      <c r="EB88" s="463">
        <v>0.86026939967923921</v>
      </c>
      <c r="EC88" s="463">
        <v>1.8863999999999999</v>
      </c>
      <c r="ED88" s="463">
        <f t="shared" si="89"/>
        <v>-6.2650090333922215E-2</v>
      </c>
      <c r="EE88" s="463">
        <f t="shared" si="90"/>
        <v>5.0041994278655544</v>
      </c>
      <c r="EF88" s="463">
        <f t="shared" si="91"/>
        <v>8.602693996792393</v>
      </c>
      <c r="EG88" s="463">
        <f t="shared" si="92"/>
        <v>18.863999999999997</v>
      </c>
      <c r="EH88" s="528">
        <f>'[3]Plots R2&gt;.75 - UPDATED'!S85</f>
        <v>0.79448532579851039</v>
      </c>
      <c r="EI88" s="528">
        <f>'[3]Plots R2&gt;.75 - UPDATED'!T85</f>
        <v>1.9113853257985107</v>
      </c>
      <c r="EJ88" s="528">
        <f>'[3]Plots R2&gt;.75 - UPDATED'!U85</f>
        <v>2.1831853257985108</v>
      </c>
      <c r="EK88" s="546">
        <f>'[3]Plots R2&gt;.75 - UPDATED'!V85</f>
        <v>1.6738853257985116</v>
      </c>
      <c r="EL88" s="676">
        <v>0</v>
      </c>
      <c r="EM88" s="495">
        <v>0</v>
      </c>
      <c r="EN88" s="299">
        <v>41642</v>
      </c>
      <c r="EO88" s="528">
        <v>0.79448532579851039</v>
      </c>
      <c r="EP88" s="528">
        <v>1.9113853257985107</v>
      </c>
      <c r="EQ88" s="528">
        <v>2.1831853257985108</v>
      </c>
      <c r="ER88" s="546">
        <v>1.6738853257985116</v>
      </c>
      <c r="GN88" s="640"/>
      <c r="GO88" s="640"/>
      <c r="GP88" s="640"/>
      <c r="GQ88" s="640"/>
      <c r="GR88" s="640"/>
      <c r="GS88" s="640"/>
      <c r="GT88" s="640"/>
      <c r="GU88" s="640"/>
      <c r="GV88" s="640"/>
      <c r="HF88" s="560">
        <v>0.64810500573429952</v>
      </c>
      <c r="HG88" s="560">
        <v>0</v>
      </c>
      <c r="HH88" s="513">
        <v>0.19218438273390134</v>
      </c>
      <c r="HI88" s="513">
        <v>2.6613936596478447</v>
      </c>
      <c r="HJ88" s="515">
        <v>0.47465602696684861</v>
      </c>
      <c r="HK88" s="515">
        <v>1.0184647421796695</v>
      </c>
      <c r="HL88" s="602">
        <v>0.80343678007133368</v>
      </c>
      <c r="HM88" s="602">
        <v>2.6381632199286664</v>
      </c>
    </row>
    <row r="89" spans="10:221" ht="16">
      <c r="J89" s="580">
        <v>41626</v>
      </c>
      <c r="K89" s="581">
        <v>0</v>
      </c>
      <c r="L89" s="582">
        <v>11.552099999999999</v>
      </c>
      <c r="M89" s="582">
        <v>11.9839</v>
      </c>
      <c r="N89" s="582">
        <v>12.761799999999999</v>
      </c>
      <c r="O89" s="582">
        <v>12.534000000000001</v>
      </c>
      <c r="P89" s="582">
        <v>98.847899999999996</v>
      </c>
      <c r="Q89" s="582">
        <v>10.107142489526904</v>
      </c>
      <c r="R89" s="582">
        <v>1.2599575104730953</v>
      </c>
      <c r="S89" s="582">
        <v>2.5267575104730966</v>
      </c>
      <c r="T89" s="582">
        <v>2.8446575104730956</v>
      </c>
      <c r="U89" s="582">
        <v>2.6968575104730967</v>
      </c>
      <c r="W89" s="580">
        <v>41644</v>
      </c>
      <c r="X89" s="582">
        <f t="shared" si="81"/>
        <v>0.7947810938073302</v>
      </c>
      <c r="Y89" s="582">
        <f t="shared" si="81"/>
        <v>1.911558016884253</v>
      </c>
      <c r="Z89" s="582">
        <f t="shared" si="81"/>
        <v>2.1841426322688688</v>
      </c>
      <c r="AA89" s="582">
        <f t="shared" si="81"/>
        <v>1.9638503245765608</v>
      </c>
      <c r="AB89" s="606"/>
      <c r="AC89" s="441">
        <f t="shared" si="73"/>
        <v>2.9610800011209304E-2</v>
      </c>
      <c r="AD89" s="440">
        <f t="shared" si="74"/>
        <v>2.4080030780439854E-2</v>
      </c>
      <c r="AE89" s="440">
        <f t="shared" si="75"/>
        <v>3.1541569241977818E-2</v>
      </c>
      <c r="AF89" s="443">
        <f t="shared" si="76"/>
        <v>1.9903107703516776E-2</v>
      </c>
      <c r="AG89" s="633">
        <v>41644</v>
      </c>
      <c r="AH89" s="560">
        <v>-3.5872783423791392E-4</v>
      </c>
      <c r="AI89" s="513">
        <v>-3.7104287600240845E-4</v>
      </c>
      <c r="AJ89" s="513">
        <v>-5.8504162202115623E-3</v>
      </c>
      <c r="AK89" s="572">
        <v>0</v>
      </c>
      <c r="AL89" s="634"/>
      <c r="AM89" s="441">
        <v>-5.8000000000000004E-6</v>
      </c>
      <c r="AN89" s="440">
        <v>-7.2599999999999999E-6</v>
      </c>
      <c r="AO89" s="440">
        <v>-1.3499999999999999E-5</v>
      </c>
      <c r="AP89" s="443">
        <v>-8.5499999999999995E-6</v>
      </c>
      <c r="AR89" s="441">
        <f t="shared" ref="AR89:AU104" si="99">-AM89*1440</f>
        <v>8.352E-3</v>
      </c>
      <c r="AS89" s="440">
        <f t="shared" si="99"/>
        <v>1.0454399999999999E-2</v>
      </c>
      <c r="AT89" s="440">
        <f t="shared" si="99"/>
        <v>1.9439999999999999E-2</v>
      </c>
      <c r="AU89" s="443">
        <f t="shared" si="99"/>
        <v>1.2312E-2</v>
      </c>
      <c r="AV89" s="633">
        <v>41644</v>
      </c>
      <c r="AW89" s="644"/>
      <c r="AX89" s="608">
        <v>0</v>
      </c>
      <c r="AY89" s="441">
        <f t="shared" si="68"/>
        <v>2.1258800011209306E-2</v>
      </c>
      <c r="AZ89" s="440">
        <f t="shared" si="69"/>
        <v>1.3625630780439855E-2</v>
      </c>
      <c r="BA89" s="440">
        <f t="shared" si="70"/>
        <v>1.2101569241977819E-2</v>
      </c>
      <c r="BB89" s="443">
        <f t="shared" si="71"/>
        <v>7.5911077035167758E-3</v>
      </c>
      <c r="BC89" s="608">
        <f t="shared" si="77"/>
        <v>7.5911077035167751E-2</v>
      </c>
      <c r="BD89" s="627" t="s">
        <v>527</v>
      </c>
      <c r="BE89" s="580">
        <v>41644</v>
      </c>
      <c r="BF89" s="441">
        <f t="shared" si="78"/>
        <v>29.565484005983819</v>
      </c>
      <c r="BG89" s="440">
        <f t="shared" si="87"/>
        <v>14.733484005983478</v>
      </c>
      <c r="BH89" s="440">
        <f t="shared" si="79"/>
        <v>11.420684005983734</v>
      </c>
      <c r="BI89" s="443">
        <f t="shared" si="80"/>
        <v>4.5846840059827842</v>
      </c>
      <c r="BJ89" s="658"/>
      <c r="BK89" s="441">
        <v>21.258800011209303</v>
      </c>
      <c r="BL89" s="440">
        <v>13.625630780439854</v>
      </c>
      <c r="BM89" s="440">
        <v>12.101569241977819</v>
      </c>
      <c r="BN89" s="443">
        <v>7.5911077035167764</v>
      </c>
      <c r="BO89" s="353">
        <v>68</v>
      </c>
      <c r="BP89" s="353">
        <f t="shared" si="82"/>
        <v>13.6</v>
      </c>
      <c r="BQ89" s="610">
        <f t="shared" si="83"/>
        <v>48.571428571428577</v>
      </c>
      <c r="BR89" s="610">
        <f t="shared" si="84"/>
        <v>18.378378378378379</v>
      </c>
      <c r="BT89" s="648"/>
      <c r="BU89" s="648"/>
      <c r="BV89" s="648"/>
      <c r="BW89" s="648"/>
      <c r="BX89" s="648"/>
      <c r="BY89" s="616" t="s">
        <v>385</v>
      </c>
      <c r="BZ89" s="617">
        <v>27</v>
      </c>
      <c r="CA89" s="608">
        <v>4.8</v>
      </c>
      <c r="CB89" s="608">
        <f t="shared" si="85"/>
        <v>48</v>
      </c>
      <c r="CC89" s="353">
        <v>76</v>
      </c>
      <c r="CD89" s="631">
        <f t="shared" si="86"/>
        <v>330.50000000000006</v>
      </c>
      <c r="CN89" s="632" t="s">
        <v>507</v>
      </c>
      <c r="CO89" s="580">
        <f>'[3]Plots R2&gt;.75 - UPDATED'!R86</f>
        <v>41645</v>
      </c>
      <c r="CP89" s="620"/>
      <c r="CQ89" s="633">
        <v>41645</v>
      </c>
      <c r="CR89" s="641">
        <v>31999.337520530691</v>
      </c>
      <c r="CS89" s="642">
        <v>91670.105552986119</v>
      </c>
      <c r="CT89" s="642">
        <v>46115.059824753596</v>
      </c>
      <c r="CU89" s="643">
        <v>21249.126713246606</v>
      </c>
      <c r="CV89" s="513">
        <f t="shared" si="93"/>
        <v>0.94501956425185663</v>
      </c>
      <c r="CW89" s="513">
        <f t="shared" si="64"/>
        <v>0</v>
      </c>
      <c r="CX89" s="450"/>
      <c r="CY89" s="450"/>
      <c r="CZ89" s="513">
        <f t="shared" ref="CZ89:CZ135" si="100">(302.4/CT89)*100</f>
        <v>0.65575107383397135</v>
      </c>
      <c r="DA89" s="513">
        <f t="shared" si="66"/>
        <v>0.70320730414487231</v>
      </c>
      <c r="DB89" s="572">
        <f t="shared" si="88"/>
        <v>1.4231173077408648</v>
      </c>
      <c r="DC89" s="572">
        <f t="shared" si="67"/>
        <v>0</v>
      </c>
      <c r="DD89" s="653"/>
      <c r="DE89" s="299">
        <v>41643</v>
      </c>
      <c r="DF89" s="463">
        <v>3.6206974119805695</v>
      </c>
      <c r="DG89" s="463">
        <v>10.18349643493031</v>
      </c>
      <c r="DH89" s="463">
        <v>4.9516272679751863</v>
      </c>
      <c r="DI89" s="463">
        <v>2.3979924710149061</v>
      </c>
      <c r="DJ89" s="528">
        <v>2.9565484005983818</v>
      </c>
      <c r="DK89" s="528">
        <v>1.4733484005983477</v>
      </c>
      <c r="DL89" s="528">
        <v>1.1420684005983734</v>
      </c>
      <c r="DM89" s="546">
        <v>0.45846840059827842</v>
      </c>
      <c r="DN89" s="528">
        <f t="shared" si="95"/>
        <v>29.565484005983819</v>
      </c>
      <c r="DO89" s="528">
        <f t="shared" si="96"/>
        <v>14.733484005983478</v>
      </c>
      <c r="DP89" s="528">
        <f t="shared" si="97"/>
        <v>11.420684005983734</v>
      </c>
      <c r="DQ89" s="528">
        <f t="shared" si="98"/>
        <v>4.5846840059827842</v>
      </c>
      <c r="DR89" s="463">
        <v>2.9565484005983818</v>
      </c>
      <c r="DS89" s="463">
        <v>1.4733484005983477</v>
      </c>
      <c r="DT89" s="463">
        <v>1.1420684005983734</v>
      </c>
      <c r="DU89" s="463">
        <v>0.45846840059827842</v>
      </c>
      <c r="DV89" s="463">
        <v>0.25864402271873166</v>
      </c>
      <c r="DW89" s="463">
        <v>0.95706882410562466</v>
      </c>
      <c r="DX89" s="463">
        <v>1.0946237297955292</v>
      </c>
      <c r="DY89" s="463">
        <v>1.4327999999999999</v>
      </c>
      <c r="DZ89" s="463">
        <v>0.25864402271873166</v>
      </c>
      <c r="EA89" s="463">
        <v>0.95706882410562466</v>
      </c>
      <c r="EB89" s="463">
        <v>1.0946237297955292</v>
      </c>
      <c r="EC89" s="463">
        <v>1.4327999999999999</v>
      </c>
      <c r="ED89" s="463">
        <f t="shared" si="89"/>
        <v>2.5864402271873166</v>
      </c>
      <c r="EE89" s="463">
        <f t="shared" si="90"/>
        <v>9.5706882410562457</v>
      </c>
      <c r="EF89" s="463">
        <f t="shared" si="91"/>
        <v>10.946237297955292</v>
      </c>
      <c r="EG89" s="463">
        <f t="shared" si="92"/>
        <v>14.327999999999999</v>
      </c>
      <c r="EH89" s="528">
        <f>'[3]Plots R2&gt;.75 - UPDATED'!S86</f>
        <v>0.76523991774205824</v>
      </c>
      <c r="EI89" s="528">
        <f>'[3]Plots R2&gt;.75 - UPDATED'!T86</f>
        <v>1.887739917742058</v>
      </c>
      <c r="EJ89" s="528">
        <f>'[3]Plots R2&gt;.75 - UPDATED'!U86</f>
        <v>2.1525399177420583</v>
      </c>
      <c r="EK89" s="546">
        <f>'[3]Plots R2&gt;.75 - UPDATED'!V86</f>
        <v>1.6540399177420588</v>
      </c>
      <c r="EL89" s="676">
        <v>0</v>
      </c>
      <c r="EM89" s="495">
        <v>0</v>
      </c>
      <c r="EN89" s="299">
        <v>41643</v>
      </c>
      <c r="EO89" s="528">
        <v>0.76523991774205824</v>
      </c>
      <c r="EP89" s="528">
        <v>1.887739917742058</v>
      </c>
      <c r="EQ89" s="528">
        <v>2.1525399177420583</v>
      </c>
      <c r="ER89" s="546">
        <v>1.6540399177420588</v>
      </c>
      <c r="GN89" s="640"/>
      <c r="GO89" s="640"/>
      <c r="GP89" s="640"/>
      <c r="GQ89" s="640"/>
      <c r="GR89" s="640"/>
      <c r="GS89" s="640"/>
      <c r="GT89" s="640"/>
      <c r="GU89" s="640"/>
      <c r="GV89" s="640"/>
      <c r="HF89" s="560">
        <v>0.6664529452970005</v>
      </c>
      <c r="HG89" s="560">
        <v>0.96911842657026459</v>
      </c>
      <c r="HH89" s="513">
        <v>0.20087182803712492</v>
      </c>
      <c r="HI89" s="513">
        <v>2.0206382514377332</v>
      </c>
      <c r="HJ89" s="515">
        <v>0.48565161924529321</v>
      </c>
      <c r="HK89" s="515">
        <v>0.68765537229446949</v>
      </c>
      <c r="HL89" s="602">
        <v>0.84487892511919938</v>
      </c>
      <c r="HM89" s="602">
        <v>0.83992107488080048</v>
      </c>
    </row>
    <row r="90" spans="10:221" ht="16">
      <c r="J90" s="580">
        <v>41627</v>
      </c>
      <c r="K90" s="581">
        <v>0</v>
      </c>
      <c r="L90" s="582">
        <v>11.5213</v>
      </c>
      <c r="M90" s="582">
        <v>11.9499</v>
      </c>
      <c r="N90" s="582">
        <v>12.7218</v>
      </c>
      <c r="O90" s="582">
        <v>12.4954</v>
      </c>
      <c r="P90" s="582">
        <v>98.829800000000006</v>
      </c>
      <c r="Q90" s="582">
        <v>10.105291774650206</v>
      </c>
      <c r="R90" s="582">
        <v>1.2310082253497936</v>
      </c>
      <c r="S90" s="582">
        <v>2.4946082253497934</v>
      </c>
      <c r="T90" s="582">
        <v>2.8065082253497939</v>
      </c>
      <c r="U90" s="582">
        <v>2.6601082253497936</v>
      </c>
      <c r="W90" s="580">
        <v>41645</v>
      </c>
      <c r="X90" s="582">
        <f t="shared" si="81"/>
        <v>0.76517029379612089</v>
      </c>
      <c r="Y90" s="582">
        <f t="shared" si="81"/>
        <v>1.8874779861038131</v>
      </c>
      <c r="Z90" s="582">
        <f t="shared" si="81"/>
        <v>2.152601063026891</v>
      </c>
      <c r="AA90" s="582">
        <f t="shared" si="81"/>
        <v>1.9439472168730441</v>
      </c>
      <c r="AB90" s="606"/>
      <c r="AC90" s="441">
        <f t="shared" si="73"/>
        <v>2.208609062020972E-2</v>
      </c>
      <c r="AD90" s="437">
        <f t="shared" si="74"/>
        <v>1.7532244466363256E-2</v>
      </c>
      <c r="AE90" s="440">
        <f t="shared" si="75"/>
        <v>3.0893782927901903E-2</v>
      </c>
      <c r="AF90" s="443">
        <f t="shared" si="76"/>
        <v>1.9809167543286099E-2</v>
      </c>
      <c r="AG90" s="633">
        <v>41645</v>
      </c>
      <c r="AH90" s="560">
        <v>0</v>
      </c>
      <c r="AI90" s="510">
        <v>-3.3215271288057114E-4</v>
      </c>
      <c r="AJ90" s="513">
        <v>-5.6276331799615074E-3</v>
      </c>
      <c r="AK90" s="572">
        <v>0</v>
      </c>
      <c r="AL90" s="634"/>
      <c r="AM90" s="441">
        <v>-9.2799999999999992E-6</v>
      </c>
      <c r="AN90" s="437"/>
      <c r="AO90" s="440">
        <v>-1.24E-5</v>
      </c>
      <c r="AP90" s="443">
        <v>-5.2399999999999998E-6</v>
      </c>
      <c r="AR90" s="441">
        <f t="shared" si="99"/>
        <v>1.3363199999999999E-2</v>
      </c>
      <c r="AS90" s="437"/>
      <c r="AT90" s="440">
        <f t="shared" si="99"/>
        <v>1.7856E-2</v>
      </c>
      <c r="AU90" s="443">
        <f t="shared" si="99"/>
        <v>7.5455999999999995E-3</v>
      </c>
      <c r="AV90" s="633">
        <v>41645</v>
      </c>
      <c r="AW90" s="644"/>
      <c r="AX90" s="608">
        <v>0</v>
      </c>
      <c r="AY90" s="441">
        <f t="shared" ref="AY90:AY101" si="101">AC90-AR90</f>
        <v>8.7228906202097209E-3</v>
      </c>
      <c r="AZ90" s="437"/>
      <c r="BA90" s="440">
        <f t="shared" ref="BA90:BA136" si="102">AE90-AT90</f>
        <v>1.3037782927901902E-2</v>
      </c>
      <c r="BB90" s="443">
        <f t="shared" ref="BB90:BB136" si="103">AF90-AU90</f>
        <v>1.22635675432861E-2</v>
      </c>
      <c r="BC90" s="608">
        <f t="shared" si="77"/>
        <v>0.122635675432861</v>
      </c>
      <c r="BD90" s="627" t="s">
        <v>528</v>
      </c>
      <c r="BE90" s="580">
        <v>41645</v>
      </c>
      <c r="BF90" s="441">
        <f t="shared" si="78"/>
        <v>20.893408056452149</v>
      </c>
      <c r="BG90" s="437"/>
      <c r="BH90" s="440">
        <f t="shared" si="79"/>
        <v>11.205408056452439</v>
      </c>
      <c r="BI90" s="443">
        <f t="shared" si="80"/>
        <v>7.533408056452739</v>
      </c>
      <c r="BJ90" s="658"/>
      <c r="BK90" s="441">
        <v>8.7228906202097214</v>
      </c>
      <c r="BL90" s="437"/>
      <c r="BM90" s="440">
        <v>13.037782927901901</v>
      </c>
      <c r="BN90" s="443">
        <v>12.263567543286101</v>
      </c>
      <c r="BO90" s="353">
        <v>71</v>
      </c>
      <c r="BP90" s="353">
        <f t="shared" si="82"/>
        <v>14.2</v>
      </c>
      <c r="BQ90" s="610">
        <f t="shared" si="83"/>
        <v>50.714285714285715</v>
      </c>
      <c r="BR90" s="610">
        <f t="shared" si="84"/>
        <v>19.189189189189189</v>
      </c>
      <c r="BT90" s="648"/>
      <c r="BU90" s="648"/>
      <c r="BV90" s="648"/>
      <c r="BW90" s="648"/>
      <c r="BX90" s="648"/>
      <c r="BY90" s="616" t="s">
        <v>388</v>
      </c>
      <c r="BZ90" s="617">
        <v>28</v>
      </c>
      <c r="CA90" s="608">
        <v>0.1</v>
      </c>
      <c r="CB90" s="608">
        <f t="shared" si="85"/>
        <v>1</v>
      </c>
      <c r="CC90" s="353">
        <v>81</v>
      </c>
      <c r="CD90" s="631">
        <f t="shared" si="86"/>
        <v>331.50000000000006</v>
      </c>
      <c r="CN90" s="632" t="s">
        <v>508</v>
      </c>
      <c r="CO90" s="580">
        <f>'[3]Plots R2&gt;.75 - UPDATED'!R87</f>
        <v>41646</v>
      </c>
      <c r="CP90" s="620"/>
      <c r="CQ90" s="633">
        <v>41646</v>
      </c>
      <c r="CR90" s="641">
        <v>30993.266021160791</v>
      </c>
      <c r="CS90" s="642">
        <v>89128.558062900687</v>
      </c>
      <c r="CT90" s="642">
        <v>44935.055529652003</v>
      </c>
      <c r="CU90" s="643">
        <v>20442.996922775063</v>
      </c>
      <c r="CV90" s="513">
        <f t="shared" si="93"/>
        <v>0.97569581661234095</v>
      </c>
      <c r="CW90" s="513">
        <f t="shared" si="64"/>
        <v>0.360624183387659</v>
      </c>
      <c r="CX90" s="513">
        <f t="shared" si="94"/>
        <v>0.33928519272867319</v>
      </c>
      <c r="CY90" s="513">
        <f>IF(ABS(DW91)&lt;=CX90,0,IF(DW91&gt;0,DW91-CX90,DW91+CX90))</f>
        <v>0.1563077392483877</v>
      </c>
      <c r="CZ90" s="513">
        <f t="shared" si="100"/>
        <v>0.67297123912632206</v>
      </c>
      <c r="DA90" s="513">
        <f t="shared" si="66"/>
        <v>0.54986544287752737</v>
      </c>
      <c r="DB90" s="572">
        <f t="shared" si="88"/>
        <v>1.4792351686122069</v>
      </c>
      <c r="DC90" s="572">
        <f t="shared" si="67"/>
        <v>0</v>
      </c>
      <c r="DD90" s="653"/>
      <c r="DE90" s="299">
        <v>41644</v>
      </c>
      <c r="DF90" s="463">
        <v>3.4904962395740746</v>
      </c>
      <c r="DG90" s="463">
        <v>9.8606034874055446</v>
      </c>
      <c r="DH90" s="463">
        <v>4.840655409649794</v>
      </c>
      <c r="DI90" s="463">
        <v>2.2888476483113789</v>
      </c>
      <c r="DJ90" s="528">
        <v>2.089340805645215</v>
      </c>
      <c r="DK90" s="528">
        <v>1.3191008056452767</v>
      </c>
      <c r="DL90" s="528">
        <v>1.1205408056452439</v>
      </c>
      <c r="DM90" s="546">
        <v>0.75334080564527395</v>
      </c>
      <c r="DN90" s="528">
        <f t="shared" si="95"/>
        <v>20.893408056452149</v>
      </c>
      <c r="DO90" s="528">
        <f t="shared" si="96"/>
        <v>13.191008056452766</v>
      </c>
      <c r="DP90" s="528">
        <f t="shared" si="97"/>
        <v>11.205408056452439</v>
      </c>
      <c r="DQ90" s="528">
        <f t="shared" si="98"/>
        <v>7.533408056452739</v>
      </c>
      <c r="DR90" s="463">
        <v>2.089340805645215</v>
      </c>
      <c r="DS90" s="463">
        <v>1.3191008056452767</v>
      </c>
      <c r="DT90" s="463">
        <v>1.1205408056452439</v>
      </c>
      <c r="DU90" s="463">
        <v>0.75334080564527395</v>
      </c>
      <c r="DV90" s="463">
        <v>0.79932721657620842</v>
      </c>
      <c r="DW90" s="463">
        <v>1.0083357123997592</v>
      </c>
      <c r="DX90" s="463">
        <v>1.3589583779788437</v>
      </c>
      <c r="DY90" s="463">
        <v>1.2312000000000001</v>
      </c>
      <c r="DZ90" s="463">
        <v>0.79932721657620842</v>
      </c>
      <c r="EA90" s="463">
        <v>1.0083357123997592</v>
      </c>
      <c r="EB90" s="463">
        <v>1.3589583779788437</v>
      </c>
      <c r="EC90" s="463">
        <v>1.2312000000000001</v>
      </c>
      <c r="ED90" s="463">
        <f t="shared" si="89"/>
        <v>7.9932721657620842</v>
      </c>
      <c r="EE90" s="463">
        <f t="shared" si="90"/>
        <v>10.083357123997592</v>
      </c>
      <c r="EF90" s="463">
        <f t="shared" si="91"/>
        <v>13.589583779788438</v>
      </c>
      <c r="EG90" s="463">
        <f t="shared" si="92"/>
        <v>12.312000000000001</v>
      </c>
      <c r="EH90" s="528">
        <f>'[3]Plots R2&gt;.75 - UPDATED'!S87</f>
        <v>0.74332233440979012</v>
      </c>
      <c r="EI90" s="528">
        <f>'[3]Plots R2&gt;.75 - UPDATED'!T87</f>
        <v>1.8694223344097904</v>
      </c>
      <c r="EJ90" s="528">
        <f>'[3]Plots R2&gt;.75 - UPDATED'!U87</f>
        <v>2.1216223344097918</v>
      </c>
      <c r="EK90" s="546">
        <f>'[3]Plots R2&gt;.75 - UPDATED'!V87</f>
        <v>1.6342223344097913</v>
      </c>
      <c r="EL90" s="676">
        <v>0</v>
      </c>
      <c r="EM90" s="495">
        <v>0</v>
      </c>
      <c r="EN90" s="299">
        <v>41644</v>
      </c>
      <c r="EO90" s="528">
        <v>0.74332233440979012</v>
      </c>
      <c r="EP90" s="528">
        <v>1.8694223344097904</v>
      </c>
      <c r="EQ90" s="528">
        <v>2.1216223344097918</v>
      </c>
      <c r="ER90" s="546">
        <v>1.6342223344097913</v>
      </c>
      <c r="GN90" s="640"/>
      <c r="GO90" s="640"/>
      <c r="GP90" s="640"/>
      <c r="GQ90" s="640"/>
      <c r="GR90" s="640"/>
      <c r="GS90" s="640"/>
      <c r="GT90" s="640"/>
      <c r="GU90" s="640"/>
      <c r="GV90" s="640"/>
      <c r="HF90" s="560">
        <v>0.68830213700329068</v>
      </c>
      <c r="HG90" s="560">
        <v>0.18947079166475689</v>
      </c>
      <c r="HH90" s="513">
        <v>0.21052588270433509</v>
      </c>
      <c r="HI90" s="513">
        <v>1.6384369836485726</v>
      </c>
      <c r="HJ90" s="515">
        <v>0.49859919348689941</v>
      </c>
      <c r="HK90" s="515">
        <v>0.89008637391373813</v>
      </c>
      <c r="HL90" s="602">
        <v>0.87307052240339045</v>
      </c>
      <c r="HM90" s="602">
        <v>4.5649477596609533E-2</v>
      </c>
    </row>
    <row r="91" spans="10:221" ht="16">
      <c r="J91" s="580">
        <v>41628</v>
      </c>
      <c r="K91" s="581">
        <v>0</v>
      </c>
      <c r="L91" s="582">
        <v>11.5002</v>
      </c>
      <c r="M91" s="582">
        <v>11.9162</v>
      </c>
      <c r="N91" s="582">
        <v>12.6851</v>
      </c>
      <c r="O91" s="582">
        <v>12.4444</v>
      </c>
      <c r="P91" s="582">
        <v>98.870099999999994</v>
      </c>
      <c r="Q91" s="582">
        <v>10.109412427110479</v>
      </c>
      <c r="R91" s="582">
        <v>1.2057875728895202</v>
      </c>
      <c r="S91" s="582">
        <v>2.456787572889521</v>
      </c>
      <c r="T91" s="582">
        <v>2.7656875728895214</v>
      </c>
      <c r="U91" s="582">
        <v>2.6049875728895207</v>
      </c>
      <c r="W91" s="580">
        <v>41646</v>
      </c>
      <c r="X91" s="582">
        <f t="shared" si="81"/>
        <v>0.74308420317591117</v>
      </c>
      <c r="Y91" s="582">
        <f t="shared" si="81"/>
        <v>1.8699457416374499</v>
      </c>
      <c r="Z91" s="582">
        <f t="shared" si="81"/>
        <v>2.1217072800989891</v>
      </c>
      <c r="AA91" s="582">
        <f t="shared" si="81"/>
        <v>1.924138049329758</v>
      </c>
      <c r="AB91" s="606"/>
      <c r="AC91" s="441">
        <f t="shared" si="73"/>
        <v>1.6517484595816367E-2</v>
      </c>
      <c r="AD91" s="440">
        <f t="shared" si="74"/>
        <v>0.22056363844197047</v>
      </c>
      <c r="AE91" s="440">
        <f t="shared" si="75"/>
        <v>2.334825382658634E-2</v>
      </c>
      <c r="AF91" s="443">
        <f t="shared" si="76"/>
        <v>1.6048253826586256E-2</v>
      </c>
      <c r="AG91" s="633">
        <v>41646</v>
      </c>
      <c r="AH91" s="560">
        <v>0</v>
      </c>
      <c r="AI91" s="513">
        <v>-2.9983356034582806E-4</v>
      </c>
      <c r="AJ91" s="513">
        <v>-5.3893695671435446E-3</v>
      </c>
      <c r="AK91" s="572">
        <v>0</v>
      </c>
      <c r="AL91" s="634"/>
      <c r="AM91" s="441">
        <v>-7.5700000000000002E-7</v>
      </c>
      <c r="AN91" s="440">
        <v>-5.2700000000000002E-8</v>
      </c>
      <c r="AO91" s="440">
        <v>-1.1399999999999999E-5</v>
      </c>
      <c r="AP91" s="443">
        <v>-6.9099999999999999E-6</v>
      </c>
      <c r="AR91" s="441">
        <f t="shared" si="99"/>
        <v>1.09008E-3</v>
      </c>
      <c r="AS91" s="440">
        <f t="shared" si="99"/>
        <v>7.5888000000000003E-5</v>
      </c>
      <c r="AT91" s="440">
        <f t="shared" si="99"/>
        <v>1.6416E-2</v>
      </c>
      <c r="AU91" s="443">
        <f t="shared" si="99"/>
        <v>9.9503999999999999E-3</v>
      </c>
      <c r="AV91" s="633">
        <v>41646</v>
      </c>
      <c r="AW91" s="644"/>
      <c r="AX91" s="608">
        <v>0</v>
      </c>
      <c r="AY91" s="441">
        <f t="shared" si="101"/>
        <v>1.5427404595816367E-2</v>
      </c>
      <c r="AZ91" s="440">
        <f>AD91-AS91</f>
        <v>0.22048775044197047</v>
      </c>
      <c r="BA91" s="440">
        <f t="shared" si="102"/>
        <v>6.9322538265863404E-3</v>
      </c>
      <c r="BB91" s="443">
        <f t="shared" si="103"/>
        <v>6.0978538265862563E-3</v>
      </c>
      <c r="BC91" s="608">
        <f t="shared" si="77"/>
        <v>6.0978538265862567E-2</v>
      </c>
      <c r="BD91" s="627" t="s">
        <v>529</v>
      </c>
      <c r="BE91" s="580">
        <v>41646</v>
      </c>
      <c r="BF91" s="441">
        <f t="shared" si="78"/>
        <v>8.5543833322681202</v>
      </c>
      <c r="BG91" s="440">
        <f>DS91*10</f>
        <v>13.029501299616337</v>
      </c>
      <c r="BH91" s="440">
        <f t="shared" si="79"/>
        <v>13.061583332266572</v>
      </c>
      <c r="BI91" s="443">
        <f t="shared" si="80"/>
        <v>12.271983332267576</v>
      </c>
      <c r="BJ91" s="658"/>
      <c r="BK91" s="441">
        <v>15.427404595816368</v>
      </c>
      <c r="BL91" s="440"/>
      <c r="BM91" s="440">
        <v>6.9322538265863409</v>
      </c>
      <c r="BN91" s="443">
        <v>6.0978538265862561</v>
      </c>
      <c r="BO91" s="353">
        <v>74</v>
      </c>
      <c r="BP91" s="353">
        <f t="shared" si="82"/>
        <v>14.8</v>
      </c>
      <c r="BQ91" s="610">
        <f t="shared" si="83"/>
        <v>52.857142857142861</v>
      </c>
      <c r="BR91" s="610">
        <f t="shared" si="84"/>
        <v>20</v>
      </c>
      <c r="BT91" s="648"/>
      <c r="BU91" s="648"/>
      <c r="BV91" s="648"/>
      <c r="BW91" s="648"/>
      <c r="BX91" s="648"/>
      <c r="BY91" s="616" t="s">
        <v>391</v>
      </c>
      <c r="BZ91" s="617">
        <v>28</v>
      </c>
      <c r="CA91" s="608">
        <v>0</v>
      </c>
      <c r="CB91" s="608">
        <f t="shared" si="85"/>
        <v>0</v>
      </c>
      <c r="CC91" s="353">
        <v>77</v>
      </c>
      <c r="CD91" s="631">
        <f t="shared" si="86"/>
        <v>331.50000000000006</v>
      </c>
      <c r="CN91" s="632" t="s">
        <v>509</v>
      </c>
      <c r="CO91" s="580">
        <f>'[3]Plots R2&gt;.75 - UPDATED'!R88</f>
        <v>41647</v>
      </c>
      <c r="CP91" s="620"/>
      <c r="CQ91" s="633">
        <v>41647</v>
      </c>
      <c r="CR91" s="641">
        <v>30220.631911468219</v>
      </c>
      <c r="CS91" s="642">
        <v>62089.142338109843</v>
      </c>
      <c r="CT91" s="642">
        <v>44033.074659239319</v>
      </c>
      <c r="CU91" s="643">
        <v>19761.578374170775</v>
      </c>
      <c r="CV91" s="572">
        <f t="shared" si="93"/>
        <v>1.0006408895945167</v>
      </c>
      <c r="CW91" s="572">
        <f t="shared" si="64"/>
        <v>0</v>
      </c>
      <c r="CX91" s="450"/>
      <c r="CY91" s="450"/>
      <c r="CZ91" s="513">
        <f t="shared" si="100"/>
        <v>0.68675649461273391</v>
      </c>
      <c r="DA91" s="513">
        <f t="shared" si="66"/>
        <v>4.1641783408080113E-2</v>
      </c>
      <c r="DB91" s="572">
        <f t="shared" si="88"/>
        <v>1.5302421409579798</v>
      </c>
      <c r="DC91" s="572">
        <f t="shared" si="67"/>
        <v>0</v>
      </c>
      <c r="DD91" s="622"/>
      <c r="DE91" s="299">
        <v>41645</v>
      </c>
      <c r="DF91" s="463">
        <v>3.3346224958955952</v>
      </c>
      <c r="DG91" s="463">
        <v>9.502025386527631</v>
      </c>
      <c r="DH91" s="463">
        <v>4.7297993879199316</v>
      </c>
      <c r="DI91" s="463">
        <v>2.2078050491996462</v>
      </c>
      <c r="DJ91" s="528">
        <v>0.85543833322681206</v>
      </c>
      <c r="DK91" s="536"/>
      <c r="DL91" s="528">
        <v>1.3061583332266573</v>
      </c>
      <c r="DM91" s="546">
        <v>1.2271983332267575</v>
      </c>
      <c r="DN91" s="528">
        <f t="shared" si="95"/>
        <v>8.5543833322681202</v>
      </c>
      <c r="DO91" s="528">
        <f t="shared" si="96"/>
        <v>0</v>
      </c>
      <c r="DP91" s="528">
        <f t="shared" si="97"/>
        <v>13.061583332266572</v>
      </c>
      <c r="DQ91" s="528">
        <f t="shared" si="98"/>
        <v>12.271983332267576</v>
      </c>
      <c r="DR91" s="463">
        <v>0.85543833322681206</v>
      </c>
      <c r="DS91" s="463">
        <v>1.3029501299616337</v>
      </c>
      <c r="DT91" s="463">
        <v>1.3061583332266573</v>
      </c>
      <c r="DU91" s="463">
        <v>1.2271983332267575</v>
      </c>
      <c r="DV91" s="463">
        <v>1.33632</v>
      </c>
      <c r="DW91" s="463">
        <v>0.49559293197706089</v>
      </c>
      <c r="DX91" s="463">
        <v>1.2228366820038494</v>
      </c>
      <c r="DY91" s="463">
        <v>0.7545599999999999</v>
      </c>
      <c r="DZ91" s="463">
        <v>1.33632</v>
      </c>
      <c r="EA91" s="463">
        <v>0.49559293197706089</v>
      </c>
      <c r="EB91" s="463">
        <v>1.2228366820038494</v>
      </c>
      <c r="EC91" s="463">
        <v>0.7545599999999999</v>
      </c>
      <c r="ED91" s="463">
        <f t="shared" si="89"/>
        <v>13.363199999999999</v>
      </c>
      <c r="EE91" s="463">
        <f t="shared" si="90"/>
        <v>4.9559293197706094</v>
      </c>
      <c r="EF91" s="463">
        <f t="shared" si="91"/>
        <v>12.228366820038495</v>
      </c>
      <c r="EG91" s="463">
        <f t="shared" si="92"/>
        <v>7.5455999999999985</v>
      </c>
      <c r="EH91" s="528">
        <f>'[3]Plots R2&gt;.75 - UPDATED'!S88</f>
        <v>0.72644667781262529</v>
      </c>
      <c r="EI91" s="536">
        <f>'[3]Plots R2&gt;.75 - UPDATED'!T88</f>
        <v>1.6491466778126254</v>
      </c>
      <c r="EJ91" s="528">
        <f>'[3]Plots R2&gt;.75 - UPDATED'!U88</f>
        <v>2.0977466778126255</v>
      </c>
      <c r="EK91" s="546">
        <f>'[3]Plots R2&gt;.75 - UPDATED'!V88</f>
        <v>1.6170466778126253</v>
      </c>
      <c r="EL91" s="676">
        <v>0</v>
      </c>
      <c r="EM91" s="495">
        <v>0</v>
      </c>
      <c r="EN91" s="299">
        <v>41645</v>
      </c>
      <c r="EO91" s="528">
        <v>0.72644667781262529</v>
      </c>
      <c r="EP91" s="536">
        <v>1.6491466778126254</v>
      </c>
      <c r="EQ91" s="528">
        <v>2.0977466778126255</v>
      </c>
      <c r="ER91" s="546">
        <v>1.6170466778126253</v>
      </c>
      <c r="GN91" s="640"/>
      <c r="GO91" s="640"/>
      <c r="GP91" s="640"/>
      <c r="GQ91" s="640"/>
      <c r="GR91" s="640"/>
      <c r="GS91" s="640"/>
      <c r="GT91" s="640"/>
      <c r="GU91" s="640"/>
      <c r="GV91" s="640"/>
      <c r="HF91" s="560">
        <v>0.7102254742603864</v>
      </c>
      <c r="HG91" s="560">
        <v>5.8206808902991347E-2</v>
      </c>
      <c r="HH91" s="513">
        <v>0.22081694974283289</v>
      </c>
      <c r="HI91" s="513">
        <v>1.4430846337250853</v>
      </c>
      <c r="HJ91" s="515">
        <v>0.51283814278367434</v>
      </c>
      <c r="HK91" s="515">
        <v>1.4962453020000865</v>
      </c>
      <c r="HL91" s="602">
        <v>0.90084802330295033</v>
      </c>
      <c r="HM91" s="602">
        <v>6.9711976697049649E-2</v>
      </c>
    </row>
    <row r="92" spans="10:221" ht="16">
      <c r="J92" s="580">
        <v>41629</v>
      </c>
      <c r="K92" s="581">
        <v>0</v>
      </c>
      <c r="L92" s="582">
        <v>11.4925</v>
      </c>
      <c r="M92" s="582">
        <v>11.9024</v>
      </c>
      <c r="N92" s="582">
        <v>12.6584</v>
      </c>
      <c r="O92" s="582">
        <v>12.3758</v>
      </c>
      <c r="P92" s="582">
        <v>99.034000000000006</v>
      </c>
      <c r="Q92" s="582">
        <v>10.12617111044147</v>
      </c>
      <c r="R92" s="582">
        <v>1.1813288895585292</v>
      </c>
      <c r="S92" s="582">
        <v>2.42622888955853</v>
      </c>
      <c r="T92" s="582">
        <v>2.7222288895585303</v>
      </c>
      <c r="U92" s="582">
        <v>2.5196288895585295</v>
      </c>
      <c r="W92" s="580">
        <v>41647</v>
      </c>
      <c r="X92" s="582">
        <f t="shared" si="81"/>
        <v>0.72656671858009481</v>
      </c>
      <c r="Y92" s="582">
        <f t="shared" si="81"/>
        <v>1.6493821031954794</v>
      </c>
      <c r="Z92" s="582">
        <f t="shared" si="81"/>
        <v>2.0983590262724028</v>
      </c>
      <c r="AA92" s="582">
        <f t="shared" si="81"/>
        <v>1.9080897955031717</v>
      </c>
      <c r="AB92" s="606"/>
      <c r="AC92" s="444">
        <f t="shared" si="73"/>
        <v>5.4813558327831968E-3</v>
      </c>
      <c r="AD92" s="437">
        <f t="shared" si="74"/>
        <v>-0.15761864416721716</v>
      </c>
      <c r="AE92" s="440">
        <f t="shared" si="75"/>
        <v>1.6965971217397957E-2</v>
      </c>
      <c r="AF92" s="443">
        <f t="shared" si="76"/>
        <v>4.5275096789365588E-3</v>
      </c>
      <c r="AG92" s="633">
        <v>41647</v>
      </c>
      <c r="AH92" s="562">
        <v>0</v>
      </c>
      <c r="AI92" s="510">
        <v>0</v>
      </c>
      <c r="AJ92" s="513">
        <v>-5.1955407888486585E-3</v>
      </c>
      <c r="AK92" s="572">
        <v>0</v>
      </c>
      <c r="AL92" s="634"/>
      <c r="AM92" s="444">
        <v>4.25E-6</v>
      </c>
      <c r="AN92" s="437"/>
      <c r="AO92" s="440">
        <v>7.2600000000000002E-7</v>
      </c>
      <c r="AP92" s="443">
        <v>8.4600000000000003E-6</v>
      </c>
      <c r="AR92" s="444">
        <f t="shared" si="99"/>
        <v>-6.1199999999999996E-3</v>
      </c>
      <c r="AS92" s="437"/>
      <c r="AT92" s="440">
        <f t="shared" si="99"/>
        <v>-1.0454400000000001E-3</v>
      </c>
      <c r="AU92" s="443">
        <f t="shared" si="99"/>
        <v>-1.2182400000000001E-2</v>
      </c>
      <c r="AV92" s="633">
        <v>41647</v>
      </c>
      <c r="AW92" s="644"/>
      <c r="AX92" s="608">
        <v>0</v>
      </c>
      <c r="AY92" s="444">
        <f t="shared" si="101"/>
        <v>1.1601355832783197E-2</v>
      </c>
      <c r="AZ92" s="437"/>
      <c r="BA92" s="440">
        <f t="shared" si="102"/>
        <v>1.8011411217397959E-2</v>
      </c>
      <c r="BB92" s="443">
        <f t="shared" si="103"/>
        <v>1.6709909678936562E-2</v>
      </c>
      <c r="BC92" s="608">
        <f t="shared" si="77"/>
        <v>0.16709909678936563</v>
      </c>
      <c r="BD92" s="627" t="s">
        <v>530</v>
      </c>
      <c r="BE92" s="580">
        <v>41647</v>
      </c>
      <c r="BF92" s="444">
        <f t="shared" si="78"/>
        <v>6.9583042498158756</v>
      </c>
      <c r="BG92" s="437"/>
      <c r="BH92" s="440">
        <f t="shared" si="79"/>
        <v>11.202304249814599</v>
      </c>
      <c r="BI92" s="443">
        <f t="shared" si="80"/>
        <v>9.026037583148284</v>
      </c>
      <c r="BJ92" s="658"/>
      <c r="BK92" s="444">
        <v>11.601355832783199</v>
      </c>
      <c r="BL92" s="437"/>
      <c r="BM92" s="440">
        <v>18.01141121739796</v>
      </c>
      <c r="BN92" s="443">
        <v>16.709909678936562</v>
      </c>
      <c r="BO92" s="353">
        <v>76</v>
      </c>
      <c r="BP92" s="353">
        <f t="shared" si="82"/>
        <v>15.2</v>
      </c>
      <c r="BQ92" s="610">
        <f t="shared" si="83"/>
        <v>54.285714285714292</v>
      </c>
      <c r="BR92" s="610">
        <f t="shared" si="84"/>
        <v>20.54054054054054</v>
      </c>
      <c r="BT92" s="648"/>
      <c r="BU92" s="648"/>
      <c r="BV92" s="648"/>
      <c r="BW92" s="648"/>
      <c r="BX92" s="648"/>
      <c r="BY92" s="616" t="s">
        <v>394</v>
      </c>
      <c r="BZ92" s="617">
        <v>29</v>
      </c>
      <c r="CA92" s="608">
        <v>0.08</v>
      </c>
      <c r="CB92" s="608">
        <f t="shared" si="85"/>
        <v>0.8</v>
      </c>
      <c r="CC92" s="353">
        <v>74</v>
      </c>
      <c r="CD92" s="631">
        <f t="shared" si="86"/>
        <v>332.30000000000007</v>
      </c>
      <c r="CN92" s="632" t="s">
        <v>510</v>
      </c>
      <c r="CO92" s="580">
        <f>'[3]Plots R2&gt;.75 - UPDATED'!R89</f>
        <v>41648</v>
      </c>
      <c r="CP92" s="620"/>
      <c r="CQ92" s="633">
        <v>41648</v>
      </c>
      <c r="CR92" s="641">
        <v>29997.519792274656</v>
      </c>
      <c r="CS92" s="642">
        <v>80835.587765657896</v>
      </c>
      <c r="CT92" s="642">
        <v>43422.669197206385</v>
      </c>
      <c r="CU92" s="643">
        <v>19629.334554875873</v>
      </c>
      <c r="CV92" s="572">
        <f t="shared" si="93"/>
        <v>1.0080833418697432</v>
      </c>
      <c r="CW92" s="572">
        <f t="shared" si="64"/>
        <v>0</v>
      </c>
      <c r="CX92" s="513">
        <f t="shared" si="94"/>
        <v>0.37409265938246977</v>
      </c>
      <c r="CY92" s="513">
        <f>IF(ABS(DW93)&lt;=CX92,0,IF(DW93&gt;0,DW93-CX92,DW93+CX92))</f>
        <v>-16.723519609233776</v>
      </c>
      <c r="CZ92" s="513">
        <f t="shared" si="100"/>
        <v>0.6964104362784197</v>
      </c>
      <c r="DA92" s="513">
        <f t="shared" si="66"/>
        <v>0</v>
      </c>
      <c r="DB92" s="572">
        <f t="shared" si="88"/>
        <v>1.5405514596259435</v>
      </c>
      <c r="DC92" s="572">
        <f t="shared" si="67"/>
        <v>0</v>
      </c>
      <c r="DD92" s="653"/>
      <c r="DE92" s="464">
        <v>41646</v>
      </c>
      <c r="DF92" s="483">
        <v>3.1999337520530693</v>
      </c>
      <c r="DG92" s="483">
        <v>9.1670105552986119</v>
      </c>
      <c r="DH92" s="483">
        <v>4.6115059824753599</v>
      </c>
      <c r="DI92" s="483">
        <v>2.1249126713246604</v>
      </c>
      <c r="DJ92" s="527"/>
      <c r="DK92" s="527"/>
      <c r="DL92" s="527"/>
      <c r="DM92" s="544"/>
      <c r="DN92" s="528">
        <f t="shared" si="95"/>
        <v>0</v>
      </c>
      <c r="DO92" s="528">
        <f t="shared" si="96"/>
        <v>0</v>
      </c>
      <c r="DP92" s="528">
        <f t="shared" si="97"/>
        <v>0</v>
      </c>
      <c r="DQ92" s="528">
        <f t="shared" si="98"/>
        <v>0</v>
      </c>
      <c r="DR92" s="483">
        <v>0.69583042498158754</v>
      </c>
      <c r="DS92" s="483">
        <v>1.2867994542779908</v>
      </c>
      <c r="DT92" s="483">
        <v>1.1202304249814599</v>
      </c>
      <c r="DU92" s="483">
        <v>0.90260375831482831</v>
      </c>
      <c r="DV92" s="483">
        <v>0.99173523473489589</v>
      </c>
      <c r="DW92" s="483">
        <v>20.710782849403934</v>
      </c>
      <c r="DX92" s="483">
        <v>0.72839827802081403</v>
      </c>
      <c r="DY92" s="483">
        <v>0.81496190140176283</v>
      </c>
      <c r="DZ92" s="483"/>
      <c r="EA92" s="483"/>
      <c r="EB92" s="483"/>
      <c r="EC92" s="483"/>
      <c r="ED92" s="463">
        <f t="shared" si="89"/>
        <v>0</v>
      </c>
      <c r="EE92" s="463">
        <f t="shared" si="90"/>
        <v>0</v>
      </c>
      <c r="EF92" s="463">
        <f t="shared" si="91"/>
        <v>0</v>
      </c>
      <c r="EG92" s="463">
        <f t="shared" si="92"/>
        <v>0</v>
      </c>
      <c r="EH92" s="527">
        <f>'[3]Plots R2&gt;.75 - UPDATED'!S89</f>
        <v>0.72156631271284555</v>
      </c>
      <c r="EI92" s="527">
        <f>'[3]Plots R2&gt;.75 - UPDATED'!T89</f>
        <v>1.8071663127128443</v>
      </c>
      <c r="EJ92" s="527">
        <f>'[3]Plots R2&gt;.75 - UPDATED'!U89</f>
        <v>2.0814663127128457</v>
      </c>
      <c r="EK92" s="544">
        <f>'[3]Plots R2&gt;.75 - UPDATED'!V89</f>
        <v>1.6136663127128439</v>
      </c>
      <c r="EL92" s="675">
        <v>0</v>
      </c>
      <c r="EM92" s="495">
        <v>0</v>
      </c>
      <c r="EN92" s="464">
        <v>41646</v>
      </c>
      <c r="EO92" s="527">
        <v>0.72156631271284555</v>
      </c>
      <c r="EP92" s="527">
        <v>1.8071663127128443</v>
      </c>
      <c r="EQ92" s="527">
        <v>2.0814663127128457</v>
      </c>
      <c r="ER92" s="544">
        <v>1.6136663127128439</v>
      </c>
      <c r="GN92" s="640"/>
      <c r="GO92" s="640"/>
      <c r="GP92" s="640"/>
      <c r="GQ92" s="640"/>
      <c r="GR92" s="640"/>
      <c r="GS92" s="640"/>
      <c r="GT92" s="640"/>
      <c r="GU92" s="640"/>
      <c r="GV92" s="640"/>
      <c r="HF92" s="560">
        <v>0.73162123754088293</v>
      </c>
      <c r="HG92" s="560">
        <v>0</v>
      </c>
      <c r="HH92" s="513">
        <v>0.23347288275767913</v>
      </c>
      <c r="HI92" s="513">
        <v>3.2476753365947437</v>
      </c>
      <c r="HJ92" s="515">
        <v>0.52776875860026162</v>
      </c>
      <c r="HK92" s="515">
        <v>0.44694976869907044</v>
      </c>
      <c r="HL92" s="602">
        <v>0.92935875011555624</v>
      </c>
      <c r="HM92" s="602">
        <v>6.8561249884443676E-2</v>
      </c>
    </row>
    <row r="93" spans="10:221" ht="16">
      <c r="J93" s="580">
        <v>41630</v>
      </c>
      <c r="K93" s="581">
        <v>0</v>
      </c>
      <c r="L93" s="582">
        <v>11.4755</v>
      </c>
      <c r="M93" s="582">
        <v>11.8782</v>
      </c>
      <c r="N93" s="582">
        <v>12.622299999999999</v>
      </c>
      <c r="O93" s="582">
        <v>12.2994</v>
      </c>
      <c r="P93" s="582">
        <v>99.116500000000002</v>
      </c>
      <c r="Q93" s="582">
        <v>10.134606689299352</v>
      </c>
      <c r="R93" s="582">
        <v>1.1558933107006486</v>
      </c>
      <c r="S93" s="582">
        <v>2.3935933107006484</v>
      </c>
      <c r="T93" s="582">
        <v>2.677693310700648</v>
      </c>
      <c r="U93" s="582">
        <v>2.4347933107006487</v>
      </c>
      <c r="W93" s="580">
        <v>41648</v>
      </c>
      <c r="X93" s="582">
        <f t="shared" si="81"/>
        <v>0.72108536274731161</v>
      </c>
      <c r="Y93" s="582">
        <f t="shared" si="81"/>
        <v>1.8070007473626966</v>
      </c>
      <c r="Z93" s="582">
        <f t="shared" si="81"/>
        <v>2.0813930550550048</v>
      </c>
      <c r="AA93" s="582">
        <f t="shared" si="81"/>
        <v>1.9035622858242351</v>
      </c>
      <c r="AB93" s="606"/>
      <c r="AC93" s="444">
        <f t="shared" si="73"/>
        <v>1.6852792187227683E-2</v>
      </c>
      <c r="AD93" s="440">
        <f t="shared" si="74"/>
        <v>6.8835614179971749E-3</v>
      </c>
      <c r="AE93" s="440">
        <f t="shared" si="75"/>
        <v>2.5522022956458557E-2</v>
      </c>
      <c r="AF93" s="443">
        <f t="shared" si="76"/>
        <v>1.6352792187227738E-2</v>
      </c>
      <c r="AG93" s="633">
        <v>41648</v>
      </c>
      <c r="AH93" s="562">
        <v>0</v>
      </c>
      <c r="AI93" s="513">
        <v>-1.7398826946063729E-4</v>
      </c>
      <c r="AJ93" s="513">
        <v>-5.0582142202398898E-3</v>
      </c>
      <c r="AK93" s="572">
        <v>0</v>
      </c>
      <c r="AL93" s="634"/>
      <c r="AM93" s="444">
        <v>-9.3400000000000004E-6</v>
      </c>
      <c r="AN93" s="440">
        <v>1.5299999999999999E-5</v>
      </c>
      <c r="AO93" s="440">
        <v>-1.2799999999999999E-5</v>
      </c>
      <c r="AP93" s="443">
        <v>-9.6399999999999992E-6</v>
      </c>
      <c r="AR93" s="444">
        <f t="shared" si="99"/>
        <v>1.3449600000000001E-2</v>
      </c>
      <c r="AS93" s="440">
        <f t="shared" si="99"/>
        <v>-2.2032E-2</v>
      </c>
      <c r="AT93" s="440">
        <f t="shared" si="99"/>
        <v>1.8432E-2</v>
      </c>
      <c r="AU93" s="443">
        <f t="shared" si="99"/>
        <v>1.3881599999999999E-2</v>
      </c>
      <c r="AV93" s="633">
        <v>41648</v>
      </c>
      <c r="AW93" s="644"/>
      <c r="AX93" s="608">
        <v>0</v>
      </c>
      <c r="AY93" s="444">
        <f t="shared" si="101"/>
        <v>3.4031921872276823E-3</v>
      </c>
      <c r="AZ93" s="440">
        <f>AD93-AS93</f>
        <v>2.8915561417997174E-2</v>
      </c>
      <c r="BA93" s="440">
        <f t="shared" si="102"/>
        <v>7.0900229564585561E-3</v>
      </c>
      <c r="BB93" s="443">
        <f t="shared" si="103"/>
        <v>2.471192187227739E-3</v>
      </c>
      <c r="BC93" s="608">
        <f t="shared" si="77"/>
        <v>2.471192187227739E-2</v>
      </c>
      <c r="BD93" s="627" t="s">
        <v>531</v>
      </c>
      <c r="BE93" s="580">
        <v>41648</v>
      </c>
      <c r="BF93" s="444">
        <f t="shared" si="78"/>
        <v>5.3622251673636301</v>
      </c>
      <c r="BG93" s="440">
        <f>DS93*10</f>
        <v>12.706487785943478</v>
      </c>
      <c r="BH93" s="440">
        <f t="shared" si="79"/>
        <v>10.576027590633972</v>
      </c>
      <c r="BI93" s="443">
        <f t="shared" si="80"/>
        <v>8.4638498128566262</v>
      </c>
      <c r="BJ93" s="658"/>
      <c r="BK93" s="444">
        <v>3.403192187227682</v>
      </c>
      <c r="BL93" s="440">
        <v>28.915561417997175</v>
      </c>
      <c r="BM93" s="440">
        <v>7.0900229564585562</v>
      </c>
      <c r="BN93" s="443">
        <v>2.4711921872277389</v>
      </c>
      <c r="BO93" s="353">
        <v>77</v>
      </c>
      <c r="BP93" s="353">
        <f t="shared" si="82"/>
        <v>15.4</v>
      </c>
      <c r="BQ93" s="610">
        <f t="shared" si="83"/>
        <v>55</v>
      </c>
      <c r="BR93" s="610">
        <f t="shared" si="84"/>
        <v>20.810810810810811</v>
      </c>
      <c r="BT93" s="648"/>
      <c r="BU93" s="648"/>
      <c r="BV93" s="648"/>
      <c r="BW93" s="648"/>
      <c r="BX93" s="648"/>
      <c r="BY93" s="616" t="s">
        <v>397</v>
      </c>
      <c r="BZ93" s="617">
        <v>30</v>
      </c>
      <c r="CA93" s="608">
        <v>1.3</v>
      </c>
      <c r="CB93" s="608">
        <f t="shared" si="85"/>
        <v>13</v>
      </c>
      <c r="CC93" s="353">
        <v>79</v>
      </c>
      <c r="CD93" s="631">
        <f t="shared" si="86"/>
        <v>345.30000000000007</v>
      </c>
      <c r="CN93" s="632" t="s">
        <v>511</v>
      </c>
      <c r="CO93" s="580">
        <f>'[3]Plots R2&gt;.75 - UPDATED'!R90</f>
        <v>41649</v>
      </c>
      <c r="CP93" s="620"/>
      <c r="CQ93" s="633">
        <v>41649</v>
      </c>
      <c r="CR93" s="641">
        <v>29211.682423382408</v>
      </c>
      <c r="CS93" s="642">
        <v>79972.414856831601</v>
      </c>
      <c r="CT93" s="642">
        <v>42458.776899379773</v>
      </c>
      <c r="CU93" s="643">
        <v>18995.783249573753</v>
      </c>
      <c r="CV93" s="572">
        <f t="shared" si="93"/>
        <v>1.0352022715334763</v>
      </c>
      <c r="CW93" s="572">
        <f t="shared" si="64"/>
        <v>0.30975772846652383</v>
      </c>
      <c r="CX93" s="513">
        <f t="shared" si="94"/>
        <v>0.37813038475999905</v>
      </c>
      <c r="CY93" s="513">
        <f>IF(ABS(DW94)&lt;=CX93,0,IF(DW94&gt;0,DW94-CX93,DW94+CX93))</f>
        <v>-0.2221919366056706</v>
      </c>
      <c r="CZ93" s="513">
        <f t="shared" si="100"/>
        <v>0.71222023356122011</v>
      </c>
      <c r="DA93" s="513">
        <f t="shared" si="66"/>
        <v>0.6251583444147909</v>
      </c>
      <c r="DB93" s="572">
        <f t="shared" si="88"/>
        <v>1.5919322516316119</v>
      </c>
      <c r="DC93" s="572">
        <f t="shared" si="67"/>
        <v>0</v>
      </c>
      <c r="DD93" s="653"/>
      <c r="DE93" s="464">
        <v>41647</v>
      </c>
      <c r="DF93" s="483">
        <v>3.0993266021160792</v>
      </c>
      <c r="DG93" s="483">
        <v>8.912855806290068</v>
      </c>
      <c r="DH93" s="483">
        <v>4.4935055529652006</v>
      </c>
      <c r="DI93" s="483">
        <v>2.0442996922775061</v>
      </c>
      <c r="DJ93" s="527"/>
      <c r="DK93" s="527"/>
      <c r="DL93" s="527"/>
      <c r="DM93" s="544"/>
      <c r="DN93" s="528">
        <f t="shared" si="95"/>
        <v>0</v>
      </c>
      <c r="DO93" s="528">
        <f t="shared" si="96"/>
        <v>0</v>
      </c>
      <c r="DP93" s="528">
        <f t="shared" si="97"/>
        <v>0</v>
      </c>
      <c r="DQ93" s="528">
        <f t="shared" si="98"/>
        <v>0</v>
      </c>
      <c r="DR93" s="483">
        <v>0.53622251673636301</v>
      </c>
      <c r="DS93" s="483">
        <v>1.2706487785943479</v>
      </c>
      <c r="DT93" s="483">
        <v>1.0576027590633972</v>
      </c>
      <c r="DU93" s="483">
        <v>0.84638498128566264</v>
      </c>
      <c r="DV93" s="483">
        <v>-4.8186006758389244E-2</v>
      </c>
      <c r="DW93" s="483">
        <v>-17.097612268616246</v>
      </c>
      <c r="DX93" s="483">
        <v>5.0879672029718437E-2</v>
      </c>
      <c r="DY93" s="483">
        <v>-0.50834847130751692</v>
      </c>
      <c r="DZ93" s="483"/>
      <c r="EA93" s="483"/>
      <c r="EB93" s="483"/>
      <c r="EC93" s="483"/>
      <c r="ED93" s="463">
        <f t="shared" si="89"/>
        <v>0</v>
      </c>
      <c r="EE93" s="463">
        <f t="shared" si="90"/>
        <v>0</v>
      </c>
      <c r="EF93" s="463">
        <f t="shared" si="91"/>
        <v>0</v>
      </c>
      <c r="EG93" s="463">
        <f t="shared" si="92"/>
        <v>0</v>
      </c>
      <c r="EH93" s="527">
        <f>'[3]Plots R2&gt;.75 - UPDATED'!S90</f>
        <v>0.70435056662793416</v>
      </c>
      <c r="EI93" s="527">
        <f>'[3]Plots R2&gt;.75 - UPDATED'!T90</f>
        <v>1.8004505666279333</v>
      </c>
      <c r="EJ93" s="527">
        <f>'[3]Plots R2&gt;.75 - UPDATED'!U90</f>
        <v>2.055550566627935</v>
      </c>
      <c r="EK93" s="544">
        <f>'[3]Plots R2&gt;.75 - UPDATED'!V90</f>
        <v>1.5972505666279342</v>
      </c>
      <c r="EL93" s="675">
        <v>0</v>
      </c>
      <c r="EM93" s="495">
        <v>0</v>
      </c>
      <c r="EN93" s="464">
        <v>41647</v>
      </c>
      <c r="EO93" s="527">
        <v>0.70435056662793416</v>
      </c>
      <c r="EP93" s="527">
        <v>1.8004505666279333</v>
      </c>
      <c r="EQ93" s="527">
        <v>2.055550566627935</v>
      </c>
      <c r="ER93" s="544">
        <v>1.5972505666279342</v>
      </c>
      <c r="GN93" s="640"/>
      <c r="GO93" s="640"/>
      <c r="GP93" s="640"/>
      <c r="GQ93" s="640"/>
      <c r="GR93" s="640"/>
      <c r="GS93" s="640"/>
      <c r="GT93" s="640"/>
      <c r="GU93" s="640"/>
      <c r="GV93" s="640"/>
      <c r="HF93" s="560">
        <v>0.74777005306791877</v>
      </c>
      <c r="HG93" s="560">
        <v>0</v>
      </c>
      <c r="HH93" s="513">
        <v>0.2463282154449889</v>
      </c>
      <c r="HI93" s="513">
        <v>0.65745926099864604</v>
      </c>
      <c r="HJ93" s="515">
        <v>0.5423550865540181</v>
      </c>
      <c r="HK93" s="515">
        <v>1.5148641064262816</v>
      </c>
      <c r="HL93" s="602">
        <v>0.98460723204761913</v>
      </c>
      <c r="HM93" s="602">
        <v>2.5433927679523807</v>
      </c>
    </row>
    <row r="94" spans="10:221" ht="16">
      <c r="J94" s="580">
        <v>41631</v>
      </c>
      <c r="K94" s="581">
        <v>0</v>
      </c>
      <c r="L94" s="582">
        <v>11.4536</v>
      </c>
      <c r="M94" s="582">
        <v>11.839700000000001</v>
      </c>
      <c r="N94" s="582">
        <v>12.5937</v>
      </c>
      <c r="O94" s="582">
        <v>12.2355</v>
      </c>
      <c r="P94" s="582">
        <v>99.160700000000006</v>
      </c>
      <c r="Q94" s="582">
        <v>10.139126114578362</v>
      </c>
      <c r="R94" s="582">
        <v>1.1294738854216377</v>
      </c>
      <c r="S94" s="582">
        <v>2.3505738854216389</v>
      </c>
      <c r="T94" s="582">
        <v>2.6445738854216385</v>
      </c>
      <c r="U94" s="582">
        <v>2.3663738854216381</v>
      </c>
      <c r="W94" s="580">
        <v>41649</v>
      </c>
      <c r="X94" s="582">
        <f t="shared" si="81"/>
        <v>0.70423257056008393</v>
      </c>
      <c r="Y94" s="582">
        <f t="shared" si="81"/>
        <v>1.8001171859446994</v>
      </c>
      <c r="Z94" s="582">
        <f t="shared" si="81"/>
        <v>2.0558710320985463</v>
      </c>
      <c r="AA94" s="582">
        <f t="shared" si="81"/>
        <v>1.8872094936370074</v>
      </c>
      <c r="AB94" s="606"/>
      <c r="AC94" s="444">
        <f t="shared" si="73"/>
        <v>2.2333881491279572E-2</v>
      </c>
      <c r="AD94" s="440">
        <f t="shared" si="74"/>
        <v>2.7241573798971741E-2</v>
      </c>
      <c r="AE94" s="440">
        <f t="shared" si="75"/>
        <v>2.7680035337434017E-2</v>
      </c>
      <c r="AF94" s="443">
        <f t="shared" si="76"/>
        <v>1.7426189183587626E-2</v>
      </c>
      <c r="AG94" s="633">
        <v>41649</v>
      </c>
      <c r="AH94" s="562">
        <v>0</v>
      </c>
      <c r="AI94" s="513">
        <v>-1.5879035442680625E-4</v>
      </c>
      <c r="AJ94" s="513">
        <v>-4.8305804694672872E-3</v>
      </c>
      <c r="AK94" s="572">
        <v>0</v>
      </c>
      <c r="AL94" s="634"/>
      <c r="AM94" s="444">
        <v>-9.1700000000000003E-6</v>
      </c>
      <c r="AN94" s="440">
        <v>-1.0499999999999999E-5</v>
      </c>
      <c r="AO94" s="440">
        <v>-1.2E-5</v>
      </c>
      <c r="AP94" s="443">
        <v>-6.8499999999999996E-6</v>
      </c>
      <c r="AR94" s="444">
        <f t="shared" si="99"/>
        <v>1.3204800000000001E-2</v>
      </c>
      <c r="AS94" s="440">
        <f t="shared" si="99"/>
        <v>1.512E-2</v>
      </c>
      <c r="AT94" s="440">
        <f t="shared" si="99"/>
        <v>1.728E-2</v>
      </c>
      <c r="AU94" s="443">
        <f t="shared" si="99"/>
        <v>9.8639999999999995E-3</v>
      </c>
      <c r="AV94" s="633">
        <v>41649</v>
      </c>
      <c r="AW94" s="644"/>
      <c r="AX94" s="608">
        <v>0</v>
      </c>
      <c r="AY94" s="444">
        <f t="shared" si="101"/>
        <v>9.1290814912795715E-3</v>
      </c>
      <c r="AZ94" s="440">
        <f>AD94-AS94</f>
        <v>1.2121573798971741E-2</v>
      </c>
      <c r="BA94" s="440">
        <f t="shared" si="102"/>
        <v>1.0400035337434017E-2</v>
      </c>
      <c r="BB94" s="443">
        <f t="shared" si="103"/>
        <v>7.5621891835876264E-3</v>
      </c>
      <c r="BC94" s="608">
        <f t="shared" si="77"/>
        <v>7.5621891835876268E-2</v>
      </c>
      <c r="BD94" s="627" t="s">
        <v>532</v>
      </c>
      <c r="BE94" s="580">
        <v>41649</v>
      </c>
      <c r="BF94" s="444">
        <f t="shared" si="78"/>
        <v>3.7661460849113859</v>
      </c>
      <c r="BG94" s="440">
        <f>DS94*10</f>
        <v>12.544981029107049</v>
      </c>
      <c r="BH94" s="440">
        <f t="shared" si="79"/>
        <v>7.4837460849106519</v>
      </c>
      <c r="BI94" s="443">
        <f t="shared" si="80"/>
        <v>2.5341460849097008</v>
      </c>
      <c r="BJ94" s="658"/>
      <c r="BK94" s="444">
        <v>9.129081491279571</v>
      </c>
      <c r="BL94" s="440">
        <v>12.121573798971742</v>
      </c>
      <c r="BM94" s="440">
        <v>10.400035337434018</v>
      </c>
      <c r="BN94" s="443">
        <v>7.5621891835876269</v>
      </c>
      <c r="BO94" s="353">
        <v>77</v>
      </c>
      <c r="BP94" s="353">
        <f t="shared" si="82"/>
        <v>15.4</v>
      </c>
      <c r="BQ94" s="610">
        <f t="shared" si="83"/>
        <v>55</v>
      </c>
      <c r="BR94" s="610">
        <f t="shared" si="84"/>
        <v>20.810810810810811</v>
      </c>
      <c r="BT94" s="648"/>
      <c r="BU94" s="648"/>
      <c r="BV94" s="648"/>
      <c r="BW94" s="648"/>
      <c r="BX94" s="648"/>
      <c r="BY94" s="616" t="s">
        <v>400</v>
      </c>
      <c r="BZ94" s="617">
        <v>29</v>
      </c>
      <c r="CA94" s="608">
        <v>0.08</v>
      </c>
      <c r="CB94" s="608">
        <f t="shared" si="85"/>
        <v>0.8</v>
      </c>
      <c r="CC94" s="353">
        <v>77</v>
      </c>
      <c r="CD94" s="631">
        <f t="shared" si="86"/>
        <v>346.10000000000008</v>
      </c>
      <c r="CN94" s="632" t="s">
        <v>512</v>
      </c>
      <c r="CO94" s="580">
        <f>'[3]Plots R2&gt;.75 - UPDATED'!R91</f>
        <v>41650</v>
      </c>
      <c r="CP94" s="620"/>
      <c r="CQ94" s="633">
        <v>41650</v>
      </c>
      <c r="CR94" s="641">
        <v>28182.814043652488</v>
      </c>
      <c r="CS94" s="642">
        <v>76500.237609492615</v>
      </c>
      <c r="CT94" s="642">
        <v>41479.263788799421</v>
      </c>
      <c r="CU94" s="643">
        <v>18347.085971215794</v>
      </c>
      <c r="CV94" s="572">
        <f t="shared" si="93"/>
        <v>1.0729943416282393</v>
      </c>
      <c r="CW94" s="572">
        <f t="shared" si="64"/>
        <v>0.24748565837176084</v>
      </c>
      <c r="CX94" s="513">
        <f t="shared" si="94"/>
        <v>0.39529288986479744</v>
      </c>
      <c r="CY94" s="513">
        <f>IF(ABS(DW95)&lt;=CX94,0,IF(DW95&gt;0,DW95-CX94,DW95+CX94))</f>
        <v>1.1008280746925221</v>
      </c>
      <c r="CZ94" s="513">
        <f t="shared" si="100"/>
        <v>0.7290389760525513</v>
      </c>
      <c r="DA94" s="513">
        <f t="shared" si="66"/>
        <v>0.51590297700071996</v>
      </c>
      <c r="DB94" s="572">
        <f t="shared" si="88"/>
        <v>1.6482181446929856</v>
      </c>
      <c r="DC94" s="572">
        <f t="shared" si="67"/>
        <v>0</v>
      </c>
      <c r="DD94" s="653"/>
      <c r="DE94" s="299">
        <v>41648</v>
      </c>
      <c r="DF94" s="463">
        <v>3.0220631911468221</v>
      </c>
      <c r="DG94" s="463">
        <v>6.208914233810984</v>
      </c>
      <c r="DH94" s="463">
        <v>4.4033074659239322</v>
      </c>
      <c r="DI94" s="463">
        <v>1.9761578374170774</v>
      </c>
      <c r="DJ94" s="528">
        <v>0.37661460849113859</v>
      </c>
      <c r="DK94" s="528"/>
      <c r="DL94" s="528">
        <v>0.74837460849106519</v>
      </c>
      <c r="DM94" s="546">
        <v>0.25341460849097008</v>
      </c>
      <c r="DN94" s="528">
        <f t="shared" si="95"/>
        <v>3.7661460849113859</v>
      </c>
      <c r="DO94" s="528">
        <f t="shared" si="96"/>
        <v>0</v>
      </c>
      <c r="DP94" s="528">
        <f t="shared" si="97"/>
        <v>7.4837460849106519</v>
      </c>
      <c r="DQ94" s="528">
        <f t="shared" si="98"/>
        <v>2.5341460849097008</v>
      </c>
      <c r="DR94" s="463">
        <v>0.37661460849113859</v>
      </c>
      <c r="DS94" s="463">
        <v>1.254498102910705</v>
      </c>
      <c r="DT94" s="463">
        <v>0.74837460849106519</v>
      </c>
      <c r="DU94" s="463">
        <v>0.25341460849097008</v>
      </c>
      <c r="DV94" s="463">
        <v>1.3449600000000002</v>
      </c>
      <c r="DW94" s="463">
        <v>-0.60032232136566965</v>
      </c>
      <c r="DX94" s="463">
        <v>1.337378577976011</v>
      </c>
      <c r="DY94" s="463">
        <v>1.3881599999999998</v>
      </c>
      <c r="DZ94" s="463">
        <v>1.3449600000000002</v>
      </c>
      <c r="EA94" s="463">
        <v>-0.60032232136566965</v>
      </c>
      <c r="EB94" s="463">
        <v>1.337378577976011</v>
      </c>
      <c r="EC94" s="463">
        <v>1.3881599999999998</v>
      </c>
      <c r="ED94" s="463">
        <f t="shared" si="89"/>
        <v>13.449600000000002</v>
      </c>
      <c r="EE94" s="463">
        <f t="shared" si="90"/>
        <v>-6.0032232136566961</v>
      </c>
      <c r="EF94" s="463">
        <f t="shared" si="91"/>
        <v>13.373785779760111</v>
      </c>
      <c r="EG94" s="463">
        <f t="shared" si="92"/>
        <v>13.881599999999999</v>
      </c>
      <c r="EH94" s="528">
        <f>'[3]Plots R2&gt;.75 - UPDATED'!S91</f>
        <v>0.681747092355661</v>
      </c>
      <c r="EI94" s="528">
        <f>'[3]Plots R2&gt;.75 - UPDATED'!T91</f>
        <v>1.7729470923556627</v>
      </c>
      <c r="EJ94" s="528">
        <f>'[3]Plots R2&gt;.75 - UPDATED'!U91</f>
        <v>2.0289470923556623</v>
      </c>
      <c r="EK94" s="546">
        <f>'[3]Plots R2&gt;.75 - UPDATED'!V91</f>
        <v>1.5800470923556609</v>
      </c>
      <c r="EL94" s="676">
        <v>0</v>
      </c>
      <c r="EM94" s="495">
        <v>0</v>
      </c>
      <c r="EN94" s="299">
        <v>41648</v>
      </c>
      <c r="EO94" s="528">
        <v>0.681747092355661</v>
      </c>
      <c r="EP94" s="528">
        <v>1.7729470923556627</v>
      </c>
      <c r="EQ94" s="528">
        <v>2.0289470923556623</v>
      </c>
      <c r="ER94" s="546">
        <v>1.5800470923556609</v>
      </c>
      <c r="GN94" s="640"/>
      <c r="GO94" s="640"/>
      <c r="GP94" s="640"/>
      <c r="GQ94" s="640"/>
      <c r="GR94" s="640"/>
      <c r="GS94" s="640"/>
      <c r="GT94" s="640"/>
      <c r="GU94" s="640"/>
      <c r="GV94" s="640"/>
      <c r="HF94" s="560">
        <v>0.76517317549393415</v>
      </c>
      <c r="HG94" s="560">
        <v>0</v>
      </c>
      <c r="HH94" s="513">
        <v>0.26060139890384199</v>
      </c>
      <c r="HI94" s="513">
        <v>1.3121790150977046</v>
      </c>
      <c r="HJ94" s="515">
        <v>0.56022495142958895</v>
      </c>
      <c r="HK94" s="515">
        <v>1.734283286943014</v>
      </c>
      <c r="HL94" s="602">
        <v>1.0540858812534593</v>
      </c>
      <c r="HM94" s="602">
        <v>1.7971141187465407</v>
      </c>
    </row>
    <row r="95" spans="10:221" ht="16">
      <c r="J95" s="580">
        <v>41632</v>
      </c>
      <c r="K95" s="581">
        <v>0</v>
      </c>
      <c r="L95" s="582">
        <v>11.4305</v>
      </c>
      <c r="M95" s="582">
        <v>11.804500000000001</v>
      </c>
      <c r="N95" s="582">
        <v>12.565300000000001</v>
      </c>
      <c r="O95" s="582">
        <v>12.1854</v>
      </c>
      <c r="P95" s="582">
        <v>99.195499999999996</v>
      </c>
      <c r="Q95" s="582">
        <v>10.142684395114777</v>
      </c>
      <c r="R95" s="582">
        <v>1.1028156048852229</v>
      </c>
      <c r="S95" s="582">
        <v>2.3118156048852239</v>
      </c>
      <c r="T95" s="582">
        <v>2.6126156048852236</v>
      </c>
      <c r="U95" s="582">
        <v>2.3127156048852222</v>
      </c>
      <c r="W95" s="580">
        <v>41650</v>
      </c>
      <c r="X95" s="582">
        <f t="shared" si="81"/>
        <v>0.68189868906880435</v>
      </c>
      <c r="Y95" s="582">
        <f t="shared" si="81"/>
        <v>1.7728756121457276</v>
      </c>
      <c r="Z95" s="582">
        <f t="shared" si="81"/>
        <v>2.0281909967611123</v>
      </c>
      <c r="AA95" s="582">
        <f t="shared" si="81"/>
        <v>1.8697833044534198</v>
      </c>
      <c r="AB95" s="606"/>
      <c r="AC95" s="444">
        <f t="shared" si="73"/>
        <v>2.386081263055595E-2</v>
      </c>
      <c r="AD95" s="440">
        <f t="shared" si="74"/>
        <v>0.6082300433997867</v>
      </c>
      <c r="AE95" s="440">
        <f t="shared" si="75"/>
        <v>2.8214658784402546E-2</v>
      </c>
      <c r="AF95" s="443">
        <f t="shared" si="76"/>
        <v>1.5160812630555798E-2</v>
      </c>
      <c r="AG95" s="633">
        <v>41650</v>
      </c>
      <c r="AH95" s="562">
        <v>0</v>
      </c>
      <c r="AI95" s="513">
        <v>-9.2891549813177708E-5</v>
      </c>
      <c r="AJ95" s="513">
        <v>-4.5847980658407263E-3</v>
      </c>
      <c r="AK95" s="572">
        <v>0</v>
      </c>
      <c r="AL95" s="634"/>
      <c r="AM95" s="444">
        <v>-3.5700000000000001E-6</v>
      </c>
      <c r="AN95" s="440">
        <v>-5.6400000000000002E-6</v>
      </c>
      <c r="AO95" s="440">
        <v>-1.04E-5</v>
      </c>
      <c r="AP95" s="443">
        <v>-4.42E-6</v>
      </c>
      <c r="AR95" s="444">
        <f t="shared" si="99"/>
        <v>5.1408000000000001E-3</v>
      </c>
      <c r="AS95" s="440">
        <f t="shared" si="99"/>
        <v>8.1215999999999997E-3</v>
      </c>
      <c r="AT95" s="440">
        <f t="shared" si="99"/>
        <v>1.4976E-2</v>
      </c>
      <c r="AU95" s="443">
        <f t="shared" si="99"/>
        <v>6.3648000000000003E-3</v>
      </c>
      <c r="AV95" s="633">
        <v>41650</v>
      </c>
      <c r="AW95" s="644"/>
      <c r="AX95" s="608">
        <v>0</v>
      </c>
      <c r="AY95" s="444">
        <f t="shared" si="101"/>
        <v>1.8720012630555949E-2</v>
      </c>
      <c r="AZ95" s="440">
        <f>AD95-AS95</f>
        <v>0.60010844339978675</v>
      </c>
      <c r="BA95" s="440">
        <f t="shared" si="102"/>
        <v>1.3238658784402547E-2</v>
      </c>
      <c r="BB95" s="443">
        <f t="shared" si="103"/>
        <v>8.7960126305557974E-3</v>
      </c>
      <c r="BC95" s="608">
        <f t="shared" si="77"/>
        <v>8.7960126305557967E-2</v>
      </c>
      <c r="BD95" s="627" t="s">
        <v>533</v>
      </c>
      <c r="BE95" s="580">
        <v>41650</v>
      </c>
      <c r="BF95" s="444">
        <f t="shared" si="78"/>
        <v>9.3986742722731602</v>
      </c>
      <c r="BG95" s="440">
        <f>DS95*10</f>
        <v>12.383474272270622</v>
      </c>
      <c r="BH95" s="440">
        <f t="shared" si="79"/>
        <v>9.3234742722727209</v>
      </c>
      <c r="BI95" s="443">
        <f t="shared" si="80"/>
        <v>7.3394742722733124</v>
      </c>
      <c r="BJ95" s="658"/>
      <c r="BK95" s="444">
        <v>18.720012630555949</v>
      </c>
      <c r="BL95" s="440"/>
      <c r="BM95" s="440">
        <v>13.238658784402546</v>
      </c>
      <c r="BN95" s="443">
        <v>8.7960126305557971</v>
      </c>
      <c r="BO95" s="353">
        <v>74</v>
      </c>
      <c r="BP95" s="353">
        <f t="shared" si="82"/>
        <v>14.8</v>
      </c>
      <c r="BQ95" s="610">
        <f t="shared" si="83"/>
        <v>52.857142857142861</v>
      </c>
      <c r="BR95" s="610">
        <f t="shared" si="84"/>
        <v>20</v>
      </c>
      <c r="BT95" s="648"/>
      <c r="BU95" s="648"/>
      <c r="BV95" s="648"/>
      <c r="BW95" s="648"/>
      <c r="BX95" s="648"/>
      <c r="BY95" s="616" t="s">
        <v>403</v>
      </c>
      <c r="BZ95" s="617">
        <v>29</v>
      </c>
      <c r="CA95" s="608">
        <v>0</v>
      </c>
      <c r="CB95" s="608">
        <f t="shared" si="85"/>
        <v>0</v>
      </c>
      <c r="CC95" s="353">
        <v>72</v>
      </c>
      <c r="CD95" s="631">
        <f t="shared" si="86"/>
        <v>346.10000000000008</v>
      </c>
      <c r="CN95" s="632" t="s">
        <v>513</v>
      </c>
      <c r="CO95" s="580">
        <f>'[3]Plots R2&gt;.75 - UPDATED'!R92</f>
        <v>41651</v>
      </c>
      <c r="CP95" s="620"/>
      <c r="CQ95" s="633">
        <v>41651</v>
      </c>
      <c r="CR95" s="641">
        <v>27093.360807291225</v>
      </c>
      <c r="CS95" s="642">
        <v>22772.083348790744</v>
      </c>
      <c r="CT95" s="642">
        <v>40429.703001468297</v>
      </c>
      <c r="CU95" s="643">
        <v>17764.312043862301</v>
      </c>
      <c r="CV95" s="572">
        <f t="shared" si="93"/>
        <v>1.1161406004626035</v>
      </c>
      <c r="CW95" s="572">
        <f t="shared" si="64"/>
        <v>0</v>
      </c>
      <c r="CX95" s="572">
        <f t="shared" si="94"/>
        <v>1.3279417406315535</v>
      </c>
      <c r="CY95" s="572">
        <f>IF(ABS(DW96)&lt;=CX95,0,IF(DW96&gt;0,DW96-CX95,DW96+CX95))</f>
        <v>0</v>
      </c>
      <c r="CZ95" s="513">
        <f t="shared" si="100"/>
        <v>0.74796493060811664</v>
      </c>
      <c r="DA95" s="513">
        <f t="shared" si="66"/>
        <v>0.29115526280781068</v>
      </c>
      <c r="DB95" s="572">
        <f t="shared" si="88"/>
        <v>1.7022893949021876</v>
      </c>
      <c r="DC95" s="572">
        <f t="shared" si="67"/>
        <v>0</v>
      </c>
      <c r="DD95" s="622"/>
      <c r="DE95" s="299">
        <v>41649</v>
      </c>
      <c r="DF95" s="463">
        <v>2.9997519792274656</v>
      </c>
      <c r="DG95" s="463">
        <v>8.0835587765657895</v>
      </c>
      <c r="DH95" s="463">
        <v>4.3422669197206387</v>
      </c>
      <c r="DI95" s="463">
        <v>1.9629334554875872</v>
      </c>
      <c r="DJ95" s="528">
        <v>0.93986742722731598</v>
      </c>
      <c r="DK95" s="528">
        <v>1.2383474272270623</v>
      </c>
      <c r="DL95" s="528">
        <v>0.93234742722727204</v>
      </c>
      <c r="DM95" s="546">
        <v>0.73394742722733119</v>
      </c>
      <c r="DN95" s="528">
        <f t="shared" si="95"/>
        <v>9.3986742722731602</v>
      </c>
      <c r="DO95" s="528">
        <f t="shared" si="96"/>
        <v>12.383474272270622</v>
      </c>
      <c r="DP95" s="528">
        <f t="shared" si="97"/>
        <v>9.3234742722727209</v>
      </c>
      <c r="DQ95" s="528">
        <f t="shared" si="98"/>
        <v>7.3394742722733124</v>
      </c>
      <c r="DR95" s="463">
        <v>0.93986742722731598</v>
      </c>
      <c r="DS95" s="463">
        <v>1.2383474272270623</v>
      </c>
      <c r="DT95" s="463">
        <v>0.93234742722727204</v>
      </c>
      <c r="DU95" s="463">
        <v>0.73394742722733119</v>
      </c>
      <c r="DV95" s="463">
        <v>1.3204800000000001</v>
      </c>
      <c r="DW95" s="463">
        <v>1.4961209645573195</v>
      </c>
      <c r="DX95" s="463">
        <v>1.2449419530532713</v>
      </c>
      <c r="DY95" s="463">
        <v>0.98639999999999994</v>
      </c>
      <c r="DZ95" s="463">
        <v>1.3204800000000001</v>
      </c>
      <c r="EA95" s="463">
        <v>1.4961209645573195</v>
      </c>
      <c r="EB95" s="463">
        <v>1.2449419530532713</v>
      </c>
      <c r="EC95" s="463">
        <v>0.98639999999999994</v>
      </c>
      <c r="ED95" s="463">
        <f t="shared" si="89"/>
        <v>13.204800000000001</v>
      </c>
      <c r="EE95" s="463">
        <f t="shared" si="90"/>
        <v>14.961209645573195</v>
      </c>
      <c r="EF95" s="463">
        <f t="shared" si="91"/>
        <v>12.449419530532712</v>
      </c>
      <c r="EG95" s="463">
        <f t="shared" si="92"/>
        <v>9.863999999999999</v>
      </c>
      <c r="EH95" s="528">
        <f>'[3]Plots R2&gt;.75 - UPDATED'!S92</f>
        <v>0.65773114369861618</v>
      </c>
      <c r="EI95" s="528">
        <f>'[3]Plots R2&gt;.75 - UPDATED'!T92</f>
        <v>1.1646311436986172</v>
      </c>
      <c r="EJ95" s="528">
        <f>'[3]Plots R2&gt;.75 - UPDATED'!U92</f>
        <v>2.0001311436986162</v>
      </c>
      <c r="EK95" s="546">
        <f>'[3]Plots R2&gt;.75 - UPDATED'!V92</f>
        <v>1.5642311436986165</v>
      </c>
      <c r="EL95" s="676">
        <v>0</v>
      </c>
      <c r="EM95" s="495">
        <v>0</v>
      </c>
      <c r="EN95" s="299">
        <v>41649</v>
      </c>
      <c r="EO95" s="528">
        <v>0.65773114369861618</v>
      </c>
      <c r="EP95" s="528">
        <v>1.1646311436986172</v>
      </c>
      <c r="EQ95" s="528">
        <v>2.0001311436986162</v>
      </c>
      <c r="ER95" s="546">
        <v>1.5642311436986165</v>
      </c>
      <c r="GN95" s="640"/>
      <c r="GO95" s="640"/>
      <c r="GP95" s="640"/>
      <c r="GQ95" s="640"/>
      <c r="GR95" s="640"/>
      <c r="GS95" s="640"/>
      <c r="GT95" s="640"/>
      <c r="GU95" s="640"/>
      <c r="GV95" s="640"/>
      <c r="HF95" s="560">
        <v>0.78413284045114506</v>
      </c>
      <c r="HG95" s="560">
        <v>0</v>
      </c>
      <c r="HH95" s="513">
        <v>0.27744574203420114</v>
      </c>
      <c r="HI95" s="513">
        <v>1.6888291754125253</v>
      </c>
      <c r="HJ95" s="515">
        <v>0.58128750015319541</v>
      </c>
      <c r="HK95" s="515">
        <v>2.6606984053449052</v>
      </c>
      <c r="HL95" s="602">
        <v>1.1275050750157665</v>
      </c>
      <c r="HM95" s="602">
        <v>1.4500949249842334</v>
      </c>
    </row>
    <row r="96" spans="10:221" ht="16">
      <c r="J96" s="580">
        <v>41633</v>
      </c>
      <c r="K96" s="581">
        <v>0</v>
      </c>
      <c r="L96" s="582">
        <v>11.413500000000001</v>
      </c>
      <c r="M96" s="582">
        <v>11.7768</v>
      </c>
      <c r="N96" s="582">
        <v>12.5381</v>
      </c>
      <c r="O96" s="582">
        <v>12.146699999999999</v>
      </c>
      <c r="P96" s="582">
        <v>99.267600000000002</v>
      </c>
      <c r="Q96" s="582">
        <v>10.150056579789362</v>
      </c>
      <c r="R96" s="582">
        <v>1.0784434202106383</v>
      </c>
      <c r="S96" s="582">
        <v>2.2767434202106376</v>
      </c>
      <c r="T96" s="582">
        <v>2.5780434202106379</v>
      </c>
      <c r="U96" s="582">
        <v>2.2666434202106367</v>
      </c>
      <c r="W96" s="580">
        <v>41651</v>
      </c>
      <c r="X96" s="582">
        <f t="shared" si="81"/>
        <v>0.6580378764382484</v>
      </c>
      <c r="Y96" s="582">
        <f t="shared" si="81"/>
        <v>1.1646455687459409</v>
      </c>
      <c r="Z96" s="582">
        <f t="shared" si="81"/>
        <v>1.9999763379767097</v>
      </c>
      <c r="AA96" s="582">
        <f t="shared" si="81"/>
        <v>1.854622491822864</v>
      </c>
      <c r="AB96" s="606"/>
      <c r="AC96" s="444">
        <f t="shared" si="73"/>
        <v>4.4967484847758032E-2</v>
      </c>
      <c r="AD96" s="445">
        <f t="shared" si="74"/>
        <v>4.6005946386219465E-2</v>
      </c>
      <c r="AE96" s="440">
        <f t="shared" si="75"/>
        <v>2.8298254078527263E-2</v>
      </c>
      <c r="AF96" s="443">
        <f t="shared" si="76"/>
        <v>1.7298254078527142E-2</v>
      </c>
      <c r="AG96" s="633">
        <v>41651</v>
      </c>
      <c r="AH96" s="562">
        <v>0</v>
      </c>
      <c r="AI96" s="572"/>
      <c r="AJ96" s="513">
        <v>-4.3039197883014014E-3</v>
      </c>
      <c r="AK96" s="572">
        <v>0</v>
      </c>
      <c r="AL96" s="634"/>
      <c r="AM96" s="444">
        <v>-2.0999999999999998E-6</v>
      </c>
      <c r="AN96" s="443">
        <v>-1.33E-5</v>
      </c>
      <c r="AO96" s="440">
        <v>-1.0200000000000001E-5</v>
      </c>
      <c r="AP96" s="443">
        <v>-4.07E-6</v>
      </c>
      <c r="AR96" s="444">
        <f t="shared" si="99"/>
        <v>3.0239999999999998E-3</v>
      </c>
      <c r="AS96" s="443">
        <f t="shared" si="99"/>
        <v>1.9151999999999999E-2</v>
      </c>
      <c r="AT96" s="440">
        <f t="shared" si="99"/>
        <v>1.4688000000000001E-2</v>
      </c>
      <c r="AU96" s="443">
        <f t="shared" si="99"/>
        <v>5.8608000000000002E-3</v>
      </c>
      <c r="AV96" s="633">
        <v>41651</v>
      </c>
      <c r="AW96" s="644"/>
      <c r="AX96" s="608">
        <v>0</v>
      </c>
      <c r="AY96" s="444">
        <f t="shared" si="101"/>
        <v>4.1943484847758034E-2</v>
      </c>
      <c r="AZ96" s="443">
        <f>AD96-AS96</f>
        <v>2.6853946386219466E-2</v>
      </c>
      <c r="BA96" s="440">
        <f t="shared" si="102"/>
        <v>1.3610254078527262E-2</v>
      </c>
      <c r="BB96" s="443">
        <f t="shared" si="103"/>
        <v>1.1437454078527143E-2</v>
      </c>
      <c r="BC96" s="608">
        <f t="shared" si="77"/>
        <v>0.11437454078527143</v>
      </c>
      <c r="BD96" s="627" t="s">
        <v>534</v>
      </c>
      <c r="BE96" s="580">
        <v>41651</v>
      </c>
      <c r="BF96" s="444">
        <f t="shared" si="78"/>
        <v>18.875148657044818</v>
      </c>
      <c r="BG96" s="443">
        <f>DS96*10</f>
        <v>13.065275856021948</v>
      </c>
      <c r="BH96" s="440">
        <f t="shared" si="79"/>
        <v>13.839948657046063</v>
      </c>
      <c r="BI96" s="443">
        <f t="shared" si="80"/>
        <v>9.4511486570443868</v>
      </c>
      <c r="BJ96" s="658"/>
      <c r="BK96" s="444">
        <v>41.943484847758029</v>
      </c>
      <c r="BL96" s="443"/>
      <c r="BM96" s="440">
        <v>13.610254078527262</v>
      </c>
      <c r="BN96" s="443">
        <v>11.437454078527143</v>
      </c>
      <c r="BO96" s="353">
        <v>74</v>
      </c>
      <c r="BP96" s="353">
        <f t="shared" si="82"/>
        <v>14.8</v>
      </c>
      <c r="BQ96" s="610">
        <f t="shared" si="83"/>
        <v>52.857142857142861</v>
      </c>
      <c r="BR96" s="610">
        <f t="shared" si="84"/>
        <v>20</v>
      </c>
      <c r="BT96" s="648"/>
      <c r="BU96" s="648"/>
      <c r="BV96" s="648"/>
      <c r="BW96" s="648"/>
      <c r="BX96" s="648"/>
      <c r="BY96" s="616" t="s">
        <v>406</v>
      </c>
      <c r="BZ96" s="617">
        <v>29</v>
      </c>
      <c r="CA96" s="608">
        <v>0</v>
      </c>
      <c r="CB96" s="608">
        <f t="shared" si="85"/>
        <v>0</v>
      </c>
      <c r="CC96" s="353">
        <v>66</v>
      </c>
      <c r="CD96" s="631">
        <f t="shared" si="86"/>
        <v>346.10000000000008</v>
      </c>
      <c r="CN96" s="632" t="s">
        <v>514</v>
      </c>
      <c r="CO96" s="580">
        <f>'[3]Plots R2&gt;.75 - UPDATED'!R93</f>
        <v>41652</v>
      </c>
      <c r="CP96" s="620"/>
      <c r="CQ96" s="633">
        <v>41652</v>
      </c>
      <c r="CR96" s="641">
        <v>25044.629238887272</v>
      </c>
      <c r="CS96" s="642">
        <v>20263.327977559962</v>
      </c>
      <c r="CT96" s="642">
        <v>39410.43958545124</v>
      </c>
      <c r="CU96" s="643">
        <v>17159.290733026261</v>
      </c>
      <c r="CV96" s="450">
        <f t="shared" si="93"/>
        <v>1.2074445068264688</v>
      </c>
      <c r="CW96" s="450">
        <f t="shared" si="64"/>
        <v>0</v>
      </c>
      <c r="CX96" s="572">
        <f t="shared" si="94"/>
        <v>1.4923511100194604</v>
      </c>
      <c r="CY96" s="572">
        <f>IF(ABS(DW97)&lt;=CX96,0,IF(DW97&gt;0,DW97-CX96,DW97+CX96))</f>
        <v>0</v>
      </c>
      <c r="CZ96" s="513">
        <f t="shared" si="100"/>
        <v>0.7673093809175221</v>
      </c>
      <c r="DA96" s="513">
        <f t="shared" si="66"/>
        <v>0.27109864025233799</v>
      </c>
      <c r="DB96" s="572">
        <f t="shared" si="88"/>
        <v>1.7623106030715749</v>
      </c>
      <c r="DC96" s="572">
        <f t="shared" si="67"/>
        <v>0</v>
      </c>
      <c r="DD96" s="622"/>
      <c r="DE96" s="299">
        <v>41650</v>
      </c>
      <c r="DF96" s="463">
        <v>2.9211682423382408</v>
      </c>
      <c r="DG96" s="463">
        <v>7.9972414856831602</v>
      </c>
      <c r="DH96" s="463">
        <v>4.2458776899379771</v>
      </c>
      <c r="DI96" s="463">
        <v>1.8995783249573752</v>
      </c>
      <c r="DJ96" s="528">
        <v>1.8875148657044818</v>
      </c>
      <c r="DK96" s="528"/>
      <c r="DL96" s="528">
        <v>1.3839948657046064</v>
      </c>
      <c r="DM96" s="546">
        <v>0.9451148657044387</v>
      </c>
      <c r="DN96" s="528">
        <f t="shared" si="95"/>
        <v>18.875148657044818</v>
      </c>
      <c r="DO96" s="528">
        <f t="shared" si="96"/>
        <v>0</v>
      </c>
      <c r="DP96" s="528">
        <f t="shared" si="97"/>
        <v>13.839948657046063</v>
      </c>
      <c r="DQ96" s="528">
        <f t="shared" si="98"/>
        <v>9.4511486570443868</v>
      </c>
      <c r="DR96" s="463">
        <v>1.8875148657044818</v>
      </c>
      <c r="DS96" s="463">
        <v>1.3065275856021947</v>
      </c>
      <c r="DT96" s="463">
        <v>1.3839948657046064</v>
      </c>
      <c r="DU96" s="463">
        <v>0.9451148657044387</v>
      </c>
      <c r="DV96" s="463">
        <v>0.51407999999999987</v>
      </c>
      <c r="DW96" s="463">
        <v>-0.52110750501723047</v>
      </c>
      <c r="DX96" s="463">
        <v>1.0391201934159273</v>
      </c>
      <c r="DY96" s="463">
        <v>0.63648000000000005</v>
      </c>
      <c r="DZ96" s="463">
        <v>0.51407999999999987</v>
      </c>
      <c r="EA96" s="463">
        <v>-0.52110750501723047</v>
      </c>
      <c r="EB96" s="463">
        <v>1.0391201934159273</v>
      </c>
      <c r="EC96" s="463">
        <v>0.63648000000000005</v>
      </c>
      <c r="ED96" s="463">
        <f t="shared" si="89"/>
        <v>5.1407999999999987</v>
      </c>
      <c r="EE96" s="463">
        <f t="shared" si="90"/>
        <v>-5.2110750501723047</v>
      </c>
      <c r="EF96" s="463">
        <f t="shared" si="91"/>
        <v>10.391201934159273</v>
      </c>
      <c r="EG96" s="463">
        <f t="shared" si="92"/>
        <v>6.3648000000000007</v>
      </c>
      <c r="EH96" s="528">
        <f>'[3]Plots R2&gt;.75 - UPDATED'!S93</f>
        <v>0.61232889425791415</v>
      </c>
      <c r="EI96" s="528">
        <f>'[3]Plots R2&gt;.75 - UPDATED'!T93</f>
        <v>1.1184288942579135</v>
      </c>
      <c r="EJ96" s="528">
        <f>'[3]Plots R2&gt;.75 - UPDATED'!U93</f>
        <v>1.9718288942579132</v>
      </c>
      <c r="EK96" s="546">
        <f>'[3]Plots R2&gt;.75 - UPDATED'!V93</f>
        <v>1.5474288942579135</v>
      </c>
      <c r="EL96" s="676">
        <v>0</v>
      </c>
      <c r="EM96" s="495">
        <v>0</v>
      </c>
      <c r="EN96" s="299">
        <v>41650</v>
      </c>
      <c r="EO96" s="528">
        <v>0.61232889425791415</v>
      </c>
      <c r="EP96" s="528">
        <v>1.1184288942579135</v>
      </c>
      <c r="EQ96" s="528">
        <v>1.9718288942579132</v>
      </c>
      <c r="ER96" s="546">
        <v>1.5474288942579135</v>
      </c>
      <c r="GN96" s="640"/>
      <c r="GO96" s="640"/>
      <c r="GP96" s="640"/>
      <c r="GQ96" s="640"/>
      <c r="GR96" s="640"/>
      <c r="GS96" s="640"/>
      <c r="GT96" s="640"/>
      <c r="GU96" s="640"/>
      <c r="GV96" s="640"/>
      <c r="HF96" s="560">
        <v>0.80444527902220841</v>
      </c>
      <c r="HG96" s="560">
        <v>0</v>
      </c>
      <c r="HH96" s="513">
        <v>0.28710639505317503</v>
      </c>
      <c r="HI96" s="513">
        <v>0.70568358235672712</v>
      </c>
      <c r="HJ96" s="515">
        <v>0.59640355074191742</v>
      </c>
      <c r="HK96" s="515">
        <v>0.21665246995239018</v>
      </c>
      <c r="HL96" s="602">
        <v>1.1987773032416595</v>
      </c>
      <c r="HM96" s="602">
        <v>0.5580226967583406</v>
      </c>
    </row>
    <row r="97" spans="10:221" ht="16">
      <c r="J97" s="580">
        <v>41634</v>
      </c>
      <c r="K97" s="581">
        <v>0</v>
      </c>
      <c r="L97" s="582">
        <v>11.3902</v>
      </c>
      <c r="M97" s="582">
        <v>11.745900000000001</v>
      </c>
      <c r="N97" s="582">
        <v>12.5091</v>
      </c>
      <c r="O97" s="582">
        <v>12.1197</v>
      </c>
      <c r="P97" s="582">
        <v>99.304199999999994</v>
      </c>
      <c r="Q97" s="582">
        <v>10.15379890931904</v>
      </c>
      <c r="R97" s="582">
        <v>1.0514010906809603</v>
      </c>
      <c r="S97" s="582">
        <v>2.2421010906809613</v>
      </c>
      <c r="T97" s="582">
        <v>2.5453010906809608</v>
      </c>
      <c r="U97" s="582">
        <v>2.2359010906809602</v>
      </c>
      <c r="W97" s="580">
        <v>41652</v>
      </c>
      <c r="X97" s="582">
        <f t="shared" si="81"/>
        <v>0.61307039159049037</v>
      </c>
      <c r="Y97" s="582">
        <f t="shared" si="81"/>
        <v>1.1186396223597215</v>
      </c>
      <c r="Z97" s="582">
        <f t="shared" si="81"/>
        <v>1.9716780838981824</v>
      </c>
      <c r="AA97" s="582">
        <f t="shared" si="81"/>
        <v>1.8373242377443368</v>
      </c>
      <c r="AB97" s="606"/>
      <c r="AC97" s="446">
        <f t="shared" si="73"/>
        <v>7.670596196869095E-2</v>
      </c>
      <c r="AD97" s="445">
        <f t="shared" si="74"/>
        <v>2.8221346584075269E-2</v>
      </c>
      <c r="AE97" s="440">
        <f t="shared" si="75"/>
        <v>2.6398269660997897E-2</v>
      </c>
      <c r="AF97" s="443">
        <f t="shared" si="76"/>
        <v>1.870596196869112E-2</v>
      </c>
      <c r="AG97" s="633">
        <v>41652</v>
      </c>
      <c r="AH97" s="558">
        <v>0</v>
      </c>
      <c r="AI97" s="572"/>
      <c r="AJ97" s="513">
        <v>-4.0123016535240173E-3</v>
      </c>
      <c r="AK97" s="572">
        <v>0</v>
      </c>
      <c r="AL97" s="634"/>
      <c r="AM97" s="446">
        <v>-2.69E-5</v>
      </c>
      <c r="AN97" s="443">
        <v>-2.1999999999999999E-5</v>
      </c>
      <c r="AO97" s="440">
        <v>-7.7999999999999999E-6</v>
      </c>
      <c r="AP97" s="443">
        <v>-5.4399999999999996E-6</v>
      </c>
      <c r="AR97" s="446">
        <f t="shared" si="99"/>
        <v>3.8736E-2</v>
      </c>
      <c r="AS97" s="443">
        <f t="shared" si="99"/>
        <v>3.168E-2</v>
      </c>
      <c r="AT97" s="440">
        <f t="shared" si="99"/>
        <v>1.1231999999999999E-2</v>
      </c>
      <c r="AU97" s="443">
        <f t="shared" si="99"/>
        <v>7.8335999999999996E-3</v>
      </c>
      <c r="AV97" s="633">
        <v>41652</v>
      </c>
      <c r="AW97" s="644"/>
      <c r="AX97" s="608">
        <v>0</v>
      </c>
      <c r="AY97" s="446">
        <f t="shared" si="101"/>
        <v>3.796996196869095E-2</v>
      </c>
      <c r="AZ97" s="443">
        <f>AD97-AS97</f>
        <v>-3.4586534159247312E-3</v>
      </c>
      <c r="BA97" s="440">
        <f t="shared" si="102"/>
        <v>1.5166269660997898E-2</v>
      </c>
      <c r="BB97" s="443">
        <f t="shared" si="103"/>
        <v>1.0872361968691121E-2</v>
      </c>
      <c r="BC97" s="608">
        <f t="shared" si="77"/>
        <v>0.10872361968691122</v>
      </c>
      <c r="BD97" s="627" t="s">
        <v>535</v>
      </c>
      <c r="BE97" s="580">
        <v>41652</v>
      </c>
      <c r="BF97" s="446"/>
      <c r="BG97" s="443">
        <f>DS97*10</f>
        <v>13.07</v>
      </c>
      <c r="BH97" s="440">
        <f t="shared" si="79"/>
        <v>13.614249440703031</v>
      </c>
      <c r="BI97" s="443">
        <f t="shared" si="80"/>
        <v>10.941449440702966</v>
      </c>
      <c r="BJ97" s="658"/>
      <c r="BK97" s="446"/>
      <c r="BL97" s="443"/>
      <c r="BM97" s="440">
        <v>15.166269660997898</v>
      </c>
      <c r="BN97" s="443">
        <v>10.87236196869112</v>
      </c>
      <c r="BO97" s="353">
        <v>76</v>
      </c>
      <c r="BP97" s="353">
        <f t="shared" si="82"/>
        <v>15.2</v>
      </c>
      <c r="BQ97" s="610">
        <f t="shared" si="83"/>
        <v>54.285714285714292</v>
      </c>
      <c r="BR97" s="610">
        <f t="shared" si="84"/>
        <v>20.54054054054054</v>
      </c>
      <c r="BT97" s="648"/>
      <c r="BU97" s="648"/>
      <c r="BV97" s="648"/>
      <c r="BW97" s="648"/>
      <c r="BX97" s="648"/>
      <c r="BY97" s="616" t="s">
        <v>409</v>
      </c>
      <c r="BZ97" s="617">
        <v>29</v>
      </c>
      <c r="CA97" s="608">
        <v>0</v>
      </c>
      <c r="CB97" s="608">
        <f t="shared" si="85"/>
        <v>0</v>
      </c>
      <c r="CC97" s="353">
        <v>72</v>
      </c>
      <c r="CD97" s="631">
        <f t="shared" si="86"/>
        <v>346.10000000000008</v>
      </c>
      <c r="CN97" s="632" t="s">
        <v>515</v>
      </c>
      <c r="CO97" s="580">
        <f>'[3]Plots R2&gt;.75 - UPDATED'!R94</f>
        <v>41653</v>
      </c>
      <c r="CP97" s="620"/>
      <c r="CQ97" s="633">
        <v>41653</v>
      </c>
      <c r="CR97" s="641">
        <v>21663.362700580241</v>
      </c>
      <c r="CS97" s="642">
        <v>18860.414322402667</v>
      </c>
      <c r="CT97" s="642">
        <v>38442.238869605033</v>
      </c>
      <c r="CU97" s="643">
        <v>16499.822544435912</v>
      </c>
      <c r="CV97" s="450">
        <f t="shared" si="93"/>
        <v>1.3959051703081182</v>
      </c>
      <c r="CW97" s="450">
        <f t="shared" si="64"/>
        <v>2.4776948296918819</v>
      </c>
      <c r="CX97" s="573"/>
      <c r="CY97" s="573"/>
      <c r="CZ97" s="513">
        <f t="shared" si="100"/>
        <v>0.78663472495900166</v>
      </c>
      <c r="DA97" s="513">
        <f t="shared" si="66"/>
        <v>0</v>
      </c>
      <c r="DB97" s="572">
        <f t="shared" si="88"/>
        <v>1.8327469837060497</v>
      </c>
      <c r="DC97" s="572">
        <f t="shared" si="67"/>
        <v>0</v>
      </c>
      <c r="DD97" s="622"/>
      <c r="DE97" s="299">
        <v>41651</v>
      </c>
      <c r="DF97" s="463">
        <v>2.8182814043652487</v>
      </c>
      <c r="DG97" s="463">
        <v>7.6500237609492618</v>
      </c>
      <c r="DH97" s="463">
        <v>4.1479263788799416</v>
      </c>
      <c r="DI97" s="463">
        <v>1.8347085971215795</v>
      </c>
      <c r="DJ97" s="528">
        <v>4.2378249440702032</v>
      </c>
      <c r="DK97" s="528"/>
      <c r="DL97" s="528">
        <v>1.361424944070303</v>
      </c>
      <c r="DM97" s="546">
        <v>1.0941449440702966</v>
      </c>
      <c r="DN97" s="528">
        <f t="shared" si="95"/>
        <v>42.378249440702035</v>
      </c>
      <c r="DO97" s="528">
        <f t="shared" si="96"/>
        <v>0</v>
      </c>
      <c r="DP97" s="528">
        <f t="shared" si="97"/>
        <v>13.614249440703031</v>
      </c>
      <c r="DQ97" s="528">
        <f t="shared" si="98"/>
        <v>10.941449440702966</v>
      </c>
      <c r="DR97" s="463">
        <v>4.2378249440702032</v>
      </c>
      <c r="DS97" s="463">
        <v>1.3069999999999999</v>
      </c>
      <c r="DT97" s="463">
        <v>1.361424944070303</v>
      </c>
      <c r="DU97" s="463">
        <v>1.0941449440702966</v>
      </c>
      <c r="DV97" s="463">
        <v>0.30240000000000045</v>
      </c>
      <c r="DW97" s="463">
        <v>-0.60700000000001042</v>
      </c>
      <c r="DX97" s="463">
        <v>1.0384080211698601</v>
      </c>
      <c r="DY97" s="463">
        <v>0.58607999999999993</v>
      </c>
      <c r="DZ97" s="463">
        <v>0.30240000000000045</v>
      </c>
      <c r="EA97" s="463">
        <v>-0.60700000000001042</v>
      </c>
      <c r="EB97" s="463">
        <v>1.0384080211698601</v>
      </c>
      <c r="EC97" s="463">
        <v>0.58607999999999993</v>
      </c>
      <c r="ED97" s="463">
        <f t="shared" si="89"/>
        <v>3.0240000000000045</v>
      </c>
      <c r="EE97" s="463">
        <f t="shared" si="90"/>
        <v>-6.0700000000001042</v>
      </c>
      <c r="EF97" s="463">
        <f t="shared" si="91"/>
        <v>10.384080211698601</v>
      </c>
      <c r="EG97" s="463">
        <f t="shared" si="92"/>
        <v>5.8607999999999993</v>
      </c>
      <c r="EH97" s="528">
        <f>'[3]Plots R2&gt;.75 - UPDATED'!S94</f>
        <v>0.53664341316156028</v>
      </c>
      <c r="EI97" s="528">
        <f>'[3]Plots R2&gt;.75 - UPDATED'!T94</f>
        <v>1.090943413161561</v>
      </c>
      <c r="EJ97" s="528">
        <f>'[3]Plots R2&gt;.75 - UPDATED'!U94</f>
        <v>1.94464341316156</v>
      </c>
      <c r="EK97" s="546">
        <f>'[3]Plots R2&gt;.75 - UPDATED'!V94</f>
        <v>1.5286434131615603</v>
      </c>
      <c r="EL97" s="676">
        <v>0</v>
      </c>
      <c r="EN97" s="299">
        <v>41651</v>
      </c>
      <c r="EO97" s="528">
        <v>0.53664341316156028</v>
      </c>
      <c r="EP97" s="528">
        <v>1.090943413161561</v>
      </c>
      <c r="EQ97" s="528">
        <v>1.94464341316156</v>
      </c>
      <c r="ER97" s="546">
        <v>1.5286434131615603</v>
      </c>
      <c r="GN97" s="640"/>
      <c r="GO97" s="640"/>
      <c r="GP97" s="640"/>
      <c r="GQ97" s="640"/>
      <c r="GR97" s="640"/>
      <c r="GS97" s="640"/>
      <c r="GT97" s="640"/>
      <c r="GU97" s="640"/>
      <c r="GV97" s="640"/>
      <c r="HF97" s="560">
        <v>0.83519821070765254</v>
      </c>
      <c r="HG97" s="560">
        <v>0</v>
      </c>
      <c r="HH97" s="513">
        <v>0.29695105402378374</v>
      </c>
      <c r="HI97" s="513">
        <v>0.2034688887627718</v>
      </c>
      <c r="HJ97" s="515">
        <v>0.61070832604017267</v>
      </c>
      <c r="HK97" s="515">
        <v>0.24956107363906666</v>
      </c>
      <c r="HL97" s="602">
        <v>1.261054835055486</v>
      </c>
      <c r="HM97" s="602">
        <v>0.62534516494451386</v>
      </c>
    </row>
    <row r="98" spans="10:221" ht="16">
      <c r="J98" s="580">
        <v>41635</v>
      </c>
      <c r="K98" s="581">
        <v>0</v>
      </c>
      <c r="L98" s="582">
        <v>11.345000000000001</v>
      </c>
      <c r="M98" s="582">
        <v>11.694900000000001</v>
      </c>
      <c r="N98" s="582">
        <v>12.4572</v>
      </c>
      <c r="O98" s="582">
        <v>12.085100000000001</v>
      </c>
      <c r="P98" s="582">
        <v>99.159499999999994</v>
      </c>
      <c r="Q98" s="582">
        <v>10.139003415249519</v>
      </c>
      <c r="R98" s="582">
        <v>1.0209965847504816</v>
      </c>
      <c r="S98" s="582">
        <v>2.2058965847504819</v>
      </c>
      <c r="T98" s="582">
        <v>2.5081965847504817</v>
      </c>
      <c r="U98" s="582">
        <v>2.2160965847504817</v>
      </c>
      <c r="W98" s="580">
        <v>41653</v>
      </c>
      <c r="X98" s="582">
        <f t="shared" si="81"/>
        <v>0.53636442962179942</v>
      </c>
      <c r="Y98" s="582">
        <f t="shared" si="81"/>
        <v>1.0904182757756462</v>
      </c>
      <c r="Z98" s="582">
        <f t="shared" si="81"/>
        <v>1.9452798142371845</v>
      </c>
      <c r="AA98" s="582">
        <f t="shared" si="81"/>
        <v>1.8186182757756457</v>
      </c>
      <c r="AB98" s="606"/>
      <c r="AC98" s="446">
        <f>X98-X99</f>
        <v>8.1410555790889516E-2</v>
      </c>
      <c r="AD98" s="437"/>
      <c r="AE98" s="440">
        <f t="shared" ref="AE98:AE129" si="104">Z98-Z99</f>
        <v>2.5825940406274395E-2</v>
      </c>
      <c r="AF98" s="443">
        <f t="shared" ref="AF98:AF129" si="105">AA98-AA99</f>
        <v>1.7995171175504865E-2</v>
      </c>
      <c r="AG98" s="633">
        <v>41653</v>
      </c>
      <c r="AH98" s="558">
        <v>0</v>
      </c>
      <c r="AI98" s="510"/>
      <c r="AJ98" s="513">
        <v>-3.7165768115557042E-3</v>
      </c>
      <c r="AK98" s="572">
        <v>0</v>
      </c>
      <c r="AL98" s="634"/>
      <c r="AM98" s="446">
        <v>-2.97E-5</v>
      </c>
      <c r="AN98" s="437"/>
      <c r="AO98" s="440">
        <v>-1.19E-5</v>
      </c>
      <c r="AP98" s="443">
        <v>-4.3599999999999998E-6</v>
      </c>
      <c r="AR98" s="446">
        <f t="shared" si="99"/>
        <v>4.2768E-2</v>
      </c>
      <c r="AS98" s="437"/>
      <c r="AT98" s="440">
        <f t="shared" si="99"/>
        <v>1.7135999999999998E-2</v>
      </c>
      <c r="AU98" s="443">
        <f t="shared" si="99"/>
        <v>6.2784E-3</v>
      </c>
      <c r="AV98" s="633">
        <v>41653</v>
      </c>
      <c r="AW98" s="644"/>
      <c r="AX98" s="608">
        <v>0</v>
      </c>
      <c r="AY98" s="446">
        <f t="shared" si="101"/>
        <v>3.8642555790889516E-2</v>
      </c>
      <c r="AZ98" s="437"/>
      <c r="BA98" s="440">
        <f t="shared" si="102"/>
        <v>8.6899404062743962E-3</v>
      </c>
      <c r="BB98" s="443">
        <f t="shared" si="103"/>
        <v>1.1716771175504865E-2</v>
      </c>
      <c r="BC98" s="608">
        <f t="shared" si="77"/>
        <v>0.11716771175504864</v>
      </c>
      <c r="BD98" s="627" t="s">
        <v>536</v>
      </c>
      <c r="BE98" s="580">
        <v>41653</v>
      </c>
      <c r="BF98" s="446"/>
      <c r="BG98" s="437"/>
      <c r="BH98" s="440">
        <f t="shared" si="79"/>
        <v>15.953481096353215</v>
      </c>
      <c r="BI98" s="443">
        <f t="shared" si="80"/>
        <v>10.951881096353251</v>
      </c>
      <c r="BJ98" s="658"/>
      <c r="BK98" s="446"/>
      <c r="BL98" s="437"/>
      <c r="BM98" s="440">
        <v>8.6899404062743972</v>
      </c>
      <c r="BN98" s="443">
        <v>11.716771175504865</v>
      </c>
      <c r="BO98" s="353">
        <v>71</v>
      </c>
      <c r="BP98" s="353">
        <f t="shared" si="82"/>
        <v>14.2</v>
      </c>
      <c r="BQ98" s="610">
        <f t="shared" si="83"/>
        <v>50.714285714285715</v>
      </c>
      <c r="BR98" s="610">
        <f t="shared" si="84"/>
        <v>19.189189189189189</v>
      </c>
      <c r="BT98" s="648"/>
      <c r="BU98" s="648"/>
      <c r="BV98" s="648"/>
      <c r="BW98" s="648"/>
      <c r="BX98" s="648"/>
      <c r="BY98" s="616" t="s">
        <v>412</v>
      </c>
      <c r="BZ98" s="617">
        <v>30</v>
      </c>
      <c r="CA98" s="608">
        <v>0</v>
      </c>
      <c r="CB98" s="608">
        <f t="shared" si="85"/>
        <v>0</v>
      </c>
      <c r="CC98" s="353">
        <v>76</v>
      </c>
      <c r="CD98" s="631">
        <f t="shared" si="86"/>
        <v>346.10000000000008</v>
      </c>
      <c r="CN98" s="632" t="s">
        <v>516</v>
      </c>
      <c r="CO98" s="580">
        <f>'[3]Plots R2&gt;.75 - UPDATED'!R95</f>
        <v>41654</v>
      </c>
      <c r="CP98" s="620"/>
      <c r="CQ98" s="633">
        <v>41654</v>
      </c>
      <c r="CR98" s="641">
        <v>18065.042060545358</v>
      </c>
      <c r="CS98" s="642">
        <v>18963.581528896055</v>
      </c>
      <c r="CT98" s="642">
        <v>37563.587287391085</v>
      </c>
      <c r="CU98" s="643">
        <v>15883.346149700894</v>
      </c>
      <c r="CV98" s="572">
        <f t="shared" si="93"/>
        <v>1.6739512644725663</v>
      </c>
      <c r="CW98" s="572">
        <f t="shared" si="64"/>
        <v>0</v>
      </c>
      <c r="CX98" s="573"/>
      <c r="CY98" s="573"/>
      <c r="CZ98" s="513">
        <f t="shared" si="100"/>
        <v>0.80503493366169043</v>
      </c>
      <c r="DA98" s="513">
        <f t="shared" ref="DA98:DA129" si="106">IF(ABS(DX99)&lt;=CZ98,0,IF(DX99&gt;0,DX99-CZ98,DX99+CZ98))</f>
        <v>0.53690738518273906</v>
      </c>
      <c r="DB98" s="572">
        <f t="shared" si="88"/>
        <v>1.9038809401361223</v>
      </c>
      <c r="DC98" s="572">
        <f t="shared" ref="DC98:DC129" si="107">IF(ABS(DY99)&lt;=DB98,0,IF(DY99&gt;0,DY99-DB98,DY99+DB98))</f>
        <v>0</v>
      </c>
      <c r="DD98" s="622"/>
      <c r="DE98" s="299">
        <v>41652</v>
      </c>
      <c r="DF98" s="463">
        <v>2.7093360807291225</v>
      </c>
      <c r="DG98" s="463">
        <v>2.2772083348790746</v>
      </c>
      <c r="DH98" s="463">
        <v>4.0429703001468296</v>
      </c>
      <c r="DI98" s="463">
        <v>1.77643120438623</v>
      </c>
      <c r="DJ98" s="528">
        <v>3.6949481096353867</v>
      </c>
      <c r="DK98" s="528"/>
      <c r="DL98" s="528">
        <v>1.5953481096353215</v>
      </c>
      <c r="DM98" s="546">
        <v>1.0951881096353251</v>
      </c>
      <c r="DN98" s="528">
        <f t="shared" si="95"/>
        <v>36.949481096353864</v>
      </c>
      <c r="DO98" s="528">
        <f t="shared" si="96"/>
        <v>0</v>
      </c>
      <c r="DP98" s="528">
        <f t="shared" si="97"/>
        <v>15.953481096353215</v>
      </c>
      <c r="DQ98" s="528">
        <f t="shared" si="98"/>
        <v>10.951881096353251</v>
      </c>
      <c r="DR98" s="463">
        <v>3.6949481096353867</v>
      </c>
      <c r="DS98" s="463">
        <v>1.3069999999999999</v>
      </c>
      <c r="DT98" s="463">
        <v>1.5953481096353215</v>
      </c>
      <c r="DU98" s="463">
        <v>1.0951881096353251</v>
      </c>
      <c r="DV98" s="463">
        <v>3.8736000000000002</v>
      </c>
      <c r="DW98" s="463">
        <v>-0.50699999999999923</v>
      </c>
      <c r="DX98" s="463">
        <v>0.72196983464759823</v>
      </c>
      <c r="DY98" s="463">
        <v>0.78336000000000006</v>
      </c>
      <c r="DZ98" s="463">
        <v>3.8736000000000002</v>
      </c>
      <c r="EA98" s="463">
        <v>-0.50699999999999923</v>
      </c>
      <c r="EB98" s="463">
        <v>0.72196983464759823</v>
      </c>
      <c r="EC98" s="463">
        <v>0.78336000000000006</v>
      </c>
      <c r="ED98" s="463">
        <f t="shared" si="89"/>
        <v>38.736000000000004</v>
      </c>
      <c r="EE98" s="463">
        <f t="shared" si="90"/>
        <v>-5.0699999999999923</v>
      </c>
      <c r="EF98" s="463">
        <f t="shared" si="91"/>
        <v>7.2196983464759823</v>
      </c>
      <c r="EG98" s="463">
        <f t="shared" si="92"/>
        <v>7.8336000000000006</v>
      </c>
      <c r="EH98" s="528">
        <f>'[3]Plots R2&gt;.75 - UPDATED'!S95</f>
        <v>0.45490926170738405</v>
      </c>
      <c r="EI98" s="528">
        <f>'[3]Plots R2&gt;.75 - UPDATED'!T95</f>
        <v>1.0930092617073848</v>
      </c>
      <c r="EJ98" s="528">
        <f>'[3]Plots R2&gt;.75 - UPDATED'!U95</f>
        <v>1.9197092617073845</v>
      </c>
      <c r="EK98" s="546">
        <f>'[3]Plots R2&gt;.75 - UPDATED'!V95</f>
        <v>1.5106092617073847</v>
      </c>
      <c r="EL98" s="676">
        <v>0</v>
      </c>
      <c r="EN98" s="299">
        <v>41652</v>
      </c>
      <c r="EO98" s="528">
        <v>0.45490926170738405</v>
      </c>
      <c r="EP98" s="528">
        <v>1.0930092617073848</v>
      </c>
      <c r="EQ98" s="528">
        <v>1.9197092617073845</v>
      </c>
      <c r="ER98" s="546">
        <v>1.5106092617073847</v>
      </c>
      <c r="GN98" s="640"/>
      <c r="GO98" s="640"/>
      <c r="GP98" s="640"/>
      <c r="GQ98" s="640"/>
      <c r="GR98" s="640"/>
      <c r="GS98" s="640"/>
      <c r="GT98" s="640"/>
      <c r="GU98" s="640"/>
      <c r="GV98" s="640"/>
      <c r="HF98" s="560">
        <v>0.86635245891827728</v>
      </c>
      <c r="HG98" s="560">
        <v>0</v>
      </c>
      <c r="HH98" s="513">
        <v>0.30667494173783622</v>
      </c>
      <c r="HI98" s="513">
        <v>0.65039388236778839</v>
      </c>
      <c r="HJ98" s="515">
        <v>0.624708793353001</v>
      </c>
      <c r="HK98" s="515">
        <v>0.46991493644252802</v>
      </c>
      <c r="HL98" s="602">
        <v>1.3211888533651364</v>
      </c>
      <c r="HM98" s="602">
        <v>0.11161114663486349</v>
      </c>
    </row>
    <row r="99" spans="10:221" ht="16">
      <c r="J99" s="580">
        <v>41636</v>
      </c>
      <c r="K99" s="581">
        <v>0</v>
      </c>
      <c r="L99" s="582">
        <v>11.3131</v>
      </c>
      <c r="M99" s="582">
        <v>11.6555</v>
      </c>
      <c r="N99" s="582">
        <v>12.414899999999999</v>
      </c>
      <c r="O99" s="582">
        <v>12.0632</v>
      </c>
      <c r="P99" s="582">
        <v>99.128299999999996</v>
      </c>
      <c r="Q99" s="582">
        <v>10.135813232699631</v>
      </c>
      <c r="R99" s="582">
        <v>0.99228676730036958</v>
      </c>
      <c r="S99" s="582">
        <v>2.1696867673003695</v>
      </c>
      <c r="T99" s="582">
        <v>2.4690867673003689</v>
      </c>
      <c r="U99" s="582">
        <v>2.1973867673003693</v>
      </c>
      <c r="W99" s="580">
        <v>41654</v>
      </c>
      <c r="X99" s="582">
        <f t="shared" si="81"/>
        <v>0.45495387383090991</v>
      </c>
      <c r="Y99" s="582">
        <f t="shared" si="81"/>
        <v>1.092976950753987</v>
      </c>
      <c r="Z99" s="582">
        <f t="shared" si="81"/>
        <v>1.9194538738309102</v>
      </c>
      <c r="AA99" s="582">
        <f t="shared" si="81"/>
        <v>1.8006231046001409</v>
      </c>
      <c r="AB99" s="606"/>
      <c r="AC99" s="444">
        <f>X99-X100</f>
        <v>4.8606226147730192E-2</v>
      </c>
      <c r="AD99" s="437"/>
      <c r="AE99" s="440">
        <f t="shared" si="104"/>
        <v>2.8229303070807177E-2</v>
      </c>
      <c r="AF99" s="443">
        <f t="shared" si="105"/>
        <v>1.8413918455422174E-2</v>
      </c>
      <c r="AG99" s="633">
        <v>41654</v>
      </c>
      <c r="AH99" s="562">
        <v>0</v>
      </c>
      <c r="AI99" s="510"/>
      <c r="AJ99" s="513">
        <v>-3.4310795297455292E-3</v>
      </c>
      <c r="AK99" s="572">
        <v>0</v>
      </c>
      <c r="AL99" s="634"/>
      <c r="AM99" s="444">
        <v>4.7452900000000003E-6</v>
      </c>
      <c r="AN99" s="437"/>
      <c r="AO99" s="440">
        <v>-1.1600000000000001E-5</v>
      </c>
      <c r="AP99" s="443">
        <v>-3.76E-6</v>
      </c>
      <c r="AR99" s="444">
        <f t="shared" si="99"/>
        <v>-6.8332176000000001E-3</v>
      </c>
      <c r="AS99" s="437"/>
      <c r="AT99" s="440">
        <f t="shared" si="99"/>
        <v>1.6704E-2</v>
      </c>
      <c r="AU99" s="443">
        <f t="shared" si="99"/>
        <v>5.4143999999999998E-3</v>
      </c>
      <c r="AV99" s="633">
        <v>41654</v>
      </c>
      <c r="AW99" s="644"/>
      <c r="AX99" s="608">
        <v>0</v>
      </c>
      <c r="AY99" s="444">
        <f t="shared" si="101"/>
        <v>5.5439443747730188E-2</v>
      </c>
      <c r="AZ99" s="437"/>
      <c r="BA99" s="440">
        <f t="shared" si="102"/>
        <v>1.1525303070807177E-2</v>
      </c>
      <c r="BB99" s="443">
        <f t="shared" si="103"/>
        <v>1.2999518455422174E-2</v>
      </c>
      <c r="BC99" s="608">
        <f t="shared" si="77"/>
        <v>0.12999518455422174</v>
      </c>
      <c r="BD99" s="627" t="s">
        <v>537</v>
      </c>
      <c r="BE99" s="580">
        <v>41654</v>
      </c>
      <c r="BF99" s="444">
        <f>DR99*10</f>
        <v>38.966151454176234</v>
      </c>
      <c r="BG99" s="437"/>
      <c r="BH99" s="440">
        <f t="shared" si="79"/>
        <v>7.7981514541754375</v>
      </c>
      <c r="BI99" s="443">
        <f t="shared" si="80"/>
        <v>11.755751454175529</v>
      </c>
      <c r="BJ99" s="658"/>
      <c r="BK99" s="444">
        <v>55.439443747730188</v>
      </c>
      <c r="BL99" s="437"/>
      <c r="BM99" s="440">
        <v>11.525303070807176</v>
      </c>
      <c r="BN99" s="443">
        <v>12.999518455422175</v>
      </c>
      <c r="BO99" s="353">
        <v>74</v>
      </c>
      <c r="BP99" s="353">
        <f t="shared" si="82"/>
        <v>14.8</v>
      </c>
      <c r="BQ99" s="610">
        <f t="shared" si="83"/>
        <v>52.857142857142861</v>
      </c>
      <c r="BR99" s="610">
        <f t="shared" si="84"/>
        <v>20</v>
      </c>
      <c r="BT99" s="648"/>
      <c r="BU99" s="648"/>
      <c r="BV99" s="648"/>
      <c r="BW99" s="648"/>
      <c r="BX99" s="648"/>
      <c r="BY99" s="616" t="s">
        <v>415</v>
      </c>
      <c r="BZ99" s="617">
        <v>30</v>
      </c>
      <c r="CA99" s="608">
        <v>0</v>
      </c>
      <c r="CB99" s="608">
        <f t="shared" si="85"/>
        <v>0</v>
      </c>
      <c r="CC99" s="353">
        <v>69</v>
      </c>
      <c r="CD99" s="631">
        <f t="shared" si="86"/>
        <v>346.10000000000008</v>
      </c>
      <c r="CN99" s="632" t="s">
        <v>517</v>
      </c>
      <c r="CO99" s="580">
        <f>'[3]Plots R2&gt;.75 - UPDATED'!R96</f>
        <v>41655</v>
      </c>
      <c r="CP99" s="620"/>
      <c r="CQ99" s="633">
        <v>41655</v>
      </c>
      <c r="CR99" s="641">
        <v>15960.966743050571</v>
      </c>
      <c r="CS99" s="642">
        <v>19166.239963212276</v>
      </c>
      <c r="CT99" s="642">
        <v>36571.565301389855</v>
      </c>
      <c r="CU99" s="643">
        <v>15275.388515853003</v>
      </c>
      <c r="CV99" s="450">
        <f t="shared" si="93"/>
        <v>1.8946220794029622</v>
      </c>
      <c r="CW99" s="450">
        <f t="shared" si="64"/>
        <v>0</v>
      </c>
      <c r="CX99" s="573"/>
      <c r="CY99" s="573"/>
      <c r="CZ99" s="513">
        <f t="shared" si="100"/>
        <v>0.82687190856582682</v>
      </c>
      <c r="DA99" s="513">
        <f t="shared" si="106"/>
        <v>0.50042013845962041</v>
      </c>
      <c r="DB99" s="572">
        <f t="shared" si="88"/>
        <v>1.9796550489446814</v>
      </c>
      <c r="DC99" s="572">
        <f t="shared" si="107"/>
        <v>0</v>
      </c>
      <c r="DD99" s="622"/>
      <c r="DE99" s="299">
        <v>41653</v>
      </c>
      <c r="DF99" s="463">
        <v>2.504462923888727</v>
      </c>
      <c r="DG99" s="463">
        <v>2.0263327977559964</v>
      </c>
      <c r="DH99" s="463">
        <v>3.9410439585451242</v>
      </c>
      <c r="DI99" s="463">
        <v>1.715929073302626</v>
      </c>
      <c r="DJ99" s="528">
        <v>3.8966151454176234</v>
      </c>
      <c r="DK99" s="528"/>
      <c r="DL99" s="528">
        <v>0.77981514541754371</v>
      </c>
      <c r="DM99" s="546">
        <v>1.1755751454175529</v>
      </c>
      <c r="DN99" s="528">
        <f t="shared" si="95"/>
        <v>38.966151454176234</v>
      </c>
      <c r="DO99" s="528">
        <f t="shared" si="96"/>
        <v>0</v>
      </c>
      <c r="DP99" s="528">
        <f t="shared" si="97"/>
        <v>7.7981514541754375</v>
      </c>
      <c r="DQ99" s="528">
        <f t="shared" si="98"/>
        <v>11.755751454175529</v>
      </c>
      <c r="DR99" s="463">
        <v>3.8966151454176234</v>
      </c>
      <c r="DS99" s="463">
        <v>1.3069999999999999</v>
      </c>
      <c r="DT99" s="463">
        <v>0.77981514541754371</v>
      </c>
      <c r="DU99" s="463">
        <v>1.1755751454175529</v>
      </c>
      <c r="DV99" s="463"/>
      <c r="DW99" s="463"/>
      <c r="DX99" s="463">
        <v>1.3419423188444295</v>
      </c>
      <c r="DY99" s="463">
        <v>0.62783999999999995</v>
      </c>
      <c r="DZ99" s="463"/>
      <c r="EA99" s="463"/>
      <c r="EB99" s="463">
        <v>1.3419423188444295</v>
      </c>
      <c r="EC99" s="463">
        <v>0.62783999999999995</v>
      </c>
      <c r="ED99" s="463">
        <f t="shared" si="89"/>
        <v>0</v>
      </c>
      <c r="EE99" s="463">
        <f t="shared" si="90"/>
        <v>0</v>
      </c>
      <c r="EF99" s="463">
        <f t="shared" si="91"/>
        <v>13.419423188444295</v>
      </c>
      <c r="EG99" s="463">
        <f t="shared" si="92"/>
        <v>6.2783999999999995</v>
      </c>
      <c r="EH99" s="528">
        <f>'[3]Plots R2&gt;.75 - UPDATED'!S96</f>
        <v>0.40644607479560563</v>
      </c>
      <c r="EI99" s="528">
        <f>'[3]Plots R2&gt;.75 - UPDATED'!T96</f>
        <v>1.0970460747956066</v>
      </c>
      <c r="EJ99" s="528">
        <f>'[3]Plots R2&gt;.75 - UPDATED'!U96</f>
        <v>1.8912460747956057</v>
      </c>
      <c r="EK99" s="546">
        <f>'[3]Plots R2&gt;.75 - UPDATED'!V96</f>
        <v>1.4923460747956052</v>
      </c>
      <c r="EL99" s="676">
        <v>0</v>
      </c>
      <c r="EN99" s="299">
        <v>41653</v>
      </c>
      <c r="EO99" s="528">
        <v>0.40644607479560563</v>
      </c>
      <c r="EP99" s="528">
        <v>1.0970460747956066</v>
      </c>
      <c r="EQ99" s="528">
        <v>1.8912460747956057</v>
      </c>
      <c r="ER99" s="546">
        <v>1.4923460747956052</v>
      </c>
      <c r="GN99" s="640"/>
      <c r="GO99" s="640"/>
      <c r="GP99" s="640"/>
      <c r="GQ99" s="640"/>
      <c r="GR99" s="640"/>
      <c r="GS99" s="640"/>
      <c r="GT99" s="640"/>
      <c r="GU99" s="640"/>
      <c r="GV99" s="640"/>
      <c r="HF99" s="560">
        <v>0.9068492771586818</v>
      </c>
      <c r="HG99" s="560">
        <v>0</v>
      </c>
      <c r="HH99" s="513">
        <v>0.31824793946431185</v>
      </c>
      <c r="HI99" s="513">
        <v>0.69008777293544732</v>
      </c>
      <c r="HJ99" s="515">
        <v>0.63935058381617593</v>
      </c>
      <c r="HK99" s="515">
        <v>0.71960779416266774</v>
      </c>
      <c r="HL99" s="602">
        <v>1.3696861510015268</v>
      </c>
      <c r="HM99" s="602">
        <v>0</v>
      </c>
    </row>
    <row r="100" spans="10:221" ht="16">
      <c r="J100" s="580">
        <v>41637</v>
      </c>
      <c r="K100" s="581">
        <v>0</v>
      </c>
      <c r="L100" s="582">
        <v>11.2827</v>
      </c>
      <c r="M100" s="582">
        <v>11.61</v>
      </c>
      <c r="N100" s="582">
        <v>12.371700000000001</v>
      </c>
      <c r="O100" s="582">
        <v>12.040800000000001</v>
      </c>
      <c r="P100" s="582">
        <v>99.089500000000001</v>
      </c>
      <c r="Q100" s="582">
        <v>10.13184595440041</v>
      </c>
      <c r="R100" s="582">
        <v>0.96585404559959065</v>
      </c>
      <c r="S100" s="582">
        <v>2.1281540455995902</v>
      </c>
      <c r="T100" s="582">
        <v>2.4298540455995914</v>
      </c>
      <c r="U100" s="582">
        <v>2.1789540455995913</v>
      </c>
      <c r="W100" s="580">
        <v>41655</v>
      </c>
      <c r="X100" s="582">
        <f t="shared" si="81"/>
        <v>0.40634764768317971</v>
      </c>
      <c r="Y100" s="582">
        <f t="shared" si="81"/>
        <v>1.0969553399908722</v>
      </c>
      <c r="Z100" s="582">
        <f t="shared" si="81"/>
        <v>1.891224570760103</v>
      </c>
      <c r="AA100" s="582">
        <f t="shared" si="81"/>
        <v>1.7822091861447187</v>
      </c>
      <c r="AB100" s="606"/>
      <c r="AC100" s="446">
        <f>X100-X101</f>
        <v>9.7627087686977587E-2</v>
      </c>
      <c r="AD100" s="437"/>
      <c r="AE100" s="440">
        <f t="shared" si="104"/>
        <v>2.6211703071592929E-2</v>
      </c>
      <c r="AF100" s="443">
        <f t="shared" si="105"/>
        <v>1.8604010763901169E-2</v>
      </c>
      <c r="AG100" s="633">
        <v>41655</v>
      </c>
      <c r="AH100" s="558">
        <v>0</v>
      </c>
      <c r="AI100" s="510"/>
      <c r="AJ100" s="513">
        <v>-3.0874732854177501E-3</v>
      </c>
      <c r="AK100" s="572">
        <v>0</v>
      </c>
      <c r="AL100" s="634"/>
      <c r="AM100" s="446">
        <v>-4.4499999999999997E-5</v>
      </c>
      <c r="AN100" s="437"/>
      <c r="AO100" s="440">
        <v>-9.1600000000000004E-6</v>
      </c>
      <c r="AP100" s="443">
        <v>-4.4800000000000003E-6</v>
      </c>
      <c r="AR100" s="446">
        <f t="shared" si="99"/>
        <v>6.4079999999999998E-2</v>
      </c>
      <c r="AS100" s="437"/>
      <c r="AT100" s="440">
        <f t="shared" si="99"/>
        <v>1.3190400000000001E-2</v>
      </c>
      <c r="AU100" s="443">
        <f t="shared" si="99"/>
        <v>6.4512000000000007E-3</v>
      </c>
      <c r="AV100" s="633">
        <v>41655</v>
      </c>
      <c r="AW100" s="644"/>
      <c r="AX100" s="608">
        <v>0</v>
      </c>
      <c r="AY100" s="446">
        <f t="shared" si="101"/>
        <v>3.3547087686977589E-2</v>
      </c>
      <c r="AZ100" s="437"/>
      <c r="BA100" s="440">
        <f t="shared" si="102"/>
        <v>1.3021303071592927E-2</v>
      </c>
      <c r="BB100" s="443">
        <f t="shared" si="103"/>
        <v>1.2152810763901168E-2</v>
      </c>
      <c r="BC100" s="608">
        <f t="shared" si="77"/>
        <v>0.12152810763901167</v>
      </c>
      <c r="BD100" s="627" t="s">
        <v>538</v>
      </c>
      <c r="BE100" s="580">
        <v>41655</v>
      </c>
      <c r="BF100" s="446"/>
      <c r="BG100" s="437"/>
      <c r="BH100" s="440">
        <f t="shared" si="79"/>
        <v>11.759186911778848</v>
      </c>
      <c r="BI100" s="443">
        <f t="shared" si="80"/>
        <v>12.848786911779529</v>
      </c>
      <c r="BJ100" s="658"/>
      <c r="BK100" s="446"/>
      <c r="BL100" s="437"/>
      <c r="BM100" s="440">
        <v>13.021303071592927</v>
      </c>
      <c r="BN100" s="443">
        <v>12.152810763901167</v>
      </c>
      <c r="BO100" s="353">
        <v>75</v>
      </c>
      <c r="BP100" s="353">
        <f t="shared" si="82"/>
        <v>15</v>
      </c>
      <c r="BQ100" s="610">
        <f t="shared" si="83"/>
        <v>53.571428571428577</v>
      </c>
      <c r="BR100" s="610">
        <f t="shared" si="84"/>
        <v>20.27027027027027</v>
      </c>
      <c r="BT100" s="648"/>
      <c r="BU100" s="648"/>
      <c r="BV100" s="648"/>
      <c r="BW100" s="648"/>
      <c r="BX100" s="648"/>
      <c r="BY100" s="616" t="s">
        <v>418</v>
      </c>
      <c r="BZ100" s="617">
        <v>29</v>
      </c>
      <c r="CA100" s="608">
        <v>0</v>
      </c>
      <c r="CB100" s="608">
        <f t="shared" si="85"/>
        <v>0</v>
      </c>
      <c r="CC100" s="353">
        <v>72</v>
      </c>
      <c r="CD100" s="631">
        <f t="shared" si="86"/>
        <v>346.10000000000008</v>
      </c>
      <c r="CN100" s="632" t="s">
        <v>518</v>
      </c>
      <c r="CO100" s="580">
        <f>'[3]Plots R2&gt;.75 - UPDATED'!R97</f>
        <v>41656</v>
      </c>
      <c r="CP100" s="620"/>
      <c r="CQ100" s="633">
        <v>41656</v>
      </c>
      <c r="CR100" s="641">
        <v>11831.31785131256</v>
      </c>
      <c r="CS100" s="642">
        <v>19125.852897432305</v>
      </c>
      <c r="CT100" s="642">
        <v>35682.437209028554</v>
      </c>
      <c r="CU100" s="643">
        <v>14672.808817642397</v>
      </c>
      <c r="CV100" s="450">
        <f t="shared" si="93"/>
        <v>2.5559282896490849</v>
      </c>
      <c r="CW100" s="450">
        <f t="shared" si="64"/>
        <v>0</v>
      </c>
      <c r="CX100" s="573"/>
      <c r="CY100" s="573"/>
      <c r="CZ100" s="513">
        <f t="shared" si="100"/>
        <v>0.84747574339873055</v>
      </c>
      <c r="DA100" s="513">
        <f t="shared" si="106"/>
        <v>0.16281692805949466</v>
      </c>
      <c r="DB100" s="572">
        <f t="shared" si="88"/>
        <v>2.0609550888197909</v>
      </c>
      <c r="DC100" s="572">
        <f t="shared" si="107"/>
        <v>0</v>
      </c>
      <c r="DD100" s="622"/>
      <c r="DE100" s="299">
        <v>41654</v>
      </c>
      <c r="DF100" s="463">
        <v>2.1663362700580242</v>
      </c>
      <c r="DG100" s="463">
        <v>1.8860414322402668</v>
      </c>
      <c r="DH100" s="463">
        <v>3.8442238869605032</v>
      </c>
      <c r="DI100" s="463">
        <v>1.6499822544435911</v>
      </c>
      <c r="DJ100" s="528">
        <v>5.5296404511778423</v>
      </c>
      <c r="DK100" s="528"/>
      <c r="DL100" s="528">
        <v>1.1759186911778847</v>
      </c>
      <c r="DM100" s="546">
        <v>1.2848786911779528</v>
      </c>
      <c r="DN100" s="528">
        <f t="shared" si="95"/>
        <v>55.29640451177842</v>
      </c>
      <c r="DO100" s="528">
        <f t="shared" si="96"/>
        <v>0</v>
      </c>
      <c r="DP100" s="528">
        <f t="shared" si="97"/>
        <v>11.759186911778848</v>
      </c>
      <c r="DQ100" s="528">
        <f t="shared" si="98"/>
        <v>12.848786911779529</v>
      </c>
      <c r="DR100" s="463">
        <v>5.5296404511778423</v>
      </c>
      <c r="DS100" s="463">
        <v>1.3069999999999999</v>
      </c>
      <c r="DT100" s="463">
        <v>1.1759186911778847</v>
      </c>
      <c r="DU100" s="463">
        <v>1.2848786911779528</v>
      </c>
      <c r="DV100" s="463"/>
      <c r="DW100" s="463"/>
      <c r="DX100" s="463">
        <v>1.3272920470254472</v>
      </c>
      <c r="DY100" s="463">
        <v>0.54143999999999992</v>
      </c>
      <c r="DZ100" s="463"/>
      <c r="EA100" s="463"/>
      <c r="EB100" s="463">
        <v>1.3272920470254472</v>
      </c>
      <c r="EC100" s="463">
        <v>0.54143999999999992</v>
      </c>
      <c r="ED100" s="463">
        <f t="shared" si="89"/>
        <v>0</v>
      </c>
      <c r="EE100" s="463">
        <f t="shared" si="90"/>
        <v>0</v>
      </c>
      <c r="EF100" s="463">
        <f t="shared" si="91"/>
        <v>13.272920470254473</v>
      </c>
      <c r="EG100" s="463">
        <f t="shared" si="92"/>
        <v>5.4143999999999988</v>
      </c>
      <c r="EH100" s="528">
        <f>'[3]Plots R2&gt;.75 - UPDATED'!S97</f>
        <v>0.30954382535490638</v>
      </c>
      <c r="EI100" s="528">
        <f>'[3]Plots R2&gt;.75 - UPDATED'!T97</f>
        <v>1.0962438253549072</v>
      </c>
      <c r="EJ100" s="528">
        <f>'[3]Plots R2&gt;.75 - UPDATED'!U97</f>
        <v>1.8654438253549059</v>
      </c>
      <c r="EK100" s="546">
        <f>'[3]Plots R2&gt;.75 - UPDATED'!V97</f>
        <v>1.4737438253549064</v>
      </c>
      <c r="EL100" s="676"/>
      <c r="EM100" s="850"/>
      <c r="EN100" s="299">
        <v>41654</v>
      </c>
      <c r="EO100" s="528">
        <v>0.30954382535490638</v>
      </c>
      <c r="EP100" s="528">
        <v>1.0962438253549072</v>
      </c>
      <c r="EQ100" s="528">
        <v>1.8654438253549059</v>
      </c>
      <c r="ER100" s="546">
        <v>1.4737438253549064</v>
      </c>
      <c r="GM100" s="640"/>
      <c r="GN100" s="640"/>
      <c r="GO100" s="640"/>
      <c r="GP100" s="640"/>
      <c r="GQ100" s="640"/>
      <c r="GR100" s="640"/>
      <c r="GS100" s="640"/>
      <c r="GT100" s="640"/>
      <c r="GU100" s="640"/>
      <c r="HE100" s="560">
        <v>0.94501956425185663</v>
      </c>
      <c r="HF100" s="560">
        <v>0.39130043574814333</v>
      </c>
      <c r="HG100" s="450"/>
      <c r="HH100" s="450"/>
      <c r="HI100" s="515">
        <v>0.65575107383397135</v>
      </c>
      <c r="HJ100" s="515">
        <v>0.56708560816987785</v>
      </c>
      <c r="HK100" s="602">
        <v>1.4231173077408648</v>
      </c>
      <c r="HL100" s="602">
        <v>0</v>
      </c>
    </row>
    <row r="101" spans="10:221" ht="16">
      <c r="J101" s="580">
        <v>41638</v>
      </c>
      <c r="K101" s="581">
        <v>0</v>
      </c>
      <c r="L101" s="582">
        <v>11.2643</v>
      </c>
      <c r="M101" s="582">
        <v>11.571400000000001</v>
      </c>
      <c r="N101" s="582">
        <v>12.335599999999999</v>
      </c>
      <c r="O101" s="582">
        <v>12.0077</v>
      </c>
      <c r="P101" s="582">
        <v>99.095299999999995</v>
      </c>
      <c r="Q101" s="582">
        <v>10.132439001156477</v>
      </c>
      <c r="R101" s="582">
        <v>0.94686099884352315</v>
      </c>
      <c r="S101" s="582">
        <v>2.0889609988435236</v>
      </c>
      <c r="T101" s="582">
        <v>2.3931609988435225</v>
      </c>
      <c r="U101" s="582">
        <v>2.1452609988435225</v>
      </c>
      <c r="W101" s="580">
        <v>41656</v>
      </c>
      <c r="X101" s="582">
        <f t="shared" si="81"/>
        <v>0.30872055999620213</v>
      </c>
      <c r="Y101" s="582">
        <f t="shared" si="81"/>
        <v>1.0963436369192794</v>
      </c>
      <c r="Z101" s="582">
        <f t="shared" si="81"/>
        <v>1.86501286768851</v>
      </c>
      <c r="AA101" s="582">
        <f t="shared" si="81"/>
        <v>1.7636051753808175</v>
      </c>
      <c r="AB101" s="606"/>
      <c r="AC101" s="446">
        <f>X101-X102</f>
        <v>9.5715026760769539E-2</v>
      </c>
      <c r="AD101" s="437"/>
      <c r="AE101" s="440">
        <f t="shared" si="104"/>
        <v>2.192271906846166E-2</v>
      </c>
      <c r="AF101" s="443">
        <f t="shared" si="105"/>
        <v>1.8953488299230603E-2</v>
      </c>
      <c r="AG101" s="633">
        <v>41656</v>
      </c>
      <c r="AH101" s="558">
        <v>0</v>
      </c>
      <c r="AI101" s="510"/>
      <c r="AJ101" s="513">
        <v>-2.7586901037324092E-3</v>
      </c>
      <c r="AK101" s="572">
        <v>0</v>
      </c>
      <c r="AL101" s="634"/>
      <c r="AM101" s="446">
        <v>-5.66E-5</v>
      </c>
      <c r="AN101" s="437"/>
      <c r="AO101" s="440">
        <v>-9.0000000000000002E-6</v>
      </c>
      <c r="AP101" s="443">
        <v>-7.6799999999999993E-6</v>
      </c>
      <c r="AR101" s="446">
        <f t="shared" si="99"/>
        <v>8.1504000000000007E-2</v>
      </c>
      <c r="AS101" s="437"/>
      <c r="AT101" s="440">
        <f t="shared" si="99"/>
        <v>1.2960000000000001E-2</v>
      </c>
      <c r="AU101" s="443">
        <f t="shared" si="99"/>
        <v>1.1059199999999998E-2</v>
      </c>
      <c r="AV101" s="633">
        <v>41656</v>
      </c>
      <c r="AW101" s="644"/>
      <c r="AX101" s="608">
        <v>0</v>
      </c>
      <c r="AY101" s="446">
        <f t="shared" si="101"/>
        <v>1.4211026760769532E-2</v>
      </c>
      <c r="AZ101" s="437"/>
      <c r="BA101" s="440">
        <f t="shared" si="102"/>
        <v>8.9627190684616592E-3</v>
      </c>
      <c r="BB101" s="443">
        <f t="shared" si="103"/>
        <v>7.8942882992306049E-3</v>
      </c>
      <c r="BC101" s="608">
        <f t="shared" si="77"/>
        <v>7.8942882992306049E-2</v>
      </c>
      <c r="BD101" s="627" t="s">
        <v>539</v>
      </c>
      <c r="BE101" s="580">
        <v>41656</v>
      </c>
      <c r="BF101" s="446"/>
      <c r="BG101" s="437"/>
      <c r="BH101" s="440">
        <f t="shared" si="79"/>
        <v>12.611849440699752</v>
      </c>
      <c r="BI101" s="443">
        <f t="shared" si="80"/>
        <v>12.15104944069877</v>
      </c>
      <c r="BJ101" s="658"/>
      <c r="BK101" s="446"/>
      <c r="BL101" s="437"/>
      <c r="BM101" s="440">
        <v>8.9627190684616593</v>
      </c>
      <c r="BN101" s="443">
        <v>7.8942882992306052</v>
      </c>
      <c r="BO101" s="353">
        <v>73</v>
      </c>
      <c r="BP101" s="353">
        <f t="shared" si="82"/>
        <v>14.6</v>
      </c>
      <c r="BQ101" s="610">
        <f t="shared" si="83"/>
        <v>52.142857142857146</v>
      </c>
      <c r="BR101" s="610">
        <f t="shared" si="84"/>
        <v>19.72972972972973</v>
      </c>
      <c r="BT101" s="648"/>
      <c r="BU101" s="648"/>
      <c r="BV101" s="648"/>
      <c r="BW101" s="648"/>
      <c r="BX101" s="648"/>
      <c r="BY101" s="616" t="s">
        <v>421</v>
      </c>
      <c r="BZ101" s="617">
        <v>29</v>
      </c>
      <c r="CA101" s="608">
        <v>0.61</v>
      </c>
      <c r="CB101" s="608">
        <f t="shared" si="85"/>
        <v>6.1</v>
      </c>
      <c r="CC101" s="353">
        <v>84</v>
      </c>
      <c r="CD101" s="631">
        <f t="shared" si="86"/>
        <v>352.2000000000001</v>
      </c>
      <c r="CN101" s="632" t="s">
        <v>519</v>
      </c>
      <c r="CO101" s="580">
        <f>'[3]Plots R2&gt;.75 - UPDATED'!R98</f>
        <v>41657</v>
      </c>
      <c r="CP101" s="620"/>
      <c r="CQ101" s="633">
        <v>41657</v>
      </c>
      <c r="CR101" s="641">
        <v>7837.5914547249622</v>
      </c>
      <c r="CS101" s="642">
        <v>18904.507959251336</v>
      </c>
      <c r="CT101" s="642">
        <v>34917.837337130804</v>
      </c>
      <c r="CU101" s="643">
        <v>14077.034870078514</v>
      </c>
      <c r="CV101" s="450"/>
      <c r="CW101" s="450"/>
      <c r="CX101" s="573"/>
      <c r="CY101" s="573"/>
      <c r="CZ101" s="513">
        <f t="shared" si="100"/>
        <v>0.86603301653632192</v>
      </c>
      <c r="DA101" s="513">
        <f t="shared" si="106"/>
        <v>0.15409797309043727</v>
      </c>
      <c r="DB101" s="572">
        <f t="shared" si="88"/>
        <v>2.1481796613487631</v>
      </c>
      <c r="DC101" s="572">
        <f t="shared" si="107"/>
        <v>0</v>
      </c>
      <c r="DD101" s="622"/>
      <c r="DE101" s="299">
        <v>41655</v>
      </c>
      <c r="DF101" s="463">
        <v>1.8065042060545358</v>
      </c>
      <c r="DG101" s="463">
        <v>1.8963581528896054</v>
      </c>
      <c r="DH101" s="463">
        <v>3.7563587287391087</v>
      </c>
      <c r="DI101" s="463">
        <v>1.5883346149700894</v>
      </c>
      <c r="DJ101" s="528">
        <v>3.2822249440699256</v>
      </c>
      <c r="DK101" s="528"/>
      <c r="DL101" s="528">
        <v>1.2611849440699752</v>
      </c>
      <c r="DM101" s="546">
        <v>1.2151049440698771</v>
      </c>
      <c r="DN101" s="528">
        <f t="shared" si="95"/>
        <v>32.822249440699252</v>
      </c>
      <c r="DO101" s="528">
        <f t="shared" si="96"/>
        <v>0</v>
      </c>
      <c r="DP101" s="528">
        <f t="shared" si="97"/>
        <v>12.611849440699752</v>
      </c>
      <c r="DQ101" s="528">
        <f t="shared" si="98"/>
        <v>12.15104944069877</v>
      </c>
      <c r="DR101" s="463">
        <v>3.2822249440699256</v>
      </c>
      <c r="DS101" s="463">
        <v>1.3069999999999999</v>
      </c>
      <c r="DT101" s="463">
        <v>1.2611849440699752</v>
      </c>
      <c r="DU101" s="463">
        <v>1.2151049440698771</v>
      </c>
      <c r="DV101" s="463"/>
      <c r="DW101" s="463"/>
      <c r="DX101" s="463">
        <v>1.0102926714582252</v>
      </c>
      <c r="DY101" s="463">
        <v>0.64511999999999992</v>
      </c>
      <c r="DZ101" s="463"/>
      <c r="EA101" s="463"/>
      <c r="EB101" s="463">
        <v>1.0102926714582252</v>
      </c>
      <c r="EC101" s="463">
        <v>0.64511999999999992</v>
      </c>
      <c r="ED101" s="463">
        <f t="shared" si="89"/>
        <v>0</v>
      </c>
      <c r="EE101" s="463">
        <f t="shared" si="90"/>
        <v>0</v>
      </c>
      <c r="EF101" s="463">
        <f t="shared" si="91"/>
        <v>10.102926714582253</v>
      </c>
      <c r="EG101" s="463">
        <f t="shared" si="92"/>
        <v>6.4511999999999992</v>
      </c>
      <c r="EH101" s="528">
        <f>'[3]Plots R2&gt;.75 - UPDATED'!S98</f>
        <v>0.21282725723299883</v>
      </c>
      <c r="EI101" s="528">
        <f>'[3]Plots R2&gt;.75 - UPDATED'!T98</f>
        <v>1.0918272572329977</v>
      </c>
      <c r="EJ101" s="528">
        <f>'[3]Plots R2&gt;.75 - UPDATED'!U98</f>
        <v>1.8430272572329993</v>
      </c>
      <c r="EK101" s="546">
        <f>'[3]Plots R2&gt;.75 - UPDATED'!V98</f>
        <v>1.4548272572329988</v>
      </c>
      <c r="EL101" s="676"/>
      <c r="EM101" s="850"/>
      <c r="EN101" s="299">
        <v>41655</v>
      </c>
      <c r="EO101" s="528">
        <v>0.21282725723299883</v>
      </c>
      <c r="EP101" s="528">
        <v>1.0918272572329977</v>
      </c>
      <c r="EQ101" s="528">
        <v>1.8430272572329993</v>
      </c>
      <c r="ER101" s="546">
        <v>1.4548272572329988</v>
      </c>
      <c r="GM101" s="640"/>
      <c r="GN101" s="640"/>
      <c r="GO101" s="640"/>
      <c r="GP101" s="640"/>
      <c r="GQ101" s="640"/>
      <c r="GR101" s="640"/>
      <c r="GS101" s="640"/>
      <c r="GT101" s="640"/>
      <c r="GU101" s="640"/>
      <c r="HE101" s="560">
        <v>0.97569581661234095</v>
      </c>
      <c r="HF101" s="560">
        <v>0</v>
      </c>
      <c r="HG101" s="513">
        <v>0.33928519272867319</v>
      </c>
      <c r="HH101" s="513">
        <v>0</v>
      </c>
      <c r="HI101" s="515">
        <v>0.67297123912632206</v>
      </c>
      <c r="HJ101" s="515">
        <v>0.4296918041593234</v>
      </c>
      <c r="HK101" s="602">
        <v>1.4792351686122069</v>
      </c>
      <c r="HL101" s="602">
        <v>0</v>
      </c>
    </row>
    <row r="102" spans="10:221" ht="16">
      <c r="J102" s="580">
        <v>41639</v>
      </c>
      <c r="K102" s="581">
        <v>0</v>
      </c>
      <c r="L102" s="582">
        <v>11.248799999999999</v>
      </c>
      <c r="M102" s="582">
        <v>11.5351</v>
      </c>
      <c r="N102" s="582">
        <v>12.296799999999999</v>
      </c>
      <c r="O102" s="582">
        <v>11.972799999999999</v>
      </c>
      <c r="P102" s="582">
        <v>99.135499999999993</v>
      </c>
      <c r="Q102" s="582">
        <v>10.136549428672682</v>
      </c>
      <c r="R102" s="582">
        <v>0.92725057132731747</v>
      </c>
      <c r="S102" s="582">
        <v>2.0485505713273184</v>
      </c>
      <c r="T102" s="582">
        <v>2.3502505713273179</v>
      </c>
      <c r="U102" s="582">
        <v>2.1062505713273176</v>
      </c>
      <c r="W102" s="580">
        <v>41657</v>
      </c>
      <c r="X102" s="582">
        <f t="shared" si="81"/>
        <v>0.21300553323543259</v>
      </c>
      <c r="Y102" s="582">
        <f t="shared" si="81"/>
        <v>1.0915747640046634</v>
      </c>
      <c r="Z102" s="582">
        <f t="shared" si="81"/>
        <v>1.8430901486200484</v>
      </c>
      <c r="AA102" s="582">
        <f t="shared" si="81"/>
        <v>1.7446516870815869</v>
      </c>
      <c r="AB102" s="606"/>
      <c r="AC102" s="436"/>
      <c r="AD102" s="437"/>
      <c r="AE102" s="440">
        <f t="shared" si="104"/>
        <v>2.3446930981544822E-2</v>
      </c>
      <c r="AF102" s="443">
        <f t="shared" si="105"/>
        <v>1.9993084827698571E-2</v>
      </c>
      <c r="AG102" s="633">
        <v>41657</v>
      </c>
      <c r="AH102" s="509"/>
      <c r="AI102" s="510"/>
      <c r="AJ102" s="513">
        <v>-2.4588995975732852E-3</v>
      </c>
      <c r="AK102" s="572">
        <v>0</v>
      </c>
      <c r="AL102" s="634"/>
      <c r="AM102" s="436"/>
      <c r="AN102" s="437"/>
      <c r="AO102" s="440">
        <v>-6.8800000000000002E-6</v>
      </c>
      <c r="AP102" s="443">
        <v>-6.46E-6</v>
      </c>
      <c r="AR102" s="436"/>
      <c r="AS102" s="437"/>
      <c r="AT102" s="440">
        <f t="shared" si="99"/>
        <v>9.9071999999999997E-3</v>
      </c>
      <c r="AU102" s="443">
        <f t="shared" si="99"/>
        <v>9.3024000000000006E-3</v>
      </c>
      <c r="AV102" s="633">
        <v>41657</v>
      </c>
      <c r="AW102" s="644"/>
      <c r="AX102" s="608">
        <v>0</v>
      </c>
      <c r="AY102" s="436"/>
      <c r="AZ102" s="437"/>
      <c r="BA102" s="440">
        <f t="shared" si="102"/>
        <v>1.3539730981544823E-2</v>
      </c>
      <c r="BB102" s="443">
        <f t="shared" si="103"/>
        <v>1.069068482769857E-2</v>
      </c>
      <c r="BC102" s="608">
        <f t="shared" si="77"/>
        <v>0.1069068482769857</v>
      </c>
      <c r="BD102" s="627" t="s">
        <v>540</v>
      </c>
      <c r="BE102" s="580">
        <v>41657</v>
      </c>
      <c r="BF102" s="436"/>
      <c r="BG102" s="437"/>
      <c r="BH102" s="440">
        <f t="shared" si="79"/>
        <v>9.4565681219066207</v>
      </c>
      <c r="BI102" s="443">
        <f t="shared" si="80"/>
        <v>7.8573681219076752</v>
      </c>
      <c r="BJ102" s="658"/>
      <c r="BK102" s="436"/>
      <c r="BL102" s="437"/>
      <c r="BM102" s="440">
        <v>13.539730981544821</v>
      </c>
      <c r="BN102" s="443">
        <v>10.690684827698572</v>
      </c>
      <c r="BO102" s="353">
        <v>72</v>
      </c>
      <c r="BP102" s="353">
        <f t="shared" si="82"/>
        <v>14.4</v>
      </c>
      <c r="BQ102" s="610">
        <f t="shared" si="83"/>
        <v>51.428571428571431</v>
      </c>
      <c r="BR102" s="610">
        <f t="shared" si="84"/>
        <v>19.45945945945946</v>
      </c>
      <c r="BT102" s="648"/>
      <c r="BU102" s="648"/>
      <c r="BV102" s="648"/>
      <c r="BW102" s="648"/>
      <c r="BX102" s="648"/>
      <c r="BY102" s="616" t="s">
        <v>424</v>
      </c>
      <c r="BZ102" s="617">
        <v>29</v>
      </c>
      <c r="CA102" s="608">
        <v>0</v>
      </c>
      <c r="CB102" s="608">
        <f t="shared" si="85"/>
        <v>0</v>
      </c>
      <c r="CC102" s="353">
        <v>80</v>
      </c>
      <c r="CD102" s="631">
        <f t="shared" si="86"/>
        <v>352.2000000000001</v>
      </c>
      <c r="CN102" s="632" t="s">
        <v>520</v>
      </c>
      <c r="CO102" s="580">
        <f>'[3]Plots R2&gt;.75 - UPDATED'!R99</f>
        <v>41658</v>
      </c>
      <c r="CP102" s="620"/>
      <c r="CQ102" s="633">
        <v>41658</v>
      </c>
      <c r="CR102" s="641">
        <v>7781.3976368219455</v>
      </c>
      <c r="CS102" s="642">
        <v>18940.050568081184</v>
      </c>
      <c r="CT102" s="642">
        <v>34131.256421658269</v>
      </c>
      <c r="CU102" s="643">
        <v>13462.809489876021</v>
      </c>
      <c r="CV102" s="450"/>
      <c r="CW102" s="450"/>
      <c r="CX102" s="573"/>
      <c r="CY102" s="573"/>
      <c r="CZ102" s="513">
        <f t="shared" si="100"/>
        <v>0.88599140993857339</v>
      </c>
      <c r="DA102" s="513">
        <f t="shared" si="106"/>
        <v>0</v>
      </c>
      <c r="DB102" s="572">
        <f t="shared" si="88"/>
        <v>2.2461879166261958</v>
      </c>
      <c r="DC102" s="572">
        <f t="shared" si="107"/>
        <v>0</v>
      </c>
      <c r="DD102" s="622"/>
      <c r="DE102" s="299">
        <v>41656</v>
      </c>
      <c r="DF102" s="463">
        <v>1.5960966743050571</v>
      </c>
      <c r="DG102" s="463">
        <v>1.9166239963212277</v>
      </c>
      <c r="DH102" s="463">
        <v>3.6571565301389857</v>
      </c>
      <c r="DI102" s="463">
        <v>1.5275388515853003</v>
      </c>
      <c r="DJ102" s="528">
        <v>1.521256812190753</v>
      </c>
      <c r="DK102" s="528"/>
      <c r="DL102" s="528">
        <v>0.94565681219066211</v>
      </c>
      <c r="DM102" s="546">
        <v>0.78573681219076752</v>
      </c>
      <c r="DN102" s="528">
        <f t="shared" si="95"/>
        <v>15.21256812190753</v>
      </c>
      <c r="DO102" s="528">
        <f t="shared" si="96"/>
        <v>0</v>
      </c>
      <c r="DP102" s="528">
        <f t="shared" si="97"/>
        <v>9.4565681219066207</v>
      </c>
      <c r="DQ102" s="528">
        <f t="shared" si="98"/>
        <v>7.8573681219076752</v>
      </c>
      <c r="DR102" s="463">
        <v>1.521256812190753</v>
      </c>
      <c r="DS102" s="463">
        <v>1.3069999999999999</v>
      </c>
      <c r="DT102" s="463">
        <v>0.94565681219066211</v>
      </c>
      <c r="DU102" s="463">
        <v>0.78573681219076752</v>
      </c>
      <c r="DV102" s="463"/>
      <c r="DW102" s="463"/>
      <c r="DX102" s="463">
        <v>1.0201309896267592</v>
      </c>
      <c r="DY102" s="463">
        <v>1.1059199999999998</v>
      </c>
      <c r="DZ102" s="463"/>
      <c r="EA102" s="463"/>
      <c r="EB102" s="463">
        <v>1.0201309896267592</v>
      </c>
      <c r="EC102" s="463">
        <v>1.1059199999999998</v>
      </c>
      <c r="ED102" s="463">
        <f t="shared" si="89"/>
        <v>0</v>
      </c>
      <c r="EE102" s="463">
        <f t="shared" si="90"/>
        <v>0</v>
      </c>
      <c r="EF102" s="463">
        <f t="shared" si="91"/>
        <v>10.201309896267592</v>
      </c>
      <c r="EG102" s="463">
        <f t="shared" si="92"/>
        <v>11.059199999999997</v>
      </c>
      <c r="EH102" s="528">
        <f>'[3]Plots R2&gt;.75 - UPDATED'!S99</f>
        <v>0.21143871875709991</v>
      </c>
      <c r="EI102" s="528">
        <f>'[3]Plots R2&gt;.75 - UPDATED'!T99</f>
        <v>1.0925387187570992</v>
      </c>
      <c r="EJ102" s="528">
        <f>'[3]Plots R2&gt;.75 - UPDATED'!U99</f>
        <v>1.8197387187570999</v>
      </c>
      <c r="EK102" s="546">
        <f>'[3]Plots R2&gt;.75 - UPDATED'!V99</f>
        <v>1.434738718757099</v>
      </c>
      <c r="EL102" s="676"/>
      <c r="EM102" s="850"/>
      <c r="EN102" s="299">
        <v>41656</v>
      </c>
      <c r="EO102" s="528">
        <v>0.21143871875709991</v>
      </c>
      <c r="EP102" s="528">
        <v>1.0925387187570992</v>
      </c>
      <c r="EQ102" s="528">
        <v>1.8197387187570999</v>
      </c>
      <c r="ER102" s="546">
        <v>1.434738718757099</v>
      </c>
      <c r="GM102" s="640"/>
      <c r="GN102" s="640"/>
      <c r="GO102" s="640"/>
      <c r="GP102" s="640"/>
      <c r="GQ102" s="640"/>
      <c r="GR102" s="640"/>
      <c r="GS102" s="640"/>
      <c r="GT102" s="640"/>
      <c r="GU102" s="640"/>
      <c r="HE102" s="562">
        <v>1.0006408895945167</v>
      </c>
      <c r="HF102" s="562">
        <v>0</v>
      </c>
      <c r="HG102" s="450"/>
      <c r="HH102" s="450"/>
      <c r="HI102" s="515">
        <v>0.68675649461273391</v>
      </c>
      <c r="HJ102" s="515">
        <v>0</v>
      </c>
      <c r="HK102" s="602">
        <v>1.5302421409579798</v>
      </c>
      <c r="HL102" s="602">
        <v>0</v>
      </c>
    </row>
    <row r="103" spans="10:221" ht="16">
      <c r="J103" s="580">
        <v>41640</v>
      </c>
      <c r="K103" s="581">
        <v>0</v>
      </c>
      <c r="L103" s="582">
        <v>11.2219</v>
      </c>
      <c r="M103" s="582">
        <v>11.4846</v>
      </c>
      <c r="N103" s="582">
        <v>12.2424</v>
      </c>
      <c r="O103" s="582">
        <v>11.928599999999999</v>
      </c>
      <c r="P103" s="582">
        <v>99.072100000000006</v>
      </c>
      <c r="Q103" s="582">
        <v>10.130066814132201</v>
      </c>
      <c r="R103" s="582">
        <v>0.90683318586779882</v>
      </c>
      <c r="S103" s="582">
        <v>2.0045331858677997</v>
      </c>
      <c r="T103" s="582">
        <v>2.3023331858677993</v>
      </c>
      <c r="U103" s="582">
        <v>2.0685331858677984</v>
      </c>
      <c r="W103" s="580">
        <v>41658</v>
      </c>
      <c r="X103" s="582">
        <f t="shared" si="81"/>
        <v>0.2113509099461959</v>
      </c>
      <c r="Y103" s="582">
        <f t="shared" si="81"/>
        <v>1.0926201407154268</v>
      </c>
      <c r="Z103" s="582">
        <f t="shared" si="81"/>
        <v>1.8196432176385036</v>
      </c>
      <c r="AA103" s="582">
        <f t="shared" si="81"/>
        <v>1.7246586022538883</v>
      </c>
      <c r="AB103" s="606"/>
      <c r="AC103" s="436"/>
      <c r="AD103" s="437"/>
      <c r="AE103" s="440">
        <f t="shared" si="104"/>
        <v>2.2416106289218307E-2</v>
      </c>
      <c r="AF103" s="443">
        <f t="shared" si="105"/>
        <v>2.024687551998805E-2</v>
      </c>
      <c r="AG103" s="633">
        <v>41658</v>
      </c>
      <c r="AH103" s="509"/>
      <c r="AI103" s="510"/>
      <c r="AJ103" s="513">
        <v>-2.1327338806508829E-3</v>
      </c>
      <c r="AK103" s="572">
        <v>0</v>
      </c>
      <c r="AL103" s="634"/>
      <c r="AM103" s="436"/>
      <c r="AN103" s="437"/>
      <c r="AO103" s="440">
        <v>-5.4099999999999999E-6</v>
      </c>
      <c r="AP103" s="443">
        <v>-4.9300000000000002E-6</v>
      </c>
      <c r="AR103" s="436"/>
      <c r="AS103" s="437"/>
      <c r="AT103" s="440">
        <f t="shared" si="99"/>
        <v>7.7903999999999994E-3</v>
      </c>
      <c r="AU103" s="443">
        <f t="shared" si="99"/>
        <v>7.0992E-3</v>
      </c>
      <c r="AV103" s="633">
        <v>41658</v>
      </c>
      <c r="AW103" s="644"/>
      <c r="AX103" s="608">
        <v>0</v>
      </c>
      <c r="AY103" s="436"/>
      <c r="AZ103" s="437"/>
      <c r="BA103" s="440">
        <f t="shared" si="102"/>
        <v>1.4625706289218308E-2</v>
      </c>
      <c r="BB103" s="443">
        <f t="shared" si="103"/>
        <v>1.314767551998805E-2</v>
      </c>
      <c r="BC103" s="608">
        <f t="shared" si="77"/>
        <v>0.1314767551998805</v>
      </c>
      <c r="BD103" s="627" t="s">
        <v>541</v>
      </c>
      <c r="BE103" s="580">
        <v>41658</v>
      </c>
      <c r="BF103" s="436"/>
      <c r="BG103" s="437"/>
      <c r="BH103" s="440">
        <f t="shared" si="79"/>
        <v>13.381338475899401</v>
      </c>
      <c r="BI103" s="443">
        <f t="shared" si="80"/>
        <v>10.786138475899754</v>
      </c>
      <c r="BJ103" s="658"/>
      <c r="BK103" s="436"/>
      <c r="BL103" s="437"/>
      <c r="BM103" s="440">
        <v>14.625706289218307</v>
      </c>
      <c r="BN103" s="443">
        <v>13.147675519988052</v>
      </c>
      <c r="BO103" s="353">
        <v>75</v>
      </c>
      <c r="BP103" s="353">
        <f t="shared" si="82"/>
        <v>15</v>
      </c>
      <c r="BQ103" s="610">
        <f t="shared" si="83"/>
        <v>53.571428571428577</v>
      </c>
      <c r="BR103" s="610">
        <f t="shared" si="84"/>
        <v>20.27027027027027</v>
      </c>
      <c r="BT103" s="648"/>
      <c r="BU103" s="648"/>
      <c r="BV103" s="648"/>
      <c r="BW103" s="648"/>
      <c r="BX103" s="648"/>
      <c r="BY103" s="616" t="s">
        <v>427</v>
      </c>
      <c r="BZ103" s="617">
        <v>27</v>
      </c>
      <c r="CA103" s="608">
        <v>0.64</v>
      </c>
      <c r="CB103" s="608">
        <f t="shared" si="85"/>
        <v>6.4</v>
      </c>
      <c r="CC103" s="353">
        <v>87</v>
      </c>
      <c r="CD103" s="631">
        <f t="shared" si="86"/>
        <v>358.60000000000008</v>
      </c>
      <c r="CN103" s="632" t="s">
        <v>521</v>
      </c>
      <c r="CO103" s="580">
        <f>'[3]Plots R2&gt;.75 - UPDATED'!R100</f>
        <v>41659</v>
      </c>
      <c r="CP103" s="620"/>
      <c r="CQ103" s="633">
        <v>41659</v>
      </c>
      <c r="CR103" s="641">
        <v>7534.6473830322529</v>
      </c>
      <c r="CS103" s="642">
        <v>18591.849381469081</v>
      </c>
      <c r="CT103" s="642">
        <v>33355.285017463371</v>
      </c>
      <c r="CU103" s="643">
        <v>12846.302922875344</v>
      </c>
      <c r="CV103" s="573"/>
      <c r="CW103" s="573"/>
      <c r="CX103" s="573"/>
      <c r="CY103" s="573"/>
      <c r="CZ103" s="513">
        <f t="shared" si="100"/>
        <v>0.90660295614825825</v>
      </c>
      <c r="DA103" s="513">
        <f t="shared" si="106"/>
        <v>0</v>
      </c>
      <c r="DB103" s="572">
        <f t="shared" si="88"/>
        <v>2.3539846585862296</v>
      </c>
      <c r="DC103" s="572">
        <f t="shared" si="107"/>
        <v>0</v>
      </c>
      <c r="DD103" s="622"/>
      <c r="DE103" s="299">
        <v>41657</v>
      </c>
      <c r="DF103" s="463">
        <v>1.1831317851312559</v>
      </c>
      <c r="DG103" s="463">
        <v>1.9125852897432305</v>
      </c>
      <c r="DH103" s="463">
        <v>3.5682437209028555</v>
      </c>
      <c r="DI103" s="463">
        <v>1.4672808817642398</v>
      </c>
      <c r="DJ103" s="528">
        <v>0.13885384758989261</v>
      </c>
      <c r="DK103" s="528"/>
      <c r="DL103" s="528">
        <v>1.33813384758994</v>
      </c>
      <c r="DM103" s="546">
        <v>1.0786138475899754</v>
      </c>
      <c r="DN103" s="528">
        <f t="shared" si="95"/>
        <v>1.3885384758989261</v>
      </c>
      <c r="DO103" s="528">
        <f t="shared" si="96"/>
        <v>0</v>
      </c>
      <c r="DP103" s="528">
        <f t="shared" si="97"/>
        <v>13.381338475899401</v>
      </c>
      <c r="DQ103" s="528">
        <f t="shared" si="98"/>
        <v>10.786138475899754</v>
      </c>
      <c r="DR103" s="463">
        <v>0.13885384758989261</v>
      </c>
      <c r="DS103" s="463">
        <v>1.3069999999999999</v>
      </c>
      <c r="DT103" s="463">
        <v>1.33813384758994</v>
      </c>
      <c r="DU103" s="463">
        <v>1.0786138475899754</v>
      </c>
      <c r="DV103" s="463"/>
      <c r="DW103" s="463"/>
      <c r="DX103" s="463">
        <v>0.74483004024267152</v>
      </c>
      <c r="DY103" s="463">
        <v>0.93023999999999996</v>
      </c>
      <c r="DZ103" s="463"/>
      <c r="EA103" s="463"/>
      <c r="EB103" s="463">
        <v>0.74483004024267152</v>
      </c>
      <c r="EC103" s="463">
        <v>0.93023999999999996</v>
      </c>
      <c r="ED103" s="463">
        <f t="shared" si="89"/>
        <v>0</v>
      </c>
      <c r="EE103" s="463">
        <f t="shared" si="90"/>
        <v>0</v>
      </c>
      <c r="EF103" s="463">
        <f t="shared" si="91"/>
        <v>7.4483004024267156</v>
      </c>
      <c r="EG103" s="463">
        <f t="shared" si="92"/>
        <v>9.3023999999999987</v>
      </c>
      <c r="EH103" s="528">
        <f>'[3]Plots R2&gt;.75 - UPDATED'!S100</f>
        <v>0.20533074560342485</v>
      </c>
      <c r="EI103" s="528">
        <f>'[3]Plots R2&gt;.75 - UPDATED'!T100</f>
        <v>1.0855307456034244</v>
      </c>
      <c r="EJ103" s="528">
        <f>'[3]Plots R2&gt;.75 - UPDATED'!U100</f>
        <v>1.7965307456034256</v>
      </c>
      <c r="EK103" s="546">
        <f>'[3]Plots R2&gt;.75 - UPDATED'!V100</f>
        <v>1.4139307456034245</v>
      </c>
      <c r="EL103" s="676"/>
      <c r="EM103" s="850"/>
      <c r="EN103" s="299">
        <v>41657</v>
      </c>
      <c r="EO103" s="528">
        <v>0.20533074560342485</v>
      </c>
      <c r="EP103" s="528">
        <v>1.0855307456034244</v>
      </c>
      <c r="EQ103" s="528">
        <v>1.7965307456034256</v>
      </c>
      <c r="ER103" s="546">
        <v>1.4139307456034245</v>
      </c>
      <c r="GM103" s="640"/>
      <c r="GN103" s="640"/>
      <c r="GO103" s="640"/>
      <c r="GP103" s="640"/>
      <c r="GQ103" s="640"/>
      <c r="GR103" s="640"/>
      <c r="GS103" s="640"/>
      <c r="GT103" s="640"/>
      <c r="GU103" s="640"/>
      <c r="HE103" s="562">
        <v>1.0080833418697432</v>
      </c>
      <c r="HF103" s="562">
        <v>0.33687665813025691</v>
      </c>
      <c r="HG103" s="513">
        <v>0.37409265938246977</v>
      </c>
      <c r="HH103" s="513">
        <v>-1.8465061675635941</v>
      </c>
      <c r="HI103" s="515">
        <v>0.6964104362784197</v>
      </c>
      <c r="HJ103" s="515">
        <v>0.64096814169759131</v>
      </c>
      <c r="HK103" s="602">
        <v>1.5405514596259435</v>
      </c>
      <c r="HL103" s="602">
        <v>0</v>
      </c>
    </row>
    <row r="104" spans="10:221" ht="16">
      <c r="J104" s="580">
        <v>41641</v>
      </c>
      <c r="K104" s="581">
        <v>0</v>
      </c>
      <c r="L104" s="582">
        <v>11.2012</v>
      </c>
      <c r="M104" s="582">
        <v>11.4611</v>
      </c>
      <c r="N104" s="582">
        <v>12.2098</v>
      </c>
      <c r="O104" s="582">
        <v>11.895099999999999</v>
      </c>
      <c r="P104" s="582">
        <v>99.073599999999999</v>
      </c>
      <c r="Q104" s="582">
        <v>10.130220188293254</v>
      </c>
      <c r="R104" s="582">
        <v>0.88597981170674578</v>
      </c>
      <c r="S104" s="582">
        <v>1.9808798117067459</v>
      </c>
      <c r="T104" s="582">
        <v>2.2695798117067456</v>
      </c>
      <c r="U104" s="582">
        <v>2.034879811706745</v>
      </c>
      <c r="W104" s="580">
        <v>41659</v>
      </c>
      <c r="X104" s="582">
        <f t="shared" si="81"/>
        <v>0.20608864981082314</v>
      </c>
      <c r="Y104" s="582">
        <f t="shared" si="81"/>
        <v>1.0859424959646695</v>
      </c>
      <c r="Z104" s="582">
        <f t="shared" si="81"/>
        <v>1.7972271113492853</v>
      </c>
      <c r="AA104" s="582">
        <f t="shared" si="81"/>
        <v>1.7044117267339003</v>
      </c>
      <c r="AB104" s="606"/>
      <c r="AC104" s="436"/>
      <c r="AD104" s="437"/>
      <c r="AE104" s="440">
        <f t="shared" si="104"/>
        <v>2.2817225296907884E-2</v>
      </c>
      <c r="AF104" s="443">
        <f t="shared" si="105"/>
        <v>2.0963379143061678E-2</v>
      </c>
      <c r="AG104" s="633">
        <v>41659</v>
      </c>
      <c r="AH104" s="509"/>
      <c r="AI104" s="510"/>
      <c r="AJ104" s="513">
        <v>-1.7919655231675362E-3</v>
      </c>
      <c r="AK104" s="572">
        <v>0</v>
      </c>
      <c r="AL104" s="634"/>
      <c r="AM104" s="436"/>
      <c r="AN104" s="437"/>
      <c r="AO104" s="440">
        <v>-5.1900000000000003E-6</v>
      </c>
      <c r="AP104" s="443">
        <v>-4.2100000000000003E-6</v>
      </c>
      <c r="AR104" s="436"/>
      <c r="AS104" s="437"/>
      <c r="AT104" s="440">
        <f t="shared" si="99"/>
        <v>7.4736000000000004E-3</v>
      </c>
      <c r="AU104" s="443">
        <f t="shared" si="99"/>
        <v>6.0624000000000008E-3</v>
      </c>
      <c r="AV104" s="633">
        <v>41659</v>
      </c>
      <c r="AW104" s="644"/>
      <c r="AX104" s="608">
        <v>0</v>
      </c>
      <c r="AY104" s="436"/>
      <c r="AZ104" s="437"/>
      <c r="BA104" s="440">
        <f t="shared" si="102"/>
        <v>1.5343625296907883E-2</v>
      </c>
      <c r="BB104" s="443">
        <f t="shared" si="103"/>
        <v>1.4900979143061677E-2</v>
      </c>
      <c r="BC104" s="608">
        <f t="shared" si="77"/>
        <v>0.14900979143061677</v>
      </c>
      <c r="BD104" s="627" t="s">
        <v>542</v>
      </c>
      <c r="BE104" s="580">
        <v>41659</v>
      </c>
      <c r="BF104" s="436"/>
      <c r="BG104" s="437"/>
      <c r="BH104" s="440">
        <f t="shared" ref="BH104:BH136" si="108">DT104*10</f>
        <v>15.417573153674288</v>
      </c>
      <c r="BI104" s="443">
        <f t="shared" ref="BI104:BI136" si="109">DU104*10</f>
        <v>13.708773153674553</v>
      </c>
      <c r="BJ104" s="658"/>
      <c r="BK104" s="436"/>
      <c r="BL104" s="437"/>
      <c r="BM104" s="440">
        <v>15.343625296907884</v>
      </c>
      <c r="BN104" s="443">
        <v>14.900979143061676</v>
      </c>
      <c r="BO104" s="353">
        <v>73</v>
      </c>
      <c r="BP104" s="353">
        <f t="shared" si="82"/>
        <v>14.6</v>
      </c>
      <c r="BQ104" s="610">
        <f t="shared" si="83"/>
        <v>52.142857142857146</v>
      </c>
      <c r="BR104" s="610">
        <f t="shared" si="84"/>
        <v>19.72972972972973</v>
      </c>
      <c r="BT104" s="648"/>
      <c r="BU104" s="648"/>
      <c r="BV104" s="648"/>
      <c r="BW104" s="648"/>
      <c r="BX104" s="648"/>
      <c r="BY104" s="616" t="s">
        <v>430</v>
      </c>
      <c r="BZ104" s="617">
        <v>27</v>
      </c>
      <c r="CA104" s="608">
        <v>1.3</v>
      </c>
      <c r="CB104" s="608">
        <f t="shared" si="85"/>
        <v>13</v>
      </c>
      <c r="CC104" s="353">
        <v>91</v>
      </c>
      <c r="CD104" s="631">
        <f t="shared" si="86"/>
        <v>371.60000000000008</v>
      </c>
      <c r="CN104" s="632" t="s">
        <v>522</v>
      </c>
      <c r="CO104" s="580">
        <f>'[3]Plots R2&gt;.75 - UPDATED'!R101</f>
        <v>41660</v>
      </c>
      <c r="CP104" s="620"/>
      <c r="CQ104" s="633">
        <v>41660</v>
      </c>
      <c r="CR104" s="641">
        <v>0</v>
      </c>
      <c r="CS104" s="642">
        <v>4932.5930209035769</v>
      </c>
      <c r="CT104" s="642">
        <v>32618.444111894762</v>
      </c>
      <c r="CU104" s="643">
        <v>12262.169093741029</v>
      </c>
      <c r="CV104" s="573"/>
      <c r="CW104" s="573"/>
      <c r="CX104" s="573"/>
      <c r="CY104" s="573"/>
      <c r="CZ104" s="513">
        <f t="shared" si="100"/>
        <v>0.92708284602000901</v>
      </c>
      <c r="DA104" s="513">
        <f t="shared" si="106"/>
        <v>0</v>
      </c>
      <c r="DB104" s="572">
        <f t="shared" si="88"/>
        <v>2.4661215947050819</v>
      </c>
      <c r="DC104" s="572">
        <f t="shared" si="107"/>
        <v>0</v>
      </c>
      <c r="DD104" s="622"/>
      <c r="DE104" s="299">
        <v>41658</v>
      </c>
      <c r="DF104" s="463">
        <v>0.78375914547249625</v>
      </c>
      <c r="DG104" s="463">
        <v>1.8904507959251335</v>
      </c>
      <c r="DH104" s="463">
        <v>3.4917837337130804</v>
      </c>
      <c r="DI104" s="463">
        <v>1.4077034870078515</v>
      </c>
      <c r="DJ104" s="528">
        <v>0.61079731536750614</v>
      </c>
      <c r="DK104" s="528"/>
      <c r="DL104" s="528">
        <v>1.5417573153674289</v>
      </c>
      <c r="DM104" s="546">
        <v>1.3708773153674554</v>
      </c>
      <c r="DN104" s="528">
        <f t="shared" si="95"/>
        <v>6.1079731536750614</v>
      </c>
      <c r="DO104" s="528">
        <f t="shared" si="96"/>
        <v>0</v>
      </c>
      <c r="DP104" s="528">
        <f t="shared" si="97"/>
        <v>15.417573153674288</v>
      </c>
      <c r="DQ104" s="528">
        <f t="shared" si="98"/>
        <v>13.708773153674553</v>
      </c>
      <c r="DR104" s="463">
        <v>0.61079731536750614</v>
      </c>
      <c r="DS104" s="463">
        <v>1.3069999999999999</v>
      </c>
      <c r="DT104" s="463">
        <v>1.5417573153674289</v>
      </c>
      <c r="DU104" s="463">
        <v>1.3708773153674554</v>
      </c>
      <c r="DV104" s="463"/>
      <c r="DW104" s="463"/>
      <c r="DX104" s="463">
        <v>0.56576661193491162</v>
      </c>
      <c r="DY104" s="463">
        <v>0.70991999999999988</v>
      </c>
      <c r="DZ104" s="463"/>
      <c r="EA104" s="463"/>
      <c r="EB104" s="463">
        <v>0.56576661193491162</v>
      </c>
      <c r="EC104" s="463">
        <v>0.70991999999999988</v>
      </c>
      <c r="ED104" s="463">
        <f t="shared" si="89"/>
        <v>0</v>
      </c>
      <c r="EE104" s="463">
        <f t="shared" si="90"/>
        <v>0</v>
      </c>
      <c r="EF104" s="463">
        <f t="shared" si="91"/>
        <v>5.6576661193491162</v>
      </c>
      <c r="EG104" s="463">
        <f t="shared" si="92"/>
        <v>7.0991999999999988</v>
      </c>
      <c r="EH104" s="528">
        <f>'[3]Plots R2&gt;.75 - UPDATED'!S101</f>
        <v>0</v>
      </c>
      <c r="EI104" s="528">
        <f>'[3]Plots R2&gt;.75 - UPDATED'!T101</f>
        <v>0.68517123553605486</v>
      </c>
      <c r="EJ104" s="528">
        <f>'[3]Plots R2&gt;.75 - UPDATED'!U101</f>
        <v>1.7742712355360541</v>
      </c>
      <c r="EK104" s="546">
        <f>'[3]Plots R2&gt;.75 - UPDATED'!V101</f>
        <v>1.3935712355360539</v>
      </c>
      <c r="EL104" s="676"/>
      <c r="EM104" s="850"/>
      <c r="EN104" s="299">
        <v>41658</v>
      </c>
      <c r="EO104" s="528">
        <v>0</v>
      </c>
      <c r="EP104" s="528">
        <v>0.68517123553605486</v>
      </c>
      <c r="EQ104" s="528">
        <v>1.7742712355360541</v>
      </c>
      <c r="ER104" s="546">
        <v>1.3935712355360539</v>
      </c>
      <c r="GM104" s="640"/>
      <c r="GN104" s="640"/>
      <c r="GO104" s="640"/>
      <c r="GP104" s="640"/>
      <c r="GQ104" s="640"/>
      <c r="GR104" s="640"/>
      <c r="GS104" s="640"/>
      <c r="GT104" s="640"/>
      <c r="GU104" s="640"/>
      <c r="HE104" s="562">
        <v>1.0352022715334763</v>
      </c>
      <c r="HF104" s="562">
        <v>0.28527772846652377</v>
      </c>
      <c r="HG104" s="513">
        <v>0.37813038475999905</v>
      </c>
      <c r="HH104" s="513">
        <v>1.1179905797973202</v>
      </c>
      <c r="HI104" s="515">
        <v>0.71222023356122011</v>
      </c>
      <c r="HJ104" s="515">
        <v>0.53272171949205116</v>
      </c>
      <c r="HK104" s="602">
        <v>1.5919322516316119</v>
      </c>
      <c r="HL104" s="602">
        <v>0</v>
      </c>
    </row>
    <row r="105" spans="10:221" ht="16">
      <c r="J105" s="580">
        <v>41642</v>
      </c>
      <c r="K105" s="581">
        <v>0</v>
      </c>
      <c r="L105" s="582">
        <v>11.1722</v>
      </c>
      <c r="M105" s="582">
        <v>11.438800000000001</v>
      </c>
      <c r="N105" s="582">
        <v>12.1807</v>
      </c>
      <c r="O105" s="582">
        <v>11.868499999999999</v>
      </c>
      <c r="P105" s="582">
        <v>99.080699999999993</v>
      </c>
      <c r="Q105" s="582">
        <v>10.130946159322233</v>
      </c>
      <c r="R105" s="582">
        <v>0.85625384067776678</v>
      </c>
      <c r="S105" s="582">
        <v>1.9578538406777672</v>
      </c>
      <c r="T105" s="582">
        <v>2.2397538406777668</v>
      </c>
      <c r="U105" s="582">
        <v>2.0075538406777658</v>
      </c>
      <c r="W105" s="580">
        <v>41660</v>
      </c>
      <c r="X105" s="582">
        <f t="shared" ref="X105:AA136" si="110">AVERAGE(R123,R285,R447,R609,R771,R933,R1095,R1257,R1419,R1581,R1743,R1905,R2067)</f>
        <v>0</v>
      </c>
      <c r="Y105" s="582">
        <f t="shared" si="110"/>
        <v>0.68474065528314709</v>
      </c>
      <c r="Z105" s="582">
        <f t="shared" si="110"/>
        <v>1.7744098860523774</v>
      </c>
      <c r="AA105" s="582">
        <f t="shared" si="110"/>
        <v>1.6834483475908386</v>
      </c>
      <c r="AB105" s="606"/>
      <c r="AC105" s="436"/>
      <c r="AD105" s="437"/>
      <c r="AE105" s="440">
        <f t="shared" si="104"/>
        <v>2.3192708821818453E-2</v>
      </c>
      <c r="AF105" s="443">
        <f t="shared" si="105"/>
        <v>2.1438862667971792E-2</v>
      </c>
      <c r="AG105" s="633">
        <v>41660</v>
      </c>
      <c r="AH105" s="509"/>
      <c r="AI105" s="510"/>
      <c r="AJ105" s="513">
        <v>-1.4495575387616047E-3</v>
      </c>
      <c r="AK105" s="572">
        <v>0</v>
      </c>
      <c r="AL105" s="634"/>
      <c r="AM105" s="436"/>
      <c r="AN105" s="437"/>
      <c r="AO105" s="440">
        <v>-5.1599999999999997E-6</v>
      </c>
      <c r="AP105" s="443">
        <v>-3.3699999999999999E-6</v>
      </c>
      <c r="AR105" s="436"/>
      <c r="AS105" s="437"/>
      <c r="AT105" s="440">
        <f t="shared" ref="AT105:AU136" si="111">-AO105*1440</f>
        <v>7.4303999999999993E-3</v>
      </c>
      <c r="AU105" s="443">
        <f t="shared" si="111"/>
        <v>4.8528E-3</v>
      </c>
      <c r="AV105" s="633">
        <v>41660</v>
      </c>
      <c r="AW105" s="644"/>
      <c r="AX105" s="608">
        <v>0</v>
      </c>
      <c r="AY105" s="436"/>
      <c r="AZ105" s="437"/>
      <c r="BA105" s="440">
        <f t="shared" si="102"/>
        <v>1.5762308821818453E-2</v>
      </c>
      <c r="BB105" s="443">
        <f t="shared" si="103"/>
        <v>1.6586062667971791E-2</v>
      </c>
      <c r="BC105" s="608">
        <f t="shared" si="77"/>
        <v>0.1658606266797179</v>
      </c>
      <c r="BD105" s="627" t="s">
        <v>543</v>
      </c>
      <c r="BE105" s="580">
        <v>41660</v>
      </c>
      <c r="BF105" s="436"/>
      <c r="BG105" s="437"/>
      <c r="BH105" s="440">
        <f t="shared" si="108"/>
        <v>14.785910067371479</v>
      </c>
      <c r="BI105" s="443">
        <f t="shared" si="109"/>
        <v>14.297110067370578</v>
      </c>
      <c r="BJ105" s="658"/>
      <c r="BK105" s="436"/>
      <c r="BL105" s="437"/>
      <c r="BM105" s="440">
        <v>15.762308821818454</v>
      </c>
      <c r="BN105" s="443">
        <v>16.586062667971792</v>
      </c>
      <c r="BO105" s="353">
        <v>71</v>
      </c>
      <c r="BP105" s="353">
        <f t="shared" si="82"/>
        <v>14.2</v>
      </c>
      <c r="BQ105" s="610">
        <f t="shared" si="83"/>
        <v>50.714285714285715</v>
      </c>
      <c r="BR105" s="610">
        <f t="shared" si="84"/>
        <v>19.189189189189189</v>
      </c>
      <c r="BT105" s="648"/>
      <c r="BU105" s="648"/>
      <c r="BV105" s="648"/>
      <c r="BW105" s="648"/>
      <c r="BX105" s="648"/>
      <c r="BY105" s="616" t="s">
        <v>432</v>
      </c>
      <c r="BZ105" s="617">
        <v>26</v>
      </c>
      <c r="CA105" s="608">
        <v>0.71</v>
      </c>
      <c r="CB105" s="608">
        <f t="shared" si="85"/>
        <v>7.1</v>
      </c>
      <c r="CC105" s="353">
        <v>89</v>
      </c>
      <c r="CD105" s="631">
        <f t="shared" si="86"/>
        <v>378.7000000000001</v>
      </c>
      <c r="CN105" s="632" t="s">
        <v>523</v>
      </c>
      <c r="CO105" s="580">
        <f>'[3]Plots R2&gt;.75 - UPDATED'!R102</f>
        <v>41661</v>
      </c>
      <c r="CP105" s="620"/>
      <c r="CQ105" s="633">
        <v>41661</v>
      </c>
      <c r="CR105" s="641">
        <v>0</v>
      </c>
      <c r="CS105" s="642">
        <v>4932.0452669099523</v>
      </c>
      <c r="CT105" s="642">
        <v>31834.547208442884</v>
      </c>
      <c r="CU105" s="643">
        <v>11659.266953017896</v>
      </c>
      <c r="CV105" s="573"/>
      <c r="CW105" s="573"/>
      <c r="CX105" s="573"/>
      <c r="CY105" s="573"/>
      <c r="CZ105" s="513">
        <f t="shared" si="100"/>
        <v>0.94991142176446619</v>
      </c>
      <c r="DA105" s="513">
        <f t="shared" si="106"/>
        <v>0</v>
      </c>
      <c r="DB105" s="572">
        <f t="shared" si="88"/>
        <v>2.593645048342653</v>
      </c>
      <c r="DC105" s="572">
        <f t="shared" si="107"/>
        <v>0</v>
      </c>
      <c r="DD105" s="622"/>
      <c r="DE105" s="299">
        <v>41659</v>
      </c>
      <c r="DF105" s="463">
        <v>0.77813976368219451</v>
      </c>
      <c r="DG105" s="463">
        <v>1.8940050568081184</v>
      </c>
      <c r="DH105" s="463">
        <v>3.4131256421658267</v>
      </c>
      <c r="DI105" s="463">
        <v>1.3462809489876022</v>
      </c>
      <c r="DJ105" s="324"/>
      <c r="DK105" s="324"/>
      <c r="DL105" s="528">
        <v>1.4785910067371479</v>
      </c>
      <c r="DM105" s="546">
        <v>1.4297110067370578</v>
      </c>
      <c r="DN105" s="528">
        <f t="shared" si="95"/>
        <v>0</v>
      </c>
      <c r="DO105" s="528">
        <f t="shared" si="96"/>
        <v>0</v>
      </c>
      <c r="DP105" s="528">
        <f t="shared" si="97"/>
        <v>14.785910067371479</v>
      </c>
      <c r="DQ105" s="528">
        <f t="shared" si="98"/>
        <v>14.297110067370578</v>
      </c>
      <c r="DR105" s="463"/>
      <c r="DS105" s="463"/>
      <c r="DT105" s="463">
        <v>1.4785910067371479</v>
      </c>
      <c r="DU105" s="463">
        <v>1.4297110067370578</v>
      </c>
      <c r="DV105" s="463"/>
      <c r="DW105" s="463"/>
      <c r="DX105" s="463">
        <v>0.56816344768324645</v>
      </c>
      <c r="DY105" s="463">
        <v>0.60624000000000011</v>
      </c>
      <c r="DZ105" s="463"/>
      <c r="EA105" s="463"/>
      <c r="EB105" s="463">
        <v>0.56816344768324645</v>
      </c>
      <c r="EC105" s="463">
        <v>0.60624000000000011</v>
      </c>
      <c r="ED105" s="463">
        <f t="shared" si="89"/>
        <v>0</v>
      </c>
      <c r="EE105" s="463">
        <f t="shared" si="90"/>
        <v>0</v>
      </c>
      <c r="EF105" s="463">
        <f t="shared" si="91"/>
        <v>5.681634476832464</v>
      </c>
      <c r="EG105" s="463">
        <f t="shared" si="92"/>
        <v>6.0624000000000011</v>
      </c>
      <c r="EH105" s="324">
        <f>'[3]Plots R2&gt;.75 - UPDATED'!S102</f>
        <v>0</v>
      </c>
      <c r="EI105" s="324">
        <f>'[3]Plots R2&gt;.75 - UPDATED'!T102</f>
        <v>0.68514484761434402</v>
      </c>
      <c r="EJ105" s="528">
        <f>'[3]Plots R2&gt;.75 - UPDATED'!U102</f>
        <v>1.7503448476143439</v>
      </c>
      <c r="EK105" s="546">
        <f>'[3]Plots R2&gt;.75 - UPDATED'!V102</f>
        <v>1.3718448476143439</v>
      </c>
      <c r="EL105" s="676"/>
      <c r="EM105" s="850"/>
      <c r="EN105" s="299">
        <v>41659</v>
      </c>
      <c r="EO105" s="324">
        <v>0</v>
      </c>
      <c r="EP105" s="324">
        <v>0.68514484761434402</v>
      </c>
      <c r="EQ105" s="528">
        <v>1.7503448476143439</v>
      </c>
      <c r="ER105" s="546">
        <v>1.3718448476143439</v>
      </c>
      <c r="GM105" s="640"/>
      <c r="GN105" s="640"/>
      <c r="GO105" s="640"/>
      <c r="GP105" s="640"/>
      <c r="GQ105" s="640"/>
      <c r="GR105" s="640"/>
      <c r="GS105" s="640"/>
      <c r="GT105" s="640"/>
      <c r="GU105" s="640"/>
      <c r="HE105" s="562">
        <v>1.0729943416282393</v>
      </c>
      <c r="HF105" s="562">
        <v>0</v>
      </c>
      <c r="HG105" s="513">
        <v>0.39529288986479744</v>
      </c>
      <c r="HH105" s="513">
        <v>0.40757795515388479</v>
      </c>
      <c r="HI105" s="515">
        <v>0.7290389760525513</v>
      </c>
      <c r="HJ105" s="515">
        <v>0.31008121736337602</v>
      </c>
      <c r="HK105" s="602">
        <v>1.6482181446929856</v>
      </c>
      <c r="HL105" s="602">
        <v>0</v>
      </c>
    </row>
    <row r="106" spans="10:221" ht="16">
      <c r="J106" s="580">
        <v>41643</v>
      </c>
      <c r="K106" s="581">
        <v>0</v>
      </c>
      <c r="L106" s="582">
        <v>11.138500000000001</v>
      </c>
      <c r="M106" s="582">
        <v>11.4114</v>
      </c>
      <c r="N106" s="582">
        <v>12.1469</v>
      </c>
      <c r="O106" s="582">
        <v>11.838100000000001</v>
      </c>
      <c r="P106" s="582">
        <v>99.025499999999994</v>
      </c>
      <c r="Q106" s="582">
        <v>10.125301990195506</v>
      </c>
      <c r="R106" s="582">
        <v>0.82819800980449421</v>
      </c>
      <c r="S106" s="582">
        <v>1.9360980098044942</v>
      </c>
      <c r="T106" s="582">
        <v>2.2115980098044945</v>
      </c>
      <c r="U106" s="582">
        <v>1.9827980098044944</v>
      </c>
      <c r="W106" s="580">
        <v>41661</v>
      </c>
      <c r="X106" s="582">
        <f t="shared" si="110"/>
        <v>0</v>
      </c>
      <c r="Y106" s="582">
        <f t="shared" si="110"/>
        <v>0.68496333107671292</v>
      </c>
      <c r="Z106" s="582">
        <f t="shared" si="110"/>
        <v>1.7512171772305589</v>
      </c>
      <c r="AA106" s="582">
        <f t="shared" si="110"/>
        <v>1.6620094849228668</v>
      </c>
      <c r="AB106" s="606"/>
      <c r="AC106" s="436"/>
      <c r="AD106" s="437"/>
      <c r="AE106" s="440">
        <f t="shared" si="104"/>
        <v>2.3237468455766352E-2</v>
      </c>
      <c r="AF106" s="443">
        <f t="shared" si="105"/>
        <v>2.1814391532689603E-2</v>
      </c>
      <c r="AG106" s="633">
        <v>41661</v>
      </c>
      <c r="AH106" s="509"/>
      <c r="AI106" s="510"/>
      <c r="AJ106" s="513">
        <v>-1.0635572119194283E-3</v>
      </c>
      <c r="AK106" s="572">
        <v>0</v>
      </c>
      <c r="AL106" s="634"/>
      <c r="AM106" s="436"/>
      <c r="AN106" s="437"/>
      <c r="AO106" s="440">
        <v>-4.4100000000000001E-6</v>
      </c>
      <c r="AP106" s="443">
        <v>-2.5100000000000001E-6</v>
      </c>
      <c r="AR106" s="436"/>
      <c r="AS106" s="437"/>
      <c r="AT106" s="440">
        <f t="shared" si="111"/>
        <v>6.3504E-3</v>
      </c>
      <c r="AU106" s="443">
        <f t="shared" si="111"/>
        <v>3.6144000000000003E-3</v>
      </c>
      <c r="AV106" s="633">
        <v>41661</v>
      </c>
      <c r="AW106" s="644"/>
      <c r="AX106" s="608">
        <v>0</v>
      </c>
      <c r="AY106" s="436"/>
      <c r="AZ106" s="437"/>
      <c r="BA106" s="440">
        <f t="shared" si="102"/>
        <v>1.6887068455766353E-2</v>
      </c>
      <c r="BB106" s="443">
        <f t="shared" si="103"/>
        <v>1.8199991532689603E-2</v>
      </c>
      <c r="BC106" s="608">
        <f t="shared" si="77"/>
        <v>0.18199991532689602</v>
      </c>
      <c r="BD106" s="627" t="s">
        <v>544</v>
      </c>
      <c r="BE106" s="580">
        <v>41661</v>
      </c>
      <c r="BF106" s="436"/>
      <c r="BG106" s="437"/>
      <c r="BH106" s="440">
        <f t="shared" si="108"/>
        <v>16.495987921710203</v>
      </c>
      <c r="BI106" s="443">
        <f t="shared" si="109"/>
        <v>16.873587921710001</v>
      </c>
      <c r="BJ106" s="658"/>
      <c r="BK106" s="436"/>
      <c r="BL106" s="437"/>
      <c r="BM106" s="440">
        <v>16.887068455766354</v>
      </c>
      <c r="BN106" s="443">
        <v>18.199991532689602</v>
      </c>
      <c r="BO106" s="353">
        <v>71</v>
      </c>
      <c r="BP106" s="353">
        <f t="shared" si="82"/>
        <v>14.2</v>
      </c>
      <c r="BQ106" s="610">
        <f t="shared" si="83"/>
        <v>50.714285714285715</v>
      </c>
      <c r="BR106" s="610">
        <f t="shared" si="84"/>
        <v>19.189189189189189</v>
      </c>
      <c r="BT106" s="648"/>
      <c r="BU106" s="648"/>
      <c r="BV106" s="648"/>
      <c r="BW106" s="648"/>
      <c r="BX106" s="648"/>
      <c r="BY106" s="616" t="s">
        <v>434</v>
      </c>
      <c r="BZ106" s="617">
        <v>27</v>
      </c>
      <c r="CA106" s="608">
        <v>0</v>
      </c>
      <c r="CB106" s="608">
        <f t="shared" si="85"/>
        <v>0</v>
      </c>
      <c r="CC106" s="353">
        <v>78</v>
      </c>
      <c r="CD106" s="631">
        <f t="shared" si="86"/>
        <v>378.7000000000001</v>
      </c>
      <c r="CN106" s="632" t="s">
        <v>524</v>
      </c>
      <c r="CO106" s="580">
        <f>'[3]Plots R2&gt;.75 - UPDATED'!R103</f>
        <v>41662</v>
      </c>
      <c r="CP106" s="620"/>
      <c r="CQ106" s="633">
        <v>41662</v>
      </c>
      <c r="CR106" s="641">
        <v>0</v>
      </c>
      <c r="CS106" s="642">
        <v>4833.3441773146697</v>
      </c>
      <c r="CT106" s="642">
        <v>31105.51615152623</v>
      </c>
      <c r="CU106" s="643">
        <v>11072.87426656798</v>
      </c>
      <c r="CV106" s="573"/>
      <c r="CW106" s="573"/>
      <c r="CX106" s="573"/>
      <c r="CY106" s="573"/>
      <c r="CZ106" s="513">
        <f t="shared" si="100"/>
        <v>0.97217483396481863</v>
      </c>
      <c r="DA106" s="513">
        <f t="shared" si="106"/>
        <v>0</v>
      </c>
      <c r="DB106" s="572">
        <f t="shared" si="88"/>
        <v>2.7309982279219756</v>
      </c>
      <c r="DC106" s="572">
        <f t="shared" si="107"/>
        <v>0</v>
      </c>
      <c r="DD106" s="622"/>
      <c r="DE106" s="299">
        <v>41660</v>
      </c>
      <c r="DF106" s="463">
        <v>0.75346473830322525</v>
      </c>
      <c r="DG106" s="463">
        <v>1.8591849381469081</v>
      </c>
      <c r="DH106" s="463">
        <v>3.335528501746337</v>
      </c>
      <c r="DI106" s="463">
        <v>1.2846302922875343</v>
      </c>
      <c r="DJ106" s="324"/>
      <c r="DK106" s="324"/>
      <c r="DL106" s="528">
        <v>1.6495987921710202</v>
      </c>
      <c r="DM106" s="546">
        <v>1.687358792171</v>
      </c>
      <c r="DN106" s="528">
        <f t="shared" si="95"/>
        <v>0</v>
      </c>
      <c r="DO106" s="528">
        <f t="shared" si="96"/>
        <v>0</v>
      </c>
      <c r="DP106" s="528">
        <f t="shared" si="97"/>
        <v>16.495987921710203</v>
      </c>
      <c r="DQ106" s="528">
        <f t="shared" si="98"/>
        <v>16.873587921710001</v>
      </c>
      <c r="DR106" s="463"/>
      <c r="DS106" s="463"/>
      <c r="DT106" s="463">
        <v>1.6495987921710202</v>
      </c>
      <c r="DU106" s="463">
        <v>1.687358792171</v>
      </c>
      <c r="DV106" s="463"/>
      <c r="DW106" s="463"/>
      <c r="DX106" s="463">
        <v>0.59808424612383937</v>
      </c>
      <c r="DY106" s="463">
        <v>0.48527999999999993</v>
      </c>
      <c r="DZ106" s="463"/>
      <c r="EA106" s="463"/>
      <c r="EB106" s="463">
        <v>0.59808424612383937</v>
      </c>
      <c r="EC106" s="463">
        <v>0.48527999999999993</v>
      </c>
      <c r="ED106" s="463">
        <f t="shared" si="89"/>
        <v>0</v>
      </c>
      <c r="EE106" s="463">
        <f t="shared" si="90"/>
        <v>0</v>
      </c>
      <c r="EF106" s="463">
        <f t="shared" si="91"/>
        <v>5.9808424612383941</v>
      </c>
      <c r="EG106" s="463">
        <f t="shared" si="92"/>
        <v>4.8527999999999993</v>
      </c>
      <c r="EH106" s="324">
        <f>'[3]Plots R2&gt;.75 - UPDATED'!S103</f>
        <v>0</v>
      </c>
      <c r="EI106" s="324">
        <f>'[3]Plots R2&gt;.75 - UPDATED'!T103</f>
        <v>0.6803583466082459</v>
      </c>
      <c r="EJ106" s="528">
        <f>'[3]Plots R2&gt;.75 - UPDATED'!U103</f>
        <v>1.7278583466082462</v>
      </c>
      <c r="EK106" s="546">
        <f>'[3]Plots R2&gt;.75 - UPDATED'!V103</f>
        <v>1.3499583466082465</v>
      </c>
      <c r="EL106" s="676"/>
      <c r="EM106" s="850"/>
      <c r="EN106" s="299">
        <v>41660</v>
      </c>
      <c r="EO106" s="324">
        <v>0</v>
      </c>
      <c r="EP106" s="324">
        <v>0.6803583466082459</v>
      </c>
      <c r="EQ106" s="528">
        <v>1.7278583466082462</v>
      </c>
      <c r="ER106" s="546">
        <v>1.3499583466082465</v>
      </c>
      <c r="GM106" s="640"/>
      <c r="GN106" s="640"/>
      <c r="GO106" s="640"/>
      <c r="GP106" s="640"/>
      <c r="GQ106" s="640"/>
      <c r="GR106" s="640"/>
      <c r="GS106" s="640"/>
      <c r="GT106" s="640"/>
      <c r="GU106" s="640"/>
      <c r="HE106" s="562">
        <v>1.1161406004626035</v>
      </c>
      <c r="HF106" s="562">
        <v>0</v>
      </c>
      <c r="HG106" s="572">
        <v>1.3279417406315535</v>
      </c>
      <c r="HH106" s="572">
        <v>0.58725825936844633</v>
      </c>
      <c r="HI106" s="515">
        <v>0.74796493060811664</v>
      </c>
      <c r="HJ106" s="515">
        <v>0.29044309056174344</v>
      </c>
      <c r="HK106" s="602">
        <v>1.7022893949021876</v>
      </c>
      <c r="HL106" s="602">
        <v>0</v>
      </c>
    </row>
    <row r="107" spans="10:221" ht="16">
      <c r="J107" s="580">
        <v>41644</v>
      </c>
      <c r="K107" s="581">
        <v>0</v>
      </c>
      <c r="L107" s="582">
        <v>11.093999999999999</v>
      </c>
      <c r="M107" s="582">
        <v>11.3759</v>
      </c>
      <c r="N107" s="582">
        <v>12.107699999999999</v>
      </c>
      <c r="O107" s="582">
        <v>11.808400000000001</v>
      </c>
      <c r="P107" s="582">
        <v>98.92</v>
      </c>
      <c r="Q107" s="582">
        <v>10.114514674201489</v>
      </c>
      <c r="R107" s="582">
        <v>0.79448532579851039</v>
      </c>
      <c r="S107" s="582">
        <v>1.9113853257985107</v>
      </c>
      <c r="T107" s="582">
        <v>2.1831853257985108</v>
      </c>
      <c r="U107" s="582">
        <v>1.9638853257985116</v>
      </c>
      <c r="W107" s="580">
        <v>41662</v>
      </c>
      <c r="X107" s="582">
        <f t="shared" si="110"/>
        <v>0</v>
      </c>
      <c r="Y107" s="582">
        <f t="shared" si="110"/>
        <v>0.68067201646710018</v>
      </c>
      <c r="Z107" s="582">
        <f t="shared" si="110"/>
        <v>1.7279797087747926</v>
      </c>
      <c r="AA107" s="582">
        <f t="shared" si="110"/>
        <v>1.6401950933901772</v>
      </c>
      <c r="AB107" s="606"/>
      <c r="AC107" s="436"/>
      <c r="AD107" s="437"/>
      <c r="AE107" s="440">
        <f t="shared" si="104"/>
        <v>2.2102611633211033E-2</v>
      </c>
      <c r="AF107" s="443">
        <f t="shared" si="105"/>
        <v>2.2471842402441711E-2</v>
      </c>
      <c r="AG107" s="633">
        <v>41662</v>
      </c>
      <c r="AH107" s="509"/>
      <c r="AI107" s="510"/>
      <c r="AJ107" s="513">
        <v>-6.8287870513772104E-4</v>
      </c>
      <c r="AK107" s="572">
        <v>0</v>
      </c>
      <c r="AL107" s="634"/>
      <c r="AM107" s="436"/>
      <c r="AN107" s="437"/>
      <c r="AO107" s="440">
        <v>-5.0500000000000004E-7</v>
      </c>
      <c r="AP107" s="443">
        <v>-4.3799999999999998E-7</v>
      </c>
      <c r="AR107" s="436"/>
      <c r="AS107" s="437"/>
      <c r="AT107" s="440">
        <f t="shared" si="111"/>
        <v>7.272E-4</v>
      </c>
      <c r="AU107" s="443">
        <f t="shared" si="111"/>
        <v>6.3071999999999998E-4</v>
      </c>
      <c r="AV107" s="633">
        <v>41662</v>
      </c>
      <c r="AW107" s="644"/>
      <c r="AX107" s="608">
        <v>0</v>
      </c>
      <c r="AY107" s="436"/>
      <c r="AZ107" s="437"/>
      <c r="BA107" s="440">
        <f t="shared" si="102"/>
        <v>2.1375411633211033E-2</v>
      </c>
      <c r="BB107" s="443">
        <f t="shared" si="103"/>
        <v>2.1841122402441709E-2</v>
      </c>
      <c r="BC107" s="608">
        <f t="shared" si="77"/>
        <v>0.21841122402441709</v>
      </c>
      <c r="BD107" s="627" t="s">
        <v>545</v>
      </c>
      <c r="BE107" s="580">
        <v>41662</v>
      </c>
      <c r="BF107" s="436"/>
      <c r="BG107" s="437"/>
      <c r="BH107" s="440">
        <f t="shared" si="108"/>
        <v>16.136101006097725</v>
      </c>
      <c r="BI107" s="443">
        <f t="shared" si="109"/>
        <v>18.272101006097348</v>
      </c>
      <c r="BJ107" s="658"/>
      <c r="BK107" s="436"/>
      <c r="BL107" s="437"/>
      <c r="BM107" s="440">
        <v>21.375411633211034</v>
      </c>
      <c r="BN107" s="443">
        <v>21.841122402441712</v>
      </c>
      <c r="BO107" s="353">
        <v>71</v>
      </c>
      <c r="BP107" s="353">
        <f t="shared" si="82"/>
        <v>14.2</v>
      </c>
      <c r="BQ107" s="610">
        <f t="shared" si="83"/>
        <v>50.714285714285715</v>
      </c>
      <c r="BR107" s="610">
        <f t="shared" si="84"/>
        <v>19.189189189189189</v>
      </c>
      <c r="BT107" s="648"/>
      <c r="BU107" s="648"/>
      <c r="BV107" s="648"/>
      <c r="BW107" s="648"/>
      <c r="BX107" s="648"/>
      <c r="BY107" s="616" t="s">
        <v>436</v>
      </c>
      <c r="BZ107" s="617">
        <v>28</v>
      </c>
      <c r="CA107" s="608">
        <v>0</v>
      </c>
      <c r="CB107" s="608">
        <f t="shared" si="85"/>
        <v>0</v>
      </c>
      <c r="CC107" s="353">
        <v>71</v>
      </c>
      <c r="CD107" s="631">
        <f t="shared" si="86"/>
        <v>378.7000000000001</v>
      </c>
      <c r="CN107" s="632" t="s">
        <v>525</v>
      </c>
      <c r="CO107" s="580">
        <f>'[3]Plots R2&gt;.75 - UPDATED'!R104</f>
        <v>41663</v>
      </c>
      <c r="CP107" s="620"/>
      <c r="CQ107" s="633">
        <v>41663</v>
      </c>
      <c r="CR107" s="641">
        <v>0</v>
      </c>
      <c r="CS107" s="642">
        <v>4799.7362090522256</v>
      </c>
      <c r="CT107" s="642">
        <v>30414.039160132117</v>
      </c>
      <c r="CU107" s="643">
        <v>10495.488473819527</v>
      </c>
      <c r="CV107" s="573"/>
      <c r="CW107" s="573"/>
      <c r="CX107" s="573"/>
      <c r="CY107" s="573"/>
      <c r="CZ107" s="513">
        <f t="shared" si="100"/>
        <v>0.99427767028194469</v>
      </c>
      <c r="DA107" s="513">
        <f t="shared" si="106"/>
        <v>0</v>
      </c>
      <c r="DB107" s="572">
        <f t="shared" si="88"/>
        <v>2.8812379791023708</v>
      </c>
      <c r="DC107" s="572">
        <f t="shared" si="107"/>
        <v>0</v>
      </c>
      <c r="DD107" s="622"/>
      <c r="DE107" s="299">
        <v>41661</v>
      </c>
      <c r="DF107" s="463">
        <v>0</v>
      </c>
      <c r="DG107" s="463">
        <v>0.49325930209035768</v>
      </c>
      <c r="DH107" s="463">
        <v>3.2618444111894762</v>
      </c>
      <c r="DI107" s="463">
        <v>1.2262169093741029</v>
      </c>
      <c r="DJ107" s="324"/>
      <c r="DK107" s="324"/>
      <c r="DL107" s="528">
        <v>1.6136101006097725</v>
      </c>
      <c r="DM107" s="546">
        <v>1.8272101006097348</v>
      </c>
      <c r="DN107" s="528">
        <f t="shared" si="95"/>
        <v>0</v>
      </c>
      <c r="DO107" s="528">
        <f t="shared" si="96"/>
        <v>0</v>
      </c>
      <c r="DP107" s="528">
        <f t="shared" si="97"/>
        <v>16.136101006097725</v>
      </c>
      <c r="DQ107" s="528">
        <f t="shared" si="98"/>
        <v>18.272101006097348</v>
      </c>
      <c r="DR107" s="463"/>
      <c r="DS107" s="463"/>
      <c r="DT107" s="463">
        <v>1.6136101006097725</v>
      </c>
      <c r="DU107" s="463">
        <v>1.8272101006097348</v>
      </c>
      <c r="DV107" s="463"/>
      <c r="DW107" s="463"/>
      <c r="DX107" s="463">
        <v>0.52868427880805724</v>
      </c>
      <c r="DY107" s="463">
        <v>0.36143999999999998</v>
      </c>
      <c r="DZ107" s="463"/>
      <c r="EA107" s="463"/>
      <c r="EB107" s="463">
        <v>0.52868427880805724</v>
      </c>
      <c r="EC107" s="463">
        <v>0.36143999999999998</v>
      </c>
      <c r="ED107" s="463">
        <f t="shared" si="89"/>
        <v>0</v>
      </c>
      <c r="EE107" s="463">
        <f t="shared" si="90"/>
        <v>0</v>
      </c>
      <c r="EF107" s="463">
        <f t="shared" si="91"/>
        <v>5.2868427880805724</v>
      </c>
      <c r="EG107" s="463">
        <f t="shared" si="92"/>
        <v>3.6143999999999998</v>
      </c>
      <c r="EH107" s="324">
        <f>'[3]Plots R2&gt;.75 - UPDATED'!S104</f>
        <v>0</v>
      </c>
      <c r="EI107" s="324">
        <f>'[3]Plots R2&gt;.75 - UPDATED'!T104</f>
        <v>0.67871397020999935</v>
      </c>
      <c r="EJ107" s="528">
        <f>'[3]Plots R2&gt;.75 - UPDATED'!U104</f>
        <v>1.7063139702099981</v>
      </c>
      <c r="EK107" s="546">
        <f>'[3]Plots R2&gt;.75 - UPDATED'!V104</f>
        <v>1.3276139702099985</v>
      </c>
      <c r="EL107" s="676"/>
      <c r="EM107" s="850"/>
      <c r="EN107" s="299">
        <v>41661</v>
      </c>
      <c r="EO107" s="324">
        <v>0</v>
      </c>
      <c r="EP107" s="324">
        <v>0.67871397020999935</v>
      </c>
      <c r="EQ107" s="528">
        <v>1.7063139702099981</v>
      </c>
      <c r="ER107" s="546">
        <v>1.3276139702099985</v>
      </c>
      <c r="GM107" s="640"/>
      <c r="GN107" s="640"/>
      <c r="GO107" s="640"/>
      <c r="GP107" s="640"/>
      <c r="GQ107" s="640"/>
      <c r="GR107" s="640"/>
      <c r="GS107" s="640"/>
      <c r="GT107" s="640"/>
      <c r="GU107" s="640"/>
      <c r="HE107" s="558">
        <v>1.2074445068264688</v>
      </c>
      <c r="HF107" s="558">
        <v>2.6661554931735312</v>
      </c>
      <c r="HG107" s="572">
        <v>1.4923511100194604</v>
      </c>
      <c r="HH107" s="572">
        <v>1.6756488899805397</v>
      </c>
      <c r="HI107" s="515">
        <v>0.7673093809175221</v>
      </c>
      <c r="HJ107" s="515">
        <v>0</v>
      </c>
      <c r="HK107" s="602">
        <v>1.7623106030715749</v>
      </c>
      <c r="HL107" s="602">
        <v>0</v>
      </c>
    </row>
    <row r="108" spans="10:221" ht="16">
      <c r="J108" s="580">
        <v>41645</v>
      </c>
      <c r="K108" s="581">
        <v>0</v>
      </c>
      <c r="L108" s="582">
        <v>11.045</v>
      </c>
      <c r="M108" s="582">
        <v>11.3325</v>
      </c>
      <c r="N108" s="582">
        <v>12.0573</v>
      </c>
      <c r="O108" s="582">
        <v>11.768800000000001</v>
      </c>
      <c r="P108" s="582">
        <v>98.726799999999997</v>
      </c>
      <c r="Q108" s="582">
        <v>10.094760082257942</v>
      </c>
      <c r="R108" s="582">
        <v>0.76523991774205824</v>
      </c>
      <c r="S108" s="582">
        <v>1.887739917742058</v>
      </c>
      <c r="T108" s="582">
        <v>2.1525399177420583</v>
      </c>
      <c r="U108" s="582">
        <v>1.9440399177420589</v>
      </c>
      <c r="W108" s="580">
        <v>41663</v>
      </c>
      <c r="X108" s="582">
        <f t="shared" si="110"/>
        <v>0</v>
      </c>
      <c r="Y108" s="582">
        <f t="shared" si="110"/>
        <v>0.6788694048338898</v>
      </c>
      <c r="Z108" s="582">
        <f t="shared" si="110"/>
        <v>1.7058770971415815</v>
      </c>
      <c r="AA108" s="582">
        <f t="shared" si="110"/>
        <v>1.6177232509877355</v>
      </c>
      <c r="AB108" s="606"/>
      <c r="AC108" s="436"/>
      <c r="AD108" s="437"/>
      <c r="AE108" s="440">
        <f t="shared" si="104"/>
        <v>2.1723918699691591E-2</v>
      </c>
      <c r="AF108" s="443">
        <f t="shared" si="105"/>
        <v>2.2285457161230093E-2</v>
      </c>
      <c r="AG108" s="633">
        <v>41663</v>
      </c>
      <c r="AH108" s="509"/>
      <c r="AI108" s="510"/>
      <c r="AJ108" s="513">
        <v>-3.0095731470859715E-4</v>
      </c>
      <c r="AK108" s="572">
        <v>0</v>
      </c>
      <c r="AL108" s="634"/>
      <c r="AM108" s="436"/>
      <c r="AN108" s="437"/>
      <c r="AO108" s="440">
        <v>-2.6199999999999999E-6</v>
      </c>
      <c r="AP108" s="443">
        <v>-2.96E-6</v>
      </c>
      <c r="AR108" s="436"/>
      <c r="AS108" s="437"/>
      <c r="AT108" s="440">
        <f t="shared" si="111"/>
        <v>3.7727999999999998E-3</v>
      </c>
      <c r="AU108" s="443">
        <f t="shared" si="111"/>
        <v>4.2624000000000004E-3</v>
      </c>
      <c r="AV108" s="633">
        <v>41663</v>
      </c>
      <c r="AW108" s="644"/>
      <c r="AX108" s="608">
        <v>0</v>
      </c>
      <c r="AY108" s="436"/>
      <c r="AZ108" s="437"/>
      <c r="BA108" s="440">
        <f t="shared" si="102"/>
        <v>1.7951118699691591E-2</v>
      </c>
      <c r="BB108" s="443">
        <f t="shared" si="103"/>
        <v>1.8023057161230094E-2</v>
      </c>
      <c r="BC108" s="608">
        <f t="shared" si="77"/>
        <v>0.18023057161230094</v>
      </c>
      <c r="BD108" s="627" t="s">
        <v>546</v>
      </c>
      <c r="BE108" s="580">
        <v>41663</v>
      </c>
      <c r="BF108" s="436"/>
      <c r="BG108" s="437"/>
      <c r="BH108" s="440">
        <f t="shared" si="108"/>
        <v>17.39566297636086</v>
      </c>
      <c r="BI108" s="443">
        <f t="shared" si="109"/>
        <v>18.118862976360901</v>
      </c>
      <c r="BJ108" s="658"/>
      <c r="BK108" s="436"/>
      <c r="BL108" s="437"/>
      <c r="BM108" s="440">
        <v>17.951118699691591</v>
      </c>
      <c r="BN108" s="443">
        <v>18.023057161230092</v>
      </c>
      <c r="BO108" s="353">
        <v>71</v>
      </c>
      <c r="BP108" s="353">
        <f t="shared" si="82"/>
        <v>14.2</v>
      </c>
      <c r="BQ108" s="610">
        <f t="shared" si="83"/>
        <v>50.714285714285715</v>
      </c>
      <c r="BR108" s="610">
        <f t="shared" si="84"/>
        <v>19.189189189189189</v>
      </c>
      <c r="BT108" s="648"/>
      <c r="BU108" s="648"/>
      <c r="BV108" s="648"/>
      <c r="BW108" s="648"/>
      <c r="BX108" s="648"/>
      <c r="BY108" s="616" t="s">
        <v>438</v>
      </c>
      <c r="BZ108" s="617">
        <v>26</v>
      </c>
      <c r="CA108" s="608">
        <v>0</v>
      </c>
      <c r="CB108" s="608">
        <f t="shared" si="85"/>
        <v>0</v>
      </c>
      <c r="CC108" s="353">
        <v>72</v>
      </c>
      <c r="CD108" s="631">
        <f t="shared" si="86"/>
        <v>378.7000000000001</v>
      </c>
      <c r="CN108" s="632" t="s">
        <v>526</v>
      </c>
      <c r="CO108" s="580">
        <f>'[3]Plots R2&gt;.75 - UPDATED'!R105</f>
        <v>41664</v>
      </c>
      <c r="CP108" s="620"/>
      <c r="CQ108" s="633">
        <v>41664</v>
      </c>
      <c r="CR108" s="641">
        <v>0</v>
      </c>
      <c r="CS108" s="642">
        <v>4815.4948552814549</v>
      </c>
      <c r="CT108" s="642">
        <v>29701.508072304361</v>
      </c>
      <c r="CU108" s="643">
        <v>9942.0140624649339</v>
      </c>
      <c r="CV108" s="573"/>
      <c r="CW108" s="573"/>
      <c r="CX108" s="573"/>
      <c r="CY108" s="573"/>
      <c r="CZ108" s="572">
        <f t="shared" si="100"/>
        <v>1.0181301207462177</v>
      </c>
      <c r="DA108" s="572">
        <f t="shared" si="106"/>
        <v>0</v>
      </c>
      <c r="DB108" s="572">
        <f t="shared" si="88"/>
        <v>3.0416372185760681</v>
      </c>
      <c r="DC108" s="572">
        <f t="shared" si="107"/>
        <v>0</v>
      </c>
      <c r="DD108" s="622"/>
      <c r="DE108" s="299">
        <v>41662</v>
      </c>
      <c r="DF108" s="463">
        <v>0</v>
      </c>
      <c r="DG108" s="463">
        <v>0.49320452669099524</v>
      </c>
      <c r="DH108" s="463">
        <v>3.1834547208442885</v>
      </c>
      <c r="DI108" s="463">
        <v>1.1659266953017895</v>
      </c>
      <c r="DJ108" s="324"/>
      <c r="DK108" s="324"/>
      <c r="DL108" s="528"/>
      <c r="DM108" s="546"/>
      <c r="DN108" s="528">
        <f t="shared" si="95"/>
        <v>0</v>
      </c>
      <c r="DO108" s="528">
        <f t="shared" si="96"/>
        <v>0</v>
      </c>
      <c r="DP108" s="528">
        <f t="shared" si="97"/>
        <v>0</v>
      </c>
      <c r="DQ108" s="528">
        <f t="shared" si="98"/>
        <v>0</v>
      </c>
      <c r="DR108" s="463"/>
      <c r="DS108" s="463"/>
      <c r="DT108" s="463">
        <v>1.7395662976360859</v>
      </c>
      <c r="DU108" s="463">
        <v>1.8118862976360903</v>
      </c>
      <c r="DV108" s="463"/>
      <c r="DW108" s="463"/>
      <c r="DX108" s="463">
        <v>0.34658347167495518</v>
      </c>
      <c r="DY108" s="463">
        <v>0.42255134218871415</v>
      </c>
      <c r="DZ108" s="463"/>
      <c r="EA108" s="463"/>
      <c r="EB108" s="463">
        <v>0.34658347167495518</v>
      </c>
      <c r="EC108" s="463">
        <v>0.42255134218871415</v>
      </c>
      <c r="ED108" s="463">
        <f t="shared" si="89"/>
        <v>0</v>
      </c>
      <c r="EE108" s="463">
        <f t="shared" si="90"/>
        <v>0</v>
      </c>
      <c r="EF108" s="463">
        <f t="shared" si="91"/>
        <v>3.4658347167495518</v>
      </c>
      <c r="EG108" s="463">
        <f t="shared" si="92"/>
        <v>4.2255134218871415</v>
      </c>
      <c r="EH108" s="324">
        <f>'[3]Plots R2&gt;.75 - UPDATED'!S105</f>
        <v>0</v>
      </c>
      <c r="EI108" s="324">
        <f>'[3]Plots R2&gt;.75 - UPDATED'!T105</f>
        <v>0.67948594526337458</v>
      </c>
      <c r="EJ108" s="528">
        <f>'[3]Plots R2&gt;.75 - UPDATED'!U105</f>
        <v>1.6838859452633741</v>
      </c>
      <c r="EK108" s="546">
        <f>'[3]Plots R2&gt;.75 - UPDATED'!V105</f>
        <v>1.305385945263374</v>
      </c>
      <c r="EL108" s="676"/>
      <c r="EM108" s="850"/>
      <c r="EN108" s="299">
        <v>41662</v>
      </c>
      <c r="EO108" s="324">
        <v>0</v>
      </c>
      <c r="EP108" s="324">
        <v>0.67948594526337458</v>
      </c>
      <c r="EQ108" s="528">
        <v>1.6838859452633741</v>
      </c>
      <c r="ER108" s="546">
        <v>1.305385945263374</v>
      </c>
      <c r="GM108" s="640"/>
      <c r="GN108" s="640"/>
      <c r="GO108" s="640"/>
      <c r="GP108" s="640"/>
      <c r="GQ108" s="640"/>
      <c r="GR108" s="640"/>
      <c r="GS108" s="640"/>
      <c r="GT108" s="640"/>
      <c r="GU108" s="640"/>
      <c r="HE108" s="558">
        <v>1.3959051703081182</v>
      </c>
      <c r="HF108" s="558">
        <v>2.8808948296918815</v>
      </c>
      <c r="HG108" s="573"/>
      <c r="HH108" s="573"/>
      <c r="HI108" s="515">
        <v>0.78663472495900166</v>
      </c>
      <c r="HJ108" s="515">
        <v>0.55530759388542783</v>
      </c>
      <c r="HK108" s="602">
        <v>1.8327469837060497</v>
      </c>
      <c r="HL108" s="602">
        <v>0</v>
      </c>
    </row>
    <row r="109" spans="10:221" ht="16">
      <c r="J109" s="580">
        <v>41646</v>
      </c>
      <c r="K109" s="581">
        <v>0</v>
      </c>
      <c r="L109" s="582">
        <v>11.0307</v>
      </c>
      <c r="M109" s="582">
        <v>11.3218</v>
      </c>
      <c r="N109" s="582">
        <v>12.034000000000001</v>
      </c>
      <c r="O109" s="582">
        <v>11.756600000000001</v>
      </c>
      <c r="P109" s="582">
        <v>98.801299999999998</v>
      </c>
      <c r="Q109" s="582">
        <v>10.102377665590209</v>
      </c>
      <c r="R109" s="582">
        <v>0.74332233440979012</v>
      </c>
      <c r="S109" s="582">
        <v>1.8694223344097904</v>
      </c>
      <c r="T109" s="582">
        <v>2.1216223344097918</v>
      </c>
      <c r="U109" s="582">
        <v>1.9242223344097913</v>
      </c>
      <c r="W109" s="580">
        <v>41664</v>
      </c>
      <c r="X109" s="582">
        <f t="shared" si="110"/>
        <v>0</v>
      </c>
      <c r="Y109" s="582">
        <f t="shared" si="110"/>
        <v>0.67949163998035145</v>
      </c>
      <c r="Z109" s="582">
        <f t="shared" si="110"/>
        <v>1.6841531784418899</v>
      </c>
      <c r="AA109" s="582">
        <f t="shared" si="110"/>
        <v>1.5954377938265054</v>
      </c>
      <c r="AB109" s="606"/>
      <c r="AC109" s="436"/>
      <c r="AD109" s="437"/>
      <c r="AE109" s="443">
        <f t="shared" si="104"/>
        <v>2.0232830416590186E-2</v>
      </c>
      <c r="AF109" s="443">
        <f t="shared" si="105"/>
        <v>2.2632830416590366E-2</v>
      </c>
      <c r="AG109" s="633">
        <v>41664</v>
      </c>
      <c r="AH109" s="509"/>
      <c r="AI109" s="510"/>
      <c r="AJ109" s="572">
        <v>0</v>
      </c>
      <c r="AK109" s="572">
        <v>0</v>
      </c>
      <c r="AL109" s="634"/>
      <c r="AM109" s="436"/>
      <c r="AN109" s="437"/>
      <c r="AO109" s="443">
        <v>3.32E-6</v>
      </c>
      <c r="AP109" s="443">
        <v>-7.2200000000000003E-6</v>
      </c>
      <c r="AR109" s="436"/>
      <c r="AS109" s="437"/>
      <c r="AT109" s="443">
        <f t="shared" si="111"/>
        <v>-4.7808E-3</v>
      </c>
      <c r="AU109" s="443">
        <f t="shared" si="111"/>
        <v>1.0396800000000001E-2</v>
      </c>
      <c r="AV109" s="633">
        <v>41664</v>
      </c>
      <c r="AW109" s="644"/>
      <c r="AX109" s="608">
        <v>0</v>
      </c>
      <c r="AY109" s="436"/>
      <c r="AZ109" s="437"/>
      <c r="BA109" s="443">
        <f t="shared" si="102"/>
        <v>2.5013630416590188E-2</v>
      </c>
      <c r="BB109" s="443">
        <f t="shared" si="103"/>
        <v>1.2236030416590365E-2</v>
      </c>
      <c r="BC109" s="608">
        <f t="shared" si="77"/>
        <v>0.12236030416590365</v>
      </c>
      <c r="BD109" s="627" t="s">
        <v>547</v>
      </c>
      <c r="BE109" s="580">
        <v>41664</v>
      </c>
      <c r="BF109" s="436"/>
      <c r="BG109" s="437"/>
      <c r="BH109" s="443">
        <f t="shared" si="108"/>
        <v>18.655224946623996</v>
      </c>
      <c r="BI109" s="443">
        <f t="shared" si="109"/>
        <v>17.965624946624459</v>
      </c>
      <c r="BJ109" s="658"/>
      <c r="BK109" s="436"/>
      <c r="BL109" s="437"/>
      <c r="BM109" s="443">
        <v>25.013630416590189</v>
      </c>
      <c r="BN109" s="443">
        <v>12.236030416590364</v>
      </c>
      <c r="BO109" s="353">
        <v>70</v>
      </c>
      <c r="BP109" s="353">
        <f t="shared" si="82"/>
        <v>14</v>
      </c>
      <c r="BQ109" s="610">
        <f t="shared" si="83"/>
        <v>50</v>
      </c>
      <c r="BR109" s="610">
        <f t="shared" si="84"/>
        <v>18.918918918918919</v>
      </c>
      <c r="BT109" s="648"/>
      <c r="BU109" s="648"/>
      <c r="BV109" s="648"/>
      <c r="BW109" s="648"/>
      <c r="BX109" s="648"/>
      <c r="BY109" s="616" t="s">
        <v>440</v>
      </c>
      <c r="BZ109" s="617">
        <v>27</v>
      </c>
      <c r="CA109" s="608">
        <v>0</v>
      </c>
      <c r="CB109" s="608">
        <f t="shared" si="85"/>
        <v>0</v>
      </c>
      <c r="CC109" s="353">
        <v>72</v>
      </c>
      <c r="CD109" s="631">
        <f t="shared" si="86"/>
        <v>378.7000000000001</v>
      </c>
      <c r="CN109" s="632" t="s">
        <v>527</v>
      </c>
      <c r="CO109" s="580">
        <f>'[3]Plots R2&gt;.75 - UPDATED'!R106</f>
        <v>41665</v>
      </c>
      <c r="CP109" s="620"/>
      <c r="CQ109" s="633">
        <v>41665</v>
      </c>
      <c r="CR109" s="641">
        <v>0</v>
      </c>
      <c r="CS109" s="642">
        <v>4862.0613887038144</v>
      </c>
      <c r="CT109" s="642">
        <v>29059.007394960205</v>
      </c>
      <c r="CU109" s="643">
        <v>9404.2538868370302</v>
      </c>
      <c r="CV109" s="573"/>
      <c r="CW109" s="573"/>
      <c r="CX109" s="573"/>
      <c r="CY109" s="573"/>
      <c r="CZ109" s="659">
        <f t="shared" si="100"/>
        <v>1.0406411887711147</v>
      </c>
      <c r="DA109" s="659">
        <f t="shared" si="106"/>
        <v>0</v>
      </c>
      <c r="DB109" s="659">
        <f t="shared" si="88"/>
        <v>3.2155661006054292</v>
      </c>
      <c r="DC109" s="659">
        <f t="shared" si="107"/>
        <v>0</v>
      </c>
      <c r="DD109" s="622"/>
      <c r="DE109" s="299">
        <v>41663</v>
      </c>
      <c r="DF109" s="463">
        <v>0</v>
      </c>
      <c r="DG109" s="463">
        <v>0.48333441773146696</v>
      </c>
      <c r="DH109" s="463">
        <v>3.1105516151526231</v>
      </c>
      <c r="DI109" s="463">
        <v>1.107287426656798</v>
      </c>
      <c r="DJ109" s="324"/>
      <c r="DK109" s="324"/>
      <c r="DL109" s="528">
        <v>1.8655224946623994</v>
      </c>
      <c r="DM109" s="546">
        <v>1.7965624946624459</v>
      </c>
      <c r="DN109" s="528">
        <f t="shared" si="95"/>
        <v>0</v>
      </c>
      <c r="DO109" s="528">
        <f t="shared" si="96"/>
        <v>0</v>
      </c>
      <c r="DP109" s="528">
        <f t="shared" si="97"/>
        <v>18.655224946623996</v>
      </c>
      <c r="DQ109" s="528">
        <f t="shared" si="98"/>
        <v>17.965624946624459</v>
      </c>
      <c r="DR109" s="463"/>
      <c r="DS109" s="463"/>
      <c r="DT109" s="463">
        <v>1.8655224946623994</v>
      </c>
      <c r="DU109" s="463">
        <v>1.7965624946624459</v>
      </c>
      <c r="DV109" s="463"/>
      <c r="DW109" s="463"/>
      <c r="DX109" s="463">
        <v>0.34718426852914019</v>
      </c>
      <c r="DY109" s="463">
        <v>0.42623999999999995</v>
      </c>
      <c r="DZ109" s="463"/>
      <c r="EA109" s="463"/>
      <c r="EB109" s="463">
        <v>0.34718426852914019</v>
      </c>
      <c r="EC109" s="463">
        <v>0.42623999999999995</v>
      </c>
      <c r="ED109" s="463">
        <f t="shared" si="89"/>
        <v>0</v>
      </c>
      <c r="EE109" s="463">
        <f t="shared" si="90"/>
        <v>0</v>
      </c>
      <c r="EF109" s="463">
        <f t="shared" si="91"/>
        <v>3.4718426852914019</v>
      </c>
      <c r="EG109" s="463">
        <f t="shared" si="92"/>
        <v>4.2623999999999995</v>
      </c>
      <c r="EH109" s="324">
        <f>'[3]Plots R2&gt;.75 - UPDATED'!S106</f>
        <v>0</v>
      </c>
      <c r="EI109" s="324">
        <f>'[3]Plots R2&gt;.75 - UPDATED'!T106</f>
        <v>0.68175751987186373</v>
      </c>
      <c r="EJ109" s="528">
        <f>'[3]Plots R2&gt;.75 - UPDATED'!U106</f>
        <v>1.6634575198718646</v>
      </c>
      <c r="EK109" s="546">
        <f>'[3]Plots R2&gt;.75 - UPDATED'!V106</f>
        <v>1.2829575198718639</v>
      </c>
      <c r="EL109" s="676"/>
      <c r="EM109" s="850"/>
      <c r="EN109" s="299">
        <v>41663</v>
      </c>
      <c r="EO109" s="324">
        <v>0</v>
      </c>
      <c r="EP109" s="324">
        <v>0.68175751987186373</v>
      </c>
      <c r="EQ109" s="528">
        <v>1.6634575198718646</v>
      </c>
      <c r="ER109" s="546">
        <v>1.2829575198718639</v>
      </c>
      <c r="GM109" s="640"/>
      <c r="GN109" s="640"/>
      <c r="GO109" s="640"/>
      <c r="GP109" s="640"/>
      <c r="GQ109" s="640"/>
      <c r="GR109" s="640"/>
      <c r="GS109" s="640"/>
      <c r="GT109" s="640"/>
      <c r="GU109" s="640"/>
      <c r="HE109" s="562">
        <v>1.6739512644725663</v>
      </c>
      <c r="HF109" s="562">
        <v>0</v>
      </c>
      <c r="HG109" s="573"/>
      <c r="HH109" s="573"/>
      <c r="HI109" s="515">
        <v>0.80503493366169043</v>
      </c>
      <c r="HJ109" s="515">
        <v>0.5222571133637568</v>
      </c>
      <c r="HK109" s="602">
        <v>1.9038809401361223</v>
      </c>
      <c r="HL109" s="602">
        <v>0</v>
      </c>
    </row>
    <row r="110" spans="10:221" ht="16">
      <c r="J110" s="580">
        <v>41647</v>
      </c>
      <c r="K110" s="581">
        <v>0</v>
      </c>
      <c r="L110" s="582">
        <v>11.030900000000001</v>
      </c>
      <c r="M110" s="582">
        <v>11.118600000000001</v>
      </c>
      <c r="N110" s="582">
        <v>12.027200000000001</v>
      </c>
      <c r="O110" s="582">
        <v>11.756500000000001</v>
      </c>
      <c r="P110" s="582">
        <v>98.968299999999999</v>
      </c>
      <c r="Q110" s="582">
        <v>10.119453322187375</v>
      </c>
      <c r="R110" s="582">
        <v>0.72644667781262529</v>
      </c>
      <c r="S110" s="582">
        <v>1.6491466778126254</v>
      </c>
      <c r="T110" s="582">
        <v>2.0977466778126255</v>
      </c>
      <c r="U110" s="582">
        <v>1.9070466778126254</v>
      </c>
      <c r="W110" s="580">
        <v>41665</v>
      </c>
      <c r="X110" s="582">
        <f t="shared" si="110"/>
        <v>0</v>
      </c>
      <c r="Y110" s="582">
        <f t="shared" si="110"/>
        <v>0.68146650187145341</v>
      </c>
      <c r="Z110" s="582">
        <f t="shared" si="110"/>
        <v>1.6639203480252998</v>
      </c>
      <c r="AA110" s="582">
        <f t="shared" si="110"/>
        <v>1.572804963409915</v>
      </c>
      <c r="AB110" s="606"/>
      <c r="AC110" s="436"/>
      <c r="AD110" s="437"/>
      <c r="AE110" s="447">
        <f t="shared" si="104"/>
        <v>2.2323154654690258E-2</v>
      </c>
      <c r="AF110" s="447">
        <f t="shared" si="105"/>
        <v>2.3577000808536752E-2</v>
      </c>
      <c r="AG110" s="633">
        <v>41665</v>
      </c>
      <c r="AH110" s="509"/>
      <c r="AI110" s="510"/>
      <c r="AJ110" s="659">
        <v>0</v>
      </c>
      <c r="AK110" s="659">
        <v>0</v>
      </c>
      <c r="AL110" s="634"/>
      <c r="AM110" s="436"/>
      <c r="AN110" s="437"/>
      <c r="AO110" s="447">
        <v>1.11E-6</v>
      </c>
      <c r="AP110" s="447">
        <v>1.86E-7</v>
      </c>
      <c r="AR110" s="436"/>
      <c r="AS110" s="437"/>
      <c r="AT110" s="447">
        <f t="shared" si="111"/>
        <v>-1.5984E-3</v>
      </c>
      <c r="AU110" s="447">
        <f t="shared" si="111"/>
        <v>-2.6783999999999998E-4</v>
      </c>
      <c r="AV110" s="633">
        <v>41665</v>
      </c>
      <c r="AW110" s="644"/>
      <c r="AX110" s="608">
        <v>0</v>
      </c>
      <c r="AY110" s="436"/>
      <c r="AZ110" s="437"/>
      <c r="BA110" s="447">
        <f t="shared" si="102"/>
        <v>2.3921554654690258E-2</v>
      </c>
      <c r="BB110" s="447">
        <f t="shared" si="103"/>
        <v>2.3844840808536751E-2</v>
      </c>
      <c r="BC110" s="608">
        <f t="shared" si="77"/>
        <v>0.23844840808536749</v>
      </c>
      <c r="BD110" s="627" t="s">
        <v>548</v>
      </c>
      <c r="BE110" s="580">
        <v>41665</v>
      </c>
      <c r="BF110" s="436"/>
      <c r="BG110" s="437"/>
      <c r="BH110" s="447">
        <f t="shared" si="108"/>
        <v>25.209225391509463</v>
      </c>
      <c r="BI110" s="447">
        <f t="shared" si="109"/>
        <v>12.031625391510129</v>
      </c>
      <c r="BJ110" s="658"/>
      <c r="BK110" s="436"/>
      <c r="BL110" s="437"/>
      <c r="BM110" s="447">
        <v>23.921554654690258</v>
      </c>
      <c r="BN110" s="447">
        <v>23.844840808536748</v>
      </c>
      <c r="BO110" s="353">
        <v>72</v>
      </c>
      <c r="BP110" s="353">
        <f t="shared" si="82"/>
        <v>14.4</v>
      </c>
      <c r="BQ110" s="610">
        <f t="shared" si="83"/>
        <v>51.428571428571431</v>
      </c>
      <c r="BR110" s="610">
        <f t="shared" si="84"/>
        <v>19.45945945945946</v>
      </c>
      <c r="BT110" s="648"/>
      <c r="BU110" s="648"/>
      <c r="BV110" s="648"/>
      <c r="BW110" s="648"/>
      <c r="BX110" s="648"/>
      <c r="BY110" s="616" t="s">
        <v>442</v>
      </c>
      <c r="BZ110" s="617">
        <v>28</v>
      </c>
      <c r="CA110" s="608">
        <v>0</v>
      </c>
      <c r="CB110" s="608">
        <f t="shared" si="85"/>
        <v>0</v>
      </c>
      <c r="CC110" s="353">
        <v>75</v>
      </c>
      <c r="CD110" s="631">
        <f t="shared" si="86"/>
        <v>378.7000000000001</v>
      </c>
      <c r="CN110" s="632" t="s">
        <v>528</v>
      </c>
      <c r="CO110" s="580">
        <f>'[3]Plots R2&gt;.75 - UPDATED'!R107</f>
        <v>41666</v>
      </c>
      <c r="CP110" s="620"/>
      <c r="CQ110" s="633">
        <v>41666</v>
      </c>
      <c r="CR110" s="641">
        <v>0</v>
      </c>
      <c r="CS110" s="642">
        <v>4856.3233235452262</v>
      </c>
      <c r="CT110" s="642">
        <v>28393.263082757258</v>
      </c>
      <c r="CU110" s="643">
        <v>8860.8569326855595</v>
      </c>
      <c r="CV110" s="573"/>
      <c r="CW110" s="573"/>
      <c r="CX110" s="573"/>
      <c r="CY110" s="573"/>
      <c r="CZ110" s="659">
        <f t="shared" si="100"/>
        <v>1.0650413766061371</v>
      </c>
      <c r="DA110" s="659">
        <f t="shared" si="106"/>
        <v>0</v>
      </c>
      <c r="DB110" s="659">
        <f t="shared" si="88"/>
        <v>3.4127624709131625</v>
      </c>
      <c r="DC110" s="659">
        <f t="shared" si="107"/>
        <v>0</v>
      </c>
      <c r="DD110" s="622"/>
      <c r="DE110" s="299">
        <v>41664</v>
      </c>
      <c r="DF110" s="463">
        <v>0</v>
      </c>
      <c r="DG110" s="463">
        <v>0.47997362090522255</v>
      </c>
      <c r="DH110" s="463">
        <v>3.0414039160132118</v>
      </c>
      <c r="DI110" s="463">
        <v>1.0495488473819528</v>
      </c>
      <c r="DJ110" s="324"/>
      <c r="DK110" s="324"/>
      <c r="DL110" s="528">
        <v>2.5209225391509462</v>
      </c>
      <c r="DM110" s="546">
        <v>1.203162539151013</v>
      </c>
      <c r="DN110" s="528">
        <f t="shared" si="95"/>
        <v>0</v>
      </c>
      <c r="DO110" s="528">
        <f t="shared" si="96"/>
        <v>0</v>
      </c>
      <c r="DP110" s="528">
        <f t="shared" si="97"/>
        <v>25.209225391509463</v>
      </c>
      <c r="DQ110" s="528">
        <f t="shared" si="98"/>
        <v>12.031625391510129</v>
      </c>
      <c r="DR110" s="463"/>
      <c r="DS110" s="463"/>
      <c r="DT110" s="463">
        <v>2.5209225391509462</v>
      </c>
      <c r="DU110" s="463">
        <v>1.203162539151013</v>
      </c>
      <c r="DV110" s="463"/>
      <c r="DW110" s="463"/>
      <c r="DX110" s="463">
        <v>-0.47807999999999984</v>
      </c>
      <c r="DY110" s="463">
        <v>1.0396800000000002</v>
      </c>
      <c r="DZ110" s="463"/>
      <c r="EA110" s="463"/>
      <c r="EB110" s="463">
        <v>-0.47807999999999984</v>
      </c>
      <c r="EC110" s="463">
        <v>1.0396800000000002</v>
      </c>
      <c r="ED110" s="463">
        <f t="shared" si="89"/>
        <v>0</v>
      </c>
      <c r="EE110" s="463">
        <f t="shared" si="90"/>
        <v>0</v>
      </c>
      <c r="EF110" s="463">
        <f t="shared" si="91"/>
        <v>-4.7807999999999984</v>
      </c>
      <c r="EG110" s="463">
        <f t="shared" si="92"/>
        <v>10.396800000000002</v>
      </c>
      <c r="EH110" s="324">
        <f>'[3]Plots R2&gt;.75 - UPDATED'!S107</f>
        <v>0</v>
      </c>
      <c r="EI110" s="324">
        <f>'[3]Plots R2&gt;.75 - UPDATED'!T107</f>
        <v>0.6814783796036552</v>
      </c>
      <c r="EJ110" s="528">
        <f>'[3]Plots R2&gt;.75 - UPDATED'!U107</f>
        <v>1.6420783796036555</v>
      </c>
      <c r="EK110" s="546">
        <f>'[3]Plots R2&gt;.75 - UPDATED'!V107</f>
        <v>1.2593783796036564</v>
      </c>
      <c r="EL110" s="676"/>
      <c r="EM110" s="850"/>
      <c r="EN110" s="299">
        <v>41664</v>
      </c>
      <c r="EO110" s="324">
        <v>0</v>
      </c>
      <c r="EP110" s="324">
        <v>0.6814783796036552</v>
      </c>
      <c r="EQ110" s="528">
        <v>1.6420783796036555</v>
      </c>
      <c r="ER110" s="546">
        <v>1.2593783796036564</v>
      </c>
      <c r="GM110" s="640"/>
      <c r="GN110" s="640"/>
      <c r="GO110" s="640"/>
      <c r="GP110" s="640"/>
      <c r="GQ110" s="640"/>
      <c r="GR110" s="640"/>
      <c r="GS110" s="640"/>
      <c r="GT110" s="640"/>
      <c r="GU110" s="640"/>
      <c r="HE110" s="558">
        <v>1.8946220794029622</v>
      </c>
      <c r="HF110" s="558">
        <v>4.513377920597037</v>
      </c>
      <c r="HG110" s="573"/>
      <c r="HH110" s="573"/>
      <c r="HI110" s="515">
        <v>0.82687190856582682</v>
      </c>
      <c r="HJ110" s="515">
        <v>0.18342076289239817</v>
      </c>
      <c r="HK110" s="602">
        <v>1.9796550489446814</v>
      </c>
      <c r="HL110" s="602">
        <v>0</v>
      </c>
    </row>
    <row r="111" spans="10:221" ht="16">
      <c r="J111" s="580">
        <v>41648</v>
      </c>
      <c r="K111" s="581">
        <v>0</v>
      </c>
      <c r="L111" s="582">
        <v>11.032400000000001</v>
      </c>
      <c r="M111" s="582">
        <v>11.282999999999999</v>
      </c>
      <c r="N111" s="582">
        <v>12.017300000000001</v>
      </c>
      <c r="O111" s="582">
        <v>11.759499999999999</v>
      </c>
      <c r="P111" s="582">
        <v>99.030699999999996</v>
      </c>
      <c r="Q111" s="582">
        <v>10.125833687287155</v>
      </c>
      <c r="R111" s="582">
        <v>0.72156631271284555</v>
      </c>
      <c r="S111" s="582">
        <v>1.8071663127128443</v>
      </c>
      <c r="T111" s="582">
        <v>2.0814663127128457</v>
      </c>
      <c r="U111" s="582">
        <v>1.9036663127128439</v>
      </c>
      <c r="W111" s="580">
        <v>41666</v>
      </c>
      <c r="X111" s="582">
        <f t="shared" si="110"/>
        <v>0</v>
      </c>
      <c r="Y111" s="582">
        <f t="shared" si="110"/>
        <v>0.68142027029368635</v>
      </c>
      <c r="Z111" s="582">
        <f t="shared" si="110"/>
        <v>1.6415971933706095</v>
      </c>
      <c r="AA111" s="582">
        <f t="shared" si="110"/>
        <v>1.5492279626013783</v>
      </c>
      <c r="AB111" s="606"/>
      <c r="AC111" s="436"/>
      <c r="AD111" s="437"/>
      <c r="AE111" s="447">
        <f t="shared" si="104"/>
        <v>2.146872779223985E-2</v>
      </c>
      <c r="AF111" s="447">
        <f t="shared" si="105"/>
        <v>2.3437958561470129E-2</v>
      </c>
      <c r="AG111" s="633">
        <v>41666</v>
      </c>
      <c r="AH111" s="509"/>
      <c r="AI111" s="510"/>
      <c r="AJ111" s="659">
        <v>0</v>
      </c>
      <c r="AK111" s="659">
        <v>0</v>
      </c>
      <c r="AL111" s="634"/>
      <c r="AM111" s="436"/>
      <c r="AN111" s="437"/>
      <c r="AO111" s="447">
        <v>2.8499999999999998E-6</v>
      </c>
      <c r="AP111" s="447">
        <v>8.9099999999999997E-8</v>
      </c>
      <c r="AR111" s="436"/>
      <c r="AS111" s="437"/>
      <c r="AT111" s="447">
        <f t="shared" si="111"/>
        <v>-4.104E-3</v>
      </c>
      <c r="AU111" s="447">
        <f t="shared" si="111"/>
        <v>-1.2830399999999998E-4</v>
      </c>
      <c r="AV111" s="633">
        <v>41666</v>
      </c>
      <c r="AW111" s="644"/>
      <c r="AX111" s="608">
        <v>0</v>
      </c>
      <c r="AY111" s="436"/>
      <c r="AZ111" s="437"/>
      <c r="BA111" s="447">
        <f t="shared" si="102"/>
        <v>2.557272779223985E-2</v>
      </c>
      <c r="BB111" s="447">
        <f t="shared" si="103"/>
        <v>2.3566262561470128E-2</v>
      </c>
      <c r="BC111" s="608">
        <f t="shared" si="77"/>
        <v>0.23566262561470128</v>
      </c>
      <c r="BD111" s="627" t="s">
        <v>549</v>
      </c>
      <c r="BE111" s="580">
        <v>41666</v>
      </c>
      <c r="BF111" s="436"/>
      <c r="BG111" s="437"/>
      <c r="BH111" s="447">
        <f t="shared" si="108"/>
        <v>22.977540268209083</v>
      </c>
      <c r="BI111" s="447">
        <f t="shared" si="109"/>
        <v>23.84698026820751</v>
      </c>
      <c r="BJ111" s="658"/>
      <c r="BK111" s="436"/>
      <c r="BL111" s="437"/>
      <c r="BM111" s="447">
        <v>25.572727792239853</v>
      </c>
      <c r="BN111" s="447">
        <v>23.566262561470129</v>
      </c>
      <c r="BO111" s="353">
        <v>71</v>
      </c>
      <c r="BP111" s="353">
        <f t="shared" si="82"/>
        <v>14.2</v>
      </c>
      <c r="BQ111" s="610">
        <f t="shared" si="83"/>
        <v>50.714285714285715</v>
      </c>
      <c r="BR111" s="610">
        <f t="shared" si="84"/>
        <v>19.189189189189189</v>
      </c>
      <c r="BT111" s="648"/>
      <c r="BU111" s="648"/>
      <c r="BV111" s="648"/>
      <c r="BW111" s="648"/>
      <c r="BX111" s="648"/>
      <c r="BY111" s="616" t="s">
        <v>444</v>
      </c>
      <c r="BZ111" s="617">
        <v>27</v>
      </c>
      <c r="CA111" s="608">
        <v>0</v>
      </c>
      <c r="CB111" s="608">
        <f t="shared" si="85"/>
        <v>0</v>
      </c>
      <c r="CC111" s="353">
        <v>74</v>
      </c>
      <c r="CD111" s="631">
        <f t="shared" si="86"/>
        <v>378.7000000000001</v>
      </c>
      <c r="CN111" s="632" t="s">
        <v>529</v>
      </c>
      <c r="CO111" s="580">
        <f>'[3]Plots R2&gt;.75 - UPDATED'!R108</f>
        <v>41667</v>
      </c>
      <c r="CP111" s="620"/>
      <c r="CQ111" s="633">
        <v>41667</v>
      </c>
      <c r="CR111" s="641">
        <v>0</v>
      </c>
      <c r="CS111" s="642">
        <v>4858.44147018488</v>
      </c>
      <c r="CT111" s="642">
        <v>27718.472018473924</v>
      </c>
      <c r="CU111" s="643">
        <v>8332.5927232642716</v>
      </c>
      <c r="CV111" s="573"/>
      <c r="CW111" s="573"/>
      <c r="CX111" s="573"/>
      <c r="CY111" s="573"/>
      <c r="CZ111" s="659">
        <f t="shared" si="100"/>
        <v>1.0909692273024831</v>
      </c>
      <c r="DA111" s="659">
        <f t="shared" si="106"/>
        <v>0</v>
      </c>
      <c r="DB111" s="572">
        <f t="shared" si="88"/>
        <v>3.6291225317626656</v>
      </c>
      <c r="DC111" s="572">
        <f t="shared" si="107"/>
        <v>0</v>
      </c>
      <c r="DD111" s="622"/>
      <c r="DE111" s="299">
        <v>41665</v>
      </c>
      <c r="DF111" s="463">
        <v>0</v>
      </c>
      <c r="DG111" s="463">
        <v>0.48154948552814547</v>
      </c>
      <c r="DH111" s="463">
        <v>2.9701508072304361</v>
      </c>
      <c r="DI111" s="463">
        <v>0.99420140624649334</v>
      </c>
      <c r="DJ111" s="324"/>
      <c r="DK111" s="324"/>
      <c r="DL111" s="528">
        <v>2.2977540268209085</v>
      </c>
      <c r="DM111" s="546">
        <v>2.3846980268207512</v>
      </c>
      <c r="DN111" s="528">
        <f t="shared" si="95"/>
        <v>0</v>
      </c>
      <c r="DO111" s="528">
        <f t="shared" si="96"/>
        <v>0</v>
      </c>
      <c r="DP111" s="528">
        <f t="shared" si="97"/>
        <v>22.977540268209083</v>
      </c>
      <c r="DQ111" s="528">
        <f t="shared" si="98"/>
        <v>23.84698026820751</v>
      </c>
      <c r="DR111" s="463"/>
      <c r="DS111" s="463"/>
      <c r="DT111" s="463">
        <v>2.2977540268209085</v>
      </c>
      <c r="DU111" s="463">
        <v>2.3846980268207512</v>
      </c>
      <c r="DV111" s="463"/>
      <c r="DW111" s="463"/>
      <c r="DX111" s="463">
        <v>-0.15983999999999998</v>
      </c>
      <c r="DY111" s="463">
        <v>-2.6784000000000141E-2</v>
      </c>
      <c r="DZ111" s="463"/>
      <c r="EA111" s="463"/>
      <c r="EB111" s="463">
        <v>-0.15983999999999998</v>
      </c>
      <c r="EC111" s="463">
        <v>-2.6784000000000141E-2</v>
      </c>
      <c r="ED111" s="463">
        <f t="shared" si="89"/>
        <v>0</v>
      </c>
      <c r="EE111" s="463">
        <f t="shared" si="90"/>
        <v>0</v>
      </c>
      <c r="EF111" s="463">
        <f t="shared" si="91"/>
        <v>-1.5983999999999998</v>
      </c>
      <c r="EG111" s="463">
        <f t="shared" si="92"/>
        <v>-0.26784000000000141</v>
      </c>
      <c r="EH111" s="324">
        <f>'[3]Plots R2&gt;.75 - UPDATED'!S108</f>
        <v>0</v>
      </c>
      <c r="EI111" s="324">
        <f>'[3]Plots R2&gt;.75 - UPDATED'!T108</f>
        <v>0.68158144638197071</v>
      </c>
      <c r="EJ111" s="528">
        <f>'[3]Plots R2&gt;.75 - UPDATED'!U108</f>
        <v>1.6201814463819708</v>
      </c>
      <c r="EK111" s="546">
        <f>'[3]Plots R2&gt;.75 - UPDATED'!V108</f>
        <v>1.2354814463819692</v>
      </c>
      <c r="EL111" s="676"/>
      <c r="EM111" s="850"/>
      <c r="EN111" s="299">
        <v>41665</v>
      </c>
      <c r="EO111" s="324">
        <v>0</v>
      </c>
      <c r="EP111" s="324">
        <v>0.68158144638197071</v>
      </c>
      <c r="EQ111" s="528">
        <v>1.6201814463819708</v>
      </c>
      <c r="ER111" s="546">
        <v>1.2354814463819692</v>
      </c>
      <c r="GM111" s="640"/>
      <c r="GN111" s="640"/>
      <c r="GO111" s="640"/>
      <c r="GP111" s="640"/>
      <c r="GQ111" s="640"/>
      <c r="GR111" s="640"/>
      <c r="GS111" s="640"/>
      <c r="GT111" s="640"/>
      <c r="GU111" s="640"/>
      <c r="HE111" s="558">
        <v>2.5559282896490849</v>
      </c>
      <c r="HF111" s="558">
        <v>5.5944717103509163</v>
      </c>
      <c r="HG111" s="573"/>
      <c r="HH111" s="573"/>
      <c r="HI111" s="515">
        <v>0.84747574339873055</v>
      </c>
      <c r="HJ111" s="515">
        <v>0.17265524622802864</v>
      </c>
      <c r="HK111" s="602">
        <v>2.0609550888197909</v>
      </c>
      <c r="HL111" s="602">
        <v>0</v>
      </c>
    </row>
    <row r="112" spans="10:221" ht="16">
      <c r="J112" s="580">
        <v>41649</v>
      </c>
      <c r="K112" s="581">
        <v>0</v>
      </c>
      <c r="L112" s="582">
        <v>11.0159</v>
      </c>
      <c r="M112" s="582">
        <v>11.276999999999999</v>
      </c>
      <c r="N112" s="582">
        <v>11.992100000000001</v>
      </c>
      <c r="O112" s="582">
        <v>11.7438</v>
      </c>
      <c r="P112" s="582">
        <v>99.037700000000001</v>
      </c>
      <c r="Q112" s="582">
        <v>10.126549433372066</v>
      </c>
      <c r="R112" s="582">
        <v>0.70435056662793416</v>
      </c>
      <c r="S112" s="582">
        <v>1.8004505666279333</v>
      </c>
      <c r="T112" s="582">
        <v>2.055550566627935</v>
      </c>
      <c r="U112" s="582">
        <v>1.8872505666279342</v>
      </c>
      <c r="W112" s="580">
        <v>41667</v>
      </c>
      <c r="X112" s="582">
        <f t="shared" si="110"/>
        <v>0</v>
      </c>
      <c r="Y112" s="582">
        <f t="shared" si="110"/>
        <v>0.68092077327067757</v>
      </c>
      <c r="Z112" s="582">
        <f t="shared" si="110"/>
        <v>1.6201284655783696</v>
      </c>
      <c r="AA112" s="582">
        <f t="shared" si="110"/>
        <v>1.5257900040399082</v>
      </c>
      <c r="AB112" s="606"/>
      <c r="AC112" s="436"/>
      <c r="AD112" s="437"/>
      <c r="AE112" s="447">
        <f t="shared" si="104"/>
        <v>2.0860924599787944E-2</v>
      </c>
      <c r="AF112" s="443">
        <f t="shared" si="105"/>
        <v>2.3091693830557425E-2</v>
      </c>
      <c r="AG112" s="633">
        <v>41667</v>
      </c>
      <c r="AH112" s="509"/>
      <c r="AI112" s="510"/>
      <c r="AJ112" s="659">
        <v>0</v>
      </c>
      <c r="AK112" s="572">
        <v>0</v>
      </c>
      <c r="AL112" s="634"/>
      <c r="AM112" s="436"/>
      <c r="AN112" s="437"/>
      <c r="AO112" s="447">
        <v>1.68E-6</v>
      </c>
      <c r="AP112" s="443">
        <v>-6.68E-7</v>
      </c>
      <c r="AR112" s="436"/>
      <c r="AS112" s="437"/>
      <c r="AT112" s="447">
        <f t="shared" si="111"/>
        <v>-2.4191999999999998E-3</v>
      </c>
      <c r="AU112" s="443">
        <f t="shared" si="111"/>
        <v>9.6192000000000001E-4</v>
      </c>
      <c r="AV112" s="633">
        <v>41667</v>
      </c>
      <c r="AW112" s="644"/>
      <c r="AX112" s="608">
        <v>0</v>
      </c>
      <c r="AY112" s="436"/>
      <c r="AZ112" s="437"/>
      <c r="BA112" s="447">
        <f t="shared" si="102"/>
        <v>2.3280124599787944E-2</v>
      </c>
      <c r="BB112" s="443">
        <f t="shared" si="103"/>
        <v>2.2129773830557423E-2</v>
      </c>
      <c r="BC112" s="608">
        <f t="shared" si="77"/>
        <v>0.22129773830557423</v>
      </c>
      <c r="BD112" s="627" t="s">
        <v>550</v>
      </c>
      <c r="BE112" s="580">
        <v>41667</v>
      </c>
      <c r="BF112" s="436"/>
      <c r="BG112" s="437"/>
      <c r="BH112" s="447">
        <f t="shared" si="108"/>
        <v>26.000933221684733</v>
      </c>
      <c r="BI112" s="443">
        <f t="shared" si="109"/>
        <v>24.025237221687178</v>
      </c>
      <c r="BJ112" s="658"/>
      <c r="BK112" s="436"/>
      <c r="BL112" s="437"/>
      <c r="BM112" s="447">
        <v>23.280124599787943</v>
      </c>
      <c r="BN112" s="443">
        <v>22.129773830557422</v>
      </c>
      <c r="BO112" s="353">
        <v>66</v>
      </c>
      <c r="BP112" s="353">
        <f t="shared" si="82"/>
        <v>13.2</v>
      </c>
      <c r="BQ112" s="610">
        <f t="shared" si="83"/>
        <v>47.142857142857146</v>
      </c>
      <c r="BR112" s="610">
        <f t="shared" si="84"/>
        <v>17.837837837837839</v>
      </c>
      <c r="BT112" s="648"/>
      <c r="BU112" s="648"/>
      <c r="BV112" s="648"/>
      <c r="BW112" s="648"/>
      <c r="BX112" s="648"/>
      <c r="BY112" s="616" t="s">
        <v>446</v>
      </c>
      <c r="BZ112" s="617">
        <v>28</v>
      </c>
      <c r="CA112" s="608">
        <v>0</v>
      </c>
      <c r="CB112" s="608">
        <f t="shared" si="85"/>
        <v>0</v>
      </c>
      <c r="CC112" s="353">
        <v>66</v>
      </c>
      <c r="CD112" s="631">
        <f t="shared" si="86"/>
        <v>378.7000000000001</v>
      </c>
      <c r="CN112" s="632" t="s">
        <v>530</v>
      </c>
      <c r="CO112" s="580">
        <f>'[3]Plots R2&gt;.75 - UPDATED'!R109</f>
        <v>41668</v>
      </c>
      <c r="CP112" s="620"/>
      <c r="CQ112" s="633">
        <v>41668</v>
      </c>
      <c r="CR112" s="641">
        <v>0</v>
      </c>
      <c r="CS112" s="642">
        <v>4857.302474464741</v>
      </c>
      <c r="CT112" s="642">
        <v>27076.386549723848</v>
      </c>
      <c r="CU112" s="643">
        <v>7843.8751557109681</v>
      </c>
      <c r="CV112" s="573"/>
      <c r="CW112" s="573"/>
      <c r="CX112" s="573"/>
      <c r="CY112" s="573"/>
      <c r="CZ112" s="659">
        <f t="shared" si="100"/>
        <v>1.1168403119251678</v>
      </c>
      <c r="DA112" s="659">
        <f t="shared" si="106"/>
        <v>0</v>
      </c>
      <c r="DB112" s="572">
        <f t="shared" si="88"/>
        <v>3.8552372902037919</v>
      </c>
      <c r="DC112" s="572">
        <f t="shared" si="107"/>
        <v>0</v>
      </c>
      <c r="DD112" s="622"/>
      <c r="DE112" s="299">
        <v>41666</v>
      </c>
      <c r="DF112" s="463">
        <v>0</v>
      </c>
      <c r="DG112" s="463">
        <v>0.48620613887038144</v>
      </c>
      <c r="DH112" s="463">
        <v>2.9059007394960203</v>
      </c>
      <c r="DI112" s="463">
        <v>0.94042538868370307</v>
      </c>
      <c r="DJ112" s="324"/>
      <c r="DK112" s="324"/>
      <c r="DL112" s="528">
        <v>2.6000933221684734</v>
      </c>
      <c r="DM112" s="546">
        <v>2.4025237221687177</v>
      </c>
      <c r="DN112" s="528">
        <f t="shared" si="95"/>
        <v>0</v>
      </c>
      <c r="DO112" s="528">
        <f t="shared" si="96"/>
        <v>0</v>
      </c>
      <c r="DP112" s="528">
        <f t="shared" si="97"/>
        <v>26.000933221684733</v>
      </c>
      <c r="DQ112" s="528">
        <f t="shared" si="98"/>
        <v>24.025237221687178</v>
      </c>
      <c r="DR112" s="463"/>
      <c r="DS112" s="463"/>
      <c r="DT112" s="463">
        <v>2.6000933221684734</v>
      </c>
      <c r="DU112" s="463">
        <v>2.4025237221687177</v>
      </c>
      <c r="DV112" s="463"/>
      <c r="DW112" s="463"/>
      <c r="DX112" s="463">
        <v>-0.4104000000000001</v>
      </c>
      <c r="DY112" s="463">
        <v>-1.2830399999999909E-2</v>
      </c>
      <c r="DZ112" s="463"/>
      <c r="EA112" s="463"/>
      <c r="EB112" s="463">
        <v>-0.4104000000000001</v>
      </c>
      <c r="EC112" s="463">
        <v>-1.2830399999999909E-2</v>
      </c>
      <c r="ED112" s="463">
        <f t="shared" si="89"/>
        <v>0</v>
      </c>
      <c r="EE112" s="463">
        <f t="shared" si="90"/>
        <v>0</v>
      </c>
      <c r="EF112" s="463">
        <f t="shared" si="91"/>
        <v>-4.104000000000001</v>
      </c>
      <c r="EG112" s="463">
        <f t="shared" si="92"/>
        <v>-0.12830399999999909</v>
      </c>
      <c r="EH112" s="324">
        <f>'[3]Plots R2&gt;.75 - UPDATED'!S109</f>
        <v>0</v>
      </c>
      <c r="EI112" s="324">
        <f>'[3]Plots R2&gt;.75 - UPDATED'!T109</f>
        <v>0.68152602770204118</v>
      </c>
      <c r="EJ112" s="528">
        <f>'[3]Plots R2&gt;.75 - UPDATED'!U109</f>
        <v>1.5991260277020405</v>
      </c>
      <c r="EK112" s="546">
        <f>'[3]Plots R2&gt;.75 - UPDATED'!V109</f>
        <v>1.2124260277020418</v>
      </c>
      <c r="EL112" s="676"/>
      <c r="EM112" s="850"/>
      <c r="EN112" s="299">
        <v>41666</v>
      </c>
      <c r="EO112" s="324">
        <v>0</v>
      </c>
      <c r="EP112" s="324">
        <v>0.68152602770204118</v>
      </c>
      <c r="EQ112" s="528">
        <v>1.5991260277020405</v>
      </c>
      <c r="ER112" s="546">
        <v>1.2124260277020418</v>
      </c>
      <c r="GM112" s="640"/>
      <c r="GN112" s="640"/>
      <c r="GO112" s="640"/>
      <c r="GP112" s="640"/>
      <c r="GQ112" s="640"/>
      <c r="GR112" s="640"/>
      <c r="GS112" s="640"/>
      <c r="GT112" s="640"/>
      <c r="GU112" s="640"/>
      <c r="HE112" s="558"/>
      <c r="HF112" s="558"/>
      <c r="HG112" s="573"/>
      <c r="HH112" s="573"/>
      <c r="HI112" s="515">
        <v>0.86603301653632192</v>
      </c>
      <c r="HJ112" s="515">
        <v>0</v>
      </c>
      <c r="HK112" s="602">
        <v>2.1481796613487631</v>
      </c>
      <c r="HL112" s="602">
        <v>0</v>
      </c>
    </row>
    <row r="113" spans="8:220" ht="16">
      <c r="J113" s="580">
        <v>41650</v>
      </c>
      <c r="K113" s="581">
        <v>0</v>
      </c>
      <c r="L113" s="582">
        <v>10.997999999999999</v>
      </c>
      <c r="M113" s="582">
        <v>11.254200000000001</v>
      </c>
      <c r="N113" s="582">
        <v>11.9702</v>
      </c>
      <c r="O113" s="582">
        <v>11.731299999999999</v>
      </c>
      <c r="P113" s="582">
        <v>99.083699999999993</v>
      </c>
      <c r="Q113" s="582">
        <v>10.131252907644338</v>
      </c>
      <c r="R113" s="582">
        <v>0.681747092355661</v>
      </c>
      <c r="S113" s="582">
        <v>1.7729470923556627</v>
      </c>
      <c r="T113" s="582">
        <v>2.0289470923556623</v>
      </c>
      <c r="U113" s="582">
        <v>1.8700470923556609</v>
      </c>
      <c r="W113" s="580">
        <v>41668</v>
      </c>
      <c r="X113" s="582">
        <f t="shared" si="110"/>
        <v>0</v>
      </c>
      <c r="Y113" s="582">
        <f t="shared" si="110"/>
        <v>0.68232138713242818</v>
      </c>
      <c r="Z113" s="582">
        <f t="shared" si="110"/>
        <v>1.5992675409785817</v>
      </c>
      <c r="AA113" s="582">
        <f t="shared" si="110"/>
        <v>1.5026983102093507</v>
      </c>
      <c r="AB113" s="606"/>
      <c r="AC113" s="448"/>
      <c r="AD113" s="449"/>
      <c r="AE113" s="447">
        <f t="shared" si="104"/>
        <v>2.1772152244421861E-2</v>
      </c>
      <c r="AF113" s="443">
        <f t="shared" si="105"/>
        <v>2.5002921475191231E-2</v>
      </c>
      <c r="AG113" s="633">
        <v>41668</v>
      </c>
      <c r="AH113" s="509"/>
      <c r="AI113" s="510"/>
      <c r="AJ113" s="659">
        <v>0</v>
      </c>
      <c r="AK113" s="572">
        <v>0</v>
      </c>
      <c r="AL113" s="634"/>
      <c r="AM113" s="448"/>
      <c r="AN113" s="449"/>
      <c r="AO113" s="447">
        <v>1.6199999999999999E-6</v>
      </c>
      <c r="AP113" s="443">
        <v>-1.28E-6</v>
      </c>
      <c r="AR113" s="448"/>
      <c r="AS113" s="449"/>
      <c r="AT113" s="447">
        <f t="shared" si="111"/>
        <v>-2.3327999999999999E-3</v>
      </c>
      <c r="AU113" s="443">
        <f t="shared" si="111"/>
        <v>1.8432000000000001E-3</v>
      </c>
      <c r="AV113" s="633">
        <v>41668</v>
      </c>
      <c r="AW113" s="644"/>
      <c r="AX113" s="608">
        <v>0</v>
      </c>
      <c r="AY113" s="448"/>
      <c r="AZ113" s="449"/>
      <c r="BA113" s="447">
        <f t="shared" si="102"/>
        <v>2.410495224442186E-2</v>
      </c>
      <c r="BB113" s="443">
        <f t="shared" si="103"/>
        <v>2.3159721475191231E-2</v>
      </c>
      <c r="BC113" s="608">
        <f t="shared" si="77"/>
        <v>0.23159721475191231</v>
      </c>
      <c r="BD113" s="627" t="s">
        <v>551</v>
      </c>
      <c r="BE113" s="580">
        <v>41668</v>
      </c>
      <c r="BF113" s="448"/>
      <c r="BG113" s="449"/>
      <c r="BH113" s="447">
        <f t="shared" si="108"/>
        <v>23.474618679930327</v>
      </c>
      <c r="BI113" s="443">
        <f t="shared" si="109"/>
        <v>22.093498679927443</v>
      </c>
      <c r="BJ113" s="658"/>
      <c r="BK113" s="448"/>
      <c r="BL113" s="449"/>
      <c r="BM113" s="447">
        <v>24.104952244421863</v>
      </c>
      <c r="BN113" s="443">
        <v>23.15972147519123</v>
      </c>
      <c r="BO113" s="353">
        <v>66</v>
      </c>
      <c r="BP113" s="353">
        <f t="shared" si="82"/>
        <v>13.2</v>
      </c>
      <c r="BQ113" s="610">
        <f t="shared" si="83"/>
        <v>47.142857142857146</v>
      </c>
      <c r="BR113" s="610">
        <f t="shared" si="84"/>
        <v>17.837837837837839</v>
      </c>
      <c r="BT113" s="648"/>
      <c r="BU113" s="648"/>
      <c r="BV113" s="648"/>
      <c r="BW113" s="648"/>
      <c r="BX113" s="648"/>
      <c r="BY113" s="616" t="s">
        <v>448</v>
      </c>
      <c r="BZ113" s="617">
        <v>27</v>
      </c>
      <c r="CA113" s="608">
        <v>0</v>
      </c>
      <c r="CB113" s="608">
        <f t="shared" si="85"/>
        <v>0</v>
      </c>
      <c r="CC113" s="353">
        <v>69</v>
      </c>
      <c r="CD113" s="631">
        <f t="shared" si="86"/>
        <v>378.7000000000001</v>
      </c>
      <c r="CN113" s="632" t="s">
        <v>531</v>
      </c>
      <c r="CO113" s="580">
        <f>'[3]Plots R2&gt;.75 - UPDATED'!R110</f>
        <v>41669</v>
      </c>
      <c r="CP113" s="620"/>
      <c r="CQ113" s="633">
        <v>41669</v>
      </c>
      <c r="CR113" s="641">
        <v>0</v>
      </c>
      <c r="CS113" s="642">
        <v>4814.6174252270685</v>
      </c>
      <c r="CT113" s="642">
        <v>26428.124210320137</v>
      </c>
      <c r="CU113" s="643">
        <v>7342.923252321466</v>
      </c>
      <c r="CV113" s="573"/>
      <c r="CW113" s="573"/>
      <c r="CX113" s="573"/>
      <c r="CY113" s="573"/>
      <c r="CZ113" s="659">
        <f t="shared" si="100"/>
        <v>1.1442355787094163</v>
      </c>
      <c r="DA113" s="659">
        <f t="shared" si="106"/>
        <v>0</v>
      </c>
      <c r="DB113" s="659">
        <f t="shared" si="88"/>
        <v>4.1182508601652099</v>
      </c>
      <c r="DC113" s="659">
        <f t="shared" si="107"/>
        <v>0</v>
      </c>
      <c r="DD113" s="622"/>
      <c r="DE113" s="299">
        <v>41667</v>
      </c>
      <c r="DF113" s="463">
        <v>0</v>
      </c>
      <c r="DG113" s="463">
        <v>0.48563233235452263</v>
      </c>
      <c r="DH113" s="463">
        <v>2.8393263082757256</v>
      </c>
      <c r="DI113" s="463">
        <v>0.88608569326855591</v>
      </c>
      <c r="DJ113" s="324"/>
      <c r="DK113" s="324"/>
      <c r="DL113" s="528">
        <v>2.3474618679930326</v>
      </c>
      <c r="DM113" s="546">
        <v>2.2093498679927444</v>
      </c>
      <c r="DN113" s="528">
        <f t="shared" si="95"/>
        <v>0</v>
      </c>
      <c r="DO113" s="528">
        <f t="shared" si="96"/>
        <v>0</v>
      </c>
      <c r="DP113" s="528">
        <f t="shared" si="97"/>
        <v>23.474618679930327</v>
      </c>
      <c r="DQ113" s="528">
        <f t="shared" si="98"/>
        <v>22.093498679927443</v>
      </c>
      <c r="DR113" s="463"/>
      <c r="DS113" s="463"/>
      <c r="DT113" s="463">
        <v>2.3474618679930326</v>
      </c>
      <c r="DU113" s="463">
        <v>2.2093498679927444</v>
      </c>
      <c r="DV113" s="463"/>
      <c r="DW113" s="463"/>
      <c r="DX113" s="463">
        <v>-0.24191999999999991</v>
      </c>
      <c r="DY113" s="463">
        <v>9.6191999999999833E-2</v>
      </c>
      <c r="DZ113" s="463"/>
      <c r="EA113" s="463"/>
      <c r="EB113" s="463">
        <v>-0.24191999999999991</v>
      </c>
      <c r="EC113" s="463">
        <v>9.6191999999999833E-2</v>
      </c>
      <c r="ED113" s="463">
        <f t="shared" si="89"/>
        <v>0</v>
      </c>
      <c r="EE113" s="463">
        <f t="shared" si="90"/>
        <v>0</v>
      </c>
      <c r="EF113" s="463">
        <f t="shared" si="91"/>
        <v>-2.4191999999999991</v>
      </c>
      <c r="EG113" s="463">
        <f t="shared" si="92"/>
        <v>0.96191999999999833</v>
      </c>
      <c r="EH113" s="324">
        <f>'[3]Plots R2&gt;.75 - UPDATED'!S110</f>
        <v>0</v>
      </c>
      <c r="EI113" s="324">
        <f>'[3]Plots R2&gt;.75 - UPDATED'!T110</f>
        <v>0.67944300566760218</v>
      </c>
      <c r="EJ113" s="528">
        <f>'[3]Plots R2&gt;.75 - UPDATED'!U110</f>
        <v>1.5776430056676023</v>
      </c>
      <c r="EK113" s="546">
        <f>'[3]Plots R2&gt;.75 - UPDATED'!V110</f>
        <v>1.1877430056676022</v>
      </c>
      <c r="EL113" s="676"/>
      <c r="EM113" s="850"/>
      <c r="EN113" s="299">
        <v>41667</v>
      </c>
      <c r="EO113" s="324">
        <v>0</v>
      </c>
      <c r="EP113" s="324">
        <v>0.67944300566760218</v>
      </c>
      <c r="EQ113" s="528">
        <v>1.5776430056676023</v>
      </c>
      <c r="ER113" s="546">
        <v>1.1877430056676022</v>
      </c>
      <c r="GM113" s="640"/>
      <c r="GN113" s="640"/>
      <c r="GO113" s="640"/>
      <c r="GP113" s="640"/>
      <c r="GQ113" s="640"/>
      <c r="GR113" s="640"/>
      <c r="GS113" s="640"/>
      <c r="GT113" s="640"/>
      <c r="GU113" s="640"/>
      <c r="HE113" s="558"/>
      <c r="HF113" s="558"/>
      <c r="HG113" s="573"/>
      <c r="HH113" s="573"/>
      <c r="HI113" s="515">
        <v>0.88599140993857339</v>
      </c>
      <c r="HJ113" s="515">
        <v>0</v>
      </c>
      <c r="HK113" s="602">
        <v>2.2461879166261958</v>
      </c>
      <c r="HL113" s="602">
        <v>0</v>
      </c>
    </row>
    <row r="114" spans="8:220" ht="16">
      <c r="J114" s="580">
        <v>41651</v>
      </c>
      <c r="K114" s="581">
        <v>0</v>
      </c>
      <c r="L114" s="582">
        <v>10.9788</v>
      </c>
      <c r="M114" s="582">
        <v>10.650700000000001</v>
      </c>
      <c r="N114" s="582">
        <v>11.946199999999999</v>
      </c>
      <c r="O114" s="582">
        <v>11.7203</v>
      </c>
      <c r="P114" s="582">
        <v>99.130799999999994</v>
      </c>
      <c r="Q114" s="582">
        <v>10.136068856301383</v>
      </c>
      <c r="R114" s="582">
        <v>0.65773114369861618</v>
      </c>
      <c r="S114" s="582">
        <v>1.1646311436986172</v>
      </c>
      <c r="T114" s="582">
        <v>2.0001311436986162</v>
      </c>
      <c r="U114" s="582">
        <v>1.8542311436986165</v>
      </c>
      <c r="W114" s="580">
        <v>41669</v>
      </c>
      <c r="X114" s="582">
        <f t="shared" si="110"/>
        <v>0</v>
      </c>
      <c r="Y114" s="582">
        <f t="shared" si="110"/>
        <v>0.67968769642646731</v>
      </c>
      <c r="Z114" s="582">
        <f t="shared" si="110"/>
        <v>1.5774953887341598</v>
      </c>
      <c r="AA114" s="582">
        <f t="shared" si="110"/>
        <v>1.4776953887341595</v>
      </c>
      <c r="AB114" s="606"/>
      <c r="AC114" s="448"/>
      <c r="AD114" s="449"/>
      <c r="AE114" s="447">
        <f t="shared" si="104"/>
        <v>2.1374863156321977E-2</v>
      </c>
      <c r="AF114" s="447">
        <f t="shared" si="105"/>
        <v>2.5121017002475821E-2</v>
      </c>
      <c r="AG114" s="633">
        <v>41669</v>
      </c>
      <c r="AH114" s="509"/>
      <c r="AI114" s="510"/>
      <c r="AJ114" s="659">
        <v>0</v>
      </c>
      <c r="AK114" s="659">
        <v>0</v>
      </c>
      <c r="AL114" s="634"/>
      <c r="AM114" s="448"/>
      <c r="AN114" s="449"/>
      <c r="AO114" s="447">
        <v>4.9900000000000001E-7</v>
      </c>
      <c r="AP114" s="447">
        <v>2.6899999999999999E-7</v>
      </c>
      <c r="AR114" s="448"/>
      <c r="AS114" s="449"/>
      <c r="AT114" s="447">
        <f t="shared" si="111"/>
        <v>-7.1856000000000003E-4</v>
      </c>
      <c r="AU114" s="447">
        <f t="shared" si="111"/>
        <v>-3.8736E-4</v>
      </c>
      <c r="AV114" s="633">
        <v>41669</v>
      </c>
      <c r="AW114" s="644"/>
      <c r="AX114" s="608">
        <v>0</v>
      </c>
      <c r="AY114" s="448"/>
      <c r="AZ114" s="449"/>
      <c r="BA114" s="447">
        <f t="shared" si="102"/>
        <v>2.2093423156321977E-2</v>
      </c>
      <c r="BB114" s="447">
        <f t="shared" si="103"/>
        <v>2.550837700247582E-2</v>
      </c>
      <c r="BC114" s="608">
        <f t="shared" si="77"/>
        <v>0.25508377002475818</v>
      </c>
      <c r="BD114" s="627" t="s">
        <v>552</v>
      </c>
      <c r="BE114" s="580">
        <v>41669</v>
      </c>
      <c r="BF114" s="448"/>
      <c r="BG114" s="449"/>
      <c r="BH114" s="447">
        <f t="shared" si="108"/>
        <v>23.815822034438195</v>
      </c>
      <c r="BI114" s="447">
        <f t="shared" si="109"/>
        <v>22.839822034439617</v>
      </c>
      <c r="BJ114" s="658"/>
      <c r="BK114" s="448"/>
      <c r="BL114" s="449"/>
      <c r="BM114" s="447">
        <v>22.093423156321975</v>
      </c>
      <c r="BN114" s="447">
        <v>25.508377002475822</v>
      </c>
      <c r="BO114" s="353">
        <v>62</v>
      </c>
      <c r="BP114" s="353">
        <f t="shared" si="82"/>
        <v>12.4</v>
      </c>
      <c r="BQ114" s="610">
        <f t="shared" si="83"/>
        <v>44.285714285714292</v>
      </c>
      <c r="BR114" s="610">
        <f t="shared" si="84"/>
        <v>16.756756756756754</v>
      </c>
      <c r="BT114" s="648"/>
      <c r="BU114" s="648"/>
      <c r="BV114" s="648"/>
      <c r="BW114" s="648"/>
      <c r="BX114" s="648"/>
      <c r="BY114" s="616" t="s">
        <v>450</v>
      </c>
      <c r="BZ114" s="617">
        <v>27</v>
      </c>
      <c r="CA114" s="608">
        <v>0</v>
      </c>
      <c r="CB114" s="608">
        <f t="shared" si="85"/>
        <v>0</v>
      </c>
      <c r="CC114" s="353">
        <v>66</v>
      </c>
      <c r="CD114" s="631">
        <f t="shared" si="86"/>
        <v>378.7000000000001</v>
      </c>
      <c r="CN114" s="632" t="s">
        <v>532</v>
      </c>
      <c r="CO114" s="580">
        <f>'[3]Plots R2&gt;.75 - UPDATED'!R111</f>
        <v>41670</v>
      </c>
      <c r="CP114" s="620"/>
      <c r="CQ114" s="633">
        <v>41670</v>
      </c>
      <c r="CR114" s="641">
        <v>0</v>
      </c>
      <c r="CS114" s="642">
        <v>4835.3509433803692</v>
      </c>
      <c r="CT114" s="642">
        <v>25792.64201701487</v>
      </c>
      <c r="CU114" s="643">
        <v>6853.0184968359035</v>
      </c>
      <c r="CV114" s="573"/>
      <c r="CW114" s="573"/>
      <c r="CX114" s="573"/>
      <c r="CY114" s="573"/>
      <c r="CZ114" s="659">
        <f t="shared" si="100"/>
        <v>1.1724273915037977</v>
      </c>
      <c r="DA114" s="659">
        <f t="shared" si="106"/>
        <v>0</v>
      </c>
      <c r="DB114" s="572">
        <f t="shared" si="88"/>
        <v>4.4126540755671479</v>
      </c>
      <c r="DC114" s="572">
        <f t="shared" si="107"/>
        <v>0</v>
      </c>
      <c r="DD114" s="622"/>
      <c r="DE114" s="299">
        <v>41668</v>
      </c>
      <c r="DF114" s="463">
        <v>0</v>
      </c>
      <c r="DG114" s="463">
        <v>0.48584414701848799</v>
      </c>
      <c r="DH114" s="463">
        <v>2.7718472018473923</v>
      </c>
      <c r="DI114" s="463">
        <v>0.83325927232642716</v>
      </c>
      <c r="DJ114" s="324"/>
      <c r="DK114" s="324"/>
      <c r="DL114" s="528">
        <v>2.3815822034438194</v>
      </c>
      <c r="DM114" s="546">
        <v>2.2839822034439616</v>
      </c>
      <c r="DN114" s="528">
        <f t="shared" si="95"/>
        <v>0</v>
      </c>
      <c r="DO114" s="528">
        <f t="shared" si="96"/>
        <v>0</v>
      </c>
      <c r="DP114" s="528">
        <f t="shared" si="97"/>
        <v>23.815822034438195</v>
      </c>
      <c r="DQ114" s="528">
        <f t="shared" si="98"/>
        <v>22.839822034439617</v>
      </c>
      <c r="DR114" s="463"/>
      <c r="DS114" s="463"/>
      <c r="DT114" s="463">
        <v>2.3815822034438194</v>
      </c>
      <c r="DU114" s="463">
        <v>2.2839822034439616</v>
      </c>
      <c r="DV114" s="463"/>
      <c r="DW114" s="463"/>
      <c r="DX114" s="463">
        <v>-0.23328000000000015</v>
      </c>
      <c r="DY114" s="463">
        <v>0.18432000000000004</v>
      </c>
      <c r="DZ114" s="463"/>
      <c r="EA114" s="463"/>
      <c r="EB114" s="463">
        <v>-0.23328000000000015</v>
      </c>
      <c r="EC114" s="463">
        <v>0.18432000000000004</v>
      </c>
      <c r="ED114" s="463">
        <f t="shared" si="89"/>
        <v>0</v>
      </c>
      <c r="EE114" s="463">
        <f t="shared" si="90"/>
        <v>0</v>
      </c>
      <c r="EF114" s="463">
        <f t="shared" si="91"/>
        <v>-2.3328000000000015</v>
      </c>
      <c r="EG114" s="463">
        <f t="shared" si="92"/>
        <v>1.8432000000000004</v>
      </c>
      <c r="EH114" s="324">
        <f>'[3]Plots R2&gt;.75 - UPDATED'!S111</f>
        <v>0</v>
      </c>
      <c r="EI114" s="324">
        <f>'[3]Plots R2&gt;.75 - UPDATED'!T111</f>
        <v>0.68045629738998392</v>
      </c>
      <c r="EJ114" s="528">
        <f>'[3]Plots R2&gt;.75 - UPDATED'!U111</f>
        <v>1.5563562973899845</v>
      </c>
      <c r="EK114" s="546">
        <f>'[3]Plots R2&gt;.75 - UPDATED'!V111</f>
        <v>1.1624562973899848</v>
      </c>
      <c r="EL114" s="676"/>
      <c r="EM114" s="850"/>
      <c r="EN114" s="299">
        <v>41668</v>
      </c>
      <c r="EO114" s="324">
        <v>0</v>
      </c>
      <c r="EP114" s="324">
        <v>0.68045629738998392</v>
      </c>
      <c r="EQ114" s="528">
        <v>1.5563562973899845</v>
      </c>
      <c r="ER114" s="546">
        <v>1.1624562973899848</v>
      </c>
      <c r="GM114" s="640"/>
      <c r="GN114" s="640"/>
      <c r="GO114" s="640"/>
      <c r="GP114" s="640"/>
      <c r="GQ114" s="640"/>
      <c r="GR114" s="640"/>
      <c r="GS114" s="640"/>
      <c r="GT114" s="640"/>
      <c r="GU114" s="640"/>
      <c r="HE114" s="563"/>
      <c r="HF114" s="563"/>
      <c r="HG114" s="573"/>
      <c r="HH114" s="573"/>
      <c r="HI114" s="515">
        <v>0.90660295614825825</v>
      </c>
      <c r="HJ114" s="515">
        <v>0</v>
      </c>
      <c r="HK114" s="602">
        <v>2.3539846585862296</v>
      </c>
      <c r="HL114" s="602">
        <v>0</v>
      </c>
    </row>
    <row r="115" spans="8:220" ht="16">
      <c r="H115" s="431">
        <v>41951</v>
      </c>
      <c r="I115" s="331">
        <f>I46+288</f>
        <v>288</v>
      </c>
      <c r="J115" s="580">
        <v>41652</v>
      </c>
      <c r="K115" s="581">
        <v>0</v>
      </c>
      <c r="L115" s="582">
        <v>10.9335</v>
      </c>
      <c r="M115" s="582">
        <v>10.6046</v>
      </c>
      <c r="N115" s="582">
        <v>11.917999999999999</v>
      </c>
      <c r="O115" s="582">
        <v>11.7036</v>
      </c>
      <c r="P115" s="582">
        <v>99.131799999999998</v>
      </c>
      <c r="Q115" s="582">
        <v>10.136171105742086</v>
      </c>
      <c r="R115" s="582">
        <v>0.61232889425791415</v>
      </c>
      <c r="S115" s="582">
        <v>1.1184288942579135</v>
      </c>
      <c r="T115" s="582">
        <v>1.9718288942579132</v>
      </c>
      <c r="U115" s="582">
        <v>1.8374288942579136</v>
      </c>
      <c r="W115" s="580">
        <v>41670</v>
      </c>
      <c r="X115" s="582">
        <f t="shared" si="110"/>
        <v>0</v>
      </c>
      <c r="Y115" s="582">
        <f t="shared" si="110"/>
        <v>0.68056667942399207</v>
      </c>
      <c r="Z115" s="582">
        <f t="shared" si="110"/>
        <v>1.5561205255778379</v>
      </c>
      <c r="AA115" s="582">
        <f t="shared" si="110"/>
        <v>1.4525743717316837</v>
      </c>
      <c r="AB115" s="606"/>
      <c r="AC115" s="448"/>
      <c r="AD115" s="449"/>
      <c r="AE115" s="447">
        <f t="shared" si="104"/>
        <v>2.085992569488071E-2</v>
      </c>
      <c r="AF115" s="443">
        <f t="shared" si="105"/>
        <v>2.4883002617957395E-2</v>
      </c>
      <c r="AG115" s="633">
        <v>41670</v>
      </c>
      <c r="AH115" s="509"/>
      <c r="AI115" s="510"/>
      <c r="AJ115" s="659">
        <v>0</v>
      </c>
      <c r="AK115" s="572">
        <v>0</v>
      </c>
      <c r="AL115" s="634"/>
      <c r="AM115" s="448"/>
      <c r="AN115" s="449"/>
      <c r="AO115" s="447">
        <v>9.9800000000000002E-7</v>
      </c>
      <c r="AP115" s="443">
        <v>-7.8000000000000005E-7</v>
      </c>
      <c r="AR115" s="448"/>
      <c r="AS115" s="449"/>
      <c r="AT115" s="447">
        <f t="shared" si="111"/>
        <v>-1.4371200000000001E-3</v>
      </c>
      <c r="AU115" s="443">
        <f t="shared" si="111"/>
        <v>1.1232E-3</v>
      </c>
      <c r="AV115" s="633">
        <v>41670</v>
      </c>
      <c r="AW115" s="644"/>
      <c r="AX115" s="608">
        <v>0</v>
      </c>
      <c r="AY115" s="448"/>
      <c r="AZ115" s="449"/>
      <c r="BA115" s="447">
        <f t="shared" si="102"/>
        <v>2.229704569488071E-2</v>
      </c>
      <c r="BB115" s="443">
        <f t="shared" si="103"/>
        <v>2.3759802617957394E-2</v>
      </c>
      <c r="BC115" s="608">
        <f t="shared" si="77"/>
        <v>0.23759802617957393</v>
      </c>
      <c r="BD115" s="627" t="s">
        <v>553</v>
      </c>
      <c r="BE115" s="580">
        <v>41670</v>
      </c>
      <c r="BF115" s="448"/>
      <c r="BG115" s="449"/>
      <c r="BH115" s="447">
        <f t="shared" si="108"/>
        <v>22.005268277617805</v>
      </c>
      <c r="BI115" s="443">
        <f t="shared" si="109"/>
        <v>25.674068277617366</v>
      </c>
      <c r="BJ115" s="658"/>
      <c r="BK115" s="448"/>
      <c r="BL115" s="449"/>
      <c r="BM115" s="447">
        <v>22.297045694880708</v>
      </c>
      <c r="BN115" s="443">
        <v>23.759802617957394</v>
      </c>
      <c r="BO115" s="353">
        <v>68</v>
      </c>
      <c r="BP115" s="353">
        <f t="shared" si="82"/>
        <v>13.6</v>
      </c>
      <c r="BQ115" s="610">
        <f t="shared" si="83"/>
        <v>48.571428571428577</v>
      </c>
      <c r="BR115" s="610">
        <f t="shared" si="84"/>
        <v>18.378378378378379</v>
      </c>
      <c r="BT115" s="648"/>
      <c r="BU115" s="648"/>
      <c r="BV115" s="648"/>
      <c r="BW115" s="648"/>
      <c r="BX115" s="648"/>
      <c r="BY115" s="616" t="s">
        <v>452</v>
      </c>
      <c r="BZ115" s="617">
        <v>24</v>
      </c>
      <c r="CA115" s="608">
        <v>14.99</v>
      </c>
      <c r="CB115" s="608">
        <f t="shared" si="85"/>
        <v>149.9</v>
      </c>
      <c r="CC115" s="353">
        <v>92</v>
      </c>
      <c r="CD115" s="631">
        <f t="shared" si="86"/>
        <v>528.60000000000014</v>
      </c>
      <c r="CN115" s="632" t="s">
        <v>533</v>
      </c>
      <c r="CO115" s="580">
        <f>'[3]Plots R2&gt;.75 - UPDATED'!R112</f>
        <v>41671</v>
      </c>
      <c r="CP115" s="620"/>
      <c r="CQ115" s="633">
        <v>41671</v>
      </c>
      <c r="CR115" s="641">
        <v>0</v>
      </c>
      <c r="CS115" s="642">
        <v>4815.0894342900665</v>
      </c>
      <c r="CT115" s="642">
        <v>25166.838859820142</v>
      </c>
      <c r="CU115" s="643">
        <v>6395.0446885748051</v>
      </c>
      <c r="CV115" s="573"/>
      <c r="CW115" s="573"/>
      <c r="CX115" s="573"/>
      <c r="CY115" s="573"/>
      <c r="CZ115" s="659">
        <f t="shared" si="100"/>
        <v>1.2015811826204108</v>
      </c>
      <c r="DA115" s="659">
        <f t="shared" si="106"/>
        <v>0</v>
      </c>
      <c r="DB115" s="572">
        <f t="shared" si="88"/>
        <v>4.7286612482983701</v>
      </c>
      <c r="DC115" s="572">
        <f t="shared" si="107"/>
        <v>0</v>
      </c>
      <c r="DD115" s="622"/>
      <c r="DE115" s="299">
        <v>41669</v>
      </c>
      <c r="DF115" s="463">
        <v>0</v>
      </c>
      <c r="DG115" s="463">
        <v>0.48573024744647408</v>
      </c>
      <c r="DH115" s="463">
        <v>2.7076386549723845</v>
      </c>
      <c r="DI115" s="463">
        <v>0.78438751557109676</v>
      </c>
      <c r="DJ115" s="324"/>
      <c r="DK115" s="324"/>
      <c r="DL115" s="528">
        <v>2.2005268277617804</v>
      </c>
      <c r="DM115" s="546">
        <v>2.5674068277617366</v>
      </c>
      <c r="DN115" s="528">
        <f t="shared" si="95"/>
        <v>0</v>
      </c>
      <c r="DO115" s="528">
        <f t="shared" si="96"/>
        <v>0</v>
      </c>
      <c r="DP115" s="528">
        <f t="shared" si="97"/>
        <v>22.005268277617805</v>
      </c>
      <c r="DQ115" s="528">
        <f t="shared" si="98"/>
        <v>25.674068277617366</v>
      </c>
      <c r="DR115" s="463"/>
      <c r="DS115" s="463"/>
      <c r="DT115" s="463">
        <v>2.2005268277617804</v>
      </c>
      <c r="DU115" s="463">
        <v>2.5674068277617366</v>
      </c>
      <c r="DV115" s="463"/>
      <c r="DW115" s="463"/>
      <c r="DX115" s="463">
        <v>-7.185599999999992E-2</v>
      </c>
      <c r="DY115" s="463">
        <v>-3.8736000000000104E-2</v>
      </c>
      <c r="DZ115" s="463"/>
      <c r="EA115" s="463"/>
      <c r="EB115" s="463">
        <v>-7.185599999999992E-2</v>
      </c>
      <c r="EC115" s="463">
        <v>-3.8736000000000104E-2</v>
      </c>
      <c r="ED115" s="463">
        <f t="shared" si="89"/>
        <v>0</v>
      </c>
      <c r="EE115" s="463">
        <f t="shared" si="90"/>
        <v>0</v>
      </c>
      <c r="EF115" s="463">
        <f t="shared" si="91"/>
        <v>-0.7185599999999992</v>
      </c>
      <c r="EG115" s="463">
        <f t="shared" si="92"/>
        <v>-0.38736000000000104</v>
      </c>
      <c r="EH115" s="324">
        <f>'[3]Plots R2&gt;.75 - UPDATED'!S112</f>
        <v>0</v>
      </c>
      <c r="EI115" s="324">
        <f>'[3]Plots R2&gt;.75 - UPDATED'!T112</f>
        <v>0.67946610544132624</v>
      </c>
      <c r="EJ115" s="528">
        <f>'[3]Plots R2&gt;.75 - UPDATED'!U112</f>
        <v>1.5351661054413257</v>
      </c>
      <c r="EK115" s="546">
        <f>'[3]Plots R2&gt;.75 - UPDATED'!V112</f>
        <v>1.1376661054413257</v>
      </c>
      <c r="EL115" s="676"/>
      <c r="EM115" s="850"/>
      <c r="EN115" s="299">
        <v>41669</v>
      </c>
      <c r="EO115" s="324">
        <v>0</v>
      </c>
      <c r="EP115" s="324">
        <v>0.67946610544132624</v>
      </c>
      <c r="EQ115" s="528">
        <v>1.5351661054413257</v>
      </c>
      <c r="ER115" s="546">
        <v>1.1376661054413257</v>
      </c>
      <c r="GM115" s="640"/>
      <c r="GN115" s="640"/>
      <c r="GO115" s="640"/>
      <c r="GP115" s="640"/>
      <c r="GQ115" s="640"/>
      <c r="GR115" s="640"/>
      <c r="GS115" s="640"/>
      <c r="GT115" s="640"/>
      <c r="GU115" s="640"/>
      <c r="HE115" s="564"/>
      <c r="HF115" s="564"/>
      <c r="HG115" s="573"/>
      <c r="HH115" s="573"/>
      <c r="HI115" s="515">
        <v>0.92708284602000901</v>
      </c>
      <c r="HJ115" s="515">
        <v>0</v>
      </c>
      <c r="HK115" s="602">
        <v>2.4661215947050819</v>
      </c>
      <c r="HL115" s="602">
        <v>0</v>
      </c>
    </row>
    <row r="116" spans="8:220" ht="16">
      <c r="H116" s="431">
        <v>41952</v>
      </c>
      <c r="I116" s="331">
        <f t="shared" ref="I116:I123" si="112">I115+288</f>
        <v>576</v>
      </c>
      <c r="J116" s="580">
        <v>41653</v>
      </c>
      <c r="K116" s="581">
        <v>0</v>
      </c>
      <c r="L116" s="582">
        <v>10.8567</v>
      </c>
      <c r="M116" s="582">
        <v>10.576000000000001</v>
      </c>
      <c r="N116" s="582">
        <v>11.889699999999999</v>
      </c>
      <c r="O116" s="582">
        <v>11.6837</v>
      </c>
      <c r="P116" s="582">
        <v>99.120900000000006</v>
      </c>
      <c r="Q116" s="582">
        <v>10.13505658683844</v>
      </c>
      <c r="R116" s="582">
        <v>0.53664341316156028</v>
      </c>
      <c r="S116" s="582">
        <v>1.090943413161561</v>
      </c>
      <c r="T116" s="582">
        <v>1.94464341316156</v>
      </c>
      <c r="U116" s="582">
        <v>1.8186434131615603</v>
      </c>
      <c r="W116" s="580">
        <v>41671</v>
      </c>
      <c r="X116" s="582">
        <f t="shared" si="110"/>
        <v>0</v>
      </c>
      <c r="Y116" s="582">
        <f t="shared" si="110"/>
        <v>0.67937598449834224</v>
      </c>
      <c r="Z116" s="582">
        <f t="shared" si="110"/>
        <v>1.5352605998829572</v>
      </c>
      <c r="AA116" s="582">
        <f t="shared" si="110"/>
        <v>1.4276913691137263</v>
      </c>
      <c r="AB116" s="606"/>
      <c r="AC116" s="448"/>
      <c r="AD116" s="449"/>
      <c r="AE116" s="447">
        <f t="shared" si="104"/>
        <v>2.0115331541874504E-2</v>
      </c>
      <c r="AF116" s="443">
        <f t="shared" si="105"/>
        <v>2.5469177695720102E-2</v>
      </c>
      <c r="AG116" s="633">
        <v>41671</v>
      </c>
      <c r="AH116" s="509"/>
      <c r="AI116" s="510"/>
      <c r="AJ116" s="659">
        <v>0</v>
      </c>
      <c r="AK116" s="572">
        <v>0</v>
      </c>
      <c r="AL116" s="634"/>
      <c r="AM116" s="448"/>
      <c r="AN116" s="449"/>
      <c r="AO116" s="447">
        <v>4.3799999999999998E-7</v>
      </c>
      <c r="AP116" s="443">
        <v>-2.12E-6</v>
      </c>
      <c r="AR116" s="448"/>
      <c r="AS116" s="449"/>
      <c r="AT116" s="447">
        <f t="shared" si="111"/>
        <v>-6.3071999999999998E-4</v>
      </c>
      <c r="AU116" s="443">
        <f t="shared" si="111"/>
        <v>3.0528E-3</v>
      </c>
      <c r="AV116" s="633">
        <v>41671</v>
      </c>
      <c r="AW116" s="644"/>
      <c r="AX116" s="608">
        <v>0</v>
      </c>
      <c r="AY116" s="448"/>
      <c r="AZ116" s="449"/>
      <c r="BA116" s="447">
        <f t="shared" si="102"/>
        <v>2.0746051541874505E-2</v>
      </c>
      <c r="BB116" s="443">
        <f t="shared" si="103"/>
        <v>2.2416377695720101E-2</v>
      </c>
      <c r="BC116" s="608">
        <f t="shared" si="77"/>
        <v>0.22416377695720102</v>
      </c>
      <c r="BD116" s="627" t="s">
        <v>554</v>
      </c>
      <c r="BE116" s="580">
        <v>41671</v>
      </c>
      <c r="BF116" s="448"/>
      <c r="BG116" s="449"/>
      <c r="BH116" s="447">
        <f t="shared" si="108"/>
        <v>22.627311948658786</v>
      </c>
      <c r="BI116" s="443">
        <f t="shared" si="109"/>
        <v>23.666991948659057</v>
      </c>
      <c r="BJ116" s="658"/>
      <c r="BK116" s="448"/>
      <c r="BL116" s="449"/>
      <c r="BM116" s="447">
        <v>20.746051541874504</v>
      </c>
      <c r="BN116" s="443">
        <v>22.416377695720101</v>
      </c>
      <c r="BO116" s="353">
        <v>71</v>
      </c>
      <c r="BP116" s="353">
        <f t="shared" si="82"/>
        <v>14.2</v>
      </c>
      <c r="BQ116" s="610">
        <f t="shared" si="83"/>
        <v>50.714285714285715</v>
      </c>
      <c r="BR116" s="610">
        <f t="shared" si="84"/>
        <v>19.189189189189189</v>
      </c>
      <c r="BT116" s="648"/>
      <c r="BU116" s="648"/>
      <c r="BV116" s="648"/>
      <c r="BW116" s="648"/>
      <c r="BX116" s="648"/>
      <c r="BY116" s="616" t="s">
        <v>454</v>
      </c>
      <c r="BZ116" s="617">
        <v>26</v>
      </c>
      <c r="CA116" s="608">
        <v>0</v>
      </c>
      <c r="CB116" s="608">
        <f t="shared" si="85"/>
        <v>0</v>
      </c>
      <c r="CC116" s="353">
        <v>80</v>
      </c>
      <c r="CD116" s="631">
        <f t="shared" si="86"/>
        <v>528.60000000000014</v>
      </c>
      <c r="CN116" s="632" t="s">
        <v>534</v>
      </c>
      <c r="CO116" s="580">
        <f>'[3]Plots R2&gt;.75 - UPDATED'!R113</f>
        <v>41672</v>
      </c>
      <c r="CP116" s="620"/>
      <c r="CQ116" s="633">
        <v>41672</v>
      </c>
      <c r="CR116" s="641">
        <v>0</v>
      </c>
      <c r="CS116" s="642">
        <v>4813.0380743052474</v>
      </c>
      <c r="CT116" s="642">
        <v>24585.319538519441</v>
      </c>
      <c r="CU116" s="643">
        <v>5946.3967957704672</v>
      </c>
      <c r="CV116" s="573"/>
      <c r="CW116" s="573"/>
      <c r="CX116" s="573"/>
      <c r="CY116" s="573"/>
      <c r="CZ116" s="659">
        <f t="shared" si="100"/>
        <v>1.2300023171397465</v>
      </c>
      <c r="DA116" s="659">
        <f t="shared" si="106"/>
        <v>0</v>
      </c>
      <c r="DB116" s="659">
        <f t="shared" si="88"/>
        <v>5.0854325801986509</v>
      </c>
      <c r="DC116" s="659">
        <f t="shared" si="107"/>
        <v>0</v>
      </c>
      <c r="DD116" s="622"/>
      <c r="DE116" s="299">
        <v>41670</v>
      </c>
      <c r="DF116" s="463">
        <v>0</v>
      </c>
      <c r="DG116" s="463">
        <v>0.48146174252270685</v>
      </c>
      <c r="DH116" s="463">
        <v>2.6428124210320139</v>
      </c>
      <c r="DI116" s="463">
        <v>0.7342923252321466</v>
      </c>
      <c r="DJ116" s="324"/>
      <c r="DK116" s="324"/>
      <c r="DL116" s="528">
        <v>2.2627311948658786</v>
      </c>
      <c r="DM116" s="546">
        <v>2.3666991948659057</v>
      </c>
      <c r="DN116" s="528">
        <f t="shared" si="95"/>
        <v>0</v>
      </c>
      <c r="DO116" s="528">
        <f t="shared" si="96"/>
        <v>0</v>
      </c>
      <c r="DP116" s="528">
        <f t="shared" si="97"/>
        <v>22.627311948658786</v>
      </c>
      <c r="DQ116" s="528">
        <f t="shared" si="98"/>
        <v>23.666991948659057</v>
      </c>
      <c r="DR116" s="463"/>
      <c r="DS116" s="463"/>
      <c r="DT116" s="463">
        <v>2.2627311948658786</v>
      </c>
      <c r="DU116" s="463">
        <v>2.3666991948659057</v>
      </c>
      <c r="DV116" s="463"/>
      <c r="DW116" s="463"/>
      <c r="DX116" s="463">
        <v>-0.14371199999999984</v>
      </c>
      <c r="DY116" s="463">
        <v>0.11231999999999998</v>
      </c>
      <c r="DZ116" s="463"/>
      <c r="EA116" s="463"/>
      <c r="EB116" s="463">
        <v>-0.14371199999999984</v>
      </c>
      <c r="EC116" s="463">
        <v>0.11231999999999998</v>
      </c>
      <c r="ED116" s="463">
        <f t="shared" si="89"/>
        <v>0</v>
      </c>
      <c r="EE116" s="463">
        <f t="shared" si="90"/>
        <v>0</v>
      </c>
      <c r="EF116" s="463">
        <f t="shared" si="91"/>
        <v>-1.4371199999999984</v>
      </c>
      <c r="EG116" s="463">
        <f t="shared" si="92"/>
        <v>1.1231999999999998</v>
      </c>
      <c r="EH116" s="324">
        <f>'[3]Plots R2&gt;.75 - UPDATED'!S113</f>
        <v>0</v>
      </c>
      <c r="EI116" s="324">
        <f>'[3]Plots R2&gt;.75 - UPDATED'!T113</f>
        <v>0.67936570264675189</v>
      </c>
      <c r="EJ116" s="528">
        <f>'[3]Plots R2&gt;.75 - UPDATED'!U113</f>
        <v>1.5152657026467513</v>
      </c>
      <c r="EK116" s="546">
        <f>'[3]Plots R2&gt;.75 - UPDATED'!V113</f>
        <v>1.112165702646752</v>
      </c>
      <c r="EL116" s="676"/>
      <c r="EM116" s="850"/>
      <c r="EN116" s="299">
        <v>41670</v>
      </c>
      <c r="EO116" s="324">
        <v>0</v>
      </c>
      <c r="EP116" s="324">
        <v>0.67936570264675189</v>
      </c>
      <c r="EQ116" s="528">
        <v>1.5152657026467513</v>
      </c>
      <c r="ER116" s="546">
        <v>1.112165702646752</v>
      </c>
      <c r="GM116" s="640"/>
      <c r="GN116" s="640"/>
      <c r="GO116" s="640"/>
      <c r="GP116" s="640"/>
      <c r="GQ116" s="640"/>
      <c r="GR116" s="640"/>
      <c r="GS116" s="640"/>
      <c r="GT116" s="640"/>
      <c r="GU116" s="640"/>
      <c r="HE116" s="564"/>
      <c r="HF116" s="564"/>
      <c r="HG116" s="573"/>
      <c r="HH116" s="573"/>
      <c r="HI116" s="515">
        <v>0.94991142176446619</v>
      </c>
      <c r="HJ116" s="515">
        <v>0</v>
      </c>
      <c r="HK116" s="602">
        <v>2.593645048342653</v>
      </c>
      <c r="HL116" s="602">
        <v>0</v>
      </c>
    </row>
    <row r="117" spans="8:220" ht="16">
      <c r="H117" s="431">
        <v>41953</v>
      </c>
      <c r="I117" s="331">
        <f t="shared" si="112"/>
        <v>864</v>
      </c>
      <c r="J117" s="580">
        <v>41654</v>
      </c>
      <c r="K117" s="581">
        <v>0</v>
      </c>
      <c r="L117" s="582">
        <v>10.774699999999999</v>
      </c>
      <c r="M117" s="582">
        <v>10.5778</v>
      </c>
      <c r="N117" s="582">
        <v>11.8645</v>
      </c>
      <c r="O117" s="582">
        <v>11.6654</v>
      </c>
      <c r="P117" s="582">
        <v>99.118300000000005</v>
      </c>
      <c r="Q117" s="582">
        <v>10.134790738292615</v>
      </c>
      <c r="R117" s="582">
        <v>0.45490926170738405</v>
      </c>
      <c r="S117" s="582">
        <v>1.0930092617073848</v>
      </c>
      <c r="T117" s="582">
        <v>1.9197092617073845</v>
      </c>
      <c r="U117" s="582">
        <v>1.8006092617073848</v>
      </c>
      <c r="W117" s="580">
        <v>41672</v>
      </c>
      <c r="X117" s="582">
        <f t="shared" si="110"/>
        <v>0</v>
      </c>
      <c r="Y117" s="582">
        <f t="shared" si="110"/>
        <v>0.6796452683410833</v>
      </c>
      <c r="Z117" s="582">
        <f t="shared" si="110"/>
        <v>1.5151452683410827</v>
      </c>
      <c r="AA117" s="582">
        <f t="shared" si="110"/>
        <v>1.4022221914180062</v>
      </c>
      <c r="AB117" s="606"/>
      <c r="AC117" s="448"/>
      <c r="AD117" s="449"/>
      <c r="AE117" s="447">
        <f t="shared" si="104"/>
        <v>1.9803956567563841E-2</v>
      </c>
      <c r="AF117" s="447">
        <f t="shared" si="105"/>
        <v>2.3034725798333433E-2</v>
      </c>
      <c r="AG117" s="633">
        <v>41672</v>
      </c>
      <c r="AH117" s="509"/>
      <c r="AI117" s="510"/>
      <c r="AJ117" s="659">
        <v>0</v>
      </c>
      <c r="AK117" s="659">
        <v>0</v>
      </c>
      <c r="AL117" s="634"/>
      <c r="AM117" s="448"/>
      <c r="AN117" s="449"/>
      <c r="AO117" s="447">
        <v>-3.9799999999999999E-7</v>
      </c>
      <c r="AP117" s="447">
        <v>1.2300000000000001E-6</v>
      </c>
      <c r="AR117" s="448"/>
      <c r="AS117" s="449"/>
      <c r="AT117" s="447">
        <f t="shared" si="111"/>
        <v>5.7311999999999999E-4</v>
      </c>
      <c r="AU117" s="447">
        <f t="shared" si="111"/>
        <v>-1.7712000000000001E-3</v>
      </c>
      <c r="AV117" s="633">
        <v>41672</v>
      </c>
      <c r="AW117" s="644"/>
      <c r="AX117" s="608">
        <v>0</v>
      </c>
      <c r="AY117" s="448"/>
      <c r="AZ117" s="449"/>
      <c r="BA117" s="447">
        <f t="shared" si="102"/>
        <v>1.9230836567563841E-2</v>
      </c>
      <c r="BB117" s="447">
        <f t="shared" si="103"/>
        <v>2.4805925798333434E-2</v>
      </c>
      <c r="BC117" s="608">
        <f t="shared" si="77"/>
        <v>0.24805925798333434</v>
      </c>
      <c r="BD117" s="627" t="s">
        <v>555</v>
      </c>
      <c r="BE117" s="580">
        <v>41672</v>
      </c>
      <c r="BF117" s="448"/>
      <c r="BG117" s="449"/>
      <c r="BH117" s="447">
        <f t="shared" si="108"/>
        <v>20.53112279457439</v>
      </c>
      <c r="BI117" s="447">
        <f t="shared" si="109"/>
        <v>22.447602794573775</v>
      </c>
      <c r="BJ117" s="658"/>
      <c r="BK117" s="448"/>
      <c r="BL117" s="449"/>
      <c r="BM117" s="447">
        <v>19.230836567563841</v>
      </c>
      <c r="BN117" s="447">
        <v>24.805925798333433</v>
      </c>
      <c r="BO117" s="353">
        <v>70</v>
      </c>
      <c r="BP117" s="353">
        <f t="shared" si="82"/>
        <v>14</v>
      </c>
      <c r="BQ117" s="610">
        <f t="shared" si="83"/>
        <v>50</v>
      </c>
      <c r="BR117" s="610">
        <f t="shared" si="84"/>
        <v>18.918918918918919</v>
      </c>
      <c r="BT117" s="648"/>
      <c r="BU117" s="648"/>
      <c r="BV117" s="648"/>
      <c r="BW117" s="648"/>
      <c r="BX117" s="648"/>
      <c r="BY117" s="616" t="s">
        <v>456</v>
      </c>
      <c r="BZ117" s="617">
        <v>27</v>
      </c>
      <c r="CA117" s="608">
        <v>0.71</v>
      </c>
      <c r="CB117" s="608">
        <f t="shared" si="85"/>
        <v>7.1</v>
      </c>
      <c r="CC117" s="353">
        <v>87</v>
      </c>
      <c r="CD117" s="631">
        <f t="shared" si="86"/>
        <v>535.70000000000016</v>
      </c>
      <c r="CN117" s="632" t="s">
        <v>535</v>
      </c>
      <c r="CO117" s="580">
        <f>'[3]Plots R2&gt;.75 - UPDATED'!R114</f>
        <v>41673</v>
      </c>
      <c r="CP117" s="620"/>
      <c r="CQ117" s="633">
        <v>41673</v>
      </c>
      <c r="CR117" s="641">
        <v>0</v>
      </c>
      <c r="CS117" s="642">
        <v>4815.3025147701946</v>
      </c>
      <c r="CT117" s="642">
        <v>24004.38527051366</v>
      </c>
      <c r="CU117" s="643">
        <v>5562.5751875218048</v>
      </c>
      <c r="CV117" s="573"/>
      <c r="CW117" s="573"/>
      <c r="CX117" s="573"/>
      <c r="CY117" s="573"/>
      <c r="CZ117" s="572">
        <f t="shared" si="100"/>
        <v>1.2597698153572798</v>
      </c>
      <c r="DA117" s="572">
        <f t="shared" si="106"/>
        <v>0</v>
      </c>
      <c r="DB117" s="659">
        <f t="shared" si="88"/>
        <v>5.4363310122684902</v>
      </c>
      <c r="DC117" s="659">
        <f t="shared" si="107"/>
        <v>0</v>
      </c>
      <c r="DD117" s="622"/>
      <c r="DE117" s="299">
        <v>41671</v>
      </c>
      <c r="DF117" s="463">
        <v>0</v>
      </c>
      <c r="DG117" s="463">
        <v>0.48353509433803693</v>
      </c>
      <c r="DH117" s="463">
        <v>2.5792642017014868</v>
      </c>
      <c r="DI117" s="463">
        <v>0.68530184968359031</v>
      </c>
      <c r="DJ117" s="324"/>
      <c r="DK117" s="324"/>
      <c r="DL117" s="528">
        <v>2.053112279457439</v>
      </c>
      <c r="DM117" s="546">
        <v>2.2447602794573775</v>
      </c>
      <c r="DN117" s="528">
        <f t="shared" si="95"/>
        <v>0</v>
      </c>
      <c r="DO117" s="528">
        <f t="shared" si="96"/>
        <v>0</v>
      </c>
      <c r="DP117" s="528">
        <f t="shared" si="97"/>
        <v>20.53112279457439</v>
      </c>
      <c r="DQ117" s="528">
        <f t="shared" si="98"/>
        <v>22.447602794573775</v>
      </c>
      <c r="DR117" s="463"/>
      <c r="DS117" s="463"/>
      <c r="DT117" s="463">
        <v>2.053112279457439</v>
      </c>
      <c r="DU117" s="463">
        <v>2.2447602794573775</v>
      </c>
      <c r="DV117" s="463"/>
      <c r="DW117" s="463"/>
      <c r="DX117" s="463">
        <v>-6.3072000000000017E-2</v>
      </c>
      <c r="DY117" s="463">
        <v>0.30527999999999977</v>
      </c>
      <c r="DZ117" s="463"/>
      <c r="EA117" s="463"/>
      <c r="EB117" s="463">
        <v>-6.3072000000000017E-2</v>
      </c>
      <c r="EC117" s="463">
        <v>0.30527999999999977</v>
      </c>
      <c r="ED117" s="463">
        <f t="shared" si="89"/>
        <v>0</v>
      </c>
      <c r="EE117" s="463">
        <f t="shared" si="90"/>
        <v>0</v>
      </c>
      <c r="EF117" s="463">
        <f t="shared" si="91"/>
        <v>-0.63072000000000017</v>
      </c>
      <c r="EG117" s="463">
        <f t="shared" si="92"/>
        <v>3.0527999999999977</v>
      </c>
      <c r="EH117" s="324">
        <f>'[3]Plots R2&gt;.75 - UPDATED'!S114</f>
        <v>0</v>
      </c>
      <c r="EI117" s="324">
        <f>'[3]Plots R2&gt;.75 - UPDATED'!T114</f>
        <v>0.67947653295753141</v>
      </c>
      <c r="EJ117" s="528">
        <f>'[3]Plots R2&gt;.75 - UPDATED'!U114</f>
        <v>1.4951765329575299</v>
      </c>
      <c r="EK117" s="546">
        <f>'[3]Plots R2&gt;.75 - UPDATED'!V114</f>
        <v>1.08927653295753</v>
      </c>
      <c r="EL117" s="676"/>
      <c r="EM117" s="850"/>
      <c r="EN117" s="299">
        <v>41671</v>
      </c>
      <c r="EO117" s="324">
        <v>0</v>
      </c>
      <c r="EP117" s="324">
        <v>0.67947653295753141</v>
      </c>
      <c r="EQ117" s="528">
        <v>1.4951765329575299</v>
      </c>
      <c r="ER117" s="546">
        <v>1.08927653295753</v>
      </c>
      <c r="GM117" s="640"/>
      <c r="GN117" s="640"/>
      <c r="GO117" s="640"/>
      <c r="GP117" s="640"/>
      <c r="GQ117" s="640"/>
      <c r="GR117" s="640"/>
      <c r="GS117" s="640"/>
      <c r="GT117" s="640"/>
      <c r="GU117" s="640"/>
      <c r="HE117" s="564"/>
      <c r="HF117" s="564"/>
      <c r="HG117" s="573"/>
      <c r="HH117" s="573"/>
      <c r="HI117" s="515">
        <v>0.97217483396481863</v>
      </c>
      <c r="HJ117" s="515">
        <v>0</v>
      </c>
      <c r="HK117" s="602">
        <v>2.7309982279219756</v>
      </c>
      <c r="HL117" s="602">
        <v>0</v>
      </c>
    </row>
    <row r="118" spans="8:220" ht="16">
      <c r="H118" s="431">
        <v>41954</v>
      </c>
      <c r="I118" s="331">
        <f t="shared" si="112"/>
        <v>1152</v>
      </c>
      <c r="J118" s="580">
        <v>41655</v>
      </c>
      <c r="K118" s="581">
        <v>0</v>
      </c>
      <c r="L118" s="582">
        <v>10.7332</v>
      </c>
      <c r="M118" s="582">
        <v>10.588800000000001</v>
      </c>
      <c r="N118" s="582">
        <v>11.843</v>
      </c>
      <c r="O118" s="582">
        <v>11.6541</v>
      </c>
      <c r="P118" s="582">
        <v>99.186400000000006</v>
      </c>
      <c r="Q118" s="582">
        <v>10.141753925204394</v>
      </c>
      <c r="R118" s="582">
        <v>0.40644607479560563</v>
      </c>
      <c r="S118" s="582">
        <v>1.0970460747956066</v>
      </c>
      <c r="T118" s="582">
        <v>1.8912460747956057</v>
      </c>
      <c r="U118" s="582">
        <v>1.7823460747956053</v>
      </c>
      <c r="W118" s="580">
        <v>41673</v>
      </c>
      <c r="X118" s="582">
        <f t="shared" si="110"/>
        <v>0</v>
      </c>
      <c r="Y118" s="582">
        <f t="shared" si="110"/>
        <v>0.68011054254275016</v>
      </c>
      <c r="Z118" s="582">
        <f t="shared" si="110"/>
        <v>1.4953413117735188</v>
      </c>
      <c r="AA118" s="582">
        <f t="shared" si="110"/>
        <v>1.3791874656196728</v>
      </c>
      <c r="AB118" s="606"/>
      <c r="AC118" s="448"/>
      <c r="AD118" s="449"/>
      <c r="AE118" s="443">
        <f t="shared" si="104"/>
        <v>2.2634438987745087E-2</v>
      </c>
      <c r="AF118" s="447">
        <f t="shared" si="105"/>
        <v>2.4119054372360837E-2</v>
      </c>
      <c r="AG118" s="633">
        <v>41673</v>
      </c>
      <c r="AH118" s="509"/>
      <c r="AI118" s="510"/>
      <c r="AJ118" s="572">
        <v>0</v>
      </c>
      <c r="AK118" s="659">
        <v>0</v>
      </c>
      <c r="AL118" s="634"/>
      <c r="AM118" s="448"/>
      <c r="AN118" s="449"/>
      <c r="AO118" s="443">
        <v>-7.7800000000000001E-7</v>
      </c>
      <c r="AP118" s="447">
        <v>3.3700000000000001E-7</v>
      </c>
      <c r="AR118" s="448"/>
      <c r="AS118" s="449"/>
      <c r="AT118" s="443">
        <f t="shared" si="111"/>
        <v>1.12032E-3</v>
      </c>
      <c r="AU118" s="447">
        <f t="shared" si="111"/>
        <v>-4.8528000000000004E-4</v>
      </c>
      <c r="AV118" s="633">
        <v>41673</v>
      </c>
      <c r="AW118" s="644"/>
      <c r="AX118" s="608">
        <v>0</v>
      </c>
      <c r="AY118" s="448"/>
      <c r="AZ118" s="449"/>
      <c r="BA118" s="443">
        <f t="shared" si="102"/>
        <v>2.1514118987745086E-2</v>
      </c>
      <c r="BB118" s="447">
        <f t="shared" si="103"/>
        <v>2.4604334372360839E-2</v>
      </c>
      <c r="BC118" s="608">
        <f t="shared" si="77"/>
        <v>0.24604334372360839</v>
      </c>
      <c r="BD118" s="627" t="s">
        <v>556</v>
      </c>
      <c r="BE118" s="580">
        <v>41673</v>
      </c>
      <c r="BF118" s="448"/>
      <c r="BG118" s="449"/>
      <c r="BH118" s="443">
        <f t="shared" si="108"/>
        <v>19.516049689221365</v>
      </c>
      <c r="BI118" s="447">
        <f t="shared" si="109"/>
        <v>24.660369689221945</v>
      </c>
      <c r="BJ118" s="658"/>
      <c r="BK118" s="448"/>
      <c r="BL118" s="449"/>
      <c r="BM118" s="443">
        <v>21.514118987745086</v>
      </c>
      <c r="BN118" s="447">
        <v>24.604334372360839</v>
      </c>
      <c r="BO118" s="353">
        <v>66</v>
      </c>
      <c r="BP118" s="353">
        <f t="shared" si="82"/>
        <v>13.2</v>
      </c>
      <c r="BQ118" s="610">
        <f t="shared" si="83"/>
        <v>47.142857142857146</v>
      </c>
      <c r="BR118" s="610">
        <f t="shared" si="84"/>
        <v>17.837837837837839</v>
      </c>
      <c r="BT118" s="648"/>
      <c r="BU118" s="648"/>
      <c r="BV118" s="648"/>
      <c r="BW118" s="648"/>
      <c r="BX118" s="648"/>
      <c r="BY118" s="616" t="s">
        <v>458</v>
      </c>
      <c r="BZ118" s="617">
        <v>27</v>
      </c>
      <c r="CA118" s="608">
        <v>0.08</v>
      </c>
      <c r="CB118" s="608">
        <f t="shared" si="85"/>
        <v>0.8</v>
      </c>
      <c r="CC118" s="353">
        <v>78</v>
      </c>
      <c r="CD118" s="631">
        <f t="shared" si="86"/>
        <v>536.50000000000011</v>
      </c>
      <c r="CN118" s="632" t="s">
        <v>536</v>
      </c>
      <c r="CO118" s="580">
        <f>'[3]Plots R2&gt;.75 - UPDATED'!R115</f>
        <v>41674</v>
      </c>
      <c r="CP118" s="620"/>
      <c r="CQ118" s="633">
        <v>41674</v>
      </c>
      <c r="CR118" s="641">
        <v>0</v>
      </c>
      <c r="CS118" s="642">
        <v>4849.7287310446891</v>
      </c>
      <c r="CT118" s="642">
        <v>23346.278371555367</v>
      </c>
      <c r="CU118" s="643">
        <v>5169.1593724916911</v>
      </c>
      <c r="CV118" s="573"/>
      <c r="CW118" s="573"/>
      <c r="CX118" s="573"/>
      <c r="CY118" s="573"/>
      <c r="CZ118" s="659">
        <f t="shared" si="100"/>
        <v>1.2952813942646979</v>
      </c>
      <c r="DA118" s="659">
        <f t="shared" si="106"/>
        <v>0</v>
      </c>
      <c r="DB118" s="572">
        <f t="shared" si="88"/>
        <v>5.8500808005506322</v>
      </c>
      <c r="DC118" s="572">
        <f t="shared" si="107"/>
        <v>0</v>
      </c>
      <c r="DD118" s="622"/>
      <c r="DE118" s="299">
        <v>41672</v>
      </c>
      <c r="DF118" s="463">
        <v>0</v>
      </c>
      <c r="DG118" s="463">
        <v>0.48150894342900663</v>
      </c>
      <c r="DH118" s="463">
        <v>2.516683885982014</v>
      </c>
      <c r="DI118" s="463">
        <v>0.63950446885748047</v>
      </c>
      <c r="DJ118" s="324"/>
      <c r="DK118" s="324"/>
      <c r="DL118" s="528">
        <v>1.9516049689221364</v>
      </c>
      <c r="DM118" s="546">
        <v>2.4660369689221944</v>
      </c>
      <c r="DN118" s="528">
        <f t="shared" si="95"/>
        <v>0</v>
      </c>
      <c r="DO118" s="528">
        <f t="shared" si="96"/>
        <v>0</v>
      </c>
      <c r="DP118" s="528">
        <f t="shared" si="97"/>
        <v>19.516049689221365</v>
      </c>
      <c r="DQ118" s="528">
        <f t="shared" si="98"/>
        <v>24.660369689221945</v>
      </c>
      <c r="DR118" s="463"/>
      <c r="DS118" s="463"/>
      <c r="DT118" s="463">
        <v>1.9516049689221364</v>
      </c>
      <c r="DU118" s="463">
        <v>2.4660369689221944</v>
      </c>
      <c r="DV118" s="463"/>
      <c r="DW118" s="463"/>
      <c r="DX118" s="463">
        <v>5.731200000000003E-2</v>
      </c>
      <c r="DY118" s="463">
        <v>-0.17711999999999994</v>
      </c>
      <c r="DZ118" s="463"/>
      <c r="EA118" s="463"/>
      <c r="EB118" s="463">
        <v>5.731200000000003E-2</v>
      </c>
      <c r="EC118" s="463">
        <v>-0.17711999999999994</v>
      </c>
      <c r="ED118" s="463">
        <f t="shared" si="89"/>
        <v>0</v>
      </c>
      <c r="EE118" s="463">
        <f t="shared" si="90"/>
        <v>0</v>
      </c>
      <c r="EF118" s="463">
        <f t="shared" si="91"/>
        <v>0.5731200000000003</v>
      </c>
      <c r="EG118" s="463">
        <f t="shared" si="92"/>
        <v>-1.7711999999999994</v>
      </c>
      <c r="EH118" s="324">
        <f>'[3]Plots R2&gt;.75 - UPDATED'!S115</f>
        <v>0</v>
      </c>
      <c r="EI118" s="324">
        <f>'[3]Plots R2&gt;.75 - UPDATED'!T115</f>
        <v>0.68115730555127008</v>
      </c>
      <c r="EJ118" s="528">
        <f>'[3]Plots R2&gt;.75 - UPDATED'!U115</f>
        <v>1.4721573055512711</v>
      </c>
      <c r="EK118" s="546">
        <f>'[3]Plots R2&gt;.75 - UPDATED'!V115</f>
        <v>1.0646573055512696</v>
      </c>
      <c r="EL118" s="676"/>
      <c r="EM118" s="850"/>
      <c r="EN118" s="299">
        <v>41672</v>
      </c>
      <c r="EO118" s="324">
        <v>0</v>
      </c>
      <c r="EP118" s="324">
        <v>0.68115730555127008</v>
      </c>
      <c r="EQ118" s="528">
        <v>1.4721573055512711</v>
      </c>
      <c r="ER118" s="546">
        <v>1.0646573055512696</v>
      </c>
      <c r="GM118" s="640"/>
      <c r="GN118" s="640"/>
      <c r="GO118" s="640"/>
      <c r="GP118" s="640"/>
      <c r="GQ118" s="640"/>
      <c r="GR118" s="640"/>
      <c r="GS118" s="640"/>
      <c r="GT118" s="640"/>
      <c r="GU118" s="640"/>
      <c r="HE118" s="564"/>
      <c r="HF118" s="564"/>
      <c r="HG118" s="573"/>
      <c r="HH118" s="573"/>
      <c r="HI118" s="515">
        <v>0.99427767028194469</v>
      </c>
      <c r="HJ118" s="515">
        <v>0</v>
      </c>
      <c r="HK118" s="602">
        <v>2.8812379791023708</v>
      </c>
      <c r="HL118" s="602">
        <v>0</v>
      </c>
    </row>
    <row r="119" spans="8:220" ht="16">
      <c r="H119" s="431">
        <v>41955</v>
      </c>
      <c r="I119" s="331">
        <f t="shared" si="112"/>
        <v>1440</v>
      </c>
      <c r="J119" s="580">
        <v>41656</v>
      </c>
      <c r="K119" s="581">
        <v>0</v>
      </c>
      <c r="L119" s="582">
        <v>10.6364</v>
      </c>
      <c r="M119" s="582">
        <v>10.588100000000001</v>
      </c>
      <c r="N119" s="582">
        <v>11.817299999999999</v>
      </c>
      <c r="O119" s="582">
        <v>11.6356</v>
      </c>
      <c r="P119" s="582">
        <v>99.187399999999997</v>
      </c>
      <c r="Q119" s="582">
        <v>10.141856174645094</v>
      </c>
      <c r="R119" s="582">
        <v>0.30954382535490638</v>
      </c>
      <c r="S119" s="582">
        <v>1.0962438253549072</v>
      </c>
      <c r="T119" s="582">
        <v>1.8654438253549059</v>
      </c>
      <c r="U119" s="582">
        <v>1.7637438253549065</v>
      </c>
      <c r="W119" s="580">
        <v>41674</v>
      </c>
      <c r="X119" s="582">
        <f t="shared" si="110"/>
        <v>0</v>
      </c>
      <c r="Y119" s="582">
        <f t="shared" si="110"/>
        <v>0.68097610355500471</v>
      </c>
      <c r="Z119" s="582">
        <f t="shared" si="110"/>
        <v>1.4727068727857737</v>
      </c>
      <c r="AA119" s="582">
        <f t="shared" si="110"/>
        <v>1.3550684112473119</v>
      </c>
      <c r="AB119" s="606"/>
      <c r="AC119" s="448"/>
      <c r="AD119" s="449"/>
      <c r="AE119" s="447">
        <f t="shared" si="104"/>
        <v>2.0012087534159173E-2</v>
      </c>
      <c r="AF119" s="443">
        <f t="shared" si="105"/>
        <v>2.5058241380312651E-2</v>
      </c>
      <c r="AG119" s="633">
        <v>41674</v>
      </c>
      <c r="AH119" s="509"/>
      <c r="AI119" s="510"/>
      <c r="AJ119" s="659">
        <v>0</v>
      </c>
      <c r="AK119" s="572">
        <v>0</v>
      </c>
      <c r="AL119" s="634"/>
      <c r="AM119" s="448"/>
      <c r="AN119" s="449"/>
      <c r="AO119" s="447">
        <v>4.95E-6</v>
      </c>
      <c r="AP119" s="443">
        <v>-8.9199999999999999E-7</v>
      </c>
      <c r="AR119" s="448"/>
      <c r="AS119" s="449"/>
      <c r="AT119" s="447">
        <f t="shared" si="111"/>
        <v>-7.1279999999999998E-3</v>
      </c>
      <c r="AU119" s="443">
        <f t="shared" si="111"/>
        <v>1.28448E-3</v>
      </c>
      <c r="AV119" s="633">
        <v>41674</v>
      </c>
      <c r="AW119" s="644"/>
      <c r="AX119" s="608">
        <v>0</v>
      </c>
      <c r="AY119" s="448"/>
      <c r="AZ119" s="449"/>
      <c r="BA119" s="447">
        <f t="shared" si="102"/>
        <v>2.7140087534159172E-2</v>
      </c>
      <c r="BB119" s="443">
        <f t="shared" si="103"/>
        <v>2.377376138031265E-2</v>
      </c>
      <c r="BC119" s="608">
        <f t="shared" si="77"/>
        <v>0.2377376138031265</v>
      </c>
      <c r="BD119" s="627" t="s">
        <v>557</v>
      </c>
      <c r="BE119" s="580">
        <v>41674</v>
      </c>
      <c r="BF119" s="448"/>
      <c r="BG119" s="449"/>
      <c r="BH119" s="447">
        <f t="shared" si="108"/>
        <v>21.898907406258836</v>
      </c>
      <c r="BI119" s="443">
        <f t="shared" si="109"/>
        <v>25.104507406260439</v>
      </c>
      <c r="BJ119" s="658"/>
      <c r="BK119" s="448"/>
      <c r="BL119" s="449"/>
      <c r="BM119" s="447">
        <v>27.140087534159175</v>
      </c>
      <c r="BN119" s="443">
        <v>23.773761380312649</v>
      </c>
      <c r="BO119" s="353">
        <v>65</v>
      </c>
      <c r="BP119" s="353">
        <f t="shared" si="82"/>
        <v>13</v>
      </c>
      <c r="BQ119" s="610">
        <f t="shared" si="83"/>
        <v>46.428571428571431</v>
      </c>
      <c r="BR119" s="610">
        <f t="shared" si="84"/>
        <v>17.567567567567568</v>
      </c>
      <c r="BT119" s="648"/>
      <c r="BU119" s="648"/>
      <c r="BV119" s="648"/>
      <c r="BW119" s="648"/>
      <c r="BX119" s="648"/>
      <c r="BY119" s="616" t="s">
        <v>460</v>
      </c>
      <c r="BZ119" s="617">
        <v>28</v>
      </c>
      <c r="CA119" s="608">
        <v>0</v>
      </c>
      <c r="CB119" s="608">
        <f t="shared" si="85"/>
        <v>0</v>
      </c>
      <c r="CC119" s="353">
        <v>77</v>
      </c>
      <c r="CD119" s="631">
        <f t="shared" si="86"/>
        <v>536.50000000000011</v>
      </c>
      <c r="CN119" s="632" t="s">
        <v>537</v>
      </c>
      <c r="CO119" s="580">
        <f>'[3]Plots R2&gt;.75 - UPDATED'!R116</f>
        <v>41675</v>
      </c>
      <c r="CP119" s="620"/>
      <c r="CQ119" s="633">
        <v>41675</v>
      </c>
      <c r="CR119" s="641">
        <v>0</v>
      </c>
      <c r="CS119" s="642">
        <v>4882.6072181592954</v>
      </c>
      <c r="CT119" s="642">
        <v>22792.248749956863</v>
      </c>
      <c r="CU119" s="643">
        <v>4794.1062092479433</v>
      </c>
      <c r="CV119" s="573"/>
      <c r="CW119" s="573"/>
      <c r="CX119" s="573"/>
      <c r="CY119" s="573"/>
      <c r="CZ119" s="659">
        <f t="shared" si="100"/>
        <v>1.3267668465603786</v>
      </c>
      <c r="DA119" s="659">
        <f t="shared" si="106"/>
        <v>0</v>
      </c>
      <c r="DB119" s="659">
        <f t="shared" si="88"/>
        <v>6.3077451103745537</v>
      </c>
      <c r="DC119" s="659">
        <f t="shared" si="107"/>
        <v>0</v>
      </c>
      <c r="DD119" s="622"/>
      <c r="DE119" s="299">
        <v>41673</v>
      </c>
      <c r="DF119" s="463">
        <v>0</v>
      </c>
      <c r="DG119" s="463">
        <v>0.48130380743052475</v>
      </c>
      <c r="DH119" s="463">
        <v>2.4585319538519443</v>
      </c>
      <c r="DI119" s="463">
        <v>0.59463967957704666</v>
      </c>
      <c r="DJ119" s="324"/>
      <c r="DK119" s="324"/>
      <c r="DL119" s="528">
        <v>2.1898907406258834</v>
      </c>
      <c r="DM119" s="546">
        <v>2.5104507406260437</v>
      </c>
      <c r="DN119" s="528">
        <f t="shared" si="95"/>
        <v>0</v>
      </c>
      <c r="DO119" s="528">
        <f t="shared" si="96"/>
        <v>0</v>
      </c>
      <c r="DP119" s="528">
        <f t="shared" si="97"/>
        <v>21.898907406258836</v>
      </c>
      <c r="DQ119" s="528">
        <f t="shared" si="98"/>
        <v>25.104507406260439</v>
      </c>
      <c r="DR119" s="463"/>
      <c r="DS119" s="463"/>
      <c r="DT119" s="463">
        <v>2.1898907406258834</v>
      </c>
      <c r="DU119" s="463">
        <v>2.5104507406260437</v>
      </c>
      <c r="DV119" s="463"/>
      <c r="DW119" s="463"/>
      <c r="DX119" s="463">
        <v>0.11203200000000013</v>
      </c>
      <c r="DY119" s="463">
        <v>-4.8528000000000127E-2</v>
      </c>
      <c r="DZ119" s="463"/>
      <c r="EA119" s="463"/>
      <c r="EB119" s="463">
        <v>0.11203200000000013</v>
      </c>
      <c r="EC119" s="463">
        <v>-4.8528000000000127E-2</v>
      </c>
      <c r="ED119" s="463">
        <f t="shared" si="89"/>
        <v>0</v>
      </c>
      <c r="EE119" s="463">
        <f t="shared" si="90"/>
        <v>0</v>
      </c>
      <c r="EF119" s="463">
        <f t="shared" si="91"/>
        <v>1.1203200000000013</v>
      </c>
      <c r="EG119" s="463">
        <f t="shared" si="92"/>
        <v>-0.48528000000000127</v>
      </c>
      <c r="EH119" s="324">
        <f>'[3]Plots R2&gt;.75 - UPDATED'!S116</f>
        <v>0</v>
      </c>
      <c r="EI119" s="324">
        <f>'[3]Plots R2&gt;.75 - UPDATED'!T116</f>
        <v>0.68275525398331793</v>
      </c>
      <c r="EJ119" s="528">
        <f>'[3]Plots R2&gt;.75 - UPDATED'!U116</f>
        <v>1.4525552539833169</v>
      </c>
      <c r="EK119" s="546">
        <f>'[3]Plots R2&gt;.75 - UPDATED'!V116</f>
        <v>1.0399552539833183</v>
      </c>
      <c r="EL119" s="676"/>
      <c r="EM119" s="850"/>
      <c r="EN119" s="299">
        <v>41673</v>
      </c>
      <c r="EO119" s="324">
        <v>0</v>
      </c>
      <c r="EP119" s="324">
        <v>0.68275525398331793</v>
      </c>
      <c r="EQ119" s="528">
        <v>1.4525552539833169</v>
      </c>
      <c r="ER119" s="546">
        <v>1.0399552539833183</v>
      </c>
      <c r="GM119" s="640"/>
      <c r="GN119" s="640"/>
      <c r="GO119" s="640"/>
      <c r="GP119" s="640"/>
      <c r="GQ119" s="640"/>
      <c r="GR119" s="640"/>
      <c r="GS119" s="640"/>
      <c r="GT119" s="640"/>
      <c r="GU119" s="640"/>
      <c r="HE119" s="564"/>
      <c r="HF119" s="564"/>
      <c r="HG119" s="573"/>
      <c r="HH119" s="573"/>
      <c r="HI119" s="602">
        <v>1.0181301207462177</v>
      </c>
      <c r="HJ119" s="602">
        <v>0</v>
      </c>
      <c r="HK119" s="602">
        <v>3.0416372185760681</v>
      </c>
      <c r="HL119" s="602">
        <v>0</v>
      </c>
    </row>
    <row r="120" spans="8:220" ht="16">
      <c r="H120" s="431">
        <v>41956</v>
      </c>
      <c r="I120" s="331">
        <f t="shared" si="112"/>
        <v>1728</v>
      </c>
      <c r="J120" s="580">
        <v>41657</v>
      </c>
      <c r="K120" s="581">
        <v>0</v>
      </c>
      <c r="L120" s="582">
        <v>10.5318</v>
      </c>
      <c r="M120" s="582">
        <v>10.575799999999999</v>
      </c>
      <c r="N120" s="582">
        <v>11.787000000000001</v>
      </c>
      <c r="O120" s="582">
        <v>11.6088</v>
      </c>
      <c r="P120" s="582">
        <v>99.110299999999995</v>
      </c>
      <c r="Q120" s="582">
        <v>10.133972742767002</v>
      </c>
      <c r="R120" s="582">
        <v>0.21282725723299883</v>
      </c>
      <c r="S120" s="582">
        <v>1.0918272572329977</v>
      </c>
      <c r="T120" s="582">
        <v>1.8430272572329993</v>
      </c>
      <c r="U120" s="582">
        <v>1.7448272572329988</v>
      </c>
      <c r="W120" s="580">
        <v>41675</v>
      </c>
      <c r="X120" s="582">
        <f t="shared" si="110"/>
        <v>0</v>
      </c>
      <c r="Y120" s="582">
        <f t="shared" si="110"/>
        <v>0.68294093909776921</v>
      </c>
      <c r="Z120" s="582">
        <f t="shared" si="110"/>
        <v>1.4526947852516146</v>
      </c>
      <c r="AA120" s="582">
        <f t="shared" si="110"/>
        <v>1.3300101698669993</v>
      </c>
      <c r="AB120" s="606"/>
      <c r="AC120" s="448"/>
      <c r="AD120" s="449"/>
      <c r="AE120" s="447">
        <f t="shared" si="104"/>
        <v>2.1317440921075459E-2</v>
      </c>
      <c r="AF120" s="447">
        <f t="shared" si="105"/>
        <v>2.3486671690305938E-2</v>
      </c>
      <c r="AG120" s="633">
        <v>41675</v>
      </c>
      <c r="AH120" s="509"/>
      <c r="AI120" s="510"/>
      <c r="AJ120" s="659">
        <v>0</v>
      </c>
      <c r="AK120" s="659">
        <v>0</v>
      </c>
      <c r="AL120" s="634"/>
      <c r="AM120" s="448"/>
      <c r="AN120" s="449"/>
      <c r="AO120" s="447">
        <v>4.6199999999999998E-6</v>
      </c>
      <c r="AP120" s="447">
        <v>1.55E-6</v>
      </c>
      <c r="AR120" s="448"/>
      <c r="AS120" s="449"/>
      <c r="AT120" s="447">
        <f t="shared" si="111"/>
        <v>-6.6527999999999995E-3</v>
      </c>
      <c r="AU120" s="447">
        <f t="shared" si="111"/>
        <v>-2.232E-3</v>
      </c>
      <c r="AV120" s="633">
        <v>41675</v>
      </c>
      <c r="AW120" s="644"/>
      <c r="AX120" s="608">
        <v>0</v>
      </c>
      <c r="AY120" s="448"/>
      <c r="AZ120" s="449"/>
      <c r="BA120" s="447">
        <f t="shared" si="102"/>
        <v>2.7970240921075459E-2</v>
      </c>
      <c r="BB120" s="447">
        <f t="shared" si="103"/>
        <v>2.5718671690305939E-2</v>
      </c>
      <c r="BC120" s="608">
        <f t="shared" si="77"/>
        <v>0.25718671690305939</v>
      </c>
      <c r="BD120" s="627" t="s">
        <v>558</v>
      </c>
      <c r="BE120" s="580">
        <v>41675</v>
      </c>
      <c r="BF120" s="448"/>
      <c r="BG120" s="449"/>
      <c r="BH120" s="447">
        <f t="shared" si="108"/>
        <v>26.730051567954249</v>
      </c>
      <c r="BI120" s="447">
        <f t="shared" si="109"/>
        <v>23.417571567951242</v>
      </c>
      <c r="BJ120" s="658"/>
      <c r="BK120" s="448"/>
      <c r="BL120" s="449"/>
      <c r="BM120" s="447">
        <v>27.970240921075458</v>
      </c>
      <c r="BN120" s="447">
        <v>25.718671690305939</v>
      </c>
      <c r="BO120" s="353">
        <v>59</v>
      </c>
      <c r="BP120" s="353">
        <f t="shared" si="82"/>
        <v>11.8</v>
      </c>
      <c r="BQ120" s="610">
        <f t="shared" si="83"/>
        <v>42.142857142857146</v>
      </c>
      <c r="BR120" s="610">
        <f t="shared" si="84"/>
        <v>15.945945945945946</v>
      </c>
      <c r="BT120" s="648"/>
      <c r="BU120" s="648"/>
      <c r="BV120" s="648"/>
      <c r="BW120" s="648"/>
      <c r="BX120" s="648"/>
      <c r="BY120" s="616" t="s">
        <v>462</v>
      </c>
      <c r="BZ120" s="617">
        <v>28</v>
      </c>
      <c r="CA120" s="608">
        <v>0</v>
      </c>
      <c r="CB120" s="608">
        <f t="shared" si="85"/>
        <v>0</v>
      </c>
      <c r="CC120" s="353">
        <v>78</v>
      </c>
      <c r="CD120" s="631">
        <f t="shared" si="86"/>
        <v>536.50000000000011</v>
      </c>
      <c r="CN120" s="632" t="s">
        <v>538</v>
      </c>
      <c r="CO120" s="580">
        <f>'[3]Plots R2&gt;.75 - UPDATED'!R117</f>
        <v>41676</v>
      </c>
      <c r="CP120" s="620"/>
      <c r="CQ120" s="633">
        <v>41676</v>
      </c>
      <c r="CR120" s="641">
        <v>0</v>
      </c>
      <c r="CS120" s="642">
        <v>4875.6947191466561</v>
      </c>
      <c r="CT120" s="642">
        <v>22220.935038996155</v>
      </c>
      <c r="CU120" s="643">
        <v>4456.0128635920501</v>
      </c>
      <c r="CV120" s="573"/>
      <c r="CW120" s="573"/>
      <c r="CX120" s="573"/>
      <c r="CY120" s="573"/>
      <c r="CZ120" s="659">
        <f t="shared" si="100"/>
        <v>1.360878826517919</v>
      </c>
      <c r="DA120" s="659">
        <f t="shared" si="106"/>
        <v>0</v>
      </c>
      <c r="DB120" s="659">
        <f t="shared" si="88"/>
        <v>6.7863358849514501</v>
      </c>
      <c r="DC120" s="659">
        <f t="shared" si="107"/>
        <v>0</v>
      </c>
      <c r="DD120" s="622"/>
      <c r="DE120" s="299">
        <v>41674</v>
      </c>
      <c r="DF120" s="463">
        <v>0</v>
      </c>
      <c r="DG120" s="463">
        <v>0.48153025147701944</v>
      </c>
      <c r="DH120" s="463">
        <v>2.400438527051366</v>
      </c>
      <c r="DI120" s="463">
        <v>0.55625751875218044</v>
      </c>
      <c r="DJ120" s="324"/>
      <c r="DK120" s="324"/>
      <c r="DL120" s="528">
        <v>2.6730051567954249</v>
      </c>
      <c r="DM120" s="546">
        <v>2.3417571567951243</v>
      </c>
      <c r="DN120" s="528">
        <f t="shared" si="95"/>
        <v>0</v>
      </c>
      <c r="DO120" s="528">
        <f t="shared" si="96"/>
        <v>0</v>
      </c>
      <c r="DP120" s="528">
        <f t="shared" si="97"/>
        <v>26.730051567954249</v>
      </c>
      <c r="DQ120" s="528">
        <f t="shared" si="98"/>
        <v>23.417571567951242</v>
      </c>
      <c r="DR120" s="463"/>
      <c r="DS120" s="463"/>
      <c r="DT120" s="463">
        <v>2.6730051567954249</v>
      </c>
      <c r="DU120" s="463">
        <v>2.3417571567951243</v>
      </c>
      <c r="DV120" s="463"/>
      <c r="DW120" s="463"/>
      <c r="DX120" s="463">
        <v>-0.7128000000000001</v>
      </c>
      <c r="DY120" s="463">
        <v>0.12844800000000012</v>
      </c>
      <c r="DZ120" s="463"/>
      <c r="EA120" s="463"/>
      <c r="EB120" s="463">
        <v>-0.7128000000000001</v>
      </c>
      <c r="EC120" s="463">
        <v>0.12844800000000012</v>
      </c>
      <c r="ED120" s="463">
        <f t="shared" si="89"/>
        <v>0</v>
      </c>
      <c r="EE120" s="463">
        <f t="shared" si="90"/>
        <v>0</v>
      </c>
      <c r="EF120" s="463">
        <f t="shared" si="91"/>
        <v>-7.128000000000001</v>
      </c>
      <c r="EG120" s="463">
        <f t="shared" si="92"/>
        <v>1.2844800000000012</v>
      </c>
      <c r="EH120" s="324">
        <f>'[3]Plots R2&gt;.75 - UPDATED'!S117</f>
        <v>0</v>
      </c>
      <c r="EI120" s="324">
        <f>'[3]Plots R2&gt;.75 - UPDATED'!T117</f>
        <v>0.68241988004726273</v>
      </c>
      <c r="EJ120" s="528">
        <f>'[3]Plots R2&gt;.75 - UPDATED'!U117</f>
        <v>1.4321198800472623</v>
      </c>
      <c r="EK120" s="546">
        <f>'[3]Plots R2&gt;.75 - UPDATED'!V117</f>
        <v>1.0165198800472619</v>
      </c>
      <c r="EL120" s="676"/>
      <c r="EM120" s="850"/>
      <c r="EN120" s="299">
        <v>41674</v>
      </c>
      <c r="EO120" s="324">
        <v>0</v>
      </c>
      <c r="EP120" s="324">
        <v>0.68241988004726273</v>
      </c>
      <c r="EQ120" s="528">
        <v>1.4321198800472623</v>
      </c>
      <c r="ER120" s="546">
        <v>1.0165198800472619</v>
      </c>
      <c r="GM120" s="640"/>
      <c r="GN120" s="640"/>
      <c r="GO120" s="640"/>
      <c r="GP120" s="640"/>
      <c r="GQ120" s="640"/>
      <c r="GR120" s="640"/>
      <c r="GS120" s="640"/>
      <c r="GT120" s="640"/>
      <c r="GU120" s="640"/>
      <c r="HE120" s="564"/>
      <c r="HF120" s="564"/>
      <c r="HG120" s="573"/>
      <c r="HH120" s="573"/>
      <c r="HI120" s="603">
        <v>1.0406411887711147</v>
      </c>
      <c r="HJ120" s="603">
        <v>0</v>
      </c>
      <c r="HK120" s="603">
        <v>3.2155661006054292</v>
      </c>
      <c r="HL120" s="603">
        <v>0</v>
      </c>
    </row>
    <row r="121" spans="8:220" ht="16">
      <c r="H121" s="431">
        <v>41957</v>
      </c>
      <c r="I121" s="331">
        <f t="shared" si="112"/>
        <v>2016</v>
      </c>
      <c r="J121" s="580">
        <v>41658</v>
      </c>
      <c r="K121" s="581">
        <v>0</v>
      </c>
      <c r="L121" s="582">
        <v>10.550800000000001</v>
      </c>
      <c r="M121" s="582">
        <v>10.5969</v>
      </c>
      <c r="N121" s="582">
        <v>11.7841</v>
      </c>
      <c r="O121" s="582">
        <v>11.6091</v>
      </c>
      <c r="P121" s="582">
        <v>99.309700000000007</v>
      </c>
      <c r="Q121" s="582">
        <v>10.154361281242901</v>
      </c>
      <c r="R121" s="582">
        <v>0.21143871875709991</v>
      </c>
      <c r="S121" s="582">
        <v>1.0925387187570992</v>
      </c>
      <c r="T121" s="582">
        <v>1.8197387187570999</v>
      </c>
      <c r="U121" s="582">
        <v>1.7247387187570991</v>
      </c>
      <c r="W121" s="580">
        <v>41676</v>
      </c>
      <c r="X121" s="582">
        <f t="shared" si="110"/>
        <v>0</v>
      </c>
      <c r="Y121" s="582">
        <f t="shared" si="110"/>
        <v>0.68216965202284718</v>
      </c>
      <c r="Z121" s="582">
        <f t="shared" si="110"/>
        <v>1.4313773443305391</v>
      </c>
      <c r="AA121" s="582">
        <f t="shared" si="110"/>
        <v>1.3065234981766933</v>
      </c>
      <c r="AB121" s="606"/>
      <c r="AC121" s="448"/>
      <c r="AD121" s="449"/>
      <c r="AE121" s="447">
        <f t="shared" si="104"/>
        <v>2.1179097135703318E-2</v>
      </c>
      <c r="AF121" s="447">
        <f t="shared" si="105"/>
        <v>2.1856020212627225E-2</v>
      </c>
      <c r="AG121" s="633">
        <v>41676</v>
      </c>
      <c r="AH121" s="509"/>
      <c r="AI121" s="510"/>
      <c r="AJ121" s="659">
        <v>0</v>
      </c>
      <c r="AK121" s="659">
        <v>0</v>
      </c>
      <c r="AL121" s="634"/>
      <c r="AM121" s="448"/>
      <c r="AN121" s="449"/>
      <c r="AO121" s="447">
        <v>8.5900000000000008E-6</v>
      </c>
      <c r="AP121" s="447">
        <v>6.7900000000000002E-6</v>
      </c>
      <c r="AR121" s="448"/>
      <c r="AS121" s="449"/>
      <c r="AT121" s="447">
        <f t="shared" si="111"/>
        <v>-1.2369600000000001E-2</v>
      </c>
      <c r="AU121" s="447">
        <f t="shared" si="111"/>
        <v>-9.7776000000000009E-3</v>
      </c>
      <c r="AV121" s="633">
        <v>41676</v>
      </c>
      <c r="AW121" s="644"/>
      <c r="AX121" s="608">
        <v>0</v>
      </c>
      <c r="AY121" s="448"/>
      <c r="AZ121" s="449"/>
      <c r="BA121" s="447">
        <f t="shared" si="102"/>
        <v>3.3548697135703319E-2</v>
      </c>
      <c r="BB121" s="447">
        <f t="shared" si="103"/>
        <v>3.1633620212627223E-2</v>
      </c>
      <c r="BC121" s="608">
        <f t="shared" si="77"/>
        <v>0.31633620212627223</v>
      </c>
      <c r="BD121" s="627" t="s">
        <v>559</v>
      </c>
      <c r="BE121" s="580">
        <v>41676</v>
      </c>
      <c r="BF121" s="448"/>
      <c r="BG121" s="449"/>
      <c r="BH121" s="447">
        <f t="shared" si="108"/>
        <v>27.088173936054545</v>
      </c>
      <c r="BI121" s="447">
        <f t="shared" si="109"/>
        <v>25.667373936056435</v>
      </c>
      <c r="BJ121" s="658"/>
      <c r="BK121" s="448"/>
      <c r="BL121" s="449"/>
      <c r="BM121" s="447">
        <v>33.548697135703321</v>
      </c>
      <c r="BN121" s="447">
        <v>31.633620212627225</v>
      </c>
      <c r="BO121" s="353">
        <v>66</v>
      </c>
      <c r="BP121" s="353">
        <f t="shared" si="82"/>
        <v>13.2</v>
      </c>
      <c r="BQ121" s="610">
        <f t="shared" si="83"/>
        <v>47.142857142857146</v>
      </c>
      <c r="BR121" s="610">
        <f t="shared" si="84"/>
        <v>17.837837837837839</v>
      </c>
      <c r="BT121" s="648"/>
      <c r="BU121" s="648"/>
      <c r="BV121" s="648"/>
      <c r="BW121" s="648"/>
      <c r="BX121" s="648"/>
      <c r="BY121" s="616" t="s">
        <v>464</v>
      </c>
      <c r="BZ121" s="617">
        <v>28</v>
      </c>
      <c r="CA121" s="608">
        <v>0</v>
      </c>
      <c r="CB121" s="608">
        <f t="shared" si="85"/>
        <v>0</v>
      </c>
      <c r="CC121" s="353">
        <v>80</v>
      </c>
      <c r="CD121" s="631">
        <f t="shared" si="86"/>
        <v>536.50000000000011</v>
      </c>
      <c r="CN121" s="632" t="s">
        <v>539</v>
      </c>
      <c r="CO121" s="580">
        <f>'[3]Plots R2&gt;.75 - UPDATED'!R118</f>
        <v>41677</v>
      </c>
      <c r="CP121" s="620"/>
      <c r="CQ121" s="633">
        <v>41677</v>
      </c>
      <c r="CR121" s="641">
        <v>0</v>
      </c>
      <c r="CS121" s="642">
        <v>4885.0576911331536</v>
      </c>
      <c r="CT121" s="642">
        <v>21614.541462270416</v>
      </c>
      <c r="CU121" s="643">
        <v>4157.3168341133096</v>
      </c>
      <c r="CV121" s="573"/>
      <c r="CW121" s="573"/>
      <c r="CX121" s="573"/>
      <c r="CY121" s="573"/>
      <c r="CZ121" s="659">
        <f t="shared" si="100"/>
        <v>1.3990581318963384</v>
      </c>
      <c r="DA121" s="659">
        <f t="shared" si="106"/>
        <v>0</v>
      </c>
      <c r="DB121" s="659">
        <f t="shared" si="88"/>
        <v>7.273922389523559</v>
      </c>
      <c r="DC121" s="659">
        <f t="shared" si="107"/>
        <v>0</v>
      </c>
      <c r="DD121" s="622"/>
      <c r="DE121" s="299">
        <v>41675</v>
      </c>
      <c r="DF121" s="463">
        <v>0</v>
      </c>
      <c r="DG121" s="463">
        <v>0.4849728731044689</v>
      </c>
      <c r="DH121" s="463">
        <v>2.3346278371555367</v>
      </c>
      <c r="DI121" s="463">
        <v>0.51691593724916907</v>
      </c>
      <c r="DJ121" s="324"/>
      <c r="DK121" s="324"/>
      <c r="DL121" s="528">
        <v>2.7088173936054547</v>
      </c>
      <c r="DM121" s="546">
        <v>2.5667373936056435</v>
      </c>
      <c r="DN121" s="528">
        <f t="shared" si="95"/>
        <v>0</v>
      </c>
      <c r="DO121" s="528">
        <f t="shared" si="96"/>
        <v>0</v>
      </c>
      <c r="DP121" s="528">
        <f t="shared" si="97"/>
        <v>27.088173936054545</v>
      </c>
      <c r="DQ121" s="528">
        <f t="shared" si="98"/>
        <v>25.667373936056435</v>
      </c>
      <c r="DR121" s="463"/>
      <c r="DS121" s="463"/>
      <c r="DT121" s="463">
        <v>2.7088173936054547</v>
      </c>
      <c r="DU121" s="463">
        <v>2.5667373936056435</v>
      </c>
      <c r="DV121" s="463"/>
      <c r="DW121" s="463"/>
      <c r="DX121" s="463">
        <v>-0.66528000000000009</v>
      </c>
      <c r="DY121" s="463">
        <v>-0.22319999999999984</v>
      </c>
      <c r="DZ121" s="463"/>
      <c r="EA121" s="463"/>
      <c r="EB121" s="463">
        <v>-0.66528000000000009</v>
      </c>
      <c r="EC121" s="463">
        <v>-0.22319999999999984</v>
      </c>
      <c r="ED121" s="463">
        <f t="shared" si="89"/>
        <v>0</v>
      </c>
      <c r="EE121" s="463">
        <f t="shared" si="90"/>
        <v>0</v>
      </c>
      <c r="EF121" s="463">
        <f t="shared" si="91"/>
        <v>-6.6528000000000009</v>
      </c>
      <c r="EG121" s="463">
        <f t="shared" si="92"/>
        <v>-2.2319999999999984</v>
      </c>
      <c r="EH121" s="324">
        <f>'[3]Plots R2&gt;.75 - UPDATED'!S118</f>
        <v>0</v>
      </c>
      <c r="EI121" s="324">
        <f>'[3]Plots R2&gt;.75 - UPDATED'!T118</f>
        <v>0.68287406919623428</v>
      </c>
      <c r="EJ121" s="528">
        <f>'[3]Plots R2&gt;.75 - UPDATED'!U118</f>
        <v>1.4101740691962346</v>
      </c>
      <c r="EK121" s="546">
        <f>'[3]Plots R2&gt;.75 - UPDATED'!V118</f>
        <v>0.99477406919623368</v>
      </c>
      <c r="EL121" s="676"/>
      <c r="EM121" s="850"/>
      <c r="EN121" s="299">
        <v>41675</v>
      </c>
      <c r="EO121" s="324">
        <v>0</v>
      </c>
      <c r="EP121" s="324">
        <v>0.68287406919623428</v>
      </c>
      <c r="EQ121" s="528">
        <v>1.4101740691962346</v>
      </c>
      <c r="ER121" s="546">
        <v>0.99477406919623368</v>
      </c>
      <c r="GM121" s="640"/>
      <c r="GN121" s="640"/>
      <c r="GO121" s="640"/>
      <c r="GP121" s="640"/>
      <c r="GQ121" s="640"/>
      <c r="GR121" s="640"/>
      <c r="GS121" s="640"/>
      <c r="GT121" s="640"/>
      <c r="GU121" s="640"/>
      <c r="HE121" s="564"/>
      <c r="HF121" s="564"/>
      <c r="HG121" s="573"/>
      <c r="HH121" s="573"/>
      <c r="HI121" s="603">
        <v>1.0650413766061371</v>
      </c>
      <c r="HJ121" s="603">
        <v>0</v>
      </c>
      <c r="HK121" s="603">
        <v>3.4127624709131625</v>
      </c>
      <c r="HL121" s="603">
        <v>0</v>
      </c>
    </row>
    <row r="122" spans="8:220" ht="16">
      <c r="H122" s="431">
        <v>41958</v>
      </c>
      <c r="I122" s="331">
        <f t="shared" si="112"/>
        <v>2304</v>
      </c>
      <c r="J122" s="580">
        <v>41659</v>
      </c>
      <c r="K122" s="581">
        <v>0</v>
      </c>
      <c r="L122" s="582">
        <v>10.5496</v>
      </c>
      <c r="M122" s="582">
        <v>10.594799999999999</v>
      </c>
      <c r="N122" s="582">
        <v>11.7658</v>
      </c>
      <c r="O122" s="582">
        <v>11.5932</v>
      </c>
      <c r="P122" s="582">
        <v>99.357699999999994</v>
      </c>
      <c r="Q122" s="582">
        <v>10.159269254396575</v>
      </c>
      <c r="R122" s="582">
        <v>0.20533074560342485</v>
      </c>
      <c r="S122" s="582">
        <v>1.0855307456034244</v>
      </c>
      <c r="T122" s="582">
        <v>1.7965307456034256</v>
      </c>
      <c r="U122" s="582">
        <v>1.7039307456034245</v>
      </c>
      <c r="W122" s="580">
        <v>41677</v>
      </c>
      <c r="X122" s="582">
        <f t="shared" si="110"/>
        <v>0</v>
      </c>
      <c r="Y122" s="582">
        <f t="shared" si="110"/>
        <v>0.68289055488714367</v>
      </c>
      <c r="Z122" s="582">
        <f t="shared" si="110"/>
        <v>1.4101982471948358</v>
      </c>
      <c r="AA122" s="582">
        <f t="shared" si="110"/>
        <v>1.2846674779640661</v>
      </c>
      <c r="AB122" s="606"/>
      <c r="AC122" s="448"/>
      <c r="AD122" s="449"/>
      <c r="AE122" s="447">
        <f t="shared" si="104"/>
        <v>2.115079062011116E-2</v>
      </c>
      <c r="AF122" s="447">
        <f t="shared" si="105"/>
        <v>2.3412329081649252E-2</v>
      </c>
      <c r="AG122" s="633">
        <v>41677</v>
      </c>
      <c r="AH122" s="509"/>
      <c r="AI122" s="510"/>
      <c r="AJ122" s="659">
        <v>0</v>
      </c>
      <c r="AK122" s="659">
        <v>0</v>
      </c>
      <c r="AL122" s="634"/>
      <c r="AM122" s="448"/>
      <c r="AN122" s="449"/>
      <c r="AO122" s="447">
        <v>7.2300000000000002E-6</v>
      </c>
      <c r="AP122" s="447">
        <v>3.7900000000000001E-6</v>
      </c>
      <c r="AR122" s="448"/>
      <c r="AS122" s="449"/>
      <c r="AT122" s="447">
        <f t="shared" si="111"/>
        <v>-1.0411200000000001E-2</v>
      </c>
      <c r="AU122" s="447">
        <f t="shared" si="111"/>
        <v>-5.4576E-3</v>
      </c>
      <c r="AV122" s="633">
        <v>41677</v>
      </c>
      <c r="AW122" s="644"/>
      <c r="AX122" s="608">
        <v>0</v>
      </c>
      <c r="AY122" s="448"/>
      <c r="AZ122" s="449"/>
      <c r="BA122" s="447">
        <f t="shared" si="102"/>
        <v>3.1561990620111162E-2</v>
      </c>
      <c r="BB122" s="447">
        <f t="shared" si="103"/>
        <v>2.8869929081649252E-2</v>
      </c>
      <c r="BC122" s="608">
        <f t="shared" si="77"/>
        <v>0.28869929081649254</v>
      </c>
      <c r="BD122" s="627" t="s">
        <v>560</v>
      </c>
      <c r="BE122" s="580">
        <v>41677</v>
      </c>
      <c r="BF122" s="448"/>
      <c r="BG122" s="449"/>
      <c r="BH122" s="447">
        <f t="shared" si="108"/>
        <v>34.315410851027757</v>
      </c>
      <c r="BI122" s="447">
        <f t="shared" si="109"/>
        <v>31.523410851028224</v>
      </c>
      <c r="BJ122" s="658"/>
      <c r="BK122" s="448"/>
      <c r="BL122" s="449"/>
      <c r="BM122" s="447">
        <v>31.56199062011116</v>
      </c>
      <c r="BN122" s="447">
        <v>28.869929081649254</v>
      </c>
      <c r="BO122" s="353">
        <v>62</v>
      </c>
      <c r="BP122" s="353">
        <f t="shared" si="82"/>
        <v>12.4</v>
      </c>
      <c r="BQ122" s="610">
        <f t="shared" si="83"/>
        <v>44.285714285714292</v>
      </c>
      <c r="BR122" s="610">
        <f t="shared" si="84"/>
        <v>16.756756756756754</v>
      </c>
      <c r="BT122" s="648"/>
      <c r="BU122" s="648"/>
      <c r="BV122" s="648"/>
      <c r="BW122" s="648"/>
      <c r="BX122" s="648"/>
      <c r="BY122" s="616" t="s">
        <v>466</v>
      </c>
      <c r="BZ122" s="617">
        <v>28</v>
      </c>
      <c r="CA122" s="608">
        <v>0</v>
      </c>
      <c r="CB122" s="608">
        <f t="shared" si="85"/>
        <v>0</v>
      </c>
      <c r="CC122" s="353">
        <v>79</v>
      </c>
      <c r="CD122" s="631">
        <f t="shared" si="86"/>
        <v>536.50000000000011</v>
      </c>
      <c r="CN122" s="632" t="s">
        <v>540</v>
      </c>
      <c r="CO122" s="580">
        <f>'[3]Plots R2&gt;.75 - UPDATED'!R119</f>
        <v>41678</v>
      </c>
      <c r="CP122" s="620"/>
      <c r="CQ122" s="633">
        <v>41678</v>
      </c>
      <c r="CR122" s="641">
        <v>0</v>
      </c>
      <c r="CS122" s="642">
        <v>4894.4536586780532</v>
      </c>
      <c r="CT122" s="642">
        <v>21037.305170326264</v>
      </c>
      <c r="CU122" s="643">
        <v>3847.2294224651755</v>
      </c>
      <c r="CV122" s="573"/>
      <c r="CW122" s="573"/>
      <c r="CX122" s="573"/>
      <c r="CY122" s="573"/>
      <c r="CZ122" s="659">
        <f t="shared" si="100"/>
        <v>1.4374464673666665</v>
      </c>
      <c r="DA122" s="659">
        <f t="shared" si="106"/>
        <v>0</v>
      </c>
      <c r="DB122" s="659">
        <f t="shared" si="88"/>
        <v>7.8602018957900404</v>
      </c>
      <c r="DC122" s="659">
        <f t="shared" si="107"/>
        <v>0</v>
      </c>
      <c r="DD122" s="622"/>
      <c r="DE122" s="299">
        <v>41676</v>
      </c>
      <c r="DF122" s="463">
        <v>0</v>
      </c>
      <c r="DG122" s="463">
        <v>0.48826072181592955</v>
      </c>
      <c r="DH122" s="463">
        <v>2.2792248749956863</v>
      </c>
      <c r="DI122" s="463">
        <v>0.47941062092479431</v>
      </c>
      <c r="DJ122" s="324"/>
      <c r="DK122" s="324"/>
      <c r="DL122" s="528">
        <v>3.4315410851027757</v>
      </c>
      <c r="DM122" s="546">
        <v>3.1523410851028224</v>
      </c>
      <c r="DN122" s="528">
        <f t="shared" si="95"/>
        <v>0</v>
      </c>
      <c r="DO122" s="528">
        <f t="shared" si="96"/>
        <v>0</v>
      </c>
      <c r="DP122" s="528">
        <f t="shared" si="97"/>
        <v>34.315410851027757</v>
      </c>
      <c r="DQ122" s="528">
        <f t="shared" si="98"/>
        <v>31.523410851028224</v>
      </c>
      <c r="DR122" s="463"/>
      <c r="DS122" s="463"/>
      <c r="DT122" s="463">
        <v>3.4315410851027757</v>
      </c>
      <c r="DU122" s="463">
        <v>3.1523410851028224</v>
      </c>
      <c r="DV122" s="463"/>
      <c r="DW122" s="463"/>
      <c r="DX122" s="463">
        <v>-1.2369599999999998</v>
      </c>
      <c r="DY122" s="463">
        <v>-0.97775999999999996</v>
      </c>
      <c r="DZ122" s="463"/>
      <c r="EA122" s="463"/>
      <c r="EB122" s="463"/>
      <c r="EC122" s="463">
        <v>-0.97775999999999996</v>
      </c>
      <c r="ED122" s="463">
        <f t="shared" si="89"/>
        <v>0</v>
      </c>
      <c r="EE122" s="463">
        <f t="shared" si="90"/>
        <v>0</v>
      </c>
      <c r="EF122" s="463">
        <f t="shared" si="91"/>
        <v>0</v>
      </c>
      <c r="EG122" s="463">
        <f t="shared" si="92"/>
        <v>-9.7775999999999996</v>
      </c>
      <c r="EH122" s="324">
        <f>'[3]Plots R2&gt;.75 - UPDATED'!S119</f>
        <v>0</v>
      </c>
      <c r="EI122" s="324">
        <f>'[3]Plots R2&gt;.75 - UPDATED'!T119</f>
        <v>0.68332928765371981</v>
      </c>
      <c r="EJ122" s="528">
        <f>'[3]Plots R2&gt;.75 - UPDATED'!U119</f>
        <v>1.3890292876537189</v>
      </c>
      <c r="EK122" s="546">
        <f>'[3]Plots R2&gt;.75 - UPDATED'!V119</f>
        <v>0.97102928765371876</v>
      </c>
      <c r="EL122" s="676"/>
      <c r="EM122" s="850"/>
      <c r="EN122" s="299">
        <v>41676</v>
      </c>
      <c r="EO122" s="324">
        <v>0</v>
      </c>
      <c r="EP122" s="324">
        <v>0.68332928765371981</v>
      </c>
      <c r="EQ122" s="528">
        <v>1.3890292876537189</v>
      </c>
      <c r="ER122" s="546">
        <v>0.97102928765371876</v>
      </c>
      <c r="GM122" s="640"/>
      <c r="GN122" s="640"/>
      <c r="GO122" s="640"/>
      <c r="GP122" s="640"/>
      <c r="GQ122" s="640"/>
      <c r="GR122" s="640"/>
      <c r="GS122" s="640"/>
      <c r="GT122" s="640"/>
      <c r="GU122" s="640"/>
      <c r="HE122" s="564"/>
      <c r="HF122" s="564"/>
      <c r="HG122" s="573"/>
      <c r="HH122" s="573"/>
      <c r="HI122" s="603">
        <v>1.0909692273024831</v>
      </c>
      <c r="HJ122" s="603">
        <v>0</v>
      </c>
      <c r="HK122" s="602">
        <v>3.6291225317626656</v>
      </c>
      <c r="HL122" s="602">
        <v>0</v>
      </c>
    </row>
    <row r="123" spans="8:220" ht="16">
      <c r="H123" s="431">
        <v>41959</v>
      </c>
      <c r="I123" s="331">
        <f t="shared" si="112"/>
        <v>2592</v>
      </c>
      <c r="J123" s="580">
        <v>41660</v>
      </c>
      <c r="K123" s="581">
        <v>0</v>
      </c>
      <c r="L123" s="582">
        <v>10.1965</v>
      </c>
      <c r="M123" s="582">
        <v>10.192600000000001</v>
      </c>
      <c r="N123" s="582">
        <v>11.7417</v>
      </c>
      <c r="O123" s="582">
        <v>11.571</v>
      </c>
      <c r="P123" s="582">
        <v>99.339699999999993</v>
      </c>
      <c r="Q123" s="582">
        <v>10.157428764463946</v>
      </c>
      <c r="R123" s="582">
        <v>0</v>
      </c>
      <c r="S123" s="582">
        <v>0.68517123553605486</v>
      </c>
      <c r="T123" s="582">
        <v>1.7742712355360541</v>
      </c>
      <c r="U123" s="582">
        <v>1.6835712355360539</v>
      </c>
      <c r="W123" s="580">
        <v>41678</v>
      </c>
      <c r="X123" s="582">
        <f t="shared" si="110"/>
        <v>0</v>
      </c>
      <c r="Y123" s="582">
        <f t="shared" si="110"/>
        <v>0.68340899503626329</v>
      </c>
      <c r="Z123" s="582">
        <f t="shared" si="110"/>
        <v>1.3890474565747246</v>
      </c>
      <c r="AA123" s="582">
        <f t="shared" si="110"/>
        <v>1.2612551488824169</v>
      </c>
      <c r="AB123" s="606"/>
      <c r="AC123" s="448"/>
      <c r="AD123" s="449"/>
      <c r="AE123" s="447">
        <f t="shared" si="104"/>
        <v>2.1801892489814234E-2</v>
      </c>
      <c r="AF123" s="447">
        <f t="shared" si="105"/>
        <v>2.5440354028275491E-2</v>
      </c>
      <c r="AG123" s="633">
        <v>41678</v>
      </c>
      <c r="AH123" s="509"/>
      <c r="AI123" s="510"/>
      <c r="AJ123" s="659">
        <v>0</v>
      </c>
      <c r="AK123" s="659">
        <v>0</v>
      </c>
      <c r="AL123" s="634"/>
      <c r="AM123" s="448"/>
      <c r="AN123" s="449"/>
      <c r="AO123" s="447">
        <v>6.0900000000000001E-6</v>
      </c>
      <c r="AP123" s="447">
        <v>2.12E-6</v>
      </c>
      <c r="AR123" s="448"/>
      <c r="AS123" s="449"/>
      <c r="AT123" s="447">
        <f t="shared" si="111"/>
        <v>-8.7696000000000007E-3</v>
      </c>
      <c r="AU123" s="447">
        <f t="shared" si="111"/>
        <v>-3.0528E-3</v>
      </c>
      <c r="AV123" s="633">
        <v>41678</v>
      </c>
      <c r="AW123" s="644"/>
      <c r="AX123" s="608">
        <v>0</v>
      </c>
      <c r="AY123" s="448"/>
      <c r="AZ123" s="449"/>
      <c r="BA123" s="447">
        <f t="shared" si="102"/>
        <v>3.0571492489814237E-2</v>
      </c>
      <c r="BB123" s="447">
        <f t="shared" si="103"/>
        <v>2.8493154028275493E-2</v>
      </c>
      <c r="BC123" s="608">
        <f t="shared" si="77"/>
        <v>0.28493154028275491</v>
      </c>
      <c r="BD123" s="627" t="s">
        <v>561</v>
      </c>
      <c r="BE123" s="580">
        <v>41678</v>
      </c>
      <c r="BF123" s="448"/>
      <c r="BG123" s="449"/>
      <c r="BH123" s="447">
        <f t="shared" si="108"/>
        <v>31.555981542515646</v>
      </c>
      <c r="BI123" s="447">
        <f t="shared" si="109"/>
        <v>29.202381542514914</v>
      </c>
      <c r="BJ123" s="658"/>
      <c r="BK123" s="448"/>
      <c r="BL123" s="449"/>
      <c r="BM123" s="447">
        <v>30.57149248981424</v>
      </c>
      <c r="BN123" s="447">
        <v>28.493154028275494</v>
      </c>
      <c r="BO123" s="353">
        <v>60</v>
      </c>
      <c r="BP123" s="353">
        <f t="shared" si="82"/>
        <v>12</v>
      </c>
      <c r="BQ123" s="610">
        <f t="shared" si="83"/>
        <v>42.857142857142861</v>
      </c>
      <c r="BR123" s="610">
        <f t="shared" si="84"/>
        <v>16.216216216216214</v>
      </c>
      <c r="BT123" s="648"/>
      <c r="BU123" s="648"/>
      <c r="BV123" s="648"/>
      <c r="BW123" s="648"/>
      <c r="BX123" s="648"/>
      <c r="BY123" s="616" t="s">
        <v>468</v>
      </c>
      <c r="BZ123" s="617">
        <v>26</v>
      </c>
      <c r="CA123" s="608">
        <v>0.2</v>
      </c>
      <c r="CB123" s="608">
        <f t="shared" si="85"/>
        <v>2</v>
      </c>
      <c r="CC123" s="353">
        <v>88</v>
      </c>
      <c r="CD123" s="631">
        <f t="shared" si="86"/>
        <v>538.50000000000011</v>
      </c>
      <c r="CN123" s="632" t="s">
        <v>541</v>
      </c>
      <c r="CO123" s="580">
        <f>'[3]Plots R2&gt;.75 - UPDATED'!R120</f>
        <v>41679</v>
      </c>
      <c r="CP123" s="620"/>
      <c r="CQ123" s="633">
        <v>41679</v>
      </c>
      <c r="CR123" s="641">
        <v>0</v>
      </c>
      <c r="CS123" s="642">
        <v>4865.4555481525867</v>
      </c>
      <c r="CT123" s="642">
        <v>20457.281197470802</v>
      </c>
      <c r="CU123" s="643">
        <v>3527.4885318184542</v>
      </c>
      <c r="CV123" s="573"/>
      <c r="CW123" s="573"/>
      <c r="CX123" s="573"/>
      <c r="CY123" s="573"/>
      <c r="CZ123" s="659">
        <f t="shared" si="100"/>
        <v>1.478202294239308</v>
      </c>
      <c r="DA123" s="659">
        <f t="shared" si="106"/>
        <v>0</v>
      </c>
      <c r="DB123" s="659">
        <f t="shared" si="88"/>
        <v>8.5726713856702421</v>
      </c>
      <c r="DC123" s="659">
        <f t="shared" si="107"/>
        <v>0</v>
      </c>
      <c r="DD123" s="622"/>
      <c r="DE123" s="299">
        <v>41677</v>
      </c>
      <c r="DF123" s="463">
        <v>0</v>
      </c>
      <c r="DG123" s="463">
        <v>0.4875694719146656</v>
      </c>
      <c r="DH123" s="463">
        <v>2.2220935038996155</v>
      </c>
      <c r="DI123" s="463">
        <v>0.44560128635920498</v>
      </c>
      <c r="DJ123" s="324"/>
      <c r="DK123" s="324"/>
      <c r="DL123" s="528">
        <v>3.1555981542515648</v>
      </c>
      <c r="DM123" s="546">
        <v>2.9202381542514915</v>
      </c>
      <c r="DN123" s="528">
        <f t="shared" si="95"/>
        <v>0</v>
      </c>
      <c r="DO123" s="528">
        <f t="shared" si="96"/>
        <v>0</v>
      </c>
      <c r="DP123" s="528">
        <f t="shared" si="97"/>
        <v>31.555981542515646</v>
      </c>
      <c r="DQ123" s="528">
        <f t="shared" si="98"/>
        <v>29.202381542514914</v>
      </c>
      <c r="DR123" s="463"/>
      <c r="DS123" s="463"/>
      <c r="DT123" s="463">
        <v>3.1555981542515648</v>
      </c>
      <c r="DU123" s="463">
        <v>2.9202381542514915</v>
      </c>
      <c r="DV123" s="463"/>
      <c r="DW123" s="463"/>
      <c r="DX123" s="463">
        <v>-1.0411200000000003</v>
      </c>
      <c r="DY123" s="463">
        <v>-0.54576000000000002</v>
      </c>
      <c r="DZ123" s="463"/>
      <c r="EA123" s="463"/>
      <c r="EB123" s="463"/>
      <c r="EC123" s="463">
        <v>-0.54576000000000002</v>
      </c>
      <c r="ED123" s="463">
        <f t="shared" si="89"/>
        <v>0</v>
      </c>
      <c r="EE123" s="463">
        <f t="shared" si="90"/>
        <v>0</v>
      </c>
      <c r="EF123" s="463">
        <f t="shared" si="91"/>
        <v>0</v>
      </c>
      <c r="EG123" s="463">
        <f t="shared" si="92"/>
        <v>-5.4576000000000002</v>
      </c>
      <c r="EH123" s="324">
        <f>'[3]Plots R2&gt;.75 - UPDATED'!S120</f>
        <v>0</v>
      </c>
      <c r="EI123" s="324">
        <f>'[3]Plots R2&gt;.75 - UPDATED'!T120</f>
        <v>0.68192253463223174</v>
      </c>
      <c r="EJ123" s="528">
        <f>'[3]Plots R2&gt;.75 - UPDATED'!U120</f>
        <v>1.3675225346322315</v>
      </c>
      <c r="EK123" s="546">
        <f>'[3]Plots R2&gt;.75 - UPDATED'!V120</f>
        <v>0.94512253463223272</v>
      </c>
      <c r="EL123" s="676"/>
      <c r="EM123" s="850"/>
      <c r="EN123" s="299">
        <v>41677</v>
      </c>
      <c r="EO123" s="324">
        <v>0</v>
      </c>
      <c r="EP123" s="324">
        <v>0.68192253463223174</v>
      </c>
      <c r="EQ123" s="528">
        <v>1.3675225346322315</v>
      </c>
      <c r="ER123" s="546">
        <v>0.94512253463223272</v>
      </c>
      <c r="GM123" s="640"/>
      <c r="GN123" s="640"/>
      <c r="GO123" s="640"/>
      <c r="GP123" s="640"/>
      <c r="GQ123" s="640"/>
      <c r="GR123" s="640"/>
      <c r="GS123" s="640"/>
      <c r="GT123" s="640"/>
      <c r="GU123" s="640"/>
      <c r="HE123" s="564"/>
      <c r="HF123" s="564"/>
      <c r="HG123" s="573"/>
      <c r="HH123" s="573"/>
      <c r="HI123" s="603">
        <v>1.1168403119251678</v>
      </c>
      <c r="HJ123" s="603">
        <v>0</v>
      </c>
      <c r="HK123" s="602">
        <v>3.8552372902037919</v>
      </c>
      <c r="HL123" s="602">
        <v>0</v>
      </c>
    </row>
    <row r="124" spans="8:220" ht="16">
      <c r="H124" s="431">
        <v>41960</v>
      </c>
      <c r="I124" s="331">
        <f>I123+288</f>
        <v>2880</v>
      </c>
      <c r="J124" s="580">
        <v>41661</v>
      </c>
      <c r="K124" s="581">
        <v>0</v>
      </c>
      <c r="L124" s="582">
        <v>10.1793</v>
      </c>
      <c r="M124" s="582">
        <v>10.176500000000001</v>
      </c>
      <c r="N124" s="582">
        <v>11.701700000000001</v>
      </c>
      <c r="O124" s="582">
        <v>11.533200000000001</v>
      </c>
      <c r="P124" s="582">
        <v>99.182500000000005</v>
      </c>
      <c r="Q124" s="582">
        <v>10.141355152385657</v>
      </c>
      <c r="R124" s="582">
        <v>0</v>
      </c>
      <c r="S124" s="582">
        <v>0.68514484761434402</v>
      </c>
      <c r="T124" s="582">
        <v>1.7503448476143439</v>
      </c>
      <c r="U124" s="582">
        <v>1.6618448476143439</v>
      </c>
      <c r="W124" s="580">
        <v>41679</v>
      </c>
      <c r="X124" s="582">
        <f t="shared" si="110"/>
        <v>0</v>
      </c>
      <c r="Y124" s="582">
        <f t="shared" si="110"/>
        <v>0.68256094870029527</v>
      </c>
      <c r="Z124" s="582">
        <f t="shared" si="110"/>
        <v>1.3672455640849104</v>
      </c>
      <c r="AA124" s="582">
        <f t="shared" si="110"/>
        <v>1.2358147948541414</v>
      </c>
      <c r="AB124" s="606"/>
      <c r="AC124" s="448"/>
      <c r="AD124" s="449"/>
      <c r="AE124" s="447">
        <f t="shared" si="104"/>
        <v>2.040186967751989E-2</v>
      </c>
      <c r="AF124" s="447">
        <f t="shared" si="105"/>
        <v>2.4617254292904844E-2</v>
      </c>
      <c r="AG124" s="633">
        <v>41679</v>
      </c>
      <c r="AH124" s="509"/>
      <c r="AI124" s="510"/>
      <c r="AJ124" s="659">
        <v>0</v>
      </c>
      <c r="AK124" s="659">
        <v>0</v>
      </c>
      <c r="AL124" s="634"/>
      <c r="AM124" s="448"/>
      <c r="AN124" s="449"/>
      <c r="AO124" s="447">
        <v>6.8299999999999998E-6</v>
      </c>
      <c r="AP124" s="447">
        <v>3.1499999999999999E-6</v>
      </c>
      <c r="AR124" s="448"/>
      <c r="AS124" s="449"/>
      <c r="AT124" s="447">
        <f t="shared" si="111"/>
        <v>-9.8352000000000005E-3</v>
      </c>
      <c r="AU124" s="447">
        <f t="shared" si="111"/>
        <v>-4.5360000000000001E-3</v>
      </c>
      <c r="AV124" s="633">
        <v>41679</v>
      </c>
      <c r="AW124" s="644"/>
      <c r="AX124" s="608">
        <v>0</v>
      </c>
      <c r="AY124" s="448"/>
      <c r="AZ124" s="449"/>
      <c r="BA124" s="447">
        <f t="shared" si="102"/>
        <v>3.0237069677519893E-2</v>
      </c>
      <c r="BB124" s="447">
        <f t="shared" si="103"/>
        <v>2.9153254292904843E-2</v>
      </c>
      <c r="BC124" s="608">
        <f t="shared" si="77"/>
        <v>0.2915325429290484</v>
      </c>
      <c r="BD124" s="627" t="s">
        <v>562</v>
      </c>
      <c r="BE124" s="580">
        <v>41679</v>
      </c>
      <c r="BF124" s="448"/>
      <c r="BG124" s="449"/>
      <c r="BH124" s="447">
        <f t="shared" si="108"/>
        <v>30.276353021487413</v>
      </c>
      <c r="BI124" s="447">
        <f t="shared" si="109"/>
        <v>28.959553021486037</v>
      </c>
      <c r="BJ124" s="658"/>
      <c r="BK124" s="448"/>
      <c r="BL124" s="449"/>
      <c r="BM124" s="447">
        <v>30.237069677519894</v>
      </c>
      <c r="BN124" s="447">
        <v>29.15325429290484</v>
      </c>
      <c r="BO124" s="353">
        <v>65</v>
      </c>
      <c r="BP124" s="353">
        <f t="shared" si="82"/>
        <v>13</v>
      </c>
      <c r="BQ124" s="610">
        <f t="shared" si="83"/>
        <v>46.428571428571431</v>
      </c>
      <c r="BR124" s="610">
        <f t="shared" si="84"/>
        <v>17.567567567567568</v>
      </c>
      <c r="BT124" s="648"/>
      <c r="BU124" s="648"/>
      <c r="BV124" s="648"/>
      <c r="BW124" s="648"/>
      <c r="BX124" s="648"/>
      <c r="BY124" s="616" t="s">
        <v>470</v>
      </c>
      <c r="BZ124" s="617">
        <v>27</v>
      </c>
      <c r="CA124" s="608">
        <v>0</v>
      </c>
      <c r="CB124" s="608">
        <f t="shared" si="85"/>
        <v>0</v>
      </c>
      <c r="CC124" s="353">
        <v>78</v>
      </c>
      <c r="CD124" s="631">
        <f t="shared" si="86"/>
        <v>538.50000000000011</v>
      </c>
      <c r="CN124" s="632" t="s">
        <v>542</v>
      </c>
      <c r="CO124" s="580">
        <f>'[3]Plots R2&gt;.75 - UPDATED'!R121</f>
        <v>41680</v>
      </c>
      <c r="CP124" s="620"/>
      <c r="CQ124" s="633">
        <v>41680</v>
      </c>
      <c r="CR124" s="641">
        <v>0</v>
      </c>
      <c r="CS124" s="642">
        <v>4899.3377123222881</v>
      </c>
      <c r="CT124" s="642">
        <v>19883.108525886615</v>
      </c>
      <c r="CU124" s="643">
        <v>3244.0184899333617</v>
      </c>
      <c r="CV124" s="573"/>
      <c r="CW124" s="573"/>
      <c r="CX124" s="573"/>
      <c r="CY124" s="573"/>
      <c r="CZ124" s="659">
        <f t="shared" si="100"/>
        <v>1.5208889475521059</v>
      </c>
      <c r="DA124" s="659">
        <f t="shared" si="106"/>
        <v>0</v>
      </c>
      <c r="DB124" s="659">
        <f t="shared" si="88"/>
        <v>9.3217717759127758</v>
      </c>
      <c r="DC124" s="659">
        <f t="shared" si="107"/>
        <v>0</v>
      </c>
      <c r="DD124" s="622"/>
      <c r="DE124" s="299">
        <v>41678</v>
      </c>
      <c r="DF124" s="463">
        <v>0</v>
      </c>
      <c r="DG124" s="463">
        <v>0.48850576911331539</v>
      </c>
      <c r="DH124" s="463">
        <v>2.1614541462270416</v>
      </c>
      <c r="DI124" s="463">
        <v>0.41573168341133093</v>
      </c>
      <c r="DJ124" s="324"/>
      <c r="DK124" s="324"/>
      <c r="DL124" s="528">
        <v>3.0276353021487412</v>
      </c>
      <c r="DM124" s="546">
        <v>2.8959553021486037</v>
      </c>
      <c r="DN124" s="528">
        <f t="shared" si="95"/>
        <v>0</v>
      </c>
      <c r="DO124" s="528">
        <f t="shared" si="96"/>
        <v>0</v>
      </c>
      <c r="DP124" s="528">
        <f t="shared" si="97"/>
        <v>30.276353021487413</v>
      </c>
      <c r="DQ124" s="528">
        <f t="shared" si="98"/>
        <v>28.959553021486037</v>
      </c>
      <c r="DR124" s="463"/>
      <c r="DS124" s="463"/>
      <c r="DT124" s="463">
        <v>3.0276353021487412</v>
      </c>
      <c r="DU124" s="463">
        <v>2.8959553021486037</v>
      </c>
      <c r="DV124" s="463"/>
      <c r="DW124" s="463"/>
      <c r="DX124" s="463">
        <v>-0.87695999999999996</v>
      </c>
      <c r="DY124" s="463">
        <v>-0.30527999999999977</v>
      </c>
      <c r="DZ124" s="463"/>
      <c r="EA124" s="463"/>
      <c r="EB124" s="463">
        <v>-0.87695999999999996</v>
      </c>
      <c r="EC124" s="463">
        <v>-0.30527999999999977</v>
      </c>
      <c r="ED124" s="463">
        <f t="shared" si="89"/>
        <v>0</v>
      </c>
      <c r="EE124" s="463">
        <f t="shared" si="90"/>
        <v>0</v>
      </c>
      <c r="EF124" s="463">
        <f t="shared" si="91"/>
        <v>-8.7696000000000005</v>
      </c>
      <c r="EG124" s="463">
        <f t="shared" si="92"/>
        <v>-3.0527999999999977</v>
      </c>
      <c r="EH124" s="324">
        <f>'[3]Plots R2&gt;.75 - UPDATED'!S121</f>
        <v>0</v>
      </c>
      <c r="EI124" s="324">
        <f>'[3]Plots R2&gt;.75 - UPDATED'!T121</f>
        <v>0.68356568619890701</v>
      </c>
      <c r="EJ124" s="528">
        <f>'[3]Plots R2&gt;.75 - UPDATED'!U121</f>
        <v>1.3459656861989058</v>
      </c>
      <c r="EK124" s="546">
        <f>'[3]Plots R2&gt;.75 - UPDATED'!V121</f>
        <v>0.92076568619890642</v>
      </c>
      <c r="EL124" s="676"/>
      <c r="EM124" s="850"/>
      <c r="EN124" s="299">
        <v>41678</v>
      </c>
      <c r="EO124" s="324">
        <v>0</v>
      </c>
      <c r="EP124" s="324">
        <v>0.68356568619890701</v>
      </c>
      <c r="EQ124" s="528">
        <v>1.3459656861989058</v>
      </c>
      <c r="ER124" s="546">
        <v>0.92076568619890642</v>
      </c>
      <c r="GM124" s="640"/>
      <c r="GN124" s="640"/>
      <c r="GO124" s="640"/>
      <c r="GP124" s="640"/>
      <c r="GQ124" s="640"/>
      <c r="GR124" s="640"/>
      <c r="GS124" s="640"/>
      <c r="GT124" s="640"/>
      <c r="GU124" s="640"/>
      <c r="HE124" s="564"/>
      <c r="HF124" s="564"/>
      <c r="HG124" s="573"/>
      <c r="HH124" s="573"/>
      <c r="HI124" s="603">
        <v>1.1442355787094163</v>
      </c>
      <c r="HJ124" s="603">
        <v>0</v>
      </c>
      <c r="HK124" s="603">
        <v>4.1182508601652099</v>
      </c>
      <c r="HL124" s="603">
        <v>0</v>
      </c>
    </row>
    <row r="125" spans="8:220" ht="16">
      <c r="H125" s="431">
        <v>41961</v>
      </c>
      <c r="I125" s="331">
        <f>I124+288</f>
        <v>3168</v>
      </c>
      <c r="J125" s="580">
        <v>41662</v>
      </c>
      <c r="K125" s="581">
        <v>0</v>
      </c>
      <c r="L125" s="582">
        <v>10.187900000000001</v>
      </c>
      <c r="M125" s="582">
        <v>10.1761</v>
      </c>
      <c r="N125" s="582">
        <v>11.6836</v>
      </c>
      <c r="O125" s="582">
        <v>11.515700000000001</v>
      </c>
      <c r="P125" s="582">
        <v>99.225399999999993</v>
      </c>
      <c r="Q125" s="582">
        <v>10.145741653391754</v>
      </c>
      <c r="R125" s="582">
        <v>0</v>
      </c>
      <c r="S125" s="582">
        <v>0.6803583466082459</v>
      </c>
      <c r="T125" s="582">
        <v>1.7278583466082462</v>
      </c>
      <c r="U125" s="582">
        <v>1.6399583466082466</v>
      </c>
      <c r="W125" s="580">
        <v>41680</v>
      </c>
      <c r="X125" s="582">
        <f t="shared" si="110"/>
        <v>0</v>
      </c>
      <c r="Y125" s="582">
        <f t="shared" si="110"/>
        <v>0.68386677133046814</v>
      </c>
      <c r="Z125" s="582">
        <f t="shared" si="110"/>
        <v>1.3468436944073905</v>
      </c>
      <c r="AA125" s="582">
        <f t="shared" si="110"/>
        <v>1.2111975405612365</v>
      </c>
      <c r="AB125" s="606"/>
      <c r="AC125" s="448"/>
      <c r="AD125" s="449"/>
      <c r="AE125" s="447">
        <f t="shared" si="104"/>
        <v>2.1121473412796909E-2</v>
      </c>
      <c r="AF125" s="447">
        <f t="shared" si="105"/>
        <v>2.7790704182027337E-2</v>
      </c>
      <c r="AG125" s="633">
        <v>41680</v>
      </c>
      <c r="AH125" s="509"/>
      <c r="AI125" s="510"/>
      <c r="AJ125" s="659">
        <v>0</v>
      </c>
      <c r="AK125" s="659">
        <v>0</v>
      </c>
      <c r="AL125" s="634"/>
      <c r="AM125" s="448"/>
      <c r="AN125" s="449"/>
      <c r="AO125" s="447">
        <v>7.3100000000000003E-6</v>
      </c>
      <c r="AP125" s="447">
        <v>4.25E-6</v>
      </c>
      <c r="AR125" s="448"/>
      <c r="AS125" s="449"/>
      <c r="AT125" s="447">
        <f t="shared" si="111"/>
        <v>-1.05264E-2</v>
      </c>
      <c r="AU125" s="447">
        <f t="shared" si="111"/>
        <v>-6.1199999999999996E-3</v>
      </c>
      <c r="AV125" s="633">
        <v>41680</v>
      </c>
      <c r="AW125" s="644"/>
      <c r="AX125" s="608">
        <v>0</v>
      </c>
      <c r="AY125" s="448"/>
      <c r="AZ125" s="449"/>
      <c r="BA125" s="447">
        <f t="shared" si="102"/>
        <v>3.1647873412796908E-2</v>
      </c>
      <c r="BB125" s="447">
        <f t="shared" si="103"/>
        <v>3.3910704182027337E-2</v>
      </c>
      <c r="BC125" s="608">
        <f t="shared" si="77"/>
        <v>0.3391070418202734</v>
      </c>
      <c r="BD125" s="627" t="s">
        <v>563</v>
      </c>
      <c r="BE125" s="580">
        <v>41680</v>
      </c>
      <c r="BF125" s="448"/>
      <c r="BG125" s="449"/>
      <c r="BH125" s="447">
        <f t="shared" si="108"/>
        <v>31.392048433325726</v>
      </c>
      <c r="BI125" s="447">
        <f t="shared" si="109"/>
        <v>28.892848433326304</v>
      </c>
      <c r="BJ125" s="658"/>
      <c r="BK125" s="448"/>
      <c r="BL125" s="449"/>
      <c r="BM125" s="447">
        <v>31.647873412796908</v>
      </c>
      <c r="BN125" s="447">
        <v>33.910704182027338</v>
      </c>
      <c r="BO125" s="353">
        <v>65</v>
      </c>
      <c r="BP125" s="353">
        <f t="shared" si="82"/>
        <v>13</v>
      </c>
      <c r="BQ125" s="610">
        <f t="shared" si="83"/>
        <v>46.428571428571431</v>
      </c>
      <c r="BR125" s="610">
        <f t="shared" si="84"/>
        <v>17.567567567567568</v>
      </c>
      <c r="BT125" s="648"/>
      <c r="BU125" s="648"/>
      <c r="BV125" s="648"/>
      <c r="BW125" s="648"/>
      <c r="BX125" s="648"/>
      <c r="BY125" s="616" t="s">
        <v>472</v>
      </c>
      <c r="BZ125" s="617">
        <v>28</v>
      </c>
      <c r="CA125" s="608">
        <v>0</v>
      </c>
      <c r="CB125" s="608">
        <f t="shared" si="85"/>
        <v>0</v>
      </c>
      <c r="CC125" s="353">
        <v>75</v>
      </c>
      <c r="CD125" s="631">
        <f t="shared" si="86"/>
        <v>538.50000000000011</v>
      </c>
      <c r="CN125" s="632" t="s">
        <v>543</v>
      </c>
      <c r="CO125" s="580">
        <f>'[3]Plots R2&gt;.75 - UPDATED'!R122</f>
        <v>41681</v>
      </c>
      <c r="CP125" s="620"/>
      <c r="CQ125" s="633">
        <v>41681</v>
      </c>
      <c r="CR125" s="641">
        <v>0</v>
      </c>
      <c r="CS125" s="642">
        <v>4917.6390411789043</v>
      </c>
      <c r="CT125" s="642">
        <v>19351.234817400567</v>
      </c>
      <c r="CU125" s="643">
        <v>2947.3422389538046</v>
      </c>
      <c r="CV125" s="573"/>
      <c r="CW125" s="573"/>
      <c r="CX125" s="573"/>
      <c r="CY125" s="573"/>
      <c r="CZ125" s="659">
        <f t="shared" si="100"/>
        <v>1.5626909747799809</v>
      </c>
      <c r="DA125" s="659">
        <f t="shared" si="106"/>
        <v>0</v>
      </c>
      <c r="DB125" s="659">
        <f t="shared" si="88"/>
        <v>10.260091142565805</v>
      </c>
      <c r="DC125" s="659">
        <f t="shared" si="107"/>
        <v>0</v>
      </c>
      <c r="DD125" s="622"/>
      <c r="DE125" s="299">
        <v>41679</v>
      </c>
      <c r="DF125" s="463">
        <v>0</v>
      </c>
      <c r="DG125" s="463">
        <v>0.48944536586780535</v>
      </c>
      <c r="DH125" s="463">
        <v>2.1037305170326266</v>
      </c>
      <c r="DI125" s="463">
        <v>0.38472294224651754</v>
      </c>
      <c r="DJ125" s="324"/>
      <c r="DK125" s="324"/>
      <c r="DL125" s="528">
        <v>3.1392048433325725</v>
      </c>
      <c r="DM125" s="546">
        <v>2.8892848433326304</v>
      </c>
      <c r="DN125" s="528">
        <f t="shared" si="95"/>
        <v>0</v>
      </c>
      <c r="DO125" s="528">
        <f t="shared" si="96"/>
        <v>0</v>
      </c>
      <c r="DP125" s="528">
        <f t="shared" si="97"/>
        <v>31.392048433325726</v>
      </c>
      <c r="DQ125" s="528">
        <f t="shared" si="98"/>
        <v>28.892848433326304</v>
      </c>
      <c r="DR125" s="463"/>
      <c r="DS125" s="463"/>
      <c r="DT125" s="463">
        <v>3.1392048433325725</v>
      </c>
      <c r="DU125" s="463">
        <v>2.8892848433326304</v>
      </c>
      <c r="DV125" s="463"/>
      <c r="DW125" s="463"/>
      <c r="DX125" s="463">
        <v>-0.98351999999999995</v>
      </c>
      <c r="DY125" s="463">
        <v>-0.45359999999999978</v>
      </c>
      <c r="DZ125" s="463"/>
      <c r="EA125" s="463"/>
      <c r="EB125" s="463">
        <v>-0.98351999999999995</v>
      </c>
      <c r="EC125" s="463">
        <v>-0.45359999999999978</v>
      </c>
      <c r="ED125" s="463">
        <f t="shared" si="89"/>
        <v>0</v>
      </c>
      <c r="EE125" s="463">
        <f t="shared" si="90"/>
        <v>0</v>
      </c>
      <c r="EF125" s="463">
        <f t="shared" si="91"/>
        <v>-9.8352000000000004</v>
      </c>
      <c r="EG125" s="463">
        <f t="shared" si="92"/>
        <v>-4.5359999999999978</v>
      </c>
      <c r="EH125" s="324">
        <f>'[3]Plots R2&gt;.75 - UPDATED'!S122</f>
        <v>0</v>
      </c>
      <c r="EI125" s="324">
        <f>'[3]Plots R2&gt;.75 - UPDATED'!T122</f>
        <v>0.68445014268613114</v>
      </c>
      <c r="EJ125" s="528">
        <f>'[3]Plots R2&gt;.75 - UPDATED'!U122</f>
        <v>1.3257501426861293</v>
      </c>
      <c r="EK125" s="546">
        <f>'[3]Plots R2&gt;.75 - UPDATED'!V122</f>
        <v>0.89365014268613008</v>
      </c>
      <c r="EL125" s="676"/>
      <c r="EM125" s="850"/>
      <c r="EN125" s="299">
        <v>41679</v>
      </c>
      <c r="EO125" s="324">
        <v>0</v>
      </c>
      <c r="EP125" s="324">
        <v>0.68445014268613114</v>
      </c>
      <c r="EQ125" s="528">
        <v>1.3257501426861293</v>
      </c>
      <c r="ER125" s="546">
        <v>0.89365014268613008</v>
      </c>
      <c r="GM125" s="640"/>
      <c r="GN125" s="640"/>
      <c r="GO125" s="640"/>
      <c r="GP125" s="640"/>
      <c r="GQ125" s="640"/>
      <c r="GR125" s="640"/>
      <c r="GS125" s="640"/>
      <c r="GT125" s="640"/>
      <c r="GU125" s="640"/>
      <c r="HE125" s="564"/>
      <c r="HF125" s="564"/>
      <c r="HG125" s="573"/>
      <c r="HH125" s="573"/>
      <c r="HI125" s="603">
        <v>1.1724273915037977</v>
      </c>
      <c r="HJ125" s="603">
        <v>0</v>
      </c>
      <c r="HK125" s="602">
        <v>4.4126540755671479</v>
      </c>
      <c r="HL125" s="602">
        <v>0</v>
      </c>
    </row>
    <row r="126" spans="8:220" ht="16">
      <c r="H126" s="431">
        <v>41962</v>
      </c>
      <c r="I126" s="331">
        <f>I125+288</f>
        <v>3456</v>
      </c>
      <c r="J126" s="580">
        <v>41663</v>
      </c>
      <c r="K126" s="581">
        <v>0</v>
      </c>
      <c r="L126" s="582">
        <v>10.1869</v>
      </c>
      <c r="M126" s="582">
        <v>10.174200000000001</v>
      </c>
      <c r="N126" s="582">
        <v>11.661799999999999</v>
      </c>
      <c r="O126" s="582">
        <v>11.4931</v>
      </c>
      <c r="P126" s="582">
        <v>99.222899999999996</v>
      </c>
      <c r="Q126" s="582">
        <v>10.145486029790002</v>
      </c>
      <c r="R126" s="582">
        <v>0</v>
      </c>
      <c r="S126" s="582">
        <v>0.67871397020999935</v>
      </c>
      <c r="T126" s="582">
        <v>1.7063139702099981</v>
      </c>
      <c r="U126" s="582">
        <v>1.6176139702099985</v>
      </c>
      <c r="W126" s="580">
        <v>41681</v>
      </c>
      <c r="X126" s="582">
        <f t="shared" si="110"/>
        <v>0</v>
      </c>
      <c r="Y126" s="582">
        <f t="shared" si="110"/>
        <v>0.6841529902253638</v>
      </c>
      <c r="Z126" s="582">
        <f t="shared" si="110"/>
        <v>1.3257222209945936</v>
      </c>
      <c r="AA126" s="582">
        <f t="shared" si="110"/>
        <v>1.1834068363792092</v>
      </c>
      <c r="AB126" s="606"/>
      <c r="AC126" s="448"/>
      <c r="AD126" s="449"/>
      <c r="AE126" s="447">
        <f t="shared" si="104"/>
        <v>2.0852689074528419E-2</v>
      </c>
      <c r="AF126" s="447">
        <f t="shared" si="105"/>
        <v>2.54219198437593E-2</v>
      </c>
      <c r="AG126" s="633">
        <v>41681</v>
      </c>
      <c r="AH126" s="509"/>
      <c r="AI126" s="510"/>
      <c r="AJ126" s="659">
        <v>0</v>
      </c>
      <c r="AK126" s="659">
        <v>0</v>
      </c>
      <c r="AL126" s="634"/>
      <c r="AM126" s="448"/>
      <c r="AN126" s="449"/>
      <c r="AO126" s="447">
        <v>6.81E-6</v>
      </c>
      <c r="AP126" s="447">
        <v>6.4899999999999997E-6</v>
      </c>
      <c r="AR126" s="448"/>
      <c r="AS126" s="449"/>
      <c r="AT126" s="447">
        <f t="shared" si="111"/>
        <v>-9.8063999999999998E-3</v>
      </c>
      <c r="AU126" s="447">
        <f t="shared" si="111"/>
        <v>-9.345599999999999E-3</v>
      </c>
      <c r="AV126" s="633">
        <v>41681</v>
      </c>
      <c r="AW126" s="644"/>
      <c r="AX126" s="608">
        <v>0</v>
      </c>
      <c r="AY126" s="448"/>
      <c r="AZ126" s="449"/>
      <c r="BA126" s="447">
        <f t="shared" si="102"/>
        <v>3.0659089074528419E-2</v>
      </c>
      <c r="BB126" s="447">
        <f t="shared" si="103"/>
        <v>3.4767519843759295E-2</v>
      </c>
      <c r="BC126" s="608">
        <f t="shared" si="77"/>
        <v>0.34767519843759298</v>
      </c>
      <c r="BD126" s="627" t="s">
        <v>564</v>
      </c>
      <c r="BE126" s="580">
        <v>41681</v>
      </c>
      <c r="BF126" s="448"/>
      <c r="BG126" s="449"/>
      <c r="BH126" s="447">
        <f t="shared" si="108"/>
        <v>30.741943512776437</v>
      </c>
      <c r="BI126" s="447">
        <f t="shared" si="109"/>
        <v>33.235543512776346</v>
      </c>
      <c r="BJ126" s="658"/>
      <c r="BK126" s="448"/>
      <c r="BL126" s="449"/>
      <c r="BM126" s="447">
        <v>30.659089074528421</v>
      </c>
      <c r="BN126" s="447">
        <v>34.767519843759295</v>
      </c>
      <c r="BO126" s="353">
        <v>65</v>
      </c>
      <c r="BP126" s="353">
        <f t="shared" si="82"/>
        <v>13</v>
      </c>
      <c r="BQ126" s="610">
        <f t="shared" si="83"/>
        <v>46.428571428571431</v>
      </c>
      <c r="BR126" s="610">
        <f t="shared" si="84"/>
        <v>17.567567567567568</v>
      </c>
      <c r="BT126" s="648"/>
      <c r="BU126" s="648"/>
      <c r="BV126" s="648"/>
      <c r="BW126" s="648"/>
      <c r="BX126" s="648"/>
      <c r="BY126" s="616" t="s">
        <v>474</v>
      </c>
      <c r="BZ126" s="617">
        <v>28</v>
      </c>
      <c r="CA126" s="608">
        <v>0</v>
      </c>
      <c r="CB126" s="608">
        <f t="shared" si="85"/>
        <v>0</v>
      </c>
      <c r="CC126" s="353">
        <v>73</v>
      </c>
      <c r="CD126" s="631">
        <f t="shared" si="86"/>
        <v>538.50000000000011</v>
      </c>
      <c r="CN126" s="632" t="s">
        <v>544</v>
      </c>
      <c r="CO126" s="580">
        <f>'[3]Plots R2&gt;.75 - UPDATED'!R123</f>
        <v>41682</v>
      </c>
      <c r="CP126" s="620"/>
      <c r="CQ126" s="633">
        <v>41682</v>
      </c>
      <c r="CR126" s="641">
        <v>0</v>
      </c>
      <c r="CS126" s="642">
        <v>4844.2642042996658</v>
      </c>
      <c r="CT126" s="642">
        <v>18816.868046196283</v>
      </c>
      <c r="CU126" s="643">
        <v>2685.3133081083033</v>
      </c>
      <c r="CV126" s="573"/>
      <c r="CW126" s="573"/>
      <c r="CX126" s="573"/>
      <c r="CY126" s="573"/>
      <c r="CZ126" s="659">
        <f t="shared" si="100"/>
        <v>1.6070687175867631</v>
      </c>
      <c r="DA126" s="659">
        <f t="shared" si="106"/>
        <v>0</v>
      </c>
      <c r="DB126" s="659">
        <f t="shared" si="88"/>
        <v>11.261255775514284</v>
      </c>
      <c r="DC126" s="659">
        <f t="shared" si="107"/>
        <v>0</v>
      </c>
      <c r="DD126" s="622"/>
      <c r="DE126" s="299">
        <v>41680</v>
      </c>
      <c r="DF126" s="463">
        <v>0</v>
      </c>
      <c r="DG126" s="463">
        <v>0.48654555481525869</v>
      </c>
      <c r="DH126" s="463">
        <v>2.0457281197470802</v>
      </c>
      <c r="DI126" s="463">
        <v>0.3527488531818454</v>
      </c>
      <c r="DJ126" s="324"/>
      <c r="DK126" s="324"/>
      <c r="DL126" s="528">
        <v>3.0741943512776437</v>
      </c>
      <c r="DM126" s="546">
        <v>3.3235543512776342</v>
      </c>
      <c r="DN126" s="528">
        <f t="shared" si="95"/>
        <v>0</v>
      </c>
      <c r="DO126" s="528">
        <f t="shared" si="96"/>
        <v>0</v>
      </c>
      <c r="DP126" s="528">
        <f t="shared" si="97"/>
        <v>30.741943512776437</v>
      </c>
      <c r="DQ126" s="528">
        <f t="shared" si="98"/>
        <v>33.235543512776346</v>
      </c>
      <c r="DR126" s="463"/>
      <c r="DS126" s="463"/>
      <c r="DT126" s="463">
        <v>3.0741943512776437</v>
      </c>
      <c r="DU126" s="463">
        <v>3.3235543512776342</v>
      </c>
      <c r="DV126" s="463"/>
      <c r="DW126" s="463"/>
      <c r="DX126" s="463">
        <v>-1.0526400000000002</v>
      </c>
      <c r="DY126" s="463">
        <v>-0.6120000000000001</v>
      </c>
      <c r="DZ126" s="463"/>
      <c r="EA126" s="463"/>
      <c r="EB126" s="463"/>
      <c r="EC126" s="463">
        <v>-0.6120000000000001</v>
      </c>
      <c r="ED126" s="463">
        <f t="shared" si="89"/>
        <v>0</v>
      </c>
      <c r="EE126" s="463">
        <f t="shared" si="90"/>
        <v>0</v>
      </c>
      <c r="EF126" s="463">
        <f t="shared" si="91"/>
        <v>0</v>
      </c>
      <c r="EG126" s="463">
        <f t="shared" si="92"/>
        <v>-6.120000000000001</v>
      </c>
      <c r="EH126" s="324">
        <f>'[3]Plots R2&gt;.75 - UPDATED'!S123</f>
        <v>0</v>
      </c>
      <c r="EI126" s="324">
        <f>'[3]Plots R2&gt;.75 - UPDATED'!T123</f>
        <v>0.68089103541333329</v>
      </c>
      <c r="EJ126" s="528">
        <f>'[3]Plots R2&gt;.75 - UPDATED'!U123</f>
        <v>1.3051910354133338</v>
      </c>
      <c r="EK126" s="546">
        <f>'[3]Plots R2&gt;.75 - UPDATED'!V123</f>
        <v>0.86809103541333377</v>
      </c>
      <c r="EL126" s="676"/>
      <c r="EM126" s="850"/>
      <c r="EN126" s="299">
        <v>41680</v>
      </c>
      <c r="EO126" s="324">
        <v>0</v>
      </c>
      <c r="EP126" s="324">
        <v>0.68089103541333329</v>
      </c>
      <c r="EQ126" s="528">
        <v>1.3051910354133338</v>
      </c>
      <c r="ER126" s="546">
        <v>0.86809103541333377</v>
      </c>
      <c r="GM126" s="640"/>
      <c r="GN126" s="640"/>
      <c r="GO126" s="640"/>
      <c r="GP126" s="640"/>
      <c r="GQ126" s="640"/>
      <c r="GR126" s="640"/>
      <c r="GS126" s="640"/>
      <c r="GT126" s="640"/>
      <c r="GU126" s="640"/>
      <c r="HE126" s="564"/>
      <c r="HF126" s="564"/>
      <c r="HG126" s="573"/>
      <c r="HH126" s="573"/>
      <c r="HI126" s="603">
        <v>1.2015811826204108</v>
      </c>
      <c r="HJ126" s="603">
        <v>0</v>
      </c>
      <c r="HK126" s="602">
        <v>4.7286612482983701</v>
      </c>
      <c r="HL126" s="602">
        <v>0</v>
      </c>
    </row>
    <row r="127" spans="8:220" ht="16">
      <c r="J127" s="580">
        <v>41664</v>
      </c>
      <c r="K127" s="581">
        <v>0</v>
      </c>
      <c r="L127" s="582">
        <v>10.170299999999999</v>
      </c>
      <c r="M127" s="582">
        <v>10.156700000000001</v>
      </c>
      <c r="N127" s="582">
        <v>11.6211</v>
      </c>
      <c r="O127" s="582">
        <v>11.4526</v>
      </c>
      <c r="P127" s="582">
        <v>99.044200000000004</v>
      </c>
      <c r="Q127" s="582">
        <v>10.127214054736626</v>
      </c>
      <c r="R127" s="582">
        <v>0</v>
      </c>
      <c r="S127" s="582">
        <v>0.67948594526337458</v>
      </c>
      <c r="T127" s="582">
        <v>1.6838859452633741</v>
      </c>
      <c r="U127" s="582">
        <v>1.5953859452633741</v>
      </c>
      <c r="W127" s="580">
        <v>41682</v>
      </c>
      <c r="X127" s="582">
        <f t="shared" si="110"/>
        <v>0</v>
      </c>
      <c r="Y127" s="582">
        <f t="shared" si="110"/>
        <v>0.68113876268929663</v>
      </c>
      <c r="Z127" s="582">
        <f t="shared" si="110"/>
        <v>1.3048695319200652</v>
      </c>
      <c r="AA127" s="582">
        <f t="shared" si="110"/>
        <v>1.1579849165354499</v>
      </c>
      <c r="AB127" s="606"/>
      <c r="AC127" s="448"/>
      <c r="AD127" s="449"/>
      <c r="AE127" s="447">
        <f t="shared" si="104"/>
        <v>2.0247576911966103E-2</v>
      </c>
      <c r="AF127" s="447">
        <f t="shared" si="105"/>
        <v>2.4586038450427727E-2</v>
      </c>
      <c r="AG127" s="633">
        <v>41682</v>
      </c>
      <c r="AH127" s="509"/>
      <c r="AI127" s="510"/>
      <c r="AJ127" s="659">
        <v>0</v>
      </c>
      <c r="AK127" s="659">
        <v>0</v>
      </c>
      <c r="AL127" s="634"/>
      <c r="AM127" s="448"/>
      <c r="AN127" s="449"/>
      <c r="AO127" s="447">
        <v>5.9200000000000001E-7</v>
      </c>
      <c r="AP127" s="447">
        <v>8.4200000000000005E-7</v>
      </c>
      <c r="AR127" s="448"/>
      <c r="AS127" s="449"/>
      <c r="AT127" s="447">
        <f t="shared" si="111"/>
        <v>-8.5247999999999997E-4</v>
      </c>
      <c r="AU127" s="447">
        <f t="shared" si="111"/>
        <v>-1.2124800000000002E-3</v>
      </c>
      <c r="AV127" s="633">
        <v>41682</v>
      </c>
      <c r="AW127" s="644"/>
      <c r="AX127" s="608">
        <v>0</v>
      </c>
      <c r="AY127" s="448"/>
      <c r="AZ127" s="449"/>
      <c r="BA127" s="447">
        <f t="shared" si="102"/>
        <v>2.1100056911966102E-2</v>
      </c>
      <c r="BB127" s="447">
        <f t="shared" si="103"/>
        <v>2.5798518450427729E-2</v>
      </c>
      <c r="BC127" s="608">
        <f t="shared" si="77"/>
        <v>0.25798518450427732</v>
      </c>
      <c r="BD127" s="627" t="s">
        <v>565</v>
      </c>
      <c r="BE127" s="580">
        <v>41682</v>
      </c>
      <c r="BF127" s="448"/>
      <c r="BG127" s="449"/>
      <c r="BH127" s="447">
        <f t="shared" si="108"/>
        <v>30.365507272795533</v>
      </c>
      <c r="BI127" s="447">
        <f t="shared" si="109"/>
        <v>34.904707272796308</v>
      </c>
      <c r="BJ127" s="658"/>
      <c r="BK127" s="448"/>
      <c r="BL127" s="449"/>
      <c r="BM127" s="447">
        <v>21.100056911966103</v>
      </c>
      <c r="BN127" s="447">
        <v>25.798518450427729</v>
      </c>
      <c r="BO127" s="353">
        <v>66</v>
      </c>
      <c r="BP127" s="353">
        <f t="shared" si="82"/>
        <v>13.2</v>
      </c>
      <c r="BQ127" s="610">
        <f t="shared" si="83"/>
        <v>47.142857142857146</v>
      </c>
      <c r="BR127" s="610">
        <f t="shared" si="84"/>
        <v>17.837837837837839</v>
      </c>
      <c r="BT127" s="648"/>
      <c r="BU127" s="648"/>
      <c r="BV127" s="648"/>
      <c r="BW127" s="648"/>
      <c r="BX127" s="648"/>
      <c r="BY127" s="616" t="s">
        <v>476</v>
      </c>
      <c r="BZ127" s="617">
        <v>27</v>
      </c>
      <c r="CA127" s="608">
        <v>0</v>
      </c>
      <c r="CB127" s="608">
        <f t="shared" si="85"/>
        <v>0</v>
      </c>
      <c r="CC127" s="353">
        <v>74</v>
      </c>
      <c r="CD127" s="631">
        <f t="shared" si="86"/>
        <v>538.50000000000011</v>
      </c>
      <c r="CN127" s="632" t="s">
        <v>545</v>
      </c>
      <c r="CO127" s="580">
        <f>'[3]Plots R2&gt;.75 - UPDATED'!R124</f>
        <v>41683</v>
      </c>
      <c r="CP127" s="620"/>
      <c r="CQ127" s="633">
        <v>41683</v>
      </c>
      <c r="CR127" s="641">
        <v>0</v>
      </c>
      <c r="CS127" s="642">
        <v>4842.5361348318274</v>
      </c>
      <c r="CT127" s="642">
        <v>18291.033643915409</v>
      </c>
      <c r="CU127" s="643">
        <v>2447.9190535126536</v>
      </c>
      <c r="CV127" s="573"/>
      <c r="CW127" s="573"/>
      <c r="CX127" s="573"/>
      <c r="CY127" s="573"/>
      <c r="CZ127" s="572">
        <f t="shared" si="100"/>
        <v>1.653269060059898</v>
      </c>
      <c r="DA127" s="572">
        <f t="shared" si="106"/>
        <v>0</v>
      </c>
      <c r="DB127" s="572">
        <f t="shared" si="88"/>
        <v>12.353349656969645</v>
      </c>
      <c r="DC127" s="572">
        <f t="shared" si="107"/>
        <v>0</v>
      </c>
      <c r="DD127" s="622"/>
      <c r="DE127" s="299">
        <v>41681</v>
      </c>
      <c r="DF127" s="463">
        <v>0</v>
      </c>
      <c r="DG127" s="463">
        <v>0.48993377123222881</v>
      </c>
      <c r="DH127" s="463">
        <v>1.9883108525886615</v>
      </c>
      <c r="DI127" s="463">
        <v>0.32440184899333618</v>
      </c>
      <c r="DJ127" s="324"/>
      <c r="DK127" s="324"/>
      <c r="DL127" s="528">
        <v>3.0365507272795531</v>
      </c>
      <c r="DM127" s="546">
        <v>3.4904707272796309</v>
      </c>
      <c r="DN127" s="528">
        <f t="shared" si="95"/>
        <v>0</v>
      </c>
      <c r="DO127" s="528">
        <f t="shared" si="96"/>
        <v>0</v>
      </c>
      <c r="DP127" s="528">
        <f t="shared" si="97"/>
        <v>30.365507272795533</v>
      </c>
      <c r="DQ127" s="528">
        <f t="shared" si="98"/>
        <v>34.904707272796308</v>
      </c>
      <c r="DR127" s="463"/>
      <c r="DS127" s="463"/>
      <c r="DT127" s="463">
        <v>3.0365507272795531</v>
      </c>
      <c r="DU127" s="463">
        <v>3.4904707272796309</v>
      </c>
      <c r="DV127" s="463"/>
      <c r="DW127" s="463"/>
      <c r="DX127" s="463">
        <v>-0.98064000000000018</v>
      </c>
      <c r="DY127" s="463">
        <v>-0.93455999999999984</v>
      </c>
      <c r="DZ127" s="463"/>
      <c r="EA127" s="463"/>
      <c r="EB127" s="463">
        <v>-0.98064000000000018</v>
      </c>
      <c r="EC127" s="463">
        <v>-0.93455999999999984</v>
      </c>
      <c r="ED127" s="463">
        <f t="shared" si="89"/>
        <v>0</v>
      </c>
      <c r="EE127" s="463">
        <f t="shared" si="90"/>
        <v>0</v>
      </c>
      <c r="EF127" s="463">
        <f t="shared" si="91"/>
        <v>-9.8064000000000018</v>
      </c>
      <c r="EG127" s="463">
        <f t="shared" si="92"/>
        <v>-9.3455999999999975</v>
      </c>
      <c r="EH127" s="324">
        <f>'[3]Plots R2&gt;.75 - UPDATED'!S124</f>
        <v>0</v>
      </c>
      <c r="EI127" s="324">
        <f>'[3]Plots R2&gt;.75 - UPDATED'!T124</f>
        <v>0.68080679089701213</v>
      </c>
      <c r="EJ127" s="528">
        <f>'[3]Plots R2&gt;.75 - UPDATED'!U124</f>
        <v>1.2847067908970122</v>
      </c>
      <c r="EK127" s="546">
        <f>'[3]Plots R2&gt;.75 - UPDATED'!V124</f>
        <v>0.84340679089701309</v>
      </c>
      <c r="EL127" s="676"/>
      <c r="EM127" s="850"/>
      <c r="EN127" s="299">
        <v>41681</v>
      </c>
      <c r="EO127" s="324">
        <v>0</v>
      </c>
      <c r="EP127" s="324">
        <v>0.68080679089701213</v>
      </c>
      <c r="EQ127" s="528">
        <v>1.2847067908970122</v>
      </c>
      <c r="ER127" s="546">
        <v>0.84340679089701309</v>
      </c>
      <c r="GM127" s="640"/>
      <c r="GN127" s="640"/>
      <c r="GO127" s="640"/>
      <c r="GP127" s="640"/>
      <c r="GQ127" s="640"/>
      <c r="GR127" s="640"/>
      <c r="GS127" s="640"/>
      <c r="GT127" s="640"/>
      <c r="GU127" s="640"/>
      <c r="HE127" s="564"/>
      <c r="HF127" s="564"/>
      <c r="HG127" s="573"/>
      <c r="HH127" s="573"/>
      <c r="HI127" s="603">
        <v>1.2300023171397465</v>
      </c>
      <c r="HJ127" s="603">
        <v>0</v>
      </c>
      <c r="HK127" s="603">
        <v>5.0854325801986509</v>
      </c>
      <c r="HL127" s="603">
        <v>0</v>
      </c>
    </row>
    <row r="128" spans="8:220" ht="16">
      <c r="J128" s="580">
        <v>41665</v>
      </c>
      <c r="K128" s="581">
        <v>0</v>
      </c>
      <c r="L128" s="582">
        <v>10.173299999999999</v>
      </c>
      <c r="M128" s="582">
        <v>10.158899999999999</v>
      </c>
      <c r="N128" s="582">
        <v>11.6006</v>
      </c>
      <c r="O128" s="582">
        <v>11.430099999999999</v>
      </c>
      <c r="P128" s="582">
        <v>99.043499999999995</v>
      </c>
      <c r="Q128" s="582">
        <v>10.127142480128136</v>
      </c>
      <c r="R128" s="582">
        <v>0</v>
      </c>
      <c r="S128" s="582">
        <v>0.68175751987186373</v>
      </c>
      <c r="T128" s="582">
        <v>1.6634575198718646</v>
      </c>
      <c r="U128" s="582">
        <v>1.5729575198718639</v>
      </c>
      <c r="W128" s="580">
        <v>41683</v>
      </c>
      <c r="X128" s="582">
        <f t="shared" si="110"/>
        <v>0</v>
      </c>
      <c r="Y128" s="582">
        <f t="shared" si="110"/>
        <v>0.68146041654656109</v>
      </c>
      <c r="Z128" s="582">
        <f t="shared" si="110"/>
        <v>1.2846219550080991</v>
      </c>
      <c r="AA128" s="582">
        <f t="shared" si="110"/>
        <v>1.1333988780850222</v>
      </c>
      <c r="AB128" s="606"/>
      <c r="AC128" s="448"/>
      <c r="AD128" s="449"/>
      <c r="AE128" s="443">
        <f t="shared" si="104"/>
        <v>2.2473610632326002E-2</v>
      </c>
      <c r="AF128" s="443">
        <f t="shared" si="105"/>
        <v>2.814284140155654E-2</v>
      </c>
      <c r="AG128" s="633">
        <v>41683</v>
      </c>
      <c r="AH128" s="509"/>
      <c r="AI128" s="510"/>
      <c r="AJ128" s="572">
        <v>0</v>
      </c>
      <c r="AK128" s="572">
        <v>0</v>
      </c>
      <c r="AL128" s="634"/>
      <c r="AM128" s="448"/>
      <c r="AN128" s="449"/>
      <c r="AO128" s="443">
        <v>-8.47E-7</v>
      </c>
      <c r="AP128" s="443">
        <v>-2.1100000000000001E-6</v>
      </c>
      <c r="AR128" s="448"/>
      <c r="AS128" s="449"/>
      <c r="AT128" s="443">
        <f t="shared" si="111"/>
        <v>1.2196799999999999E-3</v>
      </c>
      <c r="AU128" s="443">
        <f t="shared" si="111"/>
        <v>3.0384000000000001E-3</v>
      </c>
      <c r="AV128" s="633">
        <v>41683</v>
      </c>
      <c r="AW128" s="644"/>
      <c r="AX128" s="608">
        <v>0</v>
      </c>
      <c r="AY128" s="448"/>
      <c r="AZ128" s="449"/>
      <c r="BA128" s="443">
        <f t="shared" si="102"/>
        <v>2.1253930632326001E-2</v>
      </c>
      <c r="BB128" s="443">
        <f t="shared" si="103"/>
        <v>2.510444140155654E-2</v>
      </c>
      <c r="BC128" s="608">
        <f t="shared" si="77"/>
        <v>0.25104441401556538</v>
      </c>
      <c r="BD128" s="627" t="s">
        <v>566</v>
      </c>
      <c r="BE128" s="580">
        <v>41683</v>
      </c>
      <c r="BF128" s="448"/>
      <c r="BG128" s="449"/>
      <c r="BH128" s="443">
        <f t="shared" si="108"/>
        <v>21.336724516321581</v>
      </c>
      <c r="BI128" s="443">
        <f t="shared" si="109"/>
        <v>25.896724516320674</v>
      </c>
      <c r="BJ128" s="658"/>
      <c r="BK128" s="448"/>
      <c r="BL128" s="449"/>
      <c r="BM128" s="443">
        <v>21.253930632326004</v>
      </c>
      <c r="BN128" s="443">
        <v>25.104441401556539</v>
      </c>
      <c r="BO128" s="353">
        <v>66</v>
      </c>
      <c r="BP128" s="353">
        <f t="shared" si="82"/>
        <v>13.2</v>
      </c>
      <c r="BQ128" s="610">
        <f t="shared" si="83"/>
        <v>47.142857142857146</v>
      </c>
      <c r="BR128" s="610">
        <f t="shared" si="84"/>
        <v>17.837837837837839</v>
      </c>
      <c r="BT128" s="648"/>
      <c r="BU128" s="648"/>
      <c r="BV128" s="648"/>
      <c r="BW128" s="648"/>
      <c r="BX128" s="648"/>
      <c r="BY128" s="616" t="s">
        <v>478</v>
      </c>
      <c r="BZ128" s="617">
        <v>27</v>
      </c>
      <c r="CA128" s="608">
        <v>0</v>
      </c>
      <c r="CB128" s="608">
        <f t="shared" si="85"/>
        <v>0</v>
      </c>
      <c r="CC128" s="353">
        <v>76</v>
      </c>
      <c r="CD128" s="631">
        <f t="shared" si="86"/>
        <v>538.50000000000011</v>
      </c>
      <c r="CN128" s="632" t="s">
        <v>546</v>
      </c>
      <c r="CO128" s="580">
        <f>'[3]Plots R2&gt;.75 - UPDATED'!R125</f>
        <v>41684</v>
      </c>
      <c r="CP128" s="620"/>
      <c r="CQ128" s="633">
        <v>41684</v>
      </c>
      <c r="CR128" s="641">
        <v>0</v>
      </c>
      <c r="CS128" s="642">
        <v>4882.0255528081589</v>
      </c>
      <c r="CT128" s="642">
        <v>17708.990931808275</v>
      </c>
      <c r="CU128" s="643">
        <v>2195.9062951952033</v>
      </c>
      <c r="CV128" s="573"/>
      <c r="CW128" s="573"/>
      <c r="CX128" s="573"/>
      <c r="CY128" s="573"/>
      <c r="CZ128" s="572">
        <f t="shared" si="100"/>
        <v>1.7076071762894156</v>
      </c>
      <c r="DA128" s="572">
        <f t="shared" si="106"/>
        <v>0</v>
      </c>
      <c r="DB128" s="572">
        <f t="shared" si="88"/>
        <v>13.771079424548867</v>
      </c>
      <c r="DC128" s="572">
        <f t="shared" si="107"/>
        <v>0</v>
      </c>
      <c r="DD128" s="622"/>
      <c r="DE128" s="299">
        <v>41682</v>
      </c>
      <c r="DF128" s="463">
        <v>0</v>
      </c>
      <c r="DG128" s="463">
        <v>0.49176390411789045</v>
      </c>
      <c r="DH128" s="463">
        <v>1.9351234817400567</v>
      </c>
      <c r="DI128" s="463">
        <v>0.29473422389538045</v>
      </c>
      <c r="DJ128" s="324"/>
      <c r="DK128" s="324"/>
      <c r="DL128" s="528">
        <v>2.1336724516321581</v>
      </c>
      <c r="DM128" s="546">
        <v>2.5896724516320675</v>
      </c>
      <c r="DN128" s="528">
        <f t="shared" si="95"/>
        <v>0</v>
      </c>
      <c r="DO128" s="528">
        <f t="shared" si="96"/>
        <v>0</v>
      </c>
      <c r="DP128" s="528">
        <f t="shared" si="97"/>
        <v>21.336724516321581</v>
      </c>
      <c r="DQ128" s="528">
        <f t="shared" si="98"/>
        <v>25.896724516320674</v>
      </c>
      <c r="DR128" s="463"/>
      <c r="DS128" s="463"/>
      <c r="DT128" s="463">
        <v>2.1336724516321581</v>
      </c>
      <c r="DU128" s="463">
        <v>2.5896724516320675</v>
      </c>
      <c r="DV128" s="463"/>
      <c r="DW128" s="463"/>
      <c r="DX128" s="463">
        <v>-8.524799999999999E-2</v>
      </c>
      <c r="DY128" s="463">
        <v>-0.12124800000000002</v>
      </c>
      <c r="DZ128" s="463"/>
      <c r="EA128" s="463"/>
      <c r="EB128" s="463">
        <v>-8.524799999999999E-2</v>
      </c>
      <c r="EC128" s="463">
        <v>-0.12124800000000002</v>
      </c>
      <c r="ED128" s="463">
        <f t="shared" si="89"/>
        <v>0</v>
      </c>
      <c r="EE128" s="463">
        <f t="shared" si="90"/>
        <v>0</v>
      </c>
      <c r="EF128" s="463">
        <f t="shared" si="91"/>
        <v>-0.8524799999999999</v>
      </c>
      <c r="EG128" s="463">
        <f t="shared" si="92"/>
        <v>-1.2124800000000002</v>
      </c>
      <c r="EH128" s="324">
        <f>'[3]Plots R2&gt;.75 - UPDATED'!S125</f>
        <v>0</v>
      </c>
      <c r="EI128" s="324">
        <f>'[3]Plots R2&gt;.75 - UPDATED'!T125</f>
        <v>0.68272704526209593</v>
      </c>
      <c r="EJ128" s="528">
        <f>'[3]Plots R2&gt;.75 - UPDATED'!U125</f>
        <v>1.2617270452620954</v>
      </c>
      <c r="EK128" s="546">
        <f>'[3]Plots R2&gt;.75 - UPDATED'!V125</f>
        <v>0.81532704526209576</v>
      </c>
      <c r="EL128" s="676"/>
      <c r="EM128" s="850"/>
      <c r="EN128" s="299">
        <v>41682</v>
      </c>
      <c r="EO128" s="324">
        <v>0</v>
      </c>
      <c r="EP128" s="324">
        <v>0.68272704526209593</v>
      </c>
      <c r="EQ128" s="528">
        <v>1.2617270452620954</v>
      </c>
      <c r="ER128" s="546">
        <v>0.81532704526209576</v>
      </c>
      <c r="GM128" s="640"/>
      <c r="GN128" s="640"/>
      <c r="GO128" s="640"/>
      <c r="GP128" s="640"/>
      <c r="GQ128" s="640"/>
      <c r="GR128" s="640"/>
      <c r="GS128" s="640"/>
      <c r="GT128" s="640"/>
      <c r="GU128" s="640"/>
      <c r="HE128" s="564"/>
      <c r="HF128" s="564"/>
      <c r="HG128" s="573"/>
      <c r="HH128" s="573"/>
      <c r="HI128" s="602">
        <v>1.2597698153572798</v>
      </c>
      <c r="HJ128" s="602">
        <v>0</v>
      </c>
      <c r="HK128" s="603">
        <v>5.4363310122684902</v>
      </c>
      <c r="HL128" s="603">
        <v>0</v>
      </c>
    </row>
    <row r="129" spans="10:220" ht="16">
      <c r="J129" s="580">
        <v>41666</v>
      </c>
      <c r="K129" s="581">
        <v>0</v>
      </c>
      <c r="L129" s="582">
        <v>10.1745</v>
      </c>
      <c r="M129" s="582">
        <v>10.160399999999999</v>
      </c>
      <c r="N129" s="582">
        <v>11.581</v>
      </c>
      <c r="O129" s="582">
        <v>11.408300000000001</v>
      </c>
      <c r="P129" s="582">
        <v>99.060900000000004</v>
      </c>
      <c r="Q129" s="582">
        <v>10.128921620396344</v>
      </c>
      <c r="R129" s="582">
        <v>0</v>
      </c>
      <c r="S129" s="582">
        <v>0.6814783796036552</v>
      </c>
      <c r="T129" s="582">
        <v>1.6420783796036555</v>
      </c>
      <c r="U129" s="582">
        <v>1.5493783796036564</v>
      </c>
      <c r="W129" s="580">
        <v>41684</v>
      </c>
      <c r="X129" s="582">
        <f t="shared" si="110"/>
        <v>0</v>
      </c>
      <c r="Y129" s="582">
        <f t="shared" si="110"/>
        <v>0.68233295976038921</v>
      </c>
      <c r="Z129" s="582">
        <f t="shared" si="110"/>
        <v>1.2621483443757731</v>
      </c>
      <c r="AA129" s="582">
        <f t="shared" si="110"/>
        <v>1.1052560366834656</v>
      </c>
      <c r="AB129" s="606"/>
      <c r="AC129" s="448"/>
      <c r="AD129" s="449"/>
      <c r="AE129" s="443">
        <f t="shared" si="104"/>
        <v>2.050031815627662E-2</v>
      </c>
      <c r="AF129" s="443">
        <f t="shared" si="105"/>
        <v>2.6031087387046181E-2</v>
      </c>
      <c r="AG129" s="633">
        <v>41684</v>
      </c>
      <c r="AH129" s="509"/>
      <c r="AI129" s="510"/>
      <c r="AJ129" s="572">
        <v>0</v>
      </c>
      <c r="AK129" s="572">
        <v>0</v>
      </c>
      <c r="AL129" s="634"/>
      <c r="AM129" s="448"/>
      <c r="AN129" s="449"/>
      <c r="AO129" s="443">
        <v>-5.1399999999999999E-6</v>
      </c>
      <c r="AP129" s="443">
        <v>-1.1800000000000001E-5</v>
      </c>
      <c r="AR129" s="448"/>
      <c r="AS129" s="449"/>
      <c r="AT129" s="443">
        <f t="shared" si="111"/>
        <v>7.4015999999999995E-3</v>
      </c>
      <c r="AU129" s="443">
        <f t="shared" si="111"/>
        <v>1.6992E-2</v>
      </c>
      <c r="AV129" s="633">
        <v>41684</v>
      </c>
      <c r="AW129" s="644"/>
      <c r="AX129" s="608">
        <v>0</v>
      </c>
      <c r="AY129" s="448"/>
      <c r="AZ129" s="449"/>
      <c r="BA129" s="443">
        <f t="shared" si="102"/>
        <v>1.3098718156276621E-2</v>
      </c>
      <c r="BB129" s="443">
        <f t="shared" si="103"/>
        <v>9.039087387046181E-3</v>
      </c>
      <c r="BC129" s="608">
        <f t="shared" si="77"/>
        <v>9.039087387046181E-2</v>
      </c>
      <c r="BD129" s="627" t="s">
        <v>567</v>
      </c>
      <c r="BE129" s="580">
        <v>41684</v>
      </c>
      <c r="BF129" s="448"/>
      <c r="BG129" s="449"/>
      <c r="BH129" s="443">
        <f t="shared" si="108"/>
        <v>21.760065634916785</v>
      </c>
      <c r="BI129" s="443">
        <f t="shared" si="109"/>
        <v>25.041345634917327</v>
      </c>
      <c r="BJ129" s="658"/>
      <c r="BK129" s="448"/>
      <c r="BL129" s="449"/>
      <c r="BM129" s="443">
        <v>13.098718156276622</v>
      </c>
      <c r="BN129" s="443">
        <v>9.0390873870461803</v>
      </c>
      <c r="BO129" s="353">
        <v>69</v>
      </c>
      <c r="BP129" s="353">
        <f t="shared" si="82"/>
        <v>13.8</v>
      </c>
      <c r="BQ129" s="610">
        <f t="shared" si="83"/>
        <v>49.285714285714292</v>
      </c>
      <c r="BR129" s="610">
        <f t="shared" si="84"/>
        <v>18.648648648648649</v>
      </c>
      <c r="BT129" s="648"/>
      <c r="BU129" s="648"/>
      <c r="BV129" s="648"/>
      <c r="BW129" s="648"/>
      <c r="BX129" s="648"/>
      <c r="BY129" s="616" t="s">
        <v>480</v>
      </c>
      <c r="BZ129" s="617">
        <v>26</v>
      </c>
      <c r="CA129" s="608">
        <v>0</v>
      </c>
      <c r="CB129" s="608">
        <f t="shared" si="85"/>
        <v>0</v>
      </c>
      <c r="CC129" s="353">
        <v>79</v>
      </c>
      <c r="CD129" s="631">
        <f t="shared" si="86"/>
        <v>538.50000000000011</v>
      </c>
      <c r="CN129" s="632" t="s">
        <v>547</v>
      </c>
      <c r="CO129" s="580">
        <f>'[3]Plots R2&gt;.75 - UPDATED'!R126</f>
        <v>41685</v>
      </c>
      <c r="CP129" s="620"/>
      <c r="CQ129" s="633">
        <v>41685</v>
      </c>
      <c r="CR129" s="641">
        <v>0</v>
      </c>
      <c r="CS129" s="642">
        <v>4844.3106407991518</v>
      </c>
      <c r="CT129" s="642">
        <v>17213.330105578621</v>
      </c>
      <c r="CU129" s="643">
        <v>1980.3714887097226</v>
      </c>
      <c r="CV129" s="573"/>
      <c r="CW129" s="573"/>
      <c r="CX129" s="573"/>
      <c r="CY129" s="573"/>
      <c r="CZ129" s="572">
        <f t="shared" si="100"/>
        <v>1.7567780211337258</v>
      </c>
      <c r="DA129" s="572">
        <f t="shared" si="106"/>
        <v>0</v>
      </c>
      <c r="DB129" s="572">
        <f t="shared" si="88"/>
        <v>15.269862332598191</v>
      </c>
      <c r="DC129" s="572">
        <f t="shared" si="107"/>
        <v>0</v>
      </c>
      <c r="DD129" s="622"/>
      <c r="DE129" s="299">
        <v>41683</v>
      </c>
      <c r="DF129" s="463">
        <v>0</v>
      </c>
      <c r="DG129" s="463">
        <v>0.48442642042996659</v>
      </c>
      <c r="DH129" s="463">
        <v>1.8816868046196282</v>
      </c>
      <c r="DI129" s="463">
        <v>0.2685313308108303</v>
      </c>
      <c r="DJ129" s="324"/>
      <c r="DK129" s="324"/>
      <c r="DL129" s="528">
        <v>2.1760065634916783</v>
      </c>
      <c r="DM129" s="546">
        <v>2.5041345634917329</v>
      </c>
      <c r="DN129" s="528">
        <f t="shared" si="95"/>
        <v>0</v>
      </c>
      <c r="DO129" s="528">
        <f t="shared" si="96"/>
        <v>0</v>
      </c>
      <c r="DP129" s="528">
        <f t="shared" si="97"/>
        <v>21.760065634916785</v>
      </c>
      <c r="DQ129" s="528">
        <f t="shared" si="98"/>
        <v>25.041345634917327</v>
      </c>
      <c r="DR129" s="463"/>
      <c r="DS129" s="463"/>
      <c r="DT129" s="463">
        <v>2.1760065634916783</v>
      </c>
      <c r="DU129" s="463">
        <v>2.5041345634917329</v>
      </c>
      <c r="DV129" s="463"/>
      <c r="DW129" s="463"/>
      <c r="DX129" s="463">
        <v>0.12196799999999985</v>
      </c>
      <c r="DY129" s="463">
        <v>0.30384000000000011</v>
      </c>
      <c r="DZ129" s="463"/>
      <c r="EA129" s="463"/>
      <c r="EB129" s="463">
        <v>0.12196799999999985</v>
      </c>
      <c r="EC129" s="463">
        <v>0.30384000000000011</v>
      </c>
      <c r="ED129" s="463">
        <f t="shared" si="89"/>
        <v>0</v>
      </c>
      <c r="EE129" s="463">
        <f t="shared" si="90"/>
        <v>0</v>
      </c>
      <c r="EF129" s="463">
        <f t="shared" si="91"/>
        <v>1.2196799999999985</v>
      </c>
      <c r="EG129" s="463">
        <f t="shared" si="92"/>
        <v>3.0384000000000011</v>
      </c>
      <c r="EH129" s="324">
        <f>'[3]Plots R2&gt;.75 - UPDATED'!S126</f>
        <v>0</v>
      </c>
      <c r="EI129" s="324">
        <f>'[3]Plots R2&gt;.75 - UPDATED'!T126</f>
        <v>0.68089329895218653</v>
      </c>
      <c r="EJ129" s="528">
        <f>'[3]Plots R2&gt;.75 - UPDATED'!U126</f>
        <v>1.2418932989521871</v>
      </c>
      <c r="EK129" s="546">
        <f>'[3]Plots R2&gt;.75 - UPDATED'!V126</f>
        <v>0.78949329895218723</v>
      </c>
      <c r="EL129" s="676"/>
      <c r="EM129" s="850"/>
      <c r="EN129" s="299">
        <v>41683</v>
      </c>
      <c r="EO129" s="324">
        <v>0</v>
      </c>
      <c r="EP129" s="324">
        <v>0.68089329895218653</v>
      </c>
      <c r="EQ129" s="528">
        <v>1.2418932989521871</v>
      </c>
      <c r="ER129" s="546">
        <v>0.78949329895218723</v>
      </c>
      <c r="GM129" s="640"/>
      <c r="GN129" s="640"/>
      <c r="GO129" s="640"/>
      <c r="GP129" s="640"/>
      <c r="GQ129" s="640"/>
      <c r="GR129" s="640"/>
      <c r="GS129" s="640"/>
      <c r="GT129" s="640"/>
      <c r="GU129" s="640"/>
      <c r="HE129" s="564"/>
      <c r="HF129" s="564"/>
      <c r="HG129" s="573"/>
      <c r="HH129" s="573"/>
      <c r="HI129" s="603">
        <v>1.2952813942646979</v>
      </c>
      <c r="HJ129" s="603">
        <v>0</v>
      </c>
      <c r="HK129" s="602">
        <v>5.8500808005506322</v>
      </c>
      <c r="HL129" s="602">
        <v>0</v>
      </c>
    </row>
    <row r="130" spans="10:220" ht="16">
      <c r="J130" s="580">
        <v>41667</v>
      </c>
      <c r="K130" s="581">
        <v>0</v>
      </c>
      <c r="L130" s="582">
        <v>10.170999999999999</v>
      </c>
      <c r="M130" s="582">
        <v>10.159000000000001</v>
      </c>
      <c r="N130" s="582">
        <v>11.557600000000001</v>
      </c>
      <c r="O130" s="582">
        <v>11.382899999999999</v>
      </c>
      <c r="P130" s="582">
        <v>99.046199999999999</v>
      </c>
      <c r="Q130" s="582">
        <v>10.12741855361803</v>
      </c>
      <c r="R130" s="582">
        <v>0</v>
      </c>
      <c r="S130" s="582">
        <v>0.68158144638197071</v>
      </c>
      <c r="T130" s="582">
        <v>1.6201814463819708</v>
      </c>
      <c r="U130" s="582">
        <v>1.5254814463819693</v>
      </c>
      <c r="W130" s="580">
        <v>41685</v>
      </c>
      <c r="X130" s="582">
        <f t="shared" si="110"/>
        <v>0</v>
      </c>
      <c r="Y130" s="582">
        <f t="shared" si="110"/>
        <v>0.68103264160411214</v>
      </c>
      <c r="Z130" s="582">
        <f t="shared" si="110"/>
        <v>1.2416480262194964</v>
      </c>
      <c r="AA130" s="582">
        <f t="shared" si="110"/>
        <v>1.0792249492964194</v>
      </c>
      <c r="AB130" s="606"/>
      <c r="AC130" s="448"/>
      <c r="AD130" s="449"/>
      <c r="AE130" s="443">
        <f t="shared" ref="AE130:AE150" si="113">Z130-Z131</f>
        <v>1.9432570213952172E-2</v>
      </c>
      <c r="AF130" s="443">
        <f t="shared" ref="AF130:AF150" si="114">AA130-AA131</f>
        <v>2.3894108675490688E-2</v>
      </c>
      <c r="AG130" s="633">
        <v>41685</v>
      </c>
      <c r="AH130" s="509"/>
      <c r="AI130" s="510"/>
      <c r="AJ130" s="572">
        <v>0</v>
      </c>
      <c r="AK130" s="572">
        <v>0</v>
      </c>
      <c r="AL130" s="634"/>
      <c r="AM130" s="448"/>
      <c r="AN130" s="449"/>
      <c r="AO130" s="443">
        <v>-1.55E-6</v>
      </c>
      <c r="AP130" s="443">
        <v>2.0999999999999998E-6</v>
      </c>
      <c r="AR130" s="448"/>
      <c r="AS130" s="449"/>
      <c r="AT130" s="443">
        <f t="shared" si="111"/>
        <v>2.232E-3</v>
      </c>
      <c r="AU130" s="443">
        <f t="shared" si="111"/>
        <v>-3.0239999999999998E-3</v>
      </c>
      <c r="AV130" s="633">
        <v>41685</v>
      </c>
      <c r="AW130" s="644"/>
      <c r="AX130" s="608">
        <v>0</v>
      </c>
      <c r="AY130" s="448"/>
      <c r="AZ130" s="449"/>
      <c r="BA130" s="443">
        <f t="shared" si="102"/>
        <v>1.720057021395217E-2</v>
      </c>
      <c r="BB130" s="443">
        <f t="shared" si="103"/>
        <v>2.6918108675490687E-2</v>
      </c>
      <c r="BC130" s="608">
        <f t="shared" si="77"/>
        <v>0.26918108675490687</v>
      </c>
      <c r="BD130" s="627" t="s">
        <v>568</v>
      </c>
      <c r="BE130" s="580">
        <v>41685</v>
      </c>
      <c r="BF130" s="448"/>
      <c r="BG130" s="449"/>
      <c r="BH130" s="443">
        <f t="shared" si="108"/>
        <v>12.432146309908308</v>
      </c>
      <c r="BI130" s="443">
        <f t="shared" si="109"/>
        <v>8.8417463099085332</v>
      </c>
      <c r="BJ130" s="658"/>
      <c r="BK130" s="448"/>
      <c r="BL130" s="449"/>
      <c r="BM130" s="443">
        <v>17.200570213952172</v>
      </c>
      <c r="BN130" s="443">
        <v>26.918108675490689</v>
      </c>
      <c r="BO130" s="353">
        <v>66</v>
      </c>
      <c r="BP130" s="353">
        <f t="shared" si="82"/>
        <v>13.2</v>
      </c>
      <c r="BQ130" s="610">
        <f t="shared" si="83"/>
        <v>47.142857142857146</v>
      </c>
      <c r="BR130" s="610">
        <f t="shared" si="84"/>
        <v>17.837837837837839</v>
      </c>
      <c r="BT130" s="648"/>
      <c r="BU130" s="648"/>
      <c r="BV130" s="648"/>
      <c r="BW130" s="648"/>
      <c r="BX130" s="648"/>
      <c r="BY130" s="616" t="s">
        <v>482</v>
      </c>
      <c r="BZ130" s="617">
        <v>26</v>
      </c>
      <c r="CA130" s="608">
        <v>0.05</v>
      </c>
      <c r="CB130" s="608">
        <f t="shared" si="85"/>
        <v>0.5</v>
      </c>
      <c r="CC130" s="353">
        <v>86</v>
      </c>
      <c r="CD130" s="631">
        <f t="shared" si="86"/>
        <v>539.00000000000011</v>
      </c>
      <c r="CN130" s="632" t="s">
        <v>548</v>
      </c>
      <c r="CO130" s="580">
        <f>'[3]Plots R2&gt;.75 - UPDATED'!R127</f>
        <v>41686</v>
      </c>
      <c r="CP130" s="620"/>
      <c r="CQ130" s="633">
        <v>41686</v>
      </c>
      <c r="CR130" s="641">
        <v>0</v>
      </c>
      <c r="CS130" s="642">
        <v>4786.7866147819568</v>
      </c>
      <c r="CT130" s="642">
        <v>16731.714931386508</v>
      </c>
      <c r="CU130" s="643">
        <v>1791.2465742196744</v>
      </c>
      <c r="CV130" s="573"/>
      <c r="CW130" s="573"/>
      <c r="CX130" s="573"/>
      <c r="CY130" s="573"/>
      <c r="CZ130" s="572">
        <f t="shared" si="100"/>
        <v>1.8073461162832576</v>
      </c>
      <c r="DA130" s="572">
        <f t="shared" ref="DA130:DA135" si="115">IF(ABS(DX131)&lt;=CZ130,0,IF(DX131&gt;0,DX131-CZ130,DX131+CZ130))</f>
        <v>0</v>
      </c>
      <c r="DB130" s="572">
        <f t="shared" si="88"/>
        <v>16.882097883801137</v>
      </c>
      <c r="DC130" s="572">
        <f t="shared" ref="DC130:DC135" si="116">IF(ABS(DY131)&lt;=DB130,0,IF(DY131&gt;0,DY131-DB130,DY131+DB130))</f>
        <v>0</v>
      </c>
      <c r="DD130" s="622"/>
      <c r="DE130" s="299">
        <v>41684</v>
      </c>
      <c r="DF130" s="463">
        <v>0</v>
      </c>
      <c r="DG130" s="463">
        <v>0.48425361348318274</v>
      </c>
      <c r="DH130" s="463">
        <v>1.8291033643915409</v>
      </c>
      <c r="DI130" s="463">
        <v>0.24479190535126535</v>
      </c>
      <c r="DJ130" s="324"/>
      <c r="DK130" s="324"/>
      <c r="DL130" s="528">
        <v>1.2432146309908307</v>
      </c>
      <c r="DM130" s="546">
        <v>0.88417463099085336</v>
      </c>
      <c r="DN130" s="528">
        <f t="shared" si="95"/>
        <v>0</v>
      </c>
      <c r="DO130" s="528">
        <f t="shared" si="96"/>
        <v>0</v>
      </c>
      <c r="DP130" s="528">
        <f t="shared" si="97"/>
        <v>12.432146309908308</v>
      </c>
      <c r="DQ130" s="528">
        <f t="shared" si="98"/>
        <v>8.8417463099085332</v>
      </c>
      <c r="DR130" s="463"/>
      <c r="DS130" s="463"/>
      <c r="DT130" s="463">
        <v>1.2432146309908307</v>
      </c>
      <c r="DU130" s="463">
        <v>0.88417463099085336</v>
      </c>
      <c r="DV130" s="463"/>
      <c r="DW130" s="463"/>
      <c r="DX130" s="463">
        <v>0.74015999999999993</v>
      </c>
      <c r="DY130" s="463">
        <v>1.6992</v>
      </c>
      <c r="DZ130" s="463"/>
      <c r="EA130" s="463"/>
      <c r="EB130" s="463">
        <v>0.74015999999999993</v>
      </c>
      <c r="EC130" s="463">
        <v>1.6992</v>
      </c>
      <c r="ED130" s="463">
        <f t="shared" si="89"/>
        <v>0</v>
      </c>
      <c r="EE130" s="463">
        <f t="shared" si="90"/>
        <v>0</v>
      </c>
      <c r="EF130" s="463">
        <f t="shared" si="91"/>
        <v>7.4015999999999993</v>
      </c>
      <c r="EG130" s="463">
        <f t="shared" si="92"/>
        <v>16.992000000000001</v>
      </c>
      <c r="EH130" s="324">
        <f>'[3]Plots R2&gt;.75 - UPDATED'!S127</f>
        <v>0</v>
      </c>
      <c r="EI130" s="324">
        <f>'[3]Plots R2&gt;.75 - UPDATED'!T127</f>
        <v>0.67807836315581205</v>
      </c>
      <c r="EJ130" s="528">
        <f>'[3]Plots R2&gt;.75 - UPDATED'!U127</f>
        <v>1.2223783631558125</v>
      </c>
      <c r="EK130" s="546">
        <f>'[3]Plots R2&gt;.75 - UPDATED'!V127</f>
        <v>0.76517836315581134</v>
      </c>
      <c r="EL130" s="676"/>
      <c r="EM130" s="850"/>
      <c r="EN130" s="299">
        <v>41684</v>
      </c>
      <c r="EO130" s="324">
        <v>0</v>
      </c>
      <c r="EP130" s="324">
        <v>0.67807836315581205</v>
      </c>
      <c r="EQ130" s="528">
        <v>1.2223783631558125</v>
      </c>
      <c r="ER130" s="546">
        <v>0.76517836315581134</v>
      </c>
      <c r="GM130" s="640"/>
      <c r="GN130" s="640"/>
      <c r="GO130" s="640"/>
      <c r="GP130" s="640"/>
      <c r="GQ130" s="640"/>
      <c r="GR130" s="640"/>
      <c r="GS130" s="640"/>
      <c r="GT130" s="640"/>
      <c r="GU130" s="640"/>
      <c r="HE130" s="564"/>
      <c r="HF130" s="564"/>
      <c r="HG130" s="573"/>
      <c r="HH130" s="573"/>
      <c r="HI130" s="603">
        <v>1.3267668465603786</v>
      </c>
      <c r="HJ130" s="603">
        <v>0</v>
      </c>
      <c r="HK130" s="603">
        <v>6.3077451103745537</v>
      </c>
      <c r="HL130" s="603">
        <v>0</v>
      </c>
    </row>
    <row r="131" spans="10:220" ht="16">
      <c r="J131" s="580">
        <v>41668</v>
      </c>
      <c r="K131" s="581">
        <v>0</v>
      </c>
      <c r="L131" s="582">
        <v>10.172499999999999</v>
      </c>
      <c r="M131" s="582">
        <v>10.1601</v>
      </c>
      <c r="N131" s="582">
        <v>11.537699999999999</v>
      </c>
      <c r="O131" s="582">
        <v>11.361000000000001</v>
      </c>
      <c r="P131" s="582">
        <v>99.057500000000005</v>
      </c>
      <c r="Q131" s="582">
        <v>10.128573972297959</v>
      </c>
      <c r="R131" s="582">
        <v>0</v>
      </c>
      <c r="S131" s="582">
        <v>0.68152602770204118</v>
      </c>
      <c r="T131" s="582">
        <v>1.5991260277020405</v>
      </c>
      <c r="U131" s="582">
        <v>1.5024260277020418</v>
      </c>
      <c r="W131" s="580">
        <v>41686</v>
      </c>
      <c r="X131" s="582">
        <f t="shared" si="110"/>
        <v>0</v>
      </c>
      <c r="Y131" s="582">
        <f t="shared" si="110"/>
        <v>0.67787699446708294</v>
      </c>
      <c r="Z131" s="582">
        <f t="shared" si="110"/>
        <v>1.2222154560055443</v>
      </c>
      <c r="AA131" s="582">
        <f t="shared" si="110"/>
        <v>1.0553308406209287</v>
      </c>
      <c r="AB131" s="606"/>
      <c r="AC131" s="448"/>
      <c r="AD131" s="449"/>
      <c r="AE131" s="443">
        <f t="shared" si="113"/>
        <v>2.0583507621505515E-2</v>
      </c>
      <c r="AF131" s="443">
        <f t="shared" si="114"/>
        <v>2.4206584544582466E-2</v>
      </c>
      <c r="AG131" s="633">
        <v>41686</v>
      </c>
      <c r="AH131" s="509"/>
      <c r="AI131" s="510"/>
      <c r="AJ131" s="572">
        <v>0</v>
      </c>
      <c r="AK131" s="572">
        <v>0</v>
      </c>
      <c r="AL131" s="634"/>
      <c r="AM131" s="448"/>
      <c r="AN131" s="449"/>
      <c r="AO131" s="443">
        <v>-1.3599999999999999E-6</v>
      </c>
      <c r="AP131" s="443">
        <v>1.84E-6</v>
      </c>
      <c r="AR131" s="448"/>
      <c r="AS131" s="449"/>
      <c r="AT131" s="443">
        <f>-AO131*1440</f>
        <v>1.9583999999999999E-3</v>
      </c>
      <c r="AU131" s="443">
        <f>-AP131*1440</f>
        <v>-2.6495999999999998E-3</v>
      </c>
      <c r="AV131" s="633">
        <v>41686</v>
      </c>
      <c r="AW131" s="644"/>
      <c r="AX131" s="607">
        <v>0.03</v>
      </c>
      <c r="AY131" s="448"/>
      <c r="AZ131" s="449"/>
      <c r="BA131" s="443">
        <f t="shared" si="102"/>
        <v>1.8625107621505516E-2</v>
      </c>
      <c r="BB131" s="443">
        <f t="shared" si="103"/>
        <v>2.6856184544582464E-2</v>
      </c>
      <c r="BC131" s="608">
        <f t="shared" si="77"/>
        <v>0.26856184544582462</v>
      </c>
      <c r="BD131" s="627" t="s">
        <v>569</v>
      </c>
      <c r="BE131" s="580">
        <v>41686</v>
      </c>
      <c r="BF131" s="448"/>
      <c r="BG131" s="449"/>
      <c r="BH131" s="443">
        <f t="shared" si="108"/>
        <v>17.282935796374645</v>
      </c>
      <c r="BI131" s="443">
        <f t="shared" si="109"/>
        <v>27.338935796375893</v>
      </c>
      <c r="BJ131" s="658"/>
      <c r="BK131" s="448"/>
      <c r="BL131" s="449"/>
      <c r="BM131" s="443">
        <v>18.625107621505514</v>
      </c>
      <c r="BN131" s="443">
        <v>26.856184544582465</v>
      </c>
      <c r="BO131" s="353">
        <v>69</v>
      </c>
      <c r="BP131" s="353">
        <f t="shared" si="82"/>
        <v>13.8</v>
      </c>
      <c r="BQ131" s="610">
        <f t="shared" si="83"/>
        <v>49.285714285714292</v>
      </c>
      <c r="BR131" s="610">
        <f t="shared" si="84"/>
        <v>18.648648648648649</v>
      </c>
      <c r="BT131" s="648"/>
      <c r="BU131" s="648"/>
      <c r="BV131" s="648"/>
      <c r="BW131" s="648"/>
      <c r="BX131" s="648"/>
      <c r="BY131" s="616" t="s">
        <v>484</v>
      </c>
      <c r="BZ131" s="617">
        <v>25</v>
      </c>
      <c r="CA131" s="660">
        <v>1.19</v>
      </c>
      <c r="CB131" s="608">
        <f t="shared" si="85"/>
        <v>11.899999999999999</v>
      </c>
      <c r="CC131" s="353">
        <v>87</v>
      </c>
      <c r="CD131" s="631">
        <f t="shared" si="86"/>
        <v>550.90000000000009</v>
      </c>
      <c r="CN131" s="632" t="s">
        <v>549</v>
      </c>
      <c r="CO131" s="580">
        <f>'[3]Plots R2&gt;.75 - UPDATED'!R128</f>
        <v>41687</v>
      </c>
      <c r="CP131" s="620"/>
      <c r="CQ131" s="633">
        <v>41687</v>
      </c>
      <c r="CR131" s="641">
        <v>0</v>
      </c>
      <c r="CS131" s="642">
        <v>4754.5138816282679</v>
      </c>
      <c r="CT131" s="642">
        <v>16230.151859808133</v>
      </c>
      <c r="CU131" s="643">
        <v>1615.8209183760364</v>
      </c>
      <c r="CV131" s="573"/>
      <c r="CW131" s="573"/>
      <c r="CX131" s="573"/>
      <c r="CY131" s="573"/>
      <c r="CZ131" s="572">
        <f t="shared" si="100"/>
        <v>1.8631988327161275</v>
      </c>
      <c r="DA131" s="572">
        <f t="shared" si="115"/>
        <v>0</v>
      </c>
      <c r="DB131" s="572">
        <f t="shared" si="88"/>
        <v>18.714945236872158</v>
      </c>
      <c r="DC131" s="572">
        <f t="shared" si="116"/>
        <v>0</v>
      </c>
      <c r="DD131" s="622"/>
      <c r="DE131" s="299">
        <v>41685</v>
      </c>
      <c r="DF131" s="463">
        <v>0</v>
      </c>
      <c r="DG131" s="463">
        <v>0.48820255528081591</v>
      </c>
      <c r="DH131" s="463">
        <v>1.7708990931808275</v>
      </c>
      <c r="DI131" s="463">
        <v>0.21959062951952033</v>
      </c>
      <c r="DJ131" s="324"/>
      <c r="DK131" s="324"/>
      <c r="DL131" s="528">
        <v>1.7282935796374643</v>
      </c>
      <c r="DM131" s="546">
        <v>2.7338935796375892</v>
      </c>
      <c r="DN131" s="528">
        <f t="shared" si="95"/>
        <v>0</v>
      </c>
      <c r="DO131" s="528">
        <f t="shared" si="96"/>
        <v>0</v>
      </c>
      <c r="DP131" s="528">
        <f t="shared" si="97"/>
        <v>17.282935796374645</v>
      </c>
      <c r="DQ131" s="528">
        <f t="shared" si="98"/>
        <v>27.338935796375893</v>
      </c>
      <c r="DR131" s="463"/>
      <c r="DS131" s="463"/>
      <c r="DT131" s="463">
        <v>1.7282935796374643</v>
      </c>
      <c r="DU131" s="463">
        <v>2.7338935796375892</v>
      </c>
      <c r="DV131" s="463"/>
      <c r="DW131" s="463"/>
      <c r="DX131" s="463">
        <v>0.22320000000000007</v>
      </c>
      <c r="DY131" s="463">
        <v>-0.3024</v>
      </c>
      <c r="DZ131" s="463"/>
      <c r="EA131" s="463"/>
      <c r="EB131" s="463">
        <v>0.22320000000000007</v>
      </c>
      <c r="EC131" s="463">
        <v>-0.3024</v>
      </c>
      <c r="ED131" s="463">
        <f t="shared" si="89"/>
        <v>0</v>
      </c>
      <c r="EE131" s="463">
        <f t="shared" si="90"/>
        <v>0</v>
      </c>
      <c r="EF131" s="463">
        <f t="shared" si="91"/>
        <v>2.2320000000000007</v>
      </c>
      <c r="EG131" s="463">
        <f t="shared" si="92"/>
        <v>-3.024</v>
      </c>
      <c r="EH131" s="324">
        <f>'[3]Plots R2&gt;.75 - UPDATED'!S128</f>
        <v>0</v>
      </c>
      <c r="EI131" s="324">
        <f>'[3]Plots R2&gt;.75 - UPDATED'!T128</f>
        <v>0.67648941248657102</v>
      </c>
      <c r="EJ131" s="528">
        <f>'[3]Plots R2&gt;.75 - UPDATED'!U128</f>
        <v>1.2017894124865713</v>
      </c>
      <c r="EK131" s="546">
        <f>'[3]Plots R2&gt;.75 - UPDATED'!V128</f>
        <v>0.74098941248656969</v>
      </c>
      <c r="EL131" s="676"/>
      <c r="EM131" s="850"/>
      <c r="EN131" s="299">
        <v>41685</v>
      </c>
      <c r="EO131" s="324">
        <v>0</v>
      </c>
      <c r="EP131" s="324">
        <v>0.67648941248657102</v>
      </c>
      <c r="EQ131" s="528">
        <v>1.2017894124865713</v>
      </c>
      <c r="ER131" s="546">
        <v>0.74098941248656969</v>
      </c>
      <c r="GM131" s="640"/>
      <c r="GN131" s="640"/>
      <c r="GO131" s="640"/>
      <c r="GP131" s="640"/>
      <c r="GQ131" s="640"/>
      <c r="GR131" s="640"/>
      <c r="GS131" s="640"/>
      <c r="GT131" s="640"/>
      <c r="GU131" s="640"/>
      <c r="HE131" s="564"/>
      <c r="HF131" s="564"/>
      <c r="HG131" s="573"/>
      <c r="HH131" s="573"/>
      <c r="HI131" s="603">
        <v>1.360878826517919</v>
      </c>
      <c r="HJ131" s="603">
        <v>0</v>
      </c>
      <c r="HK131" s="603">
        <v>6.7863358849514501</v>
      </c>
      <c r="HL131" s="603">
        <v>0</v>
      </c>
    </row>
    <row r="132" spans="10:220" ht="16">
      <c r="J132" s="580">
        <v>41669</v>
      </c>
      <c r="K132" s="581">
        <v>0</v>
      </c>
      <c r="L132" s="582">
        <v>10.1805</v>
      </c>
      <c r="M132" s="582">
        <v>10.1677</v>
      </c>
      <c r="N132" s="582">
        <v>11.5259</v>
      </c>
      <c r="O132" s="582">
        <v>11.346</v>
      </c>
      <c r="P132" s="582">
        <v>99.152199999999993</v>
      </c>
      <c r="Q132" s="582">
        <v>10.138256994332398</v>
      </c>
      <c r="R132" s="582">
        <v>0</v>
      </c>
      <c r="S132" s="582">
        <v>0.67944300566760218</v>
      </c>
      <c r="T132" s="582">
        <v>1.5776430056676023</v>
      </c>
      <c r="U132" s="582">
        <v>1.4777430056676022</v>
      </c>
      <c r="W132" s="580">
        <v>41687</v>
      </c>
      <c r="X132" s="582">
        <f t="shared" si="110"/>
        <v>0</v>
      </c>
      <c r="Y132" s="582">
        <f t="shared" si="110"/>
        <v>0.6764011791532698</v>
      </c>
      <c r="Z132" s="582">
        <f t="shared" si="110"/>
        <v>1.2016319483840388</v>
      </c>
      <c r="AA132" s="582">
        <f t="shared" si="110"/>
        <v>1.0311242560763463</v>
      </c>
      <c r="AB132" s="606"/>
      <c r="AC132" s="448"/>
      <c r="AD132" s="449"/>
      <c r="AE132" s="443">
        <f t="shared" si="113"/>
        <v>2.1485219124615318E-2</v>
      </c>
      <c r="AF132" s="443">
        <f t="shared" si="114"/>
        <v>2.5785219124615066E-2</v>
      </c>
      <c r="AG132" s="633">
        <v>41687</v>
      </c>
      <c r="AH132" s="509"/>
      <c r="AI132" s="510"/>
      <c r="AJ132" s="572">
        <v>0</v>
      </c>
      <c r="AK132" s="572">
        <v>0</v>
      </c>
      <c r="AL132" s="634"/>
      <c r="AM132" s="448"/>
      <c r="AN132" s="449"/>
      <c r="AO132" s="443">
        <v>-3.6200000000000001E-6</v>
      </c>
      <c r="AP132" s="443">
        <v>-4.9799999999999998E-6</v>
      </c>
      <c r="AR132" s="448"/>
      <c r="AS132" s="449"/>
      <c r="AT132" s="443">
        <f t="shared" si="111"/>
        <v>5.2128000000000001E-3</v>
      </c>
      <c r="AU132" s="443">
        <f t="shared" si="111"/>
        <v>7.1712E-3</v>
      </c>
      <c r="AV132" s="633">
        <v>41687</v>
      </c>
      <c r="AW132" s="644"/>
      <c r="AX132" s="608">
        <v>0</v>
      </c>
      <c r="AY132" s="448"/>
      <c r="AZ132" s="449"/>
      <c r="BA132" s="443">
        <f t="shared" si="102"/>
        <v>1.6272419124615318E-2</v>
      </c>
      <c r="BB132" s="443">
        <f t="shared" si="103"/>
        <v>1.8614019124615067E-2</v>
      </c>
      <c r="BC132" s="608">
        <f t="shared" si="77"/>
        <v>0.18614019124615067</v>
      </c>
      <c r="BD132" s="627" t="s">
        <v>570</v>
      </c>
      <c r="BE132" s="580">
        <v>41687</v>
      </c>
      <c r="BF132" s="448"/>
      <c r="BG132" s="449"/>
      <c r="BH132" s="443">
        <f t="shared" si="108"/>
        <v>18.630550669241156</v>
      </c>
      <c r="BI132" s="443">
        <f t="shared" si="109"/>
        <v>26.838550669241648</v>
      </c>
      <c r="BJ132" s="658"/>
      <c r="BK132" s="448"/>
      <c r="BL132" s="449"/>
      <c r="BM132" s="443">
        <v>16.272419124615318</v>
      </c>
      <c r="BN132" s="443">
        <v>18.614019124615066</v>
      </c>
      <c r="BO132" s="353">
        <v>69</v>
      </c>
      <c r="BP132" s="353">
        <f t="shared" si="82"/>
        <v>13.8</v>
      </c>
      <c r="BQ132" s="610">
        <f t="shared" si="83"/>
        <v>49.285714285714292</v>
      </c>
      <c r="BR132" s="610">
        <f t="shared" si="84"/>
        <v>18.648648648648649</v>
      </c>
      <c r="BT132" s="648"/>
      <c r="BU132" s="648"/>
      <c r="BV132" s="648"/>
      <c r="BW132" s="648"/>
      <c r="BX132" s="648"/>
      <c r="BY132" s="616" t="s">
        <v>486</v>
      </c>
      <c r="BZ132" s="617">
        <v>25</v>
      </c>
      <c r="CA132" s="608">
        <v>0.51</v>
      </c>
      <c r="CB132" s="608">
        <f t="shared" si="85"/>
        <v>5.0999999999999996</v>
      </c>
      <c r="CC132" s="353">
        <v>88</v>
      </c>
      <c r="CD132" s="631">
        <f t="shared" si="86"/>
        <v>556.00000000000011</v>
      </c>
      <c r="CN132" s="632" t="s">
        <v>550</v>
      </c>
      <c r="CO132" s="580">
        <f>'[3]Plots R2&gt;.75 - UPDATED'!R129</f>
        <v>41688</v>
      </c>
      <c r="CP132" s="620"/>
      <c r="CQ132" s="633">
        <v>41688</v>
      </c>
      <c r="CR132" s="641">
        <v>0</v>
      </c>
      <c r="CS132" s="642">
        <v>4763.4381871213018</v>
      </c>
      <c r="CT132" s="642">
        <v>15707.408356784967</v>
      </c>
      <c r="CU132" s="643">
        <v>1444.3497792666051</v>
      </c>
      <c r="CV132" s="573"/>
      <c r="CW132" s="573"/>
      <c r="CX132" s="573"/>
      <c r="CY132" s="573"/>
      <c r="CZ132" s="572">
        <f t="shared" si="100"/>
        <v>1.9252062029021828</v>
      </c>
      <c r="DA132" s="572">
        <f t="shared" si="115"/>
        <v>0</v>
      </c>
      <c r="DB132" s="572">
        <f t="shared" si="88"/>
        <v>20.936756756631976</v>
      </c>
      <c r="DC132" s="572">
        <f t="shared" si="116"/>
        <v>0</v>
      </c>
      <c r="DD132" s="622"/>
      <c r="DE132" s="299">
        <v>41686</v>
      </c>
      <c r="DF132" s="463">
        <v>0</v>
      </c>
      <c r="DG132" s="463">
        <v>0.48443106407991515</v>
      </c>
      <c r="DH132" s="463">
        <v>1.7213330105578621</v>
      </c>
      <c r="DI132" s="463">
        <v>0.19803714887097226</v>
      </c>
      <c r="DJ132" s="324"/>
      <c r="DK132" s="324"/>
      <c r="DL132" s="528">
        <v>1.8630550669241157</v>
      </c>
      <c r="DM132" s="546">
        <v>2.6838550669241648</v>
      </c>
      <c r="DN132" s="528">
        <f t="shared" si="95"/>
        <v>0</v>
      </c>
      <c r="DO132" s="528">
        <f t="shared" si="96"/>
        <v>0</v>
      </c>
      <c r="DP132" s="528">
        <f t="shared" si="97"/>
        <v>18.630550669241156</v>
      </c>
      <c r="DQ132" s="528">
        <f t="shared" si="98"/>
        <v>26.838550669241648</v>
      </c>
      <c r="DR132" s="463"/>
      <c r="DS132" s="463"/>
      <c r="DT132" s="463">
        <v>1.8630550669241157</v>
      </c>
      <c r="DU132" s="463">
        <v>2.6838550669241648</v>
      </c>
      <c r="DV132" s="463"/>
      <c r="DW132" s="463"/>
      <c r="DX132" s="463">
        <v>0.19584000000000001</v>
      </c>
      <c r="DY132" s="463">
        <v>-0.26495999999999986</v>
      </c>
      <c r="DZ132" s="463"/>
      <c r="EA132" s="463"/>
      <c r="EB132" s="463">
        <v>0.19584000000000001</v>
      </c>
      <c r="EC132" s="463">
        <v>-0.26495999999999986</v>
      </c>
      <c r="ED132" s="463">
        <f t="shared" si="89"/>
        <v>0</v>
      </c>
      <c r="EE132" s="463">
        <f t="shared" si="90"/>
        <v>0</v>
      </c>
      <c r="EF132" s="463">
        <f t="shared" si="91"/>
        <v>1.9584000000000001</v>
      </c>
      <c r="EG132" s="463">
        <f t="shared" si="92"/>
        <v>-2.6495999999999986</v>
      </c>
      <c r="EH132" s="324">
        <f>'[3]Plots R2&gt;.75 - UPDATED'!S129</f>
        <v>0</v>
      </c>
      <c r="EI132" s="324">
        <f>'[3]Plots R2&gt;.75 - UPDATED'!T129</f>
        <v>0.67692950432400756</v>
      </c>
      <c r="EJ132" s="528">
        <f>'[3]Plots R2&gt;.75 - UPDATED'!U129</f>
        <v>1.1800295043240081</v>
      </c>
      <c r="EK132" s="546">
        <f>'[3]Plots R2&gt;.75 - UPDATED'!V129</f>
        <v>0.71552950432400797</v>
      </c>
      <c r="EL132" s="676"/>
      <c r="EM132" s="850"/>
      <c r="EN132" s="299">
        <v>41686</v>
      </c>
      <c r="EO132" s="324">
        <v>0</v>
      </c>
      <c r="EP132" s="324">
        <v>0.67692950432400756</v>
      </c>
      <c r="EQ132" s="528">
        <v>1.1800295043240081</v>
      </c>
      <c r="ER132" s="546">
        <v>0.71552950432400797</v>
      </c>
      <c r="GM132" s="640"/>
      <c r="GN132" s="640"/>
      <c r="GO132" s="640"/>
      <c r="GP132" s="640"/>
      <c r="GQ132" s="640"/>
      <c r="GR132" s="640"/>
      <c r="GS132" s="640"/>
      <c r="GT132" s="640"/>
      <c r="GU132" s="640"/>
      <c r="HE132" s="564"/>
      <c r="HF132" s="564"/>
      <c r="HG132" s="573"/>
      <c r="HH132" s="573"/>
      <c r="HI132" s="603">
        <v>1.3990581318963384</v>
      </c>
      <c r="HJ132" s="603">
        <v>0</v>
      </c>
      <c r="HK132" s="603">
        <v>7.273922389523559</v>
      </c>
      <c r="HL132" s="603">
        <v>0</v>
      </c>
    </row>
    <row r="133" spans="10:220" ht="16">
      <c r="J133" s="580">
        <v>41670</v>
      </c>
      <c r="K133" s="581">
        <v>0</v>
      </c>
      <c r="L133" s="582">
        <v>10.1808</v>
      </c>
      <c r="M133" s="582">
        <v>10.167199999999999</v>
      </c>
      <c r="N133" s="582">
        <v>11.5031</v>
      </c>
      <c r="O133" s="582">
        <v>11.3192</v>
      </c>
      <c r="P133" s="582">
        <v>99.1374</v>
      </c>
      <c r="Q133" s="582">
        <v>10.136743702610016</v>
      </c>
      <c r="R133" s="582">
        <v>0</v>
      </c>
      <c r="S133" s="582">
        <v>0.68045629738998392</v>
      </c>
      <c r="T133" s="582">
        <v>1.5563562973899845</v>
      </c>
      <c r="U133" s="582">
        <v>1.4524562973899848</v>
      </c>
      <c r="W133" s="580">
        <v>41688</v>
      </c>
      <c r="X133" s="582">
        <f t="shared" si="110"/>
        <v>0</v>
      </c>
      <c r="Y133" s="582">
        <f t="shared" si="110"/>
        <v>0.67716211387480862</v>
      </c>
      <c r="Z133" s="582">
        <f t="shared" si="110"/>
        <v>1.1801467292594234</v>
      </c>
      <c r="AA133" s="582">
        <f t="shared" si="110"/>
        <v>1.0053390369517312</v>
      </c>
      <c r="AB133" s="606"/>
      <c r="AC133" s="448"/>
      <c r="AD133" s="449"/>
      <c r="AE133" s="443">
        <f t="shared" si="113"/>
        <v>1.4444562303434827E-2</v>
      </c>
      <c r="AF133" s="443">
        <f t="shared" si="114"/>
        <v>1.8698408457280769E-2</v>
      </c>
      <c r="AG133" s="633">
        <v>41688</v>
      </c>
      <c r="AH133" s="509"/>
      <c r="AI133" s="510"/>
      <c r="AJ133" s="572">
        <v>0</v>
      </c>
      <c r="AK133" s="572">
        <v>0</v>
      </c>
      <c r="AL133" s="634"/>
      <c r="AM133" s="448"/>
      <c r="AN133" s="449"/>
      <c r="AO133" s="443">
        <v>-5.32E-8</v>
      </c>
      <c r="AP133" s="443">
        <v>-1.9599999999999999E-6</v>
      </c>
      <c r="AR133" s="448"/>
      <c r="AS133" s="449"/>
      <c r="AT133" s="443">
        <f t="shared" si="111"/>
        <v>7.6607999999999996E-5</v>
      </c>
      <c r="AU133" s="443">
        <f t="shared" si="111"/>
        <v>2.8223999999999996E-3</v>
      </c>
      <c r="AV133" s="633">
        <v>41688</v>
      </c>
      <c r="AW133" s="644"/>
      <c r="AX133" s="608">
        <v>0</v>
      </c>
      <c r="AY133" s="448"/>
      <c r="AZ133" s="449"/>
      <c r="BA133" s="443">
        <f t="shared" si="102"/>
        <v>1.4367954303434826E-2</v>
      </c>
      <c r="BB133" s="443">
        <f t="shared" si="103"/>
        <v>1.5876008457280769E-2</v>
      </c>
      <c r="BC133" s="608">
        <f t="shared" si="77"/>
        <v>0.15876008457280769</v>
      </c>
      <c r="BD133" s="627" t="s">
        <v>571</v>
      </c>
      <c r="BE133" s="580">
        <v>41688</v>
      </c>
      <c r="BF133" s="448"/>
      <c r="BG133" s="449"/>
      <c r="BH133" s="443">
        <f t="shared" si="108"/>
        <v>16.547108162563234</v>
      </c>
      <c r="BI133" s="443">
        <f t="shared" si="109"/>
        <v>18.288708162561718</v>
      </c>
      <c r="BJ133" s="658"/>
      <c r="BK133" s="448"/>
      <c r="BL133" s="449"/>
      <c r="BM133" s="443">
        <v>14.367954303434827</v>
      </c>
      <c r="BN133" s="443">
        <v>15.87600845728077</v>
      </c>
      <c r="BO133" s="353">
        <v>69</v>
      </c>
      <c r="BP133" s="353">
        <f t="shared" si="82"/>
        <v>13.8</v>
      </c>
      <c r="BQ133" s="610">
        <f t="shared" si="83"/>
        <v>49.285714285714292</v>
      </c>
      <c r="BR133" s="610">
        <f t="shared" si="84"/>
        <v>18.648648648648649</v>
      </c>
      <c r="BT133" s="648"/>
      <c r="BU133" s="648"/>
      <c r="BV133" s="648"/>
      <c r="BW133" s="648"/>
      <c r="BX133" s="648"/>
      <c r="BY133" s="616" t="s">
        <v>488</v>
      </c>
      <c r="BZ133" s="617">
        <v>25</v>
      </c>
      <c r="CA133" s="608">
        <v>0.2</v>
      </c>
      <c r="CB133" s="608">
        <f t="shared" si="85"/>
        <v>2</v>
      </c>
      <c r="CC133" s="353">
        <v>85</v>
      </c>
      <c r="CD133" s="631">
        <f t="shared" si="86"/>
        <v>558.00000000000011</v>
      </c>
      <c r="CN133" s="632" t="s">
        <v>551</v>
      </c>
      <c r="CO133" s="580">
        <f>'[3]Plots R2&gt;.75 - UPDATED'!R130</f>
        <v>41689</v>
      </c>
      <c r="CP133" s="620"/>
      <c r="CQ133" s="633">
        <v>41689</v>
      </c>
      <c r="CR133" s="641">
        <v>0</v>
      </c>
      <c r="CS133" s="642">
        <v>4733.3673143426231</v>
      </c>
      <c r="CT133" s="642">
        <v>15370.71453021052</v>
      </c>
      <c r="CU133" s="643">
        <v>1326.1727353008923</v>
      </c>
      <c r="CV133" s="573"/>
      <c r="CW133" s="573"/>
      <c r="CX133" s="573"/>
      <c r="CY133" s="573"/>
      <c r="CZ133" s="572">
        <f t="shared" si="100"/>
        <v>1.9673776349540872</v>
      </c>
      <c r="DA133" s="572">
        <f t="shared" si="115"/>
        <v>0</v>
      </c>
      <c r="DB133" s="572">
        <f t="shared" si="88"/>
        <v>22.802459434621774</v>
      </c>
      <c r="DC133" s="572">
        <f t="shared" si="116"/>
        <v>0</v>
      </c>
      <c r="DD133" s="622"/>
      <c r="DE133" s="299">
        <v>41687</v>
      </c>
      <c r="DF133" s="463">
        <v>0</v>
      </c>
      <c r="DG133" s="463">
        <v>0.47867866147819566</v>
      </c>
      <c r="DH133" s="463">
        <v>1.6731714931386508</v>
      </c>
      <c r="DI133" s="463">
        <v>0.17912465742196743</v>
      </c>
      <c r="DJ133" s="324"/>
      <c r="DK133" s="324"/>
      <c r="DL133" s="528">
        <v>1.6547108162563235</v>
      </c>
      <c r="DM133" s="546">
        <v>1.8288708162561718</v>
      </c>
      <c r="DN133" s="528">
        <f t="shared" si="95"/>
        <v>0</v>
      </c>
      <c r="DO133" s="528">
        <f t="shared" si="96"/>
        <v>0</v>
      </c>
      <c r="DP133" s="528">
        <f t="shared" si="97"/>
        <v>16.547108162563234</v>
      </c>
      <c r="DQ133" s="528">
        <f t="shared" si="98"/>
        <v>18.288708162561718</v>
      </c>
      <c r="DR133" s="463"/>
      <c r="DS133" s="463"/>
      <c r="DT133" s="463">
        <v>1.6547108162563235</v>
      </c>
      <c r="DU133" s="463">
        <v>1.8288708162561718</v>
      </c>
      <c r="DV133" s="463"/>
      <c r="DW133" s="463"/>
      <c r="DX133" s="463">
        <v>0.52127999999999997</v>
      </c>
      <c r="DY133" s="463">
        <v>0.71711999999999998</v>
      </c>
      <c r="DZ133" s="463"/>
      <c r="EA133" s="463"/>
      <c r="EB133" s="463">
        <v>0.52127999999999997</v>
      </c>
      <c r="EC133" s="463">
        <v>0.71711999999999998</v>
      </c>
      <c r="ED133" s="463">
        <f t="shared" si="89"/>
        <v>0</v>
      </c>
      <c r="EE133" s="463">
        <f t="shared" si="90"/>
        <v>0</v>
      </c>
      <c r="EF133" s="463">
        <f t="shared" si="91"/>
        <v>5.2127999999999997</v>
      </c>
      <c r="EG133" s="463">
        <f t="shared" si="92"/>
        <v>7.1711999999999998</v>
      </c>
      <c r="EH133" s="324">
        <f>'[3]Plots R2&gt;.75 - UPDATED'!S130</f>
        <v>0</v>
      </c>
      <c r="EI133" s="324">
        <f>'[3]Plots R2&gt;.75 - UPDATED'!T130</f>
        <v>0.67544443542099919</v>
      </c>
      <c r="EJ133" s="528">
        <f>'[3]Plots R2&gt;.75 - UPDATED'!U130</f>
        <v>1.1658444354209991</v>
      </c>
      <c r="EK133" s="546">
        <f>'[3]Plots R2&gt;.75 - UPDATED'!V130</f>
        <v>0.69674443542099906</v>
      </c>
      <c r="EL133" s="676"/>
      <c r="EM133" s="850"/>
      <c r="EN133" s="299">
        <v>41687</v>
      </c>
      <c r="EO133" s="324">
        <v>0</v>
      </c>
      <c r="EP133" s="324">
        <v>0.67544443542099919</v>
      </c>
      <c r="EQ133" s="528">
        <v>1.1658444354209991</v>
      </c>
      <c r="ER133" s="546">
        <v>0.69674443542099906</v>
      </c>
      <c r="GM133" s="640"/>
      <c r="GN133" s="640"/>
      <c r="GO133" s="640"/>
      <c r="GP133" s="640"/>
      <c r="GQ133" s="640"/>
      <c r="GR133" s="640"/>
      <c r="GS133" s="640"/>
      <c r="GT133" s="640"/>
      <c r="GU133" s="640"/>
      <c r="HE133" s="564"/>
      <c r="HF133" s="564"/>
      <c r="HG133" s="573"/>
      <c r="HH133" s="573"/>
      <c r="HI133" s="603">
        <v>1.4374464673666665</v>
      </c>
      <c r="HJ133" s="603">
        <v>0</v>
      </c>
      <c r="HK133" s="603">
        <v>7.8602018957900404</v>
      </c>
      <c r="HL133" s="603">
        <v>0</v>
      </c>
    </row>
    <row r="134" spans="10:220" ht="16">
      <c r="J134" s="580">
        <v>41671</v>
      </c>
      <c r="K134" s="581">
        <v>0</v>
      </c>
      <c r="L134" s="582">
        <v>10.163399999999999</v>
      </c>
      <c r="M134" s="582">
        <v>10.1494</v>
      </c>
      <c r="N134" s="582">
        <v>11.4651</v>
      </c>
      <c r="O134" s="582">
        <v>11.2776</v>
      </c>
      <c r="P134" s="582">
        <v>98.972999999999999</v>
      </c>
      <c r="Q134" s="582">
        <v>10.119933894558674</v>
      </c>
      <c r="R134" s="582">
        <v>0</v>
      </c>
      <c r="S134" s="582">
        <v>0.67946610544132624</v>
      </c>
      <c r="T134" s="582">
        <v>1.5351661054413257</v>
      </c>
      <c r="U134" s="582">
        <v>1.4276661054413258</v>
      </c>
      <c r="W134" s="580">
        <v>41689</v>
      </c>
      <c r="X134" s="582">
        <f t="shared" si="110"/>
        <v>0</v>
      </c>
      <c r="Y134" s="582">
        <f t="shared" si="110"/>
        <v>0.67547139772522002</v>
      </c>
      <c r="Z134" s="582">
        <f t="shared" si="110"/>
        <v>1.1657021669559886</v>
      </c>
      <c r="AA134" s="582">
        <f t="shared" si="110"/>
        <v>0.98664062849445044</v>
      </c>
      <c r="AB134" s="606"/>
      <c r="AC134" s="448"/>
      <c r="AD134" s="449"/>
      <c r="AE134" s="443">
        <f t="shared" si="113"/>
        <v>2.2302350165354312E-2</v>
      </c>
      <c r="AF134" s="443">
        <f t="shared" si="114"/>
        <v>2.4510042473047E-2</v>
      </c>
      <c r="AG134" s="633">
        <v>41689</v>
      </c>
      <c r="AH134" s="509"/>
      <c r="AI134" s="510"/>
      <c r="AJ134" s="572">
        <v>0</v>
      </c>
      <c r="AK134" s="572">
        <v>0</v>
      </c>
      <c r="AL134" s="634"/>
      <c r="AM134" s="448"/>
      <c r="AN134" s="449"/>
      <c r="AO134" s="443">
        <v>9.6200000000000006E-7</v>
      </c>
      <c r="AP134" s="443">
        <v>8.1000000000000004E-6</v>
      </c>
      <c r="AR134" s="448"/>
      <c r="AS134" s="449"/>
      <c r="AT134" s="443">
        <f t="shared" si="111"/>
        <v>-1.38528E-3</v>
      </c>
      <c r="AU134" s="443">
        <f t="shared" si="111"/>
        <v>-1.1664000000000001E-2</v>
      </c>
      <c r="AV134" s="633">
        <v>41689</v>
      </c>
      <c r="AW134" s="644"/>
      <c r="AX134" s="608">
        <v>0</v>
      </c>
      <c r="AY134" s="448"/>
      <c r="AZ134" s="449"/>
      <c r="BA134" s="443">
        <f t="shared" si="102"/>
        <v>2.3687630165354311E-2</v>
      </c>
      <c r="BB134" s="443">
        <f t="shared" si="103"/>
        <v>3.6174042473047001E-2</v>
      </c>
      <c r="BC134" s="608">
        <f t="shared" si="77"/>
        <v>0.36174042473047002</v>
      </c>
      <c r="BD134" s="627" t="s">
        <v>572</v>
      </c>
      <c r="BE134" s="580">
        <v>41689</v>
      </c>
      <c r="BF134" s="448"/>
      <c r="BG134" s="449"/>
      <c r="BH134" s="443">
        <f t="shared" si="108"/>
        <v>14.108460903008968</v>
      </c>
      <c r="BI134" s="443">
        <f t="shared" si="109"/>
        <v>15.962668903008906</v>
      </c>
      <c r="BJ134" s="658"/>
      <c r="BK134" s="448"/>
      <c r="BL134" s="449"/>
      <c r="BM134" s="443">
        <v>23.687630165354314</v>
      </c>
      <c r="BN134" s="443">
        <v>36.174042473046995</v>
      </c>
      <c r="BO134" s="353">
        <v>71</v>
      </c>
      <c r="BP134" s="353">
        <f t="shared" si="82"/>
        <v>14.2</v>
      </c>
      <c r="BQ134" s="610">
        <f t="shared" si="83"/>
        <v>50.714285714285715</v>
      </c>
      <c r="BR134" s="610">
        <f t="shared" si="84"/>
        <v>19.189189189189189</v>
      </c>
      <c r="BT134" s="648"/>
      <c r="BU134" s="648"/>
      <c r="BV134" s="648"/>
      <c r="BW134" s="648"/>
      <c r="BX134" s="648"/>
      <c r="BY134" s="616" t="s">
        <v>490</v>
      </c>
      <c r="BZ134" s="617">
        <v>27</v>
      </c>
      <c r="CA134" s="608">
        <v>0</v>
      </c>
      <c r="CB134" s="608">
        <f t="shared" si="85"/>
        <v>0</v>
      </c>
      <c r="CC134" s="353">
        <v>74</v>
      </c>
      <c r="CD134" s="631">
        <f t="shared" si="86"/>
        <v>558.00000000000011</v>
      </c>
      <c r="CN134" s="632" t="s">
        <v>552</v>
      </c>
      <c r="CO134" s="580">
        <f>'[3]Plots R2&gt;.75 - UPDATED'!R131</f>
        <v>41690</v>
      </c>
      <c r="CP134" s="620"/>
      <c r="CQ134" s="633">
        <v>41690</v>
      </c>
      <c r="CR134" s="641">
        <v>0</v>
      </c>
      <c r="CS134" s="642">
        <v>4718.3948342420099</v>
      </c>
      <c r="CT134" s="642">
        <v>14853.944298189826</v>
      </c>
      <c r="CU134" s="643">
        <v>1181.4747717336672</v>
      </c>
      <c r="CV134" s="573"/>
      <c r="CW134" s="573"/>
      <c r="CX134" s="573"/>
      <c r="CY134" s="573"/>
      <c r="CZ134" s="572">
        <f t="shared" si="100"/>
        <v>2.0358229028558559</v>
      </c>
      <c r="DA134" s="572">
        <f t="shared" si="115"/>
        <v>0</v>
      </c>
      <c r="DB134" s="572">
        <f t="shared" si="88"/>
        <v>25.595129683240348</v>
      </c>
      <c r="DC134" s="572">
        <f t="shared" si="116"/>
        <v>0</v>
      </c>
      <c r="DD134" s="622"/>
      <c r="DE134" s="299">
        <v>41688</v>
      </c>
      <c r="DF134" s="463">
        <v>0</v>
      </c>
      <c r="DG134" s="463">
        <v>0.47545138816282678</v>
      </c>
      <c r="DH134" s="463">
        <v>1.6230151859808133</v>
      </c>
      <c r="DI134" s="463">
        <v>0.16158209183760364</v>
      </c>
      <c r="DJ134" s="324"/>
      <c r="DK134" s="324"/>
      <c r="DL134" s="528">
        <v>1.4108460903008968</v>
      </c>
      <c r="DM134" s="546">
        <v>1.5962668903008905</v>
      </c>
      <c r="DN134" s="528">
        <f t="shared" si="95"/>
        <v>0</v>
      </c>
      <c r="DO134" s="528">
        <f t="shared" si="96"/>
        <v>0</v>
      </c>
      <c r="DP134" s="528">
        <f t="shared" si="97"/>
        <v>14.108460903008968</v>
      </c>
      <c r="DQ134" s="528">
        <f t="shared" si="98"/>
        <v>15.962668903008906</v>
      </c>
      <c r="DR134" s="463"/>
      <c r="DS134" s="463"/>
      <c r="DT134" s="463">
        <v>1.4108460903008968</v>
      </c>
      <c r="DU134" s="463">
        <v>1.5962668903008905</v>
      </c>
      <c r="DV134" s="463"/>
      <c r="DW134" s="463"/>
      <c r="DX134" s="463">
        <v>7.6608000000000231E-3</v>
      </c>
      <c r="DY134" s="463">
        <v>0.28224000000000005</v>
      </c>
      <c r="DZ134" s="463"/>
      <c r="EA134" s="463"/>
      <c r="EB134" s="463">
        <v>7.6608000000000231E-3</v>
      </c>
      <c r="EC134" s="463">
        <v>0.28224000000000005</v>
      </c>
      <c r="ED134" s="463">
        <f t="shared" si="89"/>
        <v>0</v>
      </c>
      <c r="EE134" s="463">
        <f t="shared" si="90"/>
        <v>0</v>
      </c>
      <c r="EF134" s="463">
        <f t="shared" si="91"/>
        <v>7.6608000000000231E-2</v>
      </c>
      <c r="EG134" s="463">
        <f t="shared" si="92"/>
        <v>2.8224000000000005</v>
      </c>
      <c r="EH134" s="324">
        <f>'[3]Plots R2&gt;.75 - UPDATED'!S131</f>
        <v>0</v>
      </c>
      <c r="EI134" s="324">
        <f>'[3]Plots R2&gt;.75 - UPDATED'!T131</f>
        <v>0.67470271125802994</v>
      </c>
      <c r="EJ134" s="528">
        <f>'[3]Plots R2&gt;.75 - UPDATED'!U131</f>
        <v>1.1438027112580298</v>
      </c>
      <c r="EK134" s="546">
        <f>'[3]Plots R2&gt;.75 - UPDATED'!V131</f>
        <v>0.67210271125803045</v>
      </c>
      <c r="EL134" s="676"/>
      <c r="EM134" s="850"/>
      <c r="EN134" s="299">
        <v>41688</v>
      </c>
      <c r="EO134" s="324">
        <v>0</v>
      </c>
      <c r="EP134" s="324">
        <v>0.67470271125802994</v>
      </c>
      <c r="EQ134" s="528">
        <v>1.1438027112580298</v>
      </c>
      <c r="ER134" s="546">
        <v>0.67210271125803045</v>
      </c>
      <c r="GM134" s="640"/>
      <c r="GN134" s="640"/>
      <c r="GO134" s="640"/>
      <c r="GP134" s="640"/>
      <c r="GQ134" s="640"/>
      <c r="GR134" s="640"/>
      <c r="GS134" s="640"/>
      <c r="GT134" s="640"/>
      <c r="GU134" s="640"/>
      <c r="HE134" s="564"/>
      <c r="HF134" s="564"/>
      <c r="HG134" s="573"/>
      <c r="HH134" s="573"/>
      <c r="HI134" s="603">
        <v>1.478202294239308</v>
      </c>
      <c r="HJ134" s="603">
        <v>0</v>
      </c>
      <c r="HK134" s="603">
        <v>8.5726713856702421</v>
      </c>
      <c r="HL134" s="603">
        <v>0</v>
      </c>
    </row>
    <row r="135" spans="10:220" ht="17" thickBot="1">
      <c r="J135" s="580">
        <v>41672</v>
      </c>
      <c r="K135" s="581">
        <v>0</v>
      </c>
      <c r="L135" s="582">
        <v>10.176299999999999</v>
      </c>
      <c r="M135" s="582">
        <v>10.1625</v>
      </c>
      <c r="N135" s="582">
        <v>11.458399999999999</v>
      </c>
      <c r="O135" s="582">
        <v>11.2653</v>
      </c>
      <c r="P135" s="582">
        <v>99.102099999999993</v>
      </c>
      <c r="Q135" s="582">
        <v>10.133134297353248</v>
      </c>
      <c r="R135" s="582">
        <v>0</v>
      </c>
      <c r="S135" s="582">
        <v>0.67936570264675189</v>
      </c>
      <c r="T135" s="582">
        <v>1.5152657026467513</v>
      </c>
      <c r="U135" s="582">
        <v>1.402165702646752</v>
      </c>
      <c r="W135" s="580">
        <v>41690</v>
      </c>
      <c r="X135" s="582">
        <f t="shared" si="110"/>
        <v>0</v>
      </c>
      <c r="Y135" s="582">
        <f t="shared" si="110"/>
        <v>0.6746075090983269</v>
      </c>
      <c r="Z135" s="582">
        <f t="shared" si="110"/>
        <v>1.1433998167906343</v>
      </c>
      <c r="AA135" s="582">
        <f t="shared" si="110"/>
        <v>0.96213058602140344</v>
      </c>
      <c r="AB135" s="606"/>
      <c r="AC135" s="448"/>
      <c r="AD135" s="449"/>
      <c r="AE135" s="443">
        <f t="shared" si="113"/>
        <v>2.013049438774317E-2</v>
      </c>
      <c r="AF135" s="443">
        <f t="shared" si="114"/>
        <v>0.14343818669543518</v>
      </c>
      <c r="AG135" s="633">
        <v>41690</v>
      </c>
      <c r="AH135" s="509"/>
      <c r="AI135" s="510"/>
      <c r="AJ135" s="572">
        <v>0</v>
      </c>
      <c r="AK135" s="572">
        <v>0</v>
      </c>
      <c r="AL135" s="634"/>
      <c r="AM135" s="448"/>
      <c r="AN135" s="449"/>
      <c r="AO135" s="443">
        <v>-2.0900000000000001E-7</v>
      </c>
      <c r="AP135" s="443">
        <v>4.5900000000000002E-7</v>
      </c>
      <c r="AR135" s="448"/>
      <c r="AS135" s="449"/>
      <c r="AT135" s="443">
        <f t="shared" si="111"/>
        <v>3.0096000000000002E-4</v>
      </c>
      <c r="AU135" s="443">
        <f t="shared" si="111"/>
        <v>-6.6096000000000004E-4</v>
      </c>
      <c r="AV135" s="633">
        <v>41690</v>
      </c>
      <c r="AW135" s="644"/>
      <c r="AX135" s="608">
        <v>0</v>
      </c>
      <c r="AY135" s="448"/>
      <c r="AZ135" s="449"/>
      <c r="BA135" s="443">
        <f t="shared" si="102"/>
        <v>1.982953438774317E-2</v>
      </c>
      <c r="BB135" s="443">
        <f t="shared" si="103"/>
        <v>0.14409914669543517</v>
      </c>
      <c r="BC135" s="608">
        <f t="shared" si="77"/>
        <v>1.4409914669543515</v>
      </c>
      <c r="BD135" s="627" t="s">
        <v>573</v>
      </c>
      <c r="BE135" s="580">
        <v>41690</v>
      </c>
      <c r="BF135" s="448"/>
      <c r="BG135" s="449"/>
      <c r="BH135" s="443">
        <f t="shared" si="108"/>
        <v>23.427004162969347</v>
      </c>
      <c r="BI135" s="443">
        <f t="shared" si="109"/>
        <v>36.305724162968616</v>
      </c>
      <c r="BJ135" s="658"/>
      <c r="BK135" s="448"/>
      <c r="BL135" s="449"/>
      <c r="BM135" s="443">
        <v>19.82953438774317</v>
      </c>
      <c r="BN135" s="443"/>
      <c r="BO135" s="353">
        <v>70</v>
      </c>
      <c r="BP135" s="353">
        <f t="shared" si="82"/>
        <v>14</v>
      </c>
      <c r="BQ135" s="610">
        <f t="shared" si="83"/>
        <v>50</v>
      </c>
      <c r="BR135" s="610">
        <f t="shared" si="84"/>
        <v>18.918918918918919</v>
      </c>
      <c r="BT135" s="648"/>
      <c r="BU135" s="648"/>
      <c r="BV135" s="648"/>
      <c r="BW135" s="648"/>
      <c r="BX135" s="648"/>
      <c r="BY135" s="616" t="s">
        <v>492</v>
      </c>
      <c r="BZ135" s="617">
        <v>26</v>
      </c>
      <c r="CA135" s="608">
        <v>0</v>
      </c>
      <c r="CB135" s="608">
        <f t="shared" si="85"/>
        <v>0</v>
      </c>
      <c r="CC135" s="353">
        <v>68</v>
      </c>
      <c r="CD135" s="631">
        <f t="shared" si="86"/>
        <v>558.00000000000011</v>
      </c>
      <c r="CN135" s="632" t="s">
        <v>553</v>
      </c>
      <c r="CO135" s="580">
        <f>'[3]Plots R2&gt;.75 - UPDATED'!R132</f>
        <v>41691</v>
      </c>
      <c r="CP135" s="620"/>
      <c r="CQ135" s="661">
        <v>41691</v>
      </c>
      <c r="CR135" s="641">
        <v>0</v>
      </c>
      <c r="CS135" s="642">
        <v>4767.4394030586564</v>
      </c>
      <c r="CT135" s="642">
        <v>14376.303833251326</v>
      </c>
      <c r="CU135" s="643">
        <v>546.7772980005044</v>
      </c>
      <c r="CV135" s="573"/>
      <c r="CW135" s="573"/>
      <c r="CX135" s="573"/>
      <c r="CY135" s="573"/>
      <c r="CZ135" s="572">
        <f t="shared" si="100"/>
        <v>2.1034613869287542</v>
      </c>
      <c r="DA135" s="572">
        <f t="shared" si="115"/>
        <v>0</v>
      </c>
      <c r="DB135" s="572">
        <f t="shared" si="88"/>
        <v>55.305880676801799</v>
      </c>
      <c r="DC135" s="572">
        <f t="shared" si="116"/>
        <v>0</v>
      </c>
      <c r="DD135" s="622"/>
      <c r="DE135" s="299">
        <v>41689</v>
      </c>
      <c r="DF135" s="463">
        <v>0</v>
      </c>
      <c r="DG135" s="463">
        <v>0.47634381871213016</v>
      </c>
      <c r="DH135" s="463">
        <v>1.5707408356784966</v>
      </c>
      <c r="DI135" s="463">
        <v>0.14443497792666052</v>
      </c>
      <c r="DJ135" s="324"/>
      <c r="DK135" s="324"/>
      <c r="DL135" s="528">
        <v>2.3427004162969345</v>
      </c>
      <c r="DM135" s="546">
        <v>3.6305724162968618</v>
      </c>
      <c r="DN135" s="528">
        <f t="shared" si="95"/>
        <v>0</v>
      </c>
      <c r="DO135" s="528">
        <f t="shared" si="96"/>
        <v>0</v>
      </c>
      <c r="DP135" s="528">
        <f t="shared" si="97"/>
        <v>23.427004162969347</v>
      </c>
      <c r="DQ135" s="528">
        <f t="shared" si="98"/>
        <v>36.305724162968616</v>
      </c>
      <c r="DR135" s="463"/>
      <c r="DS135" s="463"/>
      <c r="DT135" s="463">
        <v>2.3427004162969345</v>
      </c>
      <c r="DU135" s="463">
        <v>3.6305724162968618</v>
      </c>
      <c r="DV135" s="463"/>
      <c r="DW135" s="463"/>
      <c r="DX135" s="463">
        <v>-0.13852799999999998</v>
      </c>
      <c r="DY135" s="463">
        <v>-1.1664000000000003</v>
      </c>
      <c r="DZ135" s="463"/>
      <c r="EA135" s="463"/>
      <c r="EB135" s="463">
        <v>-0.13852799999999998</v>
      </c>
      <c r="EC135" s="463">
        <v>-1.1664000000000003</v>
      </c>
      <c r="ED135" s="463">
        <f t="shared" si="89"/>
        <v>0</v>
      </c>
      <c r="EE135" s="463">
        <f t="shared" si="90"/>
        <v>0</v>
      </c>
      <c r="EF135" s="463">
        <f t="shared" si="91"/>
        <v>-1.3852799999999998</v>
      </c>
      <c r="EG135" s="463">
        <f t="shared" si="92"/>
        <v>-11.664000000000003</v>
      </c>
      <c r="EH135" s="324">
        <f>'[3]Plots R2&gt;.75 - UPDATED'!S132</f>
        <v>0</v>
      </c>
      <c r="EI135" s="324">
        <f>'[3]Plots R2&gt;.75 - UPDATED'!T132</f>
        <v>0.67712664481721219</v>
      </c>
      <c r="EJ135" s="528">
        <f>'[3]Plots R2&gt;.75 - UPDATED'!U132</f>
        <v>1.1231266448172126</v>
      </c>
      <c r="EK135" s="546">
        <f>'[3]Plots R2&gt;.75 - UPDATED'!V132</f>
        <v>0.52862664481721344</v>
      </c>
      <c r="EL135" s="676"/>
      <c r="EM135" s="850"/>
      <c r="EN135" s="299">
        <v>41689</v>
      </c>
      <c r="EO135" s="324">
        <v>0</v>
      </c>
      <c r="EP135" s="324">
        <v>0.67712664481721219</v>
      </c>
      <c r="EQ135" s="528">
        <v>1.1231266448172126</v>
      </c>
      <c r="ER135" s="546">
        <v>0.52862664481721344</v>
      </c>
      <c r="GM135" s="640"/>
      <c r="GN135" s="640"/>
      <c r="GO135" s="640"/>
      <c r="GP135" s="640"/>
      <c r="GQ135" s="640"/>
      <c r="GR135" s="640"/>
      <c r="GS135" s="640"/>
      <c r="GT135" s="640"/>
      <c r="GU135" s="640"/>
      <c r="HE135" s="564"/>
      <c r="HF135" s="564"/>
      <c r="HG135" s="573"/>
      <c r="HH135" s="573"/>
      <c r="HI135" s="603">
        <v>1.5208889475521059</v>
      </c>
      <c r="HJ135" s="603">
        <v>0</v>
      </c>
      <c r="HK135" s="603">
        <v>9.3217717759127758</v>
      </c>
      <c r="HL135" s="603">
        <v>0</v>
      </c>
    </row>
    <row r="136" spans="10:220" ht="17" thickBot="1">
      <c r="J136" s="580">
        <v>41673</v>
      </c>
      <c r="K136" s="581">
        <v>0</v>
      </c>
      <c r="L136" s="582">
        <v>10.1585</v>
      </c>
      <c r="M136" s="582">
        <v>10.145300000000001</v>
      </c>
      <c r="N136" s="582">
        <v>11.420999999999999</v>
      </c>
      <c r="O136" s="582">
        <v>11.225099999999999</v>
      </c>
      <c r="P136" s="582">
        <v>98.9328</v>
      </c>
      <c r="Q136" s="582">
        <v>10.115823467042469</v>
      </c>
      <c r="R136" s="582">
        <v>0</v>
      </c>
      <c r="S136" s="582">
        <v>0.67947653295753141</v>
      </c>
      <c r="T136" s="582">
        <v>1.4951765329575299</v>
      </c>
      <c r="U136" s="582">
        <v>1.3792765329575301</v>
      </c>
      <c r="W136" s="580">
        <v>41691</v>
      </c>
      <c r="X136" s="582">
        <f t="shared" si="110"/>
        <v>0</v>
      </c>
      <c r="Y136" s="582">
        <f>AVERAGE(S154,S316,S478,S640,S802,S964,S1126,S1288,S1450,S1612,S1774,S1936,S2098)</f>
        <v>0.67592316855673795</v>
      </c>
      <c r="Z136" s="582">
        <f t="shared" si="110"/>
        <v>1.1232693224028911</v>
      </c>
      <c r="AA136" s="582">
        <f t="shared" si="110"/>
        <v>0.81869239932596827</v>
      </c>
      <c r="AB136" s="606"/>
      <c r="AC136" s="448"/>
      <c r="AD136" s="449"/>
      <c r="AE136" s="443">
        <f t="shared" si="113"/>
        <v>2.0634560574845251E-2</v>
      </c>
      <c r="AF136" s="443">
        <f t="shared" si="114"/>
        <v>6.7642252882537557E-2</v>
      </c>
      <c r="AG136" s="661">
        <v>41691</v>
      </c>
      <c r="AH136" s="509"/>
      <c r="AI136" s="510"/>
      <c r="AJ136" s="572">
        <v>0</v>
      </c>
      <c r="AK136" s="572">
        <v>0</v>
      </c>
      <c r="AL136" s="662"/>
      <c r="AM136" s="448"/>
      <c r="AN136" s="449"/>
      <c r="AO136" s="443">
        <v>-1.17E-6</v>
      </c>
      <c r="AP136" s="443">
        <v>7.4499999999999998E-6</v>
      </c>
      <c r="AR136" s="448"/>
      <c r="AS136" s="449"/>
      <c r="AT136" s="443">
        <f t="shared" si="111"/>
        <v>1.6848E-3</v>
      </c>
      <c r="AU136" s="443">
        <f>-AP136*1440</f>
        <v>-1.0728E-2</v>
      </c>
      <c r="AV136" s="661">
        <v>41691</v>
      </c>
      <c r="AW136" s="644"/>
      <c r="AX136" s="608">
        <v>0</v>
      </c>
      <c r="AY136" s="448"/>
      <c r="AZ136" s="449"/>
      <c r="BA136" s="443">
        <f t="shared" si="102"/>
        <v>1.8949760574845251E-2</v>
      </c>
      <c r="BB136" s="443">
        <f t="shared" si="103"/>
        <v>7.8370252882537558E-2</v>
      </c>
      <c r="BC136" s="608">
        <f>BB136*10</f>
        <v>0.78370252882537561</v>
      </c>
      <c r="BD136" s="627" t="s">
        <v>574</v>
      </c>
      <c r="BE136" s="580">
        <v>41691</v>
      </c>
      <c r="BF136" s="448"/>
      <c r="BG136" s="449"/>
      <c r="BH136" s="443">
        <f t="shared" si="108"/>
        <v>20.375106440817209</v>
      </c>
      <c r="BI136" s="443">
        <f t="shared" si="109"/>
        <v>0</v>
      </c>
      <c r="BJ136" s="658"/>
      <c r="BK136" s="448"/>
      <c r="BL136" s="449"/>
      <c r="BM136" s="443">
        <v>18.94976057484525</v>
      </c>
      <c r="BN136" s="443"/>
      <c r="BO136" s="353">
        <v>64</v>
      </c>
      <c r="BP136" s="353">
        <f t="shared" si="82"/>
        <v>12.8</v>
      </c>
      <c r="BQ136" s="610">
        <f t="shared" si="83"/>
        <v>45.714285714285715</v>
      </c>
      <c r="BR136" s="610">
        <f t="shared" si="84"/>
        <v>17.297297297297295</v>
      </c>
      <c r="BT136" s="648"/>
      <c r="BU136" s="648"/>
      <c r="BV136" s="648"/>
      <c r="BW136" s="648"/>
      <c r="BX136" s="648"/>
      <c r="BY136" s="616" t="s">
        <v>494</v>
      </c>
      <c r="BZ136" s="617">
        <v>26</v>
      </c>
      <c r="CA136" s="608">
        <v>0</v>
      </c>
      <c r="CB136" s="608">
        <f t="shared" si="85"/>
        <v>0</v>
      </c>
      <c r="CC136" s="353">
        <v>72</v>
      </c>
      <c r="CD136" s="631">
        <f t="shared" si="86"/>
        <v>558.00000000000011</v>
      </c>
      <c r="CN136" s="632" t="s">
        <v>554</v>
      </c>
      <c r="CO136" s="580">
        <f>'[3]Plots R2&gt;.75 - UPDATED'!R133</f>
        <v>41692</v>
      </c>
      <c r="CP136" s="384"/>
      <c r="CQ136" s="661">
        <v>41692</v>
      </c>
      <c r="CR136" s="649">
        <v>0</v>
      </c>
      <c r="CS136" s="649">
        <v>4775.8888567164786</v>
      </c>
      <c r="CT136" s="649">
        <v>13909.914347412308</v>
      </c>
      <c r="CU136" s="383">
        <v>352.28300775750915</v>
      </c>
      <c r="CV136" s="663"/>
      <c r="CW136" s="663"/>
      <c r="CX136" s="569"/>
      <c r="CY136" s="663"/>
      <c r="CZ136" s="663">
        <f t="shared" ref="CZ136:CZ149" si="117">(305/CT136)*1000</f>
        <v>21.92680647647121</v>
      </c>
      <c r="DA136" s="663">
        <f t="shared" ref="DA136:DA150" si="118">BH137-CZ136</f>
        <v>-21.92680647647121</v>
      </c>
      <c r="DB136" s="663">
        <f t="shared" ref="DB136:DB149" si="119">(305/CU136)*1000</f>
        <v>865.78118525076297</v>
      </c>
      <c r="DC136" s="513">
        <f t="shared" ref="DC136:DC150" si="120">IF(ABS(DY137*10)&lt;=DB136,0,IF(DY137*10&gt;0,DY137*10-DB136,DY137*10+DB136))</f>
        <v>0</v>
      </c>
      <c r="DE136" s="299">
        <v>41690</v>
      </c>
      <c r="DF136" s="463">
        <v>0</v>
      </c>
      <c r="DG136" s="463">
        <v>0.4733367314342623</v>
      </c>
      <c r="DH136" s="463">
        <v>1.5370714530210521</v>
      </c>
      <c r="DI136" s="463">
        <v>0.13261727353008923</v>
      </c>
      <c r="DJ136" s="324"/>
      <c r="DK136" s="324"/>
      <c r="DL136" s="528">
        <v>2.037510644081721</v>
      </c>
      <c r="DM136" s="546"/>
      <c r="DN136" s="528">
        <f t="shared" si="95"/>
        <v>0</v>
      </c>
      <c r="DO136" s="528">
        <f t="shared" si="96"/>
        <v>0</v>
      </c>
      <c r="DP136" s="528">
        <f t="shared" si="97"/>
        <v>20.375106440817209</v>
      </c>
      <c r="DQ136" s="528">
        <f t="shared" si="98"/>
        <v>0</v>
      </c>
      <c r="DR136" s="463"/>
      <c r="DS136" s="463"/>
      <c r="DT136" s="463">
        <v>2.037510644081721</v>
      </c>
      <c r="DU136" s="463">
        <v>0</v>
      </c>
      <c r="DV136" s="463"/>
      <c r="DW136" s="463"/>
      <c r="DX136" s="463">
        <v>3.0095999999999901E-2</v>
      </c>
      <c r="DY136" s="463">
        <v>14.347606644081701</v>
      </c>
      <c r="DZ136" s="463"/>
      <c r="EA136" s="463"/>
      <c r="EB136" s="463">
        <v>3.0095999999999901E-2</v>
      </c>
      <c r="EC136" s="463"/>
      <c r="ED136" s="463">
        <f t="shared" si="89"/>
        <v>0</v>
      </c>
      <c r="EE136" s="463">
        <f t="shared" si="90"/>
        <v>0</v>
      </c>
      <c r="EF136" s="463">
        <f t="shared" si="91"/>
        <v>0.30095999999999901</v>
      </c>
      <c r="EG136" s="463">
        <f t="shared" si="92"/>
        <v>0</v>
      </c>
      <c r="EH136" s="324">
        <f>'[3]Plots R2&gt;.75 - UPDATED'!S133</f>
        <v>0</v>
      </c>
      <c r="EI136" s="324">
        <f>'[3]Plots R2&gt;.75 - UPDATED'!T133</f>
        <v>0.67754259582394893</v>
      </c>
      <c r="EJ136" s="528">
        <f>'[3]Plots R2&gt;.75 - UPDATED'!U133</f>
        <v>1.1026425958239483</v>
      </c>
      <c r="EK136" s="546">
        <f>'[3]Plots R2&gt;.75 - UPDATED'!V133</f>
        <v>0.46094259582394903</v>
      </c>
      <c r="EL136" s="676"/>
      <c r="EM136" s="850"/>
      <c r="EN136" s="299">
        <v>41690</v>
      </c>
      <c r="EO136" s="324">
        <v>0</v>
      </c>
      <c r="EP136" s="324">
        <v>0.67754259582394893</v>
      </c>
      <c r="EQ136" s="528">
        <v>1.1026425958239483</v>
      </c>
      <c r="ER136" s="546">
        <v>0.46094259582394903</v>
      </c>
      <c r="GM136" s="640"/>
      <c r="GN136" s="640"/>
      <c r="GO136" s="640"/>
      <c r="GP136" s="640"/>
      <c r="GQ136" s="640"/>
      <c r="GR136" s="640"/>
      <c r="GS136" s="640"/>
      <c r="GT136" s="640"/>
      <c r="GU136" s="640"/>
      <c r="HE136" s="564"/>
      <c r="HF136" s="564"/>
      <c r="HG136" s="573"/>
      <c r="HH136" s="573"/>
      <c r="HI136" s="603">
        <v>1.5626909747799809</v>
      </c>
      <c r="HJ136" s="603">
        <v>0</v>
      </c>
      <c r="HK136" s="603">
        <v>10.260091142565805</v>
      </c>
      <c r="HL136" s="603">
        <v>0</v>
      </c>
    </row>
    <row r="137" spans="10:220" ht="17" thickBot="1">
      <c r="J137" s="580">
        <v>41674</v>
      </c>
      <c r="K137" s="581">
        <v>0</v>
      </c>
      <c r="L137" s="582">
        <v>10.149800000000001</v>
      </c>
      <c r="M137" s="582">
        <v>10.1374</v>
      </c>
      <c r="N137" s="582">
        <v>11.388400000000001</v>
      </c>
      <c r="O137" s="582">
        <v>11.190899999999999</v>
      </c>
      <c r="P137" s="582">
        <v>98.839100000000002</v>
      </c>
      <c r="Q137" s="582">
        <v>10.10624269444873</v>
      </c>
      <c r="R137" s="582">
        <v>0</v>
      </c>
      <c r="S137" s="582">
        <v>0.68115730555127008</v>
      </c>
      <c r="T137" s="582">
        <v>1.4721573055512711</v>
      </c>
      <c r="U137" s="582">
        <v>1.3546573055512696</v>
      </c>
      <c r="W137" s="580">
        <v>41692</v>
      </c>
      <c r="X137" s="582">
        <f t="shared" ref="X137:X150" si="121">AVERAGE(R155,R317,R479,R641,R803,R965,R1127,R1289,R1451,R1613,R1775,R1937,R2099)</f>
        <v>0</v>
      </c>
      <c r="Y137" s="582">
        <f>AVERAGE(S155,S317,S479,S641,S803,S965,S1127,S1289,S1451,S1613,S1775,S1937,S2099)</f>
        <v>0.67675014644343101</v>
      </c>
      <c r="Z137" s="582">
        <f t="shared" ref="Z137:AA150" si="122">AVERAGE(T155,T317,T479,T641,T803,T965,T1127,T1289,T1451,T1613,T1775,T1937,T2099)</f>
        <v>1.1026347618280459</v>
      </c>
      <c r="AA137" s="582">
        <f t="shared" si="122"/>
        <v>0.75105014644343071</v>
      </c>
      <c r="AB137" s="606"/>
      <c r="AC137" s="582"/>
      <c r="AD137" s="582"/>
      <c r="AE137" s="582">
        <f t="shared" si="113"/>
        <v>1.9866495922210348E-2</v>
      </c>
      <c r="AF137" s="582">
        <f t="shared" si="114"/>
        <v>7.2958803614518009E-2</v>
      </c>
      <c r="BE137" s="580">
        <v>41692</v>
      </c>
      <c r="BF137" s="664"/>
      <c r="BG137" s="664"/>
      <c r="BH137" s="664"/>
      <c r="BI137" s="664"/>
      <c r="BJ137" s="665"/>
      <c r="BK137" s="664"/>
      <c r="BL137" s="664"/>
      <c r="BM137" s="664"/>
      <c r="BN137" s="664"/>
      <c r="BO137" s="353">
        <v>62</v>
      </c>
      <c r="BP137" s="353">
        <f t="shared" ref="BP137:BP150" si="123">BO137/5</f>
        <v>12.4</v>
      </c>
      <c r="BQ137" s="610">
        <f t="shared" ref="BQ137:BQ150" si="124">BO137/1.4</f>
        <v>44.285714285714292</v>
      </c>
      <c r="BR137" s="610">
        <f t="shared" ref="BR137:BR150" si="125">BO137/3.7</f>
        <v>16.756756756756754</v>
      </c>
      <c r="BT137" s="648"/>
      <c r="BU137" s="648"/>
      <c r="BV137" s="648"/>
      <c r="BW137" s="648"/>
      <c r="BX137" s="648"/>
      <c r="BY137" s="616" t="s">
        <v>496</v>
      </c>
      <c r="BZ137" s="617">
        <v>27</v>
      </c>
      <c r="CA137" s="608">
        <v>0</v>
      </c>
      <c r="CB137" s="608">
        <f t="shared" ref="CB137:CB200" si="126">CA137*10</f>
        <v>0</v>
      </c>
      <c r="CC137" s="353">
        <v>72</v>
      </c>
      <c r="CD137" s="631">
        <f t="shared" si="86"/>
        <v>558.00000000000011</v>
      </c>
      <c r="CN137" s="632" t="s">
        <v>555</v>
      </c>
      <c r="CO137" s="580">
        <f>'[3]Plots R2&gt;.75 - UPDATED'!R134</f>
        <v>41693</v>
      </c>
      <c r="CP137" s="384"/>
      <c r="CQ137" s="661">
        <v>41693</v>
      </c>
      <c r="CR137" s="649">
        <v>0</v>
      </c>
      <c r="CS137" s="649">
        <v>4731.4708090541371</v>
      </c>
      <c r="CT137" s="649">
        <v>13454.610875927847</v>
      </c>
      <c r="CU137" s="383">
        <v>202.44317214910211</v>
      </c>
      <c r="CV137" s="663"/>
      <c r="CW137" s="663"/>
      <c r="CX137" s="569"/>
      <c r="CY137" s="663"/>
      <c r="CZ137" s="663">
        <f t="shared" si="117"/>
        <v>22.668808694102559</v>
      </c>
      <c r="DA137" s="663">
        <f t="shared" si="118"/>
        <v>-22.668808694102559</v>
      </c>
      <c r="DB137" s="663">
        <f t="shared" si="119"/>
        <v>1506.5956374925968</v>
      </c>
      <c r="DC137" s="513">
        <f t="shared" si="120"/>
        <v>0</v>
      </c>
      <c r="DE137" s="299">
        <v>41691</v>
      </c>
      <c r="DF137" s="463">
        <v>0</v>
      </c>
      <c r="DG137" s="463">
        <v>0.47183948342420101</v>
      </c>
      <c r="DH137" s="463">
        <v>1.4853944298189827</v>
      </c>
      <c r="DI137" s="463">
        <v>0.11814747717336672</v>
      </c>
      <c r="DJ137" s="324"/>
      <c r="DK137" s="324"/>
      <c r="DL137" s="528">
        <v>1.8799248993264281</v>
      </c>
      <c r="DM137" s="546"/>
      <c r="DN137" s="528">
        <f t="shared" si="95"/>
        <v>0</v>
      </c>
      <c r="DO137" s="528">
        <f t="shared" si="96"/>
        <v>0</v>
      </c>
      <c r="DP137" s="528">
        <f t="shared" si="97"/>
        <v>18.799248993264282</v>
      </c>
      <c r="DQ137" s="528">
        <f t="shared" si="98"/>
        <v>0</v>
      </c>
      <c r="DR137" s="463"/>
      <c r="DS137" s="463"/>
      <c r="DT137" s="463">
        <v>1.8799248993264281</v>
      </c>
      <c r="DU137" s="463">
        <v>0</v>
      </c>
      <c r="DV137" s="463"/>
      <c r="DW137" s="463"/>
      <c r="DX137" s="463">
        <v>0.16847999999999996</v>
      </c>
      <c r="DY137" s="463">
        <v>6.7684048993264412</v>
      </c>
      <c r="DZ137" s="463"/>
      <c r="EA137" s="463"/>
      <c r="EB137" s="463">
        <v>0.16847999999999996</v>
      </c>
      <c r="EC137" s="463"/>
      <c r="ED137" s="463">
        <f t="shared" si="89"/>
        <v>0</v>
      </c>
      <c r="EE137" s="463">
        <f t="shared" si="90"/>
        <v>0</v>
      </c>
      <c r="EF137" s="463">
        <f t="shared" si="91"/>
        <v>1.6847999999999996</v>
      </c>
      <c r="EG137" s="463">
        <f t="shared" si="92"/>
        <v>0</v>
      </c>
      <c r="EH137" s="324">
        <f>'[3]Plots R2&gt;.75 - UPDATED'!S134</f>
        <v>0</v>
      </c>
      <c r="EI137" s="324">
        <f>'[3]Plots R2&gt;.75 - UPDATED'!T134</f>
        <v>0.67535056897762558</v>
      </c>
      <c r="EJ137" s="528">
        <f>'[3]Plots R2&gt;.75 - UPDATED'!U134</f>
        <v>1.0823505689776245</v>
      </c>
      <c r="EK137" s="546">
        <f>'[3]Plots R2&gt;.75 - UPDATED'!V134</f>
        <v>0.38785056897762571</v>
      </c>
      <c r="EL137" s="676"/>
      <c r="EM137" s="850"/>
      <c r="EN137" s="299">
        <v>41691</v>
      </c>
      <c r="EO137" s="324">
        <v>0</v>
      </c>
      <c r="EP137" s="324">
        <v>0.67535056897762558</v>
      </c>
      <c r="EQ137" s="528">
        <v>1.0823505689776245</v>
      </c>
      <c r="ER137" s="546">
        <v>0.38785056897762571</v>
      </c>
      <c r="GM137" s="640"/>
      <c r="GN137" s="640"/>
      <c r="GO137" s="640"/>
      <c r="GP137" s="640"/>
      <c r="GQ137" s="640"/>
      <c r="GR137" s="640"/>
      <c r="GS137" s="640"/>
      <c r="GT137" s="640"/>
      <c r="GU137" s="640"/>
      <c r="HE137" s="564"/>
      <c r="HF137" s="564"/>
      <c r="HG137" s="573"/>
      <c r="HH137" s="573"/>
      <c r="HI137" s="603">
        <v>1.6070687175867631</v>
      </c>
      <c r="HJ137" s="603">
        <v>0</v>
      </c>
      <c r="HK137" s="603">
        <v>11.261255775514284</v>
      </c>
      <c r="HL137" s="603">
        <v>0</v>
      </c>
    </row>
    <row r="138" spans="10:220" ht="17" thickBot="1">
      <c r="J138" s="580">
        <v>41675</v>
      </c>
      <c r="K138" s="581">
        <v>0</v>
      </c>
      <c r="L138" s="582">
        <v>10.137600000000001</v>
      </c>
      <c r="M138" s="582">
        <v>10.125</v>
      </c>
      <c r="N138" s="582">
        <v>11.354799999999999</v>
      </c>
      <c r="O138" s="582">
        <v>11.152200000000001</v>
      </c>
      <c r="P138" s="582">
        <v>98.702200000000005</v>
      </c>
      <c r="Q138" s="582">
        <v>10.092244746016682</v>
      </c>
      <c r="R138" s="582">
        <v>0</v>
      </c>
      <c r="S138" s="582">
        <v>0.68275525398331793</v>
      </c>
      <c r="T138" s="582">
        <v>1.4525552539833169</v>
      </c>
      <c r="U138" s="582">
        <v>1.3299552539833184</v>
      </c>
      <c r="W138" s="580">
        <v>41693</v>
      </c>
      <c r="X138" s="582">
        <f t="shared" si="121"/>
        <v>0</v>
      </c>
      <c r="Y138" s="582">
        <f>AVERAGE(S156,S318,S480,S642,S804,S966,S1128,S1290,S1452,S1614,S1776,S1938,S2100)</f>
        <v>0.67486826590583582</v>
      </c>
      <c r="Z138" s="582">
        <f t="shared" si="122"/>
        <v>1.0827682659058355</v>
      </c>
      <c r="AA138" s="582">
        <f t="shared" si="122"/>
        <v>0.6780913428289127</v>
      </c>
      <c r="AB138" s="606"/>
      <c r="AC138" s="582"/>
      <c r="AD138" s="582"/>
      <c r="AE138" s="582">
        <f t="shared" si="113"/>
        <v>1.9489743890986233E-2</v>
      </c>
      <c r="AF138" s="450">
        <f t="shared" si="114"/>
        <v>-9.1025610901374066E-4</v>
      </c>
      <c r="BE138" s="580">
        <v>41693</v>
      </c>
      <c r="BF138" s="664"/>
      <c r="BG138" s="664"/>
      <c r="BH138" s="664"/>
      <c r="BI138" s="664"/>
      <c r="BJ138" s="665"/>
      <c r="BK138" s="664"/>
      <c r="BL138" s="664"/>
      <c r="BM138" s="664"/>
      <c r="BN138" s="664"/>
      <c r="BO138" s="353">
        <v>61</v>
      </c>
      <c r="BP138" s="353">
        <f t="shared" si="123"/>
        <v>12.2</v>
      </c>
      <c r="BQ138" s="610">
        <f t="shared" si="124"/>
        <v>43.571428571428577</v>
      </c>
      <c r="BR138" s="610">
        <f t="shared" si="125"/>
        <v>16.486486486486484</v>
      </c>
      <c r="BT138" s="648"/>
      <c r="BU138" s="648"/>
      <c r="BV138" s="648"/>
      <c r="BW138" s="648"/>
      <c r="BX138" s="648"/>
      <c r="BY138" s="616" t="s">
        <v>498</v>
      </c>
      <c r="BZ138" s="617">
        <v>27</v>
      </c>
      <c r="CA138" s="608">
        <v>0</v>
      </c>
      <c r="CB138" s="608">
        <f t="shared" si="126"/>
        <v>0</v>
      </c>
      <c r="CC138" s="353">
        <v>77</v>
      </c>
      <c r="CD138" s="631">
        <f t="shared" ref="CD138:CD201" si="127">CD137+CB138</f>
        <v>558.00000000000011</v>
      </c>
      <c r="CN138" s="632" t="s">
        <v>556</v>
      </c>
      <c r="CO138" s="580">
        <f>'[3]Plots R2&gt;.75 - UPDATED'!R135</f>
        <v>41694</v>
      </c>
      <c r="CP138" s="384"/>
      <c r="CQ138" s="661">
        <v>41694</v>
      </c>
      <c r="CR138" s="649">
        <v>0</v>
      </c>
      <c r="CS138" s="649">
        <v>4755.5212531235557</v>
      </c>
      <c r="CT138" s="649">
        <v>13016.562039728306</v>
      </c>
      <c r="CU138" s="383">
        <v>203.93505066043735</v>
      </c>
      <c r="CV138" s="663"/>
      <c r="CW138" s="663"/>
      <c r="CX138" s="569"/>
      <c r="CY138" s="663"/>
      <c r="CZ138" s="663">
        <f t="shared" si="117"/>
        <v>23.431686421429777</v>
      </c>
      <c r="DA138" s="663">
        <f t="shared" si="118"/>
        <v>-23.431686421429777</v>
      </c>
      <c r="DB138" s="663">
        <f t="shared" si="119"/>
        <v>1495.5741988062716</v>
      </c>
      <c r="DC138" s="513">
        <f t="shared" si="120"/>
        <v>0</v>
      </c>
      <c r="DF138" s="463">
        <v>0</v>
      </c>
      <c r="DG138" s="463">
        <v>0.47674394030586564</v>
      </c>
      <c r="DH138" s="463">
        <v>1.4376303833251327</v>
      </c>
      <c r="DI138" s="463">
        <v>5.4677729800050437E-2</v>
      </c>
      <c r="DK138" s="331">
        <f>AVERAGE(DK8:DK137)</f>
        <v>0.96991979502831549</v>
      </c>
      <c r="DO138" s="331">
        <f>AVERAGE(DO8:DO137)</f>
        <v>3.154210715539238</v>
      </c>
      <c r="DR138" s="463"/>
      <c r="DS138" s="463"/>
      <c r="DT138" s="463"/>
      <c r="DU138" s="463"/>
      <c r="DV138" s="463"/>
      <c r="DW138" s="463"/>
      <c r="DX138" s="463">
        <v>2.0292026846323807</v>
      </c>
      <c r="DY138" s="463">
        <v>7.3092026846323321</v>
      </c>
      <c r="DZ138" s="463"/>
      <c r="EA138" s="463"/>
      <c r="EB138" s="463">
        <v>2.0292026846323807</v>
      </c>
      <c r="EC138" s="463"/>
      <c r="ED138" s="463">
        <f t="shared" si="89"/>
        <v>0</v>
      </c>
      <c r="EE138" s="463">
        <f t="shared" si="90"/>
        <v>0</v>
      </c>
      <c r="EF138" s="463">
        <f t="shared" si="91"/>
        <v>20.292026846323807</v>
      </c>
      <c r="EG138" s="463">
        <f t="shared" si="92"/>
        <v>0</v>
      </c>
      <c r="EH138" s="331">
        <f>'[3]Plots R2&gt;.75 - UPDATED'!S135</f>
        <v>0</v>
      </c>
      <c r="EI138" s="331">
        <f>'[3]Plots R2&gt;.75 - UPDATED'!T135</f>
        <v>0.67653911685229118</v>
      </c>
      <c r="EJ138" s="331">
        <f>'[3]Plots R2&gt;.75 - UPDATED'!U135</f>
        <v>1.0625391168522911</v>
      </c>
      <c r="EK138" s="331">
        <f>'[3]Plots R2&gt;.75 - UPDATED'!V135</f>
        <v>0.38873911685229023</v>
      </c>
      <c r="EL138" s="677"/>
      <c r="EM138" s="677"/>
      <c r="EO138" s="331">
        <v>0</v>
      </c>
      <c r="EP138" s="331">
        <v>0.67653911685229118</v>
      </c>
      <c r="EQ138" s="331">
        <v>1.0625391168522911</v>
      </c>
      <c r="ER138" s="331">
        <v>0.38873911685229023</v>
      </c>
      <c r="GM138" s="640"/>
      <c r="GN138" s="640"/>
      <c r="GO138" s="640"/>
      <c r="GP138" s="640"/>
      <c r="GQ138" s="640"/>
      <c r="GR138" s="640"/>
      <c r="GS138" s="640"/>
      <c r="GT138" s="640"/>
      <c r="GU138" s="640"/>
      <c r="HE138" s="564"/>
      <c r="HF138" s="564"/>
      <c r="HG138" s="573"/>
      <c r="HH138" s="573"/>
      <c r="HI138" s="602">
        <v>1.653269060059898</v>
      </c>
      <c r="HJ138" s="602">
        <v>0</v>
      </c>
      <c r="HK138" s="602">
        <v>12.353349656969645</v>
      </c>
      <c r="HL138" s="602">
        <v>0</v>
      </c>
    </row>
    <row r="139" spans="10:220" ht="17" thickBot="1">
      <c r="J139" s="580">
        <v>41676</v>
      </c>
      <c r="K139" s="581">
        <v>0</v>
      </c>
      <c r="L139" s="582">
        <v>10.147</v>
      </c>
      <c r="M139" s="582">
        <v>10.134</v>
      </c>
      <c r="N139" s="582">
        <v>11.3437</v>
      </c>
      <c r="O139" s="582">
        <v>11.1381</v>
      </c>
      <c r="P139" s="582">
        <v>98.793499999999995</v>
      </c>
      <c r="Q139" s="582">
        <v>10.101580119952738</v>
      </c>
      <c r="R139" s="582">
        <v>0</v>
      </c>
      <c r="S139" s="582">
        <v>0.68241988004726273</v>
      </c>
      <c r="T139" s="582">
        <v>1.4321198800472623</v>
      </c>
      <c r="U139" s="582">
        <v>1.3065198800472619</v>
      </c>
      <c r="W139" s="580">
        <v>41694</v>
      </c>
      <c r="X139" s="582">
        <f t="shared" si="121"/>
        <v>0</v>
      </c>
      <c r="Y139" s="582">
        <f>AVERAGE(S157,S319,S481,S643,S805,S967,S1129,S1291,S1453,S1615,S1777,S1939,S2101)</f>
        <v>0.67627852201485028</v>
      </c>
      <c r="Z139" s="582">
        <f t="shared" si="122"/>
        <v>1.0632785220148493</v>
      </c>
      <c r="AA139" s="582">
        <f t="shared" si="122"/>
        <v>0.67900159893792644</v>
      </c>
      <c r="AB139" s="606"/>
      <c r="AC139" s="582"/>
      <c r="AD139" s="582"/>
      <c r="AE139" s="582">
        <f t="shared" si="113"/>
        <v>1.2622760032019231E-2</v>
      </c>
      <c r="AF139" s="450">
        <f t="shared" si="114"/>
        <v>-7.1541630449043492E-3</v>
      </c>
      <c r="BE139" s="580">
        <v>41694</v>
      </c>
      <c r="BF139" s="664"/>
      <c r="BG139" s="664"/>
      <c r="BH139" s="664"/>
      <c r="BI139" s="664"/>
      <c r="BJ139" s="665"/>
      <c r="BK139" s="664"/>
      <c r="BL139" s="664"/>
      <c r="BM139" s="664"/>
      <c r="BN139" s="664"/>
      <c r="BO139" s="353">
        <v>85</v>
      </c>
      <c r="BP139" s="353">
        <f t="shared" si="123"/>
        <v>17</v>
      </c>
      <c r="BQ139" s="610">
        <f t="shared" si="124"/>
        <v>60.714285714285715</v>
      </c>
      <c r="BR139" s="610">
        <f t="shared" si="125"/>
        <v>22.972972972972972</v>
      </c>
      <c r="BT139" s="648"/>
      <c r="BU139" s="648"/>
      <c r="BV139" s="648"/>
      <c r="BW139" s="648"/>
      <c r="BX139" s="648"/>
      <c r="BY139" s="616" t="s">
        <v>500</v>
      </c>
      <c r="BZ139" s="617">
        <v>27</v>
      </c>
      <c r="CA139" s="608">
        <v>0</v>
      </c>
      <c r="CB139" s="608">
        <f t="shared" si="126"/>
        <v>0</v>
      </c>
      <c r="CC139" s="353">
        <v>77</v>
      </c>
      <c r="CD139" s="631">
        <f t="shared" si="127"/>
        <v>558.00000000000011</v>
      </c>
      <c r="CN139" s="632" t="s">
        <v>557</v>
      </c>
      <c r="CO139" s="580">
        <f>'[3]Plots R2&gt;.75 - UPDATED'!R136</f>
        <v>41695</v>
      </c>
      <c r="CP139" s="384"/>
      <c r="CQ139" s="661">
        <v>41695</v>
      </c>
      <c r="CR139" s="649">
        <v>0</v>
      </c>
      <c r="CS139" s="649">
        <v>4804.3955406453006</v>
      </c>
      <c r="CT139" s="649">
        <v>12756.597880148624</v>
      </c>
      <c r="CU139" s="383">
        <v>216.30993838814413</v>
      </c>
      <c r="CV139" s="663"/>
      <c r="CW139" s="663"/>
      <c r="CX139" s="569"/>
      <c r="CY139" s="663"/>
      <c r="CZ139" s="663">
        <f t="shared" si="117"/>
        <v>23.909196077633712</v>
      </c>
      <c r="DA139" s="663">
        <f t="shared" si="118"/>
        <v>-23.909196077633712</v>
      </c>
      <c r="DB139" s="663">
        <f t="shared" si="119"/>
        <v>1410.0138083008992</v>
      </c>
      <c r="DC139" s="513">
        <f t="shared" si="120"/>
        <v>0</v>
      </c>
      <c r="DF139" s="463">
        <v>0</v>
      </c>
      <c r="DG139" s="463">
        <v>0.47758888567164787</v>
      </c>
      <c r="DH139" s="463">
        <v>1.3909914347412309</v>
      </c>
      <c r="DI139" s="463">
        <v>3.5228300775750912E-2</v>
      </c>
      <c r="DR139" s="463"/>
      <c r="DS139" s="463"/>
      <c r="DT139" s="463"/>
      <c r="DU139" s="463"/>
      <c r="DV139" s="463"/>
      <c r="DW139" s="463"/>
      <c r="DX139" s="463">
        <v>0.98580265541425049</v>
      </c>
      <c r="DY139" s="463">
        <v>-0.81523926848087025</v>
      </c>
      <c r="DZ139" s="463"/>
      <c r="EA139" s="463"/>
      <c r="EB139" s="463">
        <v>0.98580265541425049</v>
      </c>
      <c r="EC139" s="463">
        <v>-0.81523926848087025</v>
      </c>
      <c r="ED139" s="463">
        <f t="shared" si="89"/>
        <v>0</v>
      </c>
      <c r="EE139" s="463">
        <f t="shared" si="90"/>
        <v>0</v>
      </c>
      <c r="EF139" s="463">
        <f t="shared" si="91"/>
        <v>9.8580265541425049</v>
      </c>
      <c r="EG139" s="463">
        <f t="shared" si="92"/>
        <v>-8.1523926848087029</v>
      </c>
      <c r="EH139" s="331">
        <f>'[3]Plots R2&gt;.75 - UPDATED'!S136</f>
        <v>0</v>
      </c>
      <c r="EI139" s="331">
        <f>'[3]Plots R2&gt;.75 - UPDATED'!T136</f>
        <v>0.67894239090212394</v>
      </c>
      <c r="EJ139" s="331">
        <f>'[3]Plots R2&gt;.75 - UPDATED'!U136</f>
        <v>1.0506423909021234</v>
      </c>
      <c r="EK139" s="331">
        <f>'[3]Plots R2&gt;.75 - UPDATED'!V136</f>
        <v>0.39594239090212424</v>
      </c>
      <c r="EL139" s="677"/>
      <c r="EM139" s="677"/>
      <c r="EO139" s="331">
        <v>0</v>
      </c>
      <c r="EP139" s="331">
        <v>0.67894239090212394</v>
      </c>
      <c r="EQ139" s="331">
        <v>1.0506423909021234</v>
      </c>
      <c r="ER139" s="331">
        <v>0.39594239090212424</v>
      </c>
      <c r="GM139" s="640"/>
      <c r="GN139" s="640"/>
      <c r="GO139" s="640"/>
      <c r="GP139" s="640"/>
      <c r="GQ139" s="640"/>
      <c r="GR139" s="640"/>
      <c r="GS139" s="640"/>
      <c r="GT139" s="640"/>
      <c r="GU139" s="640"/>
      <c r="HE139" s="564"/>
      <c r="HF139" s="564"/>
      <c r="HG139" s="573"/>
      <c r="HH139" s="573"/>
      <c r="HI139" s="602">
        <v>1.7076071762894156</v>
      </c>
      <c r="HJ139" s="602">
        <v>0</v>
      </c>
      <c r="HK139" s="602">
        <v>13.771079424548867</v>
      </c>
      <c r="HL139" s="602">
        <v>0</v>
      </c>
    </row>
    <row r="140" spans="10:220" ht="17" thickBot="1">
      <c r="J140" s="580">
        <v>41677</v>
      </c>
      <c r="K140" s="581">
        <v>0</v>
      </c>
      <c r="L140" s="582">
        <v>10.1404</v>
      </c>
      <c r="M140" s="582">
        <v>10.1279</v>
      </c>
      <c r="N140" s="582">
        <v>11.315200000000001</v>
      </c>
      <c r="O140" s="582">
        <v>11.1098</v>
      </c>
      <c r="P140" s="582">
        <v>98.729399999999998</v>
      </c>
      <c r="Q140" s="582">
        <v>10.095025930803766</v>
      </c>
      <c r="R140" s="582">
        <v>0</v>
      </c>
      <c r="S140" s="582">
        <v>0.68287406919623428</v>
      </c>
      <c r="T140" s="582">
        <v>1.4101740691962346</v>
      </c>
      <c r="U140" s="582">
        <v>1.2847740691962337</v>
      </c>
      <c r="W140" s="580">
        <v>41695</v>
      </c>
      <c r="X140" s="582">
        <f t="shared" si="121"/>
        <v>0</v>
      </c>
      <c r="Y140" s="582">
        <f>AVERAGE(S158,S320,S482,S644,S806,S968,S1130,S1292,S1454,S1616,S1778,S1940,S2102)</f>
        <v>0.67942499275206159</v>
      </c>
      <c r="Z140" s="582">
        <f t="shared" si="122"/>
        <v>1.0506557619828301</v>
      </c>
      <c r="AA140" s="582">
        <f t="shared" si="122"/>
        <v>0.68615576198283079</v>
      </c>
      <c r="AB140" s="606"/>
      <c r="AC140" s="582"/>
      <c r="AD140" s="582"/>
      <c r="AE140" s="582">
        <f t="shared" si="113"/>
        <v>2.4101256900243229E-2</v>
      </c>
      <c r="AF140" s="582">
        <f t="shared" si="114"/>
        <v>1.0001256900243893E-2</v>
      </c>
      <c r="BE140" s="580">
        <v>41695</v>
      </c>
      <c r="BF140" s="664"/>
      <c r="BG140" s="664"/>
      <c r="BH140" s="664"/>
      <c r="BI140" s="664"/>
      <c r="BJ140" s="665"/>
      <c r="BK140" s="664"/>
      <c r="BL140" s="664"/>
      <c r="BM140" s="664"/>
      <c r="BN140" s="664"/>
      <c r="BO140" s="353">
        <v>75</v>
      </c>
      <c r="BP140" s="353">
        <f t="shared" si="123"/>
        <v>15</v>
      </c>
      <c r="BQ140" s="610">
        <f t="shared" si="124"/>
        <v>53.571428571428577</v>
      </c>
      <c r="BR140" s="610">
        <f t="shared" si="125"/>
        <v>20.27027027027027</v>
      </c>
      <c r="BT140" s="648"/>
      <c r="BU140" s="648"/>
      <c r="BV140" s="648"/>
      <c r="BW140" s="648"/>
      <c r="BX140" s="648"/>
      <c r="BY140" s="616" t="s">
        <v>502</v>
      </c>
      <c r="BZ140" s="617">
        <v>28</v>
      </c>
      <c r="CA140" s="608">
        <v>0</v>
      </c>
      <c r="CB140" s="608">
        <f t="shared" si="126"/>
        <v>0</v>
      </c>
      <c r="CC140" s="353">
        <v>74</v>
      </c>
      <c r="CD140" s="631">
        <f t="shared" si="127"/>
        <v>558.00000000000011</v>
      </c>
      <c r="CN140" s="632" t="s">
        <v>558</v>
      </c>
      <c r="CO140" s="580">
        <f>'[3]Plots R2&gt;.75 - UPDATED'!R137</f>
        <v>41696</v>
      </c>
      <c r="CP140" s="384"/>
      <c r="CQ140" s="661">
        <v>41696</v>
      </c>
      <c r="CR140" s="649">
        <v>0</v>
      </c>
      <c r="CS140" s="649">
        <v>4755.9980154461919</v>
      </c>
      <c r="CT140" s="649">
        <v>12226.842458916022</v>
      </c>
      <c r="CU140" s="383">
        <v>199.79576274281004</v>
      </c>
      <c r="CV140" s="663"/>
      <c r="CW140" s="663"/>
      <c r="CX140" s="569"/>
      <c r="CY140" s="663"/>
      <c r="CZ140" s="663">
        <f t="shared" si="117"/>
        <v>24.945115717720629</v>
      </c>
      <c r="DA140" s="663">
        <f t="shared" si="118"/>
        <v>-24.945115717720629</v>
      </c>
      <c r="DB140" s="663">
        <f t="shared" si="119"/>
        <v>1526.5589010144106</v>
      </c>
      <c r="DC140" s="513">
        <f t="shared" si="120"/>
        <v>0</v>
      </c>
      <c r="DF140" s="463">
        <v>0</v>
      </c>
      <c r="DG140" s="463">
        <v>0.47314708090541369</v>
      </c>
      <c r="DH140" s="463">
        <v>1.3454610875927846</v>
      </c>
      <c r="DI140" s="463">
        <v>2.0244317214910212E-2</v>
      </c>
      <c r="DR140" s="463"/>
      <c r="DS140" s="463"/>
      <c r="DT140" s="463"/>
      <c r="DU140" s="463"/>
      <c r="DV140" s="463"/>
      <c r="DW140" s="463"/>
      <c r="DX140" s="463">
        <v>0.76508881643504389</v>
      </c>
      <c r="DY140" s="463">
        <v>-1.1284992313921514</v>
      </c>
      <c r="DZ140" s="463"/>
      <c r="EA140" s="463"/>
      <c r="EB140" s="463">
        <v>0.76508881643504389</v>
      </c>
      <c r="EC140" s="463">
        <v>-1.1284992313921514</v>
      </c>
      <c r="ED140" s="463">
        <f t="shared" si="89"/>
        <v>0</v>
      </c>
      <c r="EE140" s="463">
        <f t="shared" si="90"/>
        <v>0</v>
      </c>
      <c r="EF140" s="463">
        <f t="shared" si="91"/>
        <v>7.6508881643504392</v>
      </c>
      <c r="EG140" s="463">
        <f t="shared" si="92"/>
        <v>-11.284992313921514</v>
      </c>
      <c r="EH140" s="331">
        <f>'[3]Plots R2&gt;.75 - UPDATED'!S137</f>
        <v>0</v>
      </c>
      <c r="EI140" s="331">
        <f>'[3]Plots R2&gt;.75 - UPDATED'!T137</f>
        <v>0.67656263821812934</v>
      </c>
      <c r="EJ140" s="331">
        <f>'[3]Plots R2&gt;.75 - UPDATED'!U137</f>
        <v>1.026062638218129</v>
      </c>
      <c r="EK140" s="331">
        <f>'[3]Plots R2&gt;.75 - UPDATED'!V137</f>
        <v>0.3862626382181289</v>
      </c>
      <c r="EL140" s="677"/>
      <c r="EM140" s="677"/>
      <c r="EO140" s="331">
        <v>0</v>
      </c>
      <c r="EP140" s="331">
        <v>0.67656263821812934</v>
      </c>
      <c r="EQ140" s="331">
        <v>1.026062638218129</v>
      </c>
      <c r="ER140" s="331">
        <v>0.3862626382181289</v>
      </c>
      <c r="GM140" s="640"/>
      <c r="GN140" s="640"/>
      <c r="GO140" s="640"/>
      <c r="GP140" s="640"/>
      <c r="GQ140" s="640"/>
      <c r="GR140" s="640"/>
      <c r="GS140" s="640"/>
      <c r="GT140" s="640"/>
      <c r="GU140" s="640"/>
      <c r="HE140" s="564"/>
      <c r="HF140" s="564"/>
      <c r="HG140" s="573"/>
      <c r="HH140" s="573"/>
      <c r="HI140" s="602">
        <v>1.7567780211337258</v>
      </c>
      <c r="HJ140" s="602">
        <v>0</v>
      </c>
      <c r="HK140" s="602">
        <v>15.269862332598191</v>
      </c>
      <c r="HL140" s="602">
        <v>0</v>
      </c>
    </row>
    <row r="141" spans="10:220" ht="17" thickBot="1">
      <c r="J141" s="580">
        <v>41678</v>
      </c>
      <c r="K141" s="581">
        <v>0</v>
      </c>
      <c r="L141" s="582">
        <v>10.148</v>
      </c>
      <c r="M141" s="582">
        <v>10.1363</v>
      </c>
      <c r="N141" s="582">
        <v>11.302</v>
      </c>
      <c r="O141" s="582">
        <v>11.093999999999999</v>
      </c>
      <c r="P141" s="582">
        <v>98.807100000000005</v>
      </c>
      <c r="Q141" s="582">
        <v>10.102970712346281</v>
      </c>
      <c r="R141" s="582">
        <v>0</v>
      </c>
      <c r="S141" s="582">
        <v>0.68332928765371981</v>
      </c>
      <c r="T141" s="582">
        <v>1.3890292876537189</v>
      </c>
      <c r="U141" s="582">
        <v>1.2610292876537188</v>
      </c>
      <c r="W141" s="580">
        <v>41696</v>
      </c>
      <c r="X141" s="582">
        <f t="shared" si="121"/>
        <v>0</v>
      </c>
      <c r="Y141" s="582" t="e">
        <f>AVERAGE(S159,S321,S483,S645,S807,#REF!,S1131,S1293,S1455,S1617,S1779,S1941,S2103)</f>
        <v>#REF!</v>
      </c>
      <c r="Z141" s="582">
        <f t="shared" si="122"/>
        <v>1.0265545050825868</v>
      </c>
      <c r="AA141" s="582">
        <f t="shared" si="122"/>
        <v>0.6761545050825869</v>
      </c>
      <c r="AB141" s="606"/>
      <c r="AC141" s="582"/>
      <c r="AD141" s="582"/>
      <c r="AE141" s="582">
        <f t="shared" si="113"/>
        <v>2.302094053608017E-2</v>
      </c>
      <c r="AF141" s="582">
        <f t="shared" si="114"/>
        <v>2.4401745915714201E-4</v>
      </c>
      <c r="BE141" s="580">
        <v>41696</v>
      </c>
      <c r="BF141" s="664"/>
      <c r="BG141" s="664"/>
      <c r="BH141" s="664"/>
      <c r="BI141" s="664"/>
      <c r="BJ141" s="665"/>
      <c r="BK141" s="664"/>
      <c r="BL141" s="664"/>
      <c r="BM141" s="664"/>
      <c r="BN141" s="664"/>
      <c r="BO141" s="353">
        <v>66</v>
      </c>
      <c r="BP141" s="353">
        <f t="shared" si="123"/>
        <v>13.2</v>
      </c>
      <c r="BQ141" s="610">
        <f t="shared" si="124"/>
        <v>47.142857142857146</v>
      </c>
      <c r="BR141" s="610">
        <f t="shared" si="125"/>
        <v>17.837837837837839</v>
      </c>
      <c r="BT141" s="648"/>
      <c r="BU141" s="648"/>
      <c r="BV141" s="648"/>
      <c r="BW141" s="648"/>
      <c r="BX141" s="648"/>
      <c r="BY141" s="616" t="s">
        <v>503</v>
      </c>
      <c r="BZ141" s="617">
        <v>25</v>
      </c>
      <c r="CA141" s="608">
        <v>0.03</v>
      </c>
      <c r="CB141" s="608">
        <f t="shared" si="126"/>
        <v>0.3</v>
      </c>
      <c r="CC141" s="353">
        <v>80</v>
      </c>
      <c r="CD141" s="631">
        <f t="shared" si="127"/>
        <v>558.30000000000007</v>
      </c>
      <c r="CN141" s="632" t="s">
        <v>559</v>
      </c>
      <c r="CO141" s="580">
        <f>'[3]Plots R2&gt;.75 - UPDATED'!R138</f>
        <v>41697</v>
      </c>
      <c r="CP141" s="384"/>
      <c r="CQ141" s="661">
        <v>41697</v>
      </c>
      <c r="CR141" s="649">
        <v>0</v>
      </c>
      <c r="CS141" s="649">
        <v>4774.7417183526295</v>
      </c>
      <c r="CT141" s="649">
        <v>11746.932865312707</v>
      </c>
      <c r="CU141" s="383">
        <v>198.50991894769098</v>
      </c>
      <c r="CV141" s="663"/>
      <c r="CW141" s="663"/>
      <c r="CX141" s="569"/>
      <c r="CY141" s="663"/>
      <c r="CZ141" s="663">
        <f t="shared" si="117"/>
        <v>25.964224321110123</v>
      </c>
      <c r="DA141" s="663">
        <f t="shared" si="118"/>
        <v>-25.964224321110123</v>
      </c>
      <c r="DB141" s="663">
        <f t="shared" si="119"/>
        <v>1536.4471539599492</v>
      </c>
      <c r="DC141" s="513">
        <f t="shared" si="120"/>
        <v>0</v>
      </c>
      <c r="DF141" s="463">
        <v>0</v>
      </c>
      <c r="DG141" s="463">
        <v>0.47555212531235558</v>
      </c>
      <c r="DH141" s="463">
        <v>1.3016562039728305</v>
      </c>
      <c r="DI141" s="463">
        <v>2.0393505066043736E-2</v>
      </c>
      <c r="DR141" s="463"/>
      <c r="DS141" s="463"/>
      <c r="DT141" s="463"/>
      <c r="DU141" s="463"/>
      <c r="DV141" s="463"/>
      <c r="DW141" s="463"/>
      <c r="DX141" s="463">
        <v>0.61346515411690095</v>
      </c>
      <c r="DY141" s="463">
        <v>-0.57475286543238457</v>
      </c>
      <c r="DZ141" s="463"/>
      <c r="EA141" s="463"/>
      <c r="EB141" s="463">
        <v>0.61346515411690095</v>
      </c>
      <c r="EC141" s="463">
        <v>-0.57475286543238457</v>
      </c>
      <c r="ED141" s="463">
        <f t="shared" si="89"/>
        <v>0</v>
      </c>
      <c r="EE141" s="463">
        <f t="shared" si="90"/>
        <v>0</v>
      </c>
      <c r="EF141" s="463">
        <f t="shared" si="91"/>
        <v>6.1346515411690099</v>
      </c>
      <c r="EG141" s="463">
        <f t="shared" si="92"/>
        <v>-5.7475286543238457</v>
      </c>
      <c r="EH141" s="331">
        <f>'[3]Plots R2&gt;.75 - UPDATED'!S138</f>
        <v>0</v>
      </c>
      <c r="EI141" s="331">
        <f>'[3]Plots R2&gt;.75 - UPDATED'!T138</f>
        <v>0.6774861525348912</v>
      </c>
      <c r="EJ141" s="331">
        <f>'[3]Plots R2&gt;.75 - UPDATED'!U138</f>
        <v>1.0033861525348908</v>
      </c>
      <c r="EK141" s="331">
        <f>'[3]Plots R2&gt;.75 - UPDATED'!V138</f>
        <v>0.38548615253489116</v>
      </c>
      <c r="EL141" s="677"/>
      <c r="EM141" s="677"/>
      <c r="EO141" s="331">
        <v>0</v>
      </c>
      <c r="EP141" s="331">
        <v>0.6774861525348912</v>
      </c>
      <c r="EQ141" s="331">
        <v>1.0033861525348908</v>
      </c>
      <c r="ER141" s="331">
        <v>0.38548615253489116</v>
      </c>
      <c r="GM141" s="640"/>
      <c r="GN141" s="640"/>
      <c r="GO141" s="640"/>
      <c r="GP141" s="640"/>
      <c r="GQ141" s="640"/>
      <c r="GR141" s="640"/>
      <c r="GS141" s="640"/>
      <c r="GT141" s="640"/>
      <c r="GU141" s="640"/>
      <c r="HE141" s="564"/>
      <c r="HF141" s="564"/>
      <c r="HG141" s="573"/>
      <c r="HH141" s="573"/>
      <c r="HI141" s="602">
        <v>1.8073461162832576</v>
      </c>
      <c r="HJ141" s="602">
        <v>0</v>
      </c>
      <c r="HK141" s="602">
        <v>16.882097883801137</v>
      </c>
      <c r="HL141" s="602">
        <v>0</v>
      </c>
    </row>
    <row r="142" spans="10:220" ht="17" thickBot="1">
      <c r="J142" s="580">
        <v>41679</v>
      </c>
      <c r="K142" s="581">
        <v>0</v>
      </c>
      <c r="L142" s="582">
        <v>10.138400000000001</v>
      </c>
      <c r="M142" s="582">
        <v>10.1252</v>
      </c>
      <c r="N142" s="582">
        <v>11.270799999999999</v>
      </c>
      <c r="O142" s="582">
        <v>11.058400000000001</v>
      </c>
      <c r="P142" s="582">
        <v>98.712299999999999</v>
      </c>
      <c r="Q142" s="582">
        <v>10.093277465367768</v>
      </c>
      <c r="R142" s="582">
        <v>0</v>
      </c>
      <c r="S142" s="582">
        <v>0.68192253463223174</v>
      </c>
      <c r="T142" s="582">
        <v>1.3675225346322315</v>
      </c>
      <c r="U142" s="582">
        <v>1.2351225346322328</v>
      </c>
      <c r="W142" s="580">
        <v>41697</v>
      </c>
      <c r="X142" s="582">
        <f t="shared" si="121"/>
        <v>0</v>
      </c>
      <c r="Y142" s="582" t="e">
        <f>AVERAGE(S160,S322,S484,S646,S808,#REF!,S1132,S1294,S1456,S1618,S1780,S1942,S2104)</f>
        <v>#REF!</v>
      </c>
      <c r="Z142" s="582">
        <f t="shared" si="122"/>
        <v>1.0035335645465067</v>
      </c>
      <c r="AA142" s="582">
        <f t="shared" si="122"/>
        <v>0.67591048762342976</v>
      </c>
      <c r="AB142" s="606"/>
      <c r="AC142" s="582"/>
      <c r="AD142" s="582"/>
      <c r="AE142" s="582">
        <f t="shared" si="113"/>
        <v>2.1011878997422073E-2</v>
      </c>
      <c r="AF142" s="582">
        <f t="shared" si="114"/>
        <v>2.7041866897294931E-3</v>
      </c>
      <c r="BE142" s="580">
        <v>41697</v>
      </c>
      <c r="BF142" s="664"/>
      <c r="BG142" s="664"/>
      <c r="BH142" s="664"/>
      <c r="BI142" s="664"/>
      <c r="BJ142" s="665"/>
      <c r="BK142" s="664"/>
      <c r="BL142" s="664"/>
      <c r="BM142" s="664"/>
      <c r="BN142" s="664"/>
      <c r="BO142" s="353">
        <v>65</v>
      </c>
      <c r="BP142" s="353">
        <f t="shared" si="123"/>
        <v>13</v>
      </c>
      <c r="BQ142" s="610">
        <f t="shared" si="124"/>
        <v>46.428571428571431</v>
      </c>
      <c r="BR142" s="610">
        <f t="shared" si="125"/>
        <v>17.567567567567568</v>
      </c>
      <c r="BT142" s="648"/>
      <c r="BU142" s="648"/>
      <c r="BV142" s="648"/>
      <c r="BW142" s="648"/>
      <c r="BX142" s="648"/>
      <c r="BY142" s="616" t="s">
        <v>504</v>
      </c>
      <c r="BZ142" s="617">
        <v>26</v>
      </c>
      <c r="CA142" s="608">
        <v>1.37</v>
      </c>
      <c r="CB142" s="608">
        <f t="shared" si="126"/>
        <v>13.700000000000001</v>
      </c>
      <c r="CC142" s="353">
        <v>90</v>
      </c>
      <c r="CD142" s="631">
        <f t="shared" si="127"/>
        <v>572.00000000000011</v>
      </c>
      <c r="CN142" s="632" t="s">
        <v>560</v>
      </c>
      <c r="CO142" s="580">
        <f>'[3]Plots R2&gt;.75 - UPDATED'!R139</f>
        <v>41698</v>
      </c>
      <c r="CP142" s="384"/>
      <c r="CQ142" s="661">
        <v>41698</v>
      </c>
      <c r="CR142" s="649">
        <v>0</v>
      </c>
      <c r="CS142" s="649">
        <v>4781.6519724138998</v>
      </c>
      <c r="CT142" s="649">
        <v>11306.789843164559</v>
      </c>
      <c r="CU142" s="383">
        <v>195.12601943028599</v>
      </c>
      <c r="CV142" s="663"/>
      <c r="CW142" s="663"/>
      <c r="CX142" s="569"/>
      <c r="CY142" s="663"/>
      <c r="CZ142" s="663">
        <f t="shared" si="117"/>
        <v>26.97494198005154</v>
      </c>
      <c r="DA142" s="663">
        <f t="shared" si="118"/>
        <v>-26.97494198005154</v>
      </c>
      <c r="DB142" s="663">
        <f t="shared" si="119"/>
        <v>1563.0924101794094</v>
      </c>
      <c r="DC142" s="513">
        <f t="shared" si="120"/>
        <v>0</v>
      </c>
      <c r="DF142" s="463">
        <v>0</v>
      </c>
      <c r="DG142" s="463">
        <v>0.48043955406453004</v>
      </c>
      <c r="DH142" s="463">
        <v>1.2756597880148624</v>
      </c>
      <c r="DI142" s="463">
        <v>2.1630993838814415E-2</v>
      </c>
      <c r="DR142" s="463"/>
      <c r="DS142" s="463"/>
      <c r="DT142" s="463"/>
      <c r="DU142" s="463"/>
      <c r="DV142" s="463"/>
      <c r="DW142" s="463"/>
      <c r="DX142" s="463">
        <v>2.2676485683238212</v>
      </c>
      <c r="DY142" s="463">
        <v>7.7648568323773759E-2</v>
      </c>
      <c r="DZ142" s="463"/>
      <c r="EA142" s="463"/>
      <c r="EB142" s="463">
        <v>2.2676485683238212</v>
      </c>
      <c r="EC142" s="463">
        <v>7.7648568323773759E-2</v>
      </c>
      <c r="ED142" s="463">
        <f t="shared" si="89"/>
        <v>0</v>
      </c>
      <c r="EE142" s="463">
        <f t="shared" si="90"/>
        <v>0</v>
      </c>
      <c r="EF142" s="463">
        <f t="shared" si="91"/>
        <v>22.676485683238212</v>
      </c>
      <c r="EG142" s="463">
        <f t="shared" si="92"/>
        <v>0.77648568323773759</v>
      </c>
      <c r="EH142" s="331">
        <f>'[3]Plots R2&gt;.75 - UPDATED'!S139</f>
        <v>0</v>
      </c>
      <c r="EI142" s="331">
        <f>'[3]Plots R2&gt;.75 - UPDATED'!T139</f>
        <v>0.67782602770204092</v>
      </c>
      <c r="EJ142" s="331">
        <f>'[3]Plots R2&gt;.75 - UPDATED'!U139</f>
        <v>0.98222602770204104</v>
      </c>
      <c r="EK142" s="331">
        <f>'[3]Plots R2&gt;.75 - UPDATED'!V139</f>
        <v>0.38342602770204115</v>
      </c>
      <c r="EL142" s="677"/>
      <c r="EM142" s="677"/>
      <c r="EO142" s="331">
        <v>0</v>
      </c>
      <c r="EP142" s="331">
        <v>0.67782602770204092</v>
      </c>
      <c r="EQ142" s="331">
        <v>0.98222602770204104</v>
      </c>
      <c r="ER142" s="331">
        <v>0.38342602770204115</v>
      </c>
      <c r="GM142" s="640"/>
      <c r="GN142" s="640"/>
      <c r="GO142" s="640"/>
      <c r="GP142" s="640"/>
      <c r="GQ142" s="640"/>
      <c r="GR142" s="640"/>
      <c r="GS142" s="640"/>
      <c r="GT142" s="640"/>
      <c r="GU142" s="640"/>
      <c r="HE142" s="564"/>
      <c r="HF142" s="564"/>
      <c r="HG142" s="573"/>
      <c r="HH142" s="573"/>
      <c r="HI142" s="602">
        <v>1.8631988327161275</v>
      </c>
      <c r="HJ142" s="602">
        <v>0</v>
      </c>
      <c r="HK142" s="602">
        <v>18.714945236872158</v>
      </c>
      <c r="HL142" s="602">
        <v>0</v>
      </c>
    </row>
    <row r="143" spans="10:220" ht="17" thickBot="1">
      <c r="J143" s="580">
        <v>41680</v>
      </c>
      <c r="K143" s="581">
        <v>0</v>
      </c>
      <c r="L143" s="582">
        <v>10.1442</v>
      </c>
      <c r="M143" s="582">
        <v>10.1317</v>
      </c>
      <c r="N143" s="582">
        <v>11.254099999999999</v>
      </c>
      <c r="O143" s="582">
        <v>11.0389</v>
      </c>
      <c r="P143" s="582">
        <v>98.759799999999998</v>
      </c>
      <c r="Q143" s="582">
        <v>10.098134313801093</v>
      </c>
      <c r="R143" s="582">
        <v>0</v>
      </c>
      <c r="S143" s="582">
        <v>0.68356568619890701</v>
      </c>
      <c r="T143" s="582">
        <v>1.3459656861989058</v>
      </c>
      <c r="U143" s="582">
        <v>1.2107656861989065</v>
      </c>
      <c r="W143" s="580">
        <v>41698</v>
      </c>
      <c r="X143" s="582">
        <f t="shared" si="121"/>
        <v>0</v>
      </c>
      <c r="Y143" s="582" t="e">
        <f>AVERAGE(S161,S323,S485,S647,S809,#REF!,S1133,S1295,S1457,S1619,S1781,S1943,S2105)</f>
        <v>#REF!</v>
      </c>
      <c r="Z143" s="582">
        <f t="shared" si="122"/>
        <v>0.98252168554908459</v>
      </c>
      <c r="AA143" s="582">
        <f t="shared" si="122"/>
        <v>0.67320630093370026</v>
      </c>
      <c r="AB143" s="606"/>
      <c r="AC143" s="582"/>
      <c r="AD143" s="582"/>
      <c r="AE143" s="582">
        <f t="shared" si="113"/>
        <v>2.288336119555523E-2</v>
      </c>
      <c r="AF143" s="450">
        <f t="shared" si="114"/>
        <v>-1.0894649675219359E-4</v>
      </c>
      <c r="BE143" s="580">
        <v>41698</v>
      </c>
      <c r="BF143" s="664"/>
      <c r="BG143" s="664"/>
      <c r="BH143" s="664"/>
      <c r="BI143" s="664"/>
      <c r="BJ143" s="665"/>
      <c r="BK143" s="664"/>
      <c r="BL143" s="664"/>
      <c r="BM143" s="664"/>
      <c r="BN143" s="664"/>
      <c r="BO143" s="353">
        <v>68</v>
      </c>
      <c r="BP143" s="353">
        <f t="shared" si="123"/>
        <v>13.6</v>
      </c>
      <c r="BQ143" s="610">
        <f t="shared" si="124"/>
        <v>48.571428571428577</v>
      </c>
      <c r="BR143" s="610">
        <f t="shared" si="125"/>
        <v>18.378378378378379</v>
      </c>
      <c r="BT143" s="648"/>
      <c r="BU143" s="648"/>
      <c r="BV143" s="648"/>
      <c r="BW143" s="648"/>
      <c r="BX143" s="648"/>
      <c r="BY143" s="616" t="s">
        <v>505</v>
      </c>
      <c r="BZ143" s="617">
        <v>26</v>
      </c>
      <c r="CA143" s="608">
        <v>0.05</v>
      </c>
      <c r="CB143" s="608">
        <f t="shared" si="126"/>
        <v>0.5</v>
      </c>
      <c r="CC143" s="353">
        <v>82</v>
      </c>
      <c r="CD143" s="631">
        <f t="shared" si="127"/>
        <v>572.50000000000011</v>
      </c>
      <c r="CN143" s="632" t="s">
        <v>561</v>
      </c>
      <c r="CO143" s="580">
        <f>'[3]Plots R2&gt;.75 - UPDATED'!R140</f>
        <v>41699</v>
      </c>
      <c r="CP143" s="384"/>
      <c r="CQ143" s="661">
        <v>41699</v>
      </c>
      <c r="CR143" s="649">
        <v>0</v>
      </c>
      <c r="CS143" s="649">
        <v>4779.1314789007374</v>
      </c>
      <c r="CT143" s="649">
        <v>10844.433453736261</v>
      </c>
      <c r="CU143" s="383">
        <v>194.92372923170177</v>
      </c>
      <c r="CV143" s="663"/>
      <c r="CW143" s="663"/>
      <c r="CX143" s="569"/>
      <c r="CY143" s="663"/>
      <c r="CZ143" s="663">
        <f t="shared" si="117"/>
        <v>28.125028504362994</v>
      </c>
      <c r="DA143" s="663">
        <f t="shared" si="118"/>
        <v>-28.125028504362994</v>
      </c>
      <c r="DB143" s="663">
        <f t="shared" si="119"/>
        <v>1564.7145742704977</v>
      </c>
      <c r="DC143" s="513">
        <f t="shared" si="120"/>
        <v>0</v>
      </c>
      <c r="DF143" s="463">
        <v>0</v>
      </c>
      <c r="DG143" s="463">
        <v>0.47559980154461917</v>
      </c>
      <c r="DH143" s="463">
        <v>1.2226842458916023</v>
      </c>
      <c r="DI143" s="463">
        <v>1.9979576274281003E-2</v>
      </c>
      <c r="DR143" s="463"/>
      <c r="DS143" s="463"/>
      <c r="DT143" s="463"/>
      <c r="DU143" s="463"/>
      <c r="DV143" s="463"/>
      <c r="DW143" s="463"/>
      <c r="DX143" s="463">
        <v>2.1160124832849792</v>
      </c>
      <c r="DY143" s="463">
        <v>0.20601248328500077</v>
      </c>
      <c r="DZ143" s="463"/>
      <c r="EA143" s="463"/>
      <c r="EB143" s="463">
        <v>2.1160124832849792</v>
      </c>
      <c r="EC143" s="463">
        <v>0.20601248328500077</v>
      </c>
      <c r="ED143" s="463">
        <f t="shared" si="89"/>
        <v>0</v>
      </c>
      <c r="EE143" s="463">
        <f t="shared" si="90"/>
        <v>0</v>
      </c>
      <c r="EF143" s="463">
        <f t="shared" si="91"/>
        <v>21.160124832849792</v>
      </c>
      <c r="EG143" s="463">
        <f t="shared" si="92"/>
        <v>2.0601248328500077</v>
      </c>
      <c r="EH143" s="331">
        <f>'[3]Plots R2&gt;.75 - UPDATED'!S140</f>
        <v>0</v>
      </c>
      <c r="EI143" s="331">
        <f>'[3]Plots R2&gt;.75 - UPDATED'!T140</f>
        <v>0.6777020964925542</v>
      </c>
      <c r="EJ143" s="331">
        <f>'[3]Plots R2&gt;.75 - UPDATED'!U140</f>
        <v>0.95960209649255346</v>
      </c>
      <c r="EK143" s="331">
        <f>'[3]Plots R2&gt;.75 - UPDATED'!V140</f>
        <v>0.38330209649255265</v>
      </c>
      <c r="EL143" s="677"/>
      <c r="EM143" s="677"/>
      <c r="EO143" s="331">
        <v>0</v>
      </c>
      <c r="EP143" s="331">
        <v>0.6777020964925542</v>
      </c>
      <c r="EQ143" s="331">
        <v>0.95960209649255346</v>
      </c>
      <c r="ER143" s="331">
        <v>0.38330209649255265</v>
      </c>
      <c r="GM143" s="640"/>
      <c r="GN143" s="640"/>
      <c r="GO143" s="640"/>
      <c r="GP143" s="640"/>
      <c r="GQ143" s="640"/>
      <c r="GR143" s="640"/>
      <c r="GS143" s="640"/>
      <c r="GT143" s="640"/>
      <c r="GU143" s="640"/>
      <c r="HE143" s="564"/>
      <c r="HF143" s="564"/>
      <c r="HG143" s="573"/>
      <c r="HH143" s="573"/>
      <c r="HI143" s="602">
        <v>1.9252062029021828</v>
      </c>
      <c r="HJ143" s="602">
        <v>0</v>
      </c>
      <c r="HK143" s="602">
        <v>20.936756756631976</v>
      </c>
      <c r="HL143" s="602">
        <v>0</v>
      </c>
    </row>
    <row r="144" spans="10:220" ht="17" thickBot="1">
      <c r="J144" s="580">
        <v>41681</v>
      </c>
      <c r="K144" s="581">
        <v>0</v>
      </c>
      <c r="L144" s="582">
        <v>10.1424</v>
      </c>
      <c r="M144" s="582">
        <v>10.129200000000001</v>
      </c>
      <c r="N144" s="582">
        <v>11.230499999999999</v>
      </c>
      <c r="O144" s="582">
        <v>11.0084</v>
      </c>
      <c r="P144" s="582">
        <v>98.726699999999994</v>
      </c>
      <c r="Q144" s="582">
        <v>10.09474985731387</v>
      </c>
      <c r="R144" s="582">
        <v>0</v>
      </c>
      <c r="S144" s="582">
        <v>0.68445014268613114</v>
      </c>
      <c r="T144" s="582">
        <v>1.3257501426861293</v>
      </c>
      <c r="U144" s="582">
        <v>1.1836501426861301</v>
      </c>
      <c r="W144" s="580">
        <v>41699</v>
      </c>
      <c r="X144" s="582">
        <f t="shared" si="121"/>
        <v>0</v>
      </c>
      <c r="Y144" s="582" t="e">
        <f>AVERAGE(S162,S324,S486,S648,S810,#REF!,S1134,S1296,S1458,S1620,S1782,S1944,S2106)</f>
        <v>#REF!</v>
      </c>
      <c r="Z144" s="582">
        <f t="shared" si="122"/>
        <v>0.95963832435352936</v>
      </c>
      <c r="AA144" s="582">
        <f t="shared" si="122"/>
        <v>0.67331524743045246</v>
      </c>
      <c r="AB144" s="606"/>
      <c r="AC144" s="582"/>
      <c r="AD144" s="582"/>
      <c r="AE144" s="450">
        <f t="shared" si="113"/>
        <v>-4.2555201067558723E-2</v>
      </c>
      <c r="AF144" s="450">
        <f t="shared" si="114"/>
        <v>-7.3370585682943634E-2</v>
      </c>
      <c r="BE144" s="580">
        <v>41699</v>
      </c>
      <c r="BF144" s="664"/>
      <c r="BG144" s="664"/>
      <c r="BH144" s="664"/>
      <c r="BI144" s="664"/>
      <c r="BJ144" s="665"/>
      <c r="BK144" s="664"/>
      <c r="BL144" s="664"/>
      <c r="BM144" s="664"/>
      <c r="BN144" s="664"/>
      <c r="BO144" s="353">
        <v>69</v>
      </c>
      <c r="BP144" s="353">
        <f t="shared" si="123"/>
        <v>13.8</v>
      </c>
      <c r="BQ144" s="610">
        <f t="shared" si="124"/>
        <v>49.285714285714292</v>
      </c>
      <c r="BR144" s="610">
        <f t="shared" si="125"/>
        <v>18.648648648648649</v>
      </c>
      <c r="BT144" s="648"/>
      <c r="BU144" s="648"/>
      <c r="BV144" s="648"/>
      <c r="BW144" s="648"/>
      <c r="BX144" s="648"/>
      <c r="BY144" s="616" t="s">
        <v>506</v>
      </c>
      <c r="BZ144" s="617">
        <v>27</v>
      </c>
      <c r="CA144" s="608">
        <v>0</v>
      </c>
      <c r="CB144" s="608">
        <f t="shared" si="126"/>
        <v>0</v>
      </c>
      <c r="CC144" s="353">
        <v>80</v>
      </c>
      <c r="CD144" s="631">
        <f t="shared" si="127"/>
        <v>572.50000000000011</v>
      </c>
      <c r="CN144" s="632" t="s">
        <v>562</v>
      </c>
      <c r="CO144" s="580">
        <f>'[3]Plots R2&gt;.75 - UPDATED'!R141</f>
        <v>41700</v>
      </c>
      <c r="CP144" s="384"/>
      <c r="CQ144" s="661">
        <v>41700</v>
      </c>
      <c r="CR144" s="649">
        <v>0</v>
      </c>
      <c r="CS144" s="649">
        <v>4776.1048721816987</v>
      </c>
      <c r="CT144" s="649">
        <v>11729.467128799537</v>
      </c>
      <c r="CU144" s="383">
        <v>342.83395827165486</v>
      </c>
      <c r="CV144" s="663"/>
      <c r="CW144" s="663"/>
      <c r="CX144" s="569"/>
      <c r="CY144" s="663"/>
      <c r="CZ144" s="663">
        <f t="shared" si="117"/>
        <v>26.002886290642216</v>
      </c>
      <c r="DA144" s="663">
        <f t="shared" si="118"/>
        <v>-26.002886290642216</v>
      </c>
      <c r="DB144" s="663">
        <f t="shared" si="119"/>
        <v>889.64349254551962</v>
      </c>
      <c r="DC144" s="513">
        <f t="shared" si="120"/>
        <v>0</v>
      </c>
      <c r="DF144" s="463">
        <v>0</v>
      </c>
      <c r="DG144" s="463">
        <v>0.47747417183526297</v>
      </c>
      <c r="DH144" s="463">
        <v>1.1746932865312707</v>
      </c>
      <c r="DI144" s="463">
        <v>1.9850991894769097E-2</v>
      </c>
      <c r="DR144" s="463"/>
      <c r="DS144" s="463"/>
      <c r="DT144" s="463"/>
      <c r="DU144" s="463"/>
      <c r="DV144" s="463"/>
      <c r="DW144" s="463"/>
      <c r="DX144" s="463">
        <v>2.262393120948758</v>
      </c>
      <c r="DY144" s="463">
        <v>1.2393120948850367E-2</v>
      </c>
      <c r="DZ144" s="463"/>
      <c r="EA144" s="463"/>
      <c r="EB144" s="463">
        <v>2.262393120948758</v>
      </c>
      <c r="EC144" s="463">
        <v>1.2393120948850367E-2</v>
      </c>
      <c r="ED144" s="463">
        <f t="shared" ref="ED144:ED152" si="128">DZ144*10</f>
        <v>0</v>
      </c>
      <c r="EE144" s="463">
        <f t="shared" ref="EE144:EE152" si="129">EA144*10</f>
        <v>0</v>
      </c>
      <c r="EF144" s="463">
        <f t="shared" ref="EF144:EF152" si="130">EB144*10</f>
        <v>22.62393120948758</v>
      </c>
      <c r="EG144" s="463">
        <f t="shared" ref="EG144:EG152" si="131">EC144*10</f>
        <v>0.12393120948850367</v>
      </c>
      <c r="EH144" s="331">
        <f>'[3]Plots R2&gt;.75 - UPDATED'!S141</f>
        <v>0</v>
      </c>
      <c r="EI144" s="331">
        <f>'[3]Plots R2&gt;.75 - UPDATED'!T141</f>
        <v>0.6775532235625954</v>
      </c>
      <c r="EJ144" s="331">
        <f>'[3]Plots R2&gt;.75 - UPDATED'!U141</f>
        <v>1.0025532235625954</v>
      </c>
      <c r="EK144" s="331">
        <f>'[3]Plots R2&gt;.75 - UPDATED'!V141</f>
        <v>0.4570532235625957</v>
      </c>
      <c r="EL144" s="677"/>
      <c r="EM144" s="677"/>
      <c r="EO144" s="331">
        <v>0</v>
      </c>
      <c r="EP144" s="331">
        <v>0.6775532235625954</v>
      </c>
      <c r="EQ144" s="331">
        <v>1.0025532235625954</v>
      </c>
      <c r="ER144" s="331">
        <v>0.4570532235625957</v>
      </c>
      <c r="GM144" s="640"/>
      <c r="GN144" s="640"/>
      <c r="GO144" s="640"/>
      <c r="GP144" s="640"/>
      <c r="GQ144" s="640"/>
      <c r="GR144" s="640"/>
      <c r="GS144" s="640"/>
      <c r="GT144" s="640"/>
      <c r="GU144" s="640"/>
      <c r="HE144" s="564"/>
      <c r="HF144" s="564"/>
      <c r="HG144" s="573"/>
      <c r="HH144" s="573"/>
      <c r="HI144" s="602">
        <v>1.9673776349540872</v>
      </c>
      <c r="HJ144" s="602">
        <v>0</v>
      </c>
      <c r="HK144" s="602">
        <v>22.802459434621774</v>
      </c>
      <c r="HL144" s="602">
        <v>0</v>
      </c>
    </row>
    <row r="145" spans="10:220" ht="17" thickBot="1">
      <c r="J145" s="580">
        <v>41682</v>
      </c>
      <c r="K145" s="581">
        <v>0</v>
      </c>
      <c r="L145" s="582">
        <v>10.1251</v>
      </c>
      <c r="M145" s="582">
        <v>10.1106</v>
      </c>
      <c r="N145" s="582">
        <v>11.194900000000001</v>
      </c>
      <c r="O145" s="582">
        <v>10.9678</v>
      </c>
      <c r="P145" s="582">
        <v>98.579599999999999</v>
      </c>
      <c r="Q145" s="582">
        <v>10.079708964586667</v>
      </c>
      <c r="R145" s="582">
        <v>0</v>
      </c>
      <c r="S145" s="582">
        <v>0.68089103541333329</v>
      </c>
      <c r="T145" s="582">
        <v>1.3051910354133338</v>
      </c>
      <c r="U145" s="582">
        <v>1.1580910354133338</v>
      </c>
      <c r="W145" s="580">
        <v>41700</v>
      </c>
      <c r="X145" s="582">
        <f t="shared" si="121"/>
        <v>0</v>
      </c>
      <c r="Y145" s="582" t="e">
        <f>AVERAGE(S163,S325,S487,S649,S811,#REF!,S1135,S1297,S1459,S1621,S1783,S1945,S2107)</f>
        <v>#REF!</v>
      </c>
      <c r="Z145" s="582">
        <f t="shared" si="122"/>
        <v>1.0021935254210881</v>
      </c>
      <c r="AA145" s="582">
        <f t="shared" si="122"/>
        <v>0.74668583311339609</v>
      </c>
      <c r="AB145" s="606"/>
      <c r="AC145" s="582"/>
      <c r="AD145" s="582"/>
      <c r="AE145" s="582">
        <f t="shared" si="113"/>
        <v>1.4997046456137086E-2</v>
      </c>
      <c r="AF145" s="450">
        <f t="shared" si="114"/>
        <v>-3.5849107390016455E-2</v>
      </c>
      <c r="BE145" s="580">
        <v>41700</v>
      </c>
      <c r="BF145" s="664"/>
      <c r="BG145" s="664"/>
      <c r="BH145" s="664"/>
      <c r="BI145" s="664"/>
      <c r="BJ145" s="665"/>
      <c r="BK145" s="664"/>
      <c r="BL145" s="664"/>
      <c r="BM145" s="664"/>
      <c r="BN145" s="664"/>
      <c r="BO145" s="353">
        <v>67</v>
      </c>
      <c r="BP145" s="353">
        <f t="shared" si="123"/>
        <v>13.4</v>
      </c>
      <c r="BQ145" s="610">
        <f t="shared" si="124"/>
        <v>47.857142857142861</v>
      </c>
      <c r="BR145" s="610">
        <f t="shared" si="125"/>
        <v>18.108108108108109</v>
      </c>
      <c r="BT145" s="648"/>
      <c r="BU145" s="648"/>
      <c r="BV145" s="648"/>
      <c r="BW145" s="648"/>
      <c r="BX145" s="648"/>
      <c r="BY145" s="616" t="s">
        <v>507</v>
      </c>
      <c r="BZ145" s="617">
        <v>24</v>
      </c>
      <c r="CA145" s="608">
        <v>0</v>
      </c>
      <c r="CB145" s="608">
        <f t="shared" si="126"/>
        <v>0</v>
      </c>
      <c r="CC145" s="353">
        <v>69</v>
      </c>
      <c r="CD145" s="631">
        <f t="shared" si="127"/>
        <v>572.50000000000011</v>
      </c>
      <c r="CN145" s="632" t="s">
        <v>563</v>
      </c>
      <c r="CO145" s="580">
        <f>'[3]Plots R2&gt;.75 - UPDATED'!R142</f>
        <v>41701</v>
      </c>
      <c r="CP145" s="384"/>
      <c r="CQ145" s="661">
        <v>41701</v>
      </c>
      <c r="CR145" s="649">
        <v>0</v>
      </c>
      <c r="CS145" s="649">
        <v>4802.6513573732527</v>
      </c>
      <c r="CT145" s="649">
        <v>11416.975021794444</v>
      </c>
      <c r="CU145" s="383">
        <v>437.26415858478947</v>
      </c>
      <c r="CV145" s="663"/>
      <c r="CW145" s="663"/>
      <c r="CX145" s="569"/>
      <c r="CY145" s="663"/>
      <c r="CZ145" s="663">
        <f t="shared" si="117"/>
        <v>26.714606926770884</v>
      </c>
      <c r="DA145" s="663">
        <f t="shared" si="118"/>
        <v>-26.714606926770884</v>
      </c>
      <c r="DB145" s="663">
        <f t="shared" si="119"/>
        <v>697.51886591193772</v>
      </c>
      <c r="DC145" s="513">
        <f t="shared" si="120"/>
        <v>0</v>
      </c>
      <c r="DF145" s="463">
        <v>0</v>
      </c>
      <c r="DG145" s="463">
        <v>0.47816519724139001</v>
      </c>
      <c r="DH145" s="463">
        <v>1.130678984316456</v>
      </c>
      <c r="DI145" s="463">
        <v>1.9512601943028601E-2</v>
      </c>
      <c r="DR145" s="463"/>
      <c r="DS145" s="463"/>
      <c r="DT145" s="463"/>
      <c r="DU145" s="463"/>
      <c r="DV145" s="463"/>
      <c r="DW145" s="463"/>
      <c r="DX145" s="463"/>
      <c r="DY145" s="463"/>
      <c r="DZ145" s="463"/>
      <c r="EA145" s="463"/>
      <c r="EB145" s="463"/>
      <c r="EC145" s="463"/>
      <c r="ED145" s="463">
        <f t="shared" si="128"/>
        <v>0</v>
      </c>
      <c r="EE145" s="463">
        <f t="shared" si="129"/>
        <v>0</v>
      </c>
      <c r="EF145" s="463">
        <f t="shared" si="130"/>
        <v>0</v>
      </c>
      <c r="EG145" s="463">
        <f t="shared" si="131"/>
        <v>0</v>
      </c>
      <c r="EH145" s="331">
        <f>'[3]Plots R2&gt;.75 - UPDATED'!S142</f>
        <v>0</v>
      </c>
      <c r="EI145" s="331">
        <f>'[3]Plots R2&gt;.75 - UPDATED'!T142</f>
        <v>0.67885690040700175</v>
      </c>
      <c r="EJ145" s="331">
        <f>'[3]Plots R2&gt;.75 - UPDATED'!U142</f>
        <v>0.9875569004070025</v>
      </c>
      <c r="EK145" s="331">
        <f>'[3]Plots R2&gt;.75 - UPDATED'!V142</f>
        <v>0.49305690040700112</v>
      </c>
      <c r="EL145" s="677"/>
      <c r="EM145" s="677"/>
      <c r="EO145" s="331">
        <v>0</v>
      </c>
      <c r="EP145" s="331">
        <v>0.67885690040700175</v>
      </c>
      <c r="EQ145" s="331">
        <v>0.9875569004070025</v>
      </c>
      <c r="ER145" s="331">
        <v>0.49305690040700112</v>
      </c>
      <c r="GM145" s="640"/>
      <c r="GN145" s="640"/>
      <c r="GO145" s="640"/>
      <c r="GP145" s="640"/>
      <c r="GQ145" s="640"/>
      <c r="GR145" s="640"/>
      <c r="GS145" s="640"/>
      <c r="GT145" s="640"/>
      <c r="GU145" s="640"/>
      <c r="HE145" s="564"/>
      <c r="HF145" s="564"/>
      <c r="HG145" s="573"/>
      <c r="HH145" s="573"/>
      <c r="HI145" s="602">
        <v>2.0358229028558559</v>
      </c>
      <c r="HJ145" s="602">
        <v>0</v>
      </c>
      <c r="HK145" s="602">
        <v>25.595129683240348</v>
      </c>
      <c r="HL145" s="602">
        <v>0</v>
      </c>
    </row>
    <row r="146" spans="10:220" ht="17" thickBot="1">
      <c r="J146" s="580">
        <v>41683</v>
      </c>
      <c r="K146" s="581">
        <v>0</v>
      </c>
      <c r="L146" s="582">
        <v>10.144500000000001</v>
      </c>
      <c r="M146" s="582">
        <v>10.129799999999999</v>
      </c>
      <c r="N146" s="582">
        <v>11.1937</v>
      </c>
      <c r="O146" s="582">
        <v>10.962400000000001</v>
      </c>
      <c r="P146" s="582">
        <v>98.768199999999993</v>
      </c>
      <c r="Q146" s="582">
        <v>10.098993209102987</v>
      </c>
      <c r="R146" s="582">
        <v>0</v>
      </c>
      <c r="S146" s="582">
        <v>0.68080679089701213</v>
      </c>
      <c r="T146" s="582">
        <v>1.2847067908970122</v>
      </c>
      <c r="U146" s="582">
        <v>1.1334067908970131</v>
      </c>
      <c r="W146" s="580">
        <v>41701</v>
      </c>
      <c r="X146" s="582">
        <f t="shared" si="121"/>
        <v>0</v>
      </c>
      <c r="Y146" s="582" t="e">
        <f>AVERAGE(S164,S326,S488,S650,S812,#REF!,S1136,S1298,S1460,S1622,S1784,S1946,S2108)</f>
        <v>#REF!</v>
      </c>
      <c r="Z146" s="582">
        <f t="shared" si="122"/>
        <v>0.987196478964951</v>
      </c>
      <c r="AA146" s="582">
        <f t="shared" si="122"/>
        <v>0.78253494050341255</v>
      </c>
      <c r="AB146" s="606"/>
      <c r="AC146" s="582"/>
      <c r="AD146" s="582"/>
      <c r="AE146" s="582">
        <f t="shared" si="113"/>
        <v>1.8886926070730725E-2</v>
      </c>
      <c r="AF146" s="582">
        <f t="shared" si="114"/>
        <v>9.8094618378423371E-2</v>
      </c>
      <c r="BE146" s="580">
        <v>41701</v>
      </c>
      <c r="BF146" s="664"/>
      <c r="BG146" s="664"/>
      <c r="BH146" s="664"/>
      <c r="BI146" s="664"/>
      <c r="BJ146" s="665"/>
      <c r="BK146" s="664"/>
      <c r="BL146" s="664"/>
      <c r="BM146" s="664"/>
      <c r="BN146" s="664"/>
      <c r="BO146" s="353">
        <v>64</v>
      </c>
      <c r="BP146" s="353">
        <f t="shared" si="123"/>
        <v>12.8</v>
      </c>
      <c r="BQ146" s="610">
        <f t="shared" si="124"/>
        <v>45.714285714285715</v>
      </c>
      <c r="BR146" s="610">
        <f t="shared" si="125"/>
        <v>17.297297297297295</v>
      </c>
      <c r="BT146" s="648"/>
      <c r="BU146" s="648"/>
      <c r="BV146" s="648"/>
      <c r="BW146" s="648"/>
      <c r="BX146" s="648"/>
      <c r="BY146" s="616" t="s">
        <v>508</v>
      </c>
      <c r="BZ146" s="617">
        <v>24</v>
      </c>
      <c r="CA146" s="608">
        <v>0</v>
      </c>
      <c r="CB146" s="608">
        <f t="shared" si="126"/>
        <v>0</v>
      </c>
      <c r="CC146" s="353">
        <v>73</v>
      </c>
      <c r="CD146" s="631">
        <f t="shared" si="127"/>
        <v>572.50000000000011</v>
      </c>
      <c r="CN146" s="632" t="s">
        <v>564</v>
      </c>
      <c r="CO146" s="580">
        <f>'[3]Plots R2&gt;.75 - UPDATED'!R143</f>
        <v>41702</v>
      </c>
      <c r="CP146" s="384"/>
      <c r="CQ146" s="661">
        <v>41702</v>
      </c>
      <c r="CR146" s="649">
        <v>0</v>
      </c>
      <c r="CS146" s="649">
        <v>4731.6194146965436</v>
      </c>
      <c r="CT146" s="649">
        <v>11018.282457009827</v>
      </c>
      <c r="CU146" s="383">
        <v>213.02396439499825</v>
      </c>
      <c r="CV146" s="663"/>
      <c r="CW146" s="663"/>
      <c r="CX146" s="569"/>
      <c r="CY146" s="663"/>
      <c r="CZ146" s="663">
        <f t="shared" si="117"/>
        <v>27.681265314264941</v>
      </c>
      <c r="DA146" s="663">
        <f t="shared" si="118"/>
        <v>-27.681265314264941</v>
      </c>
      <c r="DB146" s="663">
        <f t="shared" si="119"/>
        <v>1431.7637964640251</v>
      </c>
      <c r="DC146" s="513">
        <f t="shared" si="120"/>
        <v>0</v>
      </c>
      <c r="DF146" s="463">
        <v>0</v>
      </c>
      <c r="DG146" s="463">
        <v>0.47791314789007372</v>
      </c>
      <c r="DH146" s="463">
        <v>1.0844433453736262</v>
      </c>
      <c r="DI146" s="463">
        <v>1.9492372923170177E-2</v>
      </c>
      <c r="DR146" s="463"/>
      <c r="DS146" s="463"/>
      <c r="DT146" s="463"/>
      <c r="DU146" s="463"/>
      <c r="DV146" s="463"/>
      <c r="DW146" s="463"/>
      <c r="DX146" s="463">
        <v>1.499632315559285</v>
      </c>
      <c r="DY146" s="463">
        <v>-3.6003676844405419</v>
      </c>
      <c r="DZ146" s="463"/>
      <c r="EA146" s="463"/>
      <c r="EB146" s="463">
        <v>1.499632315559285</v>
      </c>
      <c r="EC146" s="463">
        <v>-3.6003676844405419</v>
      </c>
      <c r="ED146" s="463">
        <f t="shared" si="128"/>
        <v>0</v>
      </c>
      <c r="EE146" s="463">
        <f t="shared" si="129"/>
        <v>0</v>
      </c>
      <c r="EF146" s="463">
        <f t="shared" si="130"/>
        <v>14.996323155592851</v>
      </c>
      <c r="EG146" s="463">
        <f t="shared" si="131"/>
        <v>-36.003676844405419</v>
      </c>
      <c r="EH146" s="331">
        <f>'[3]Plots R2&gt;.75 - UPDATED'!S143</f>
        <v>0</v>
      </c>
      <c r="EI146" s="331">
        <f>'[3]Plots R2&gt;.75 - UPDATED'!T143</f>
        <v>0.67535792501613101</v>
      </c>
      <c r="EJ146" s="331">
        <f>'[3]Plots R2&gt;.75 - UPDATED'!U143</f>
        <v>0.96815792501613152</v>
      </c>
      <c r="EK146" s="331">
        <f>'[3]Plots R2&gt;.75 - UPDATED'!V143</f>
        <v>0.39405792501613091</v>
      </c>
      <c r="EL146" s="677"/>
      <c r="EM146" s="677"/>
      <c r="EO146" s="331">
        <v>0</v>
      </c>
      <c r="EP146" s="331">
        <v>0.67535792501613101</v>
      </c>
      <c r="EQ146" s="331">
        <v>0.96815792501613152</v>
      </c>
      <c r="ER146" s="331">
        <v>0.39405792501613091</v>
      </c>
      <c r="GM146" s="640"/>
      <c r="GN146" s="640"/>
      <c r="GO146" s="640"/>
      <c r="GP146" s="640"/>
      <c r="GQ146" s="640"/>
      <c r="GR146" s="640"/>
      <c r="GS146" s="640"/>
      <c r="GT146" s="640"/>
      <c r="GU146" s="640"/>
      <c r="HE146" s="564"/>
      <c r="HF146" s="564"/>
      <c r="HG146" s="573"/>
      <c r="HH146" s="573"/>
      <c r="HI146" s="602">
        <v>2.1034613869287542</v>
      </c>
      <c r="HJ146" s="602">
        <v>0</v>
      </c>
      <c r="HK146" s="602">
        <v>55.305880676801799</v>
      </c>
      <c r="HL146" s="602">
        <v>0</v>
      </c>
    </row>
    <row r="147" spans="10:220" ht="17" thickBot="1">
      <c r="J147" s="580">
        <v>41684</v>
      </c>
      <c r="K147" s="581">
        <v>0</v>
      </c>
      <c r="L147" s="582">
        <v>10.164</v>
      </c>
      <c r="M147" s="582">
        <v>10.1508</v>
      </c>
      <c r="N147" s="582">
        <v>11.1898</v>
      </c>
      <c r="O147" s="582">
        <v>10.9534</v>
      </c>
      <c r="P147" s="582">
        <v>98.954800000000006</v>
      </c>
      <c r="Q147" s="582">
        <v>10.118072954737904</v>
      </c>
      <c r="R147" s="582">
        <v>0</v>
      </c>
      <c r="S147" s="582">
        <v>0.68272704526209593</v>
      </c>
      <c r="T147" s="582">
        <v>1.2617270452620954</v>
      </c>
      <c r="U147" s="582">
        <v>1.1053270452620958</v>
      </c>
      <c r="W147" s="580">
        <v>41702</v>
      </c>
      <c r="X147" s="582">
        <f t="shared" si="121"/>
        <v>0</v>
      </c>
      <c r="Y147" s="582" t="e">
        <f>AVERAGE(S165,S327,S489,S651,S813,#REF!,S1137,S1299,S1461,S1623,S1785,S1947,S2109)</f>
        <v>#REF!</v>
      </c>
      <c r="Z147" s="582">
        <f t="shared" si="122"/>
        <v>0.96830955289422027</v>
      </c>
      <c r="AA147" s="582">
        <f t="shared" si="122"/>
        <v>0.68444032212498918</v>
      </c>
      <c r="AB147" s="606"/>
      <c r="AC147" s="582"/>
      <c r="AD147" s="582"/>
      <c r="AE147" s="450">
        <f t="shared" si="113"/>
        <v>-2.1520596094989797E-2</v>
      </c>
      <c r="AF147" s="582">
        <f t="shared" si="114"/>
        <v>3.1255577511634103E-3</v>
      </c>
      <c r="BE147" s="580">
        <v>41702</v>
      </c>
      <c r="BF147" s="664"/>
      <c r="BG147" s="664"/>
      <c r="BH147" s="664"/>
      <c r="BI147" s="664"/>
      <c r="BJ147" s="665"/>
      <c r="BK147" s="664"/>
      <c r="BL147" s="664"/>
      <c r="BM147" s="664"/>
      <c r="BN147" s="664"/>
      <c r="BO147" s="353">
        <v>66</v>
      </c>
      <c r="BP147" s="353">
        <f t="shared" si="123"/>
        <v>13.2</v>
      </c>
      <c r="BQ147" s="610">
        <f t="shared" si="124"/>
        <v>47.142857142857146</v>
      </c>
      <c r="BR147" s="610">
        <f t="shared" si="125"/>
        <v>17.837837837837839</v>
      </c>
      <c r="BT147" s="648"/>
      <c r="BU147" s="648"/>
      <c r="BV147" s="648"/>
      <c r="BW147" s="648"/>
      <c r="BX147" s="648"/>
      <c r="BY147" s="616" t="s">
        <v>509</v>
      </c>
      <c r="BZ147" s="617">
        <v>24</v>
      </c>
      <c r="CA147" s="608">
        <v>0</v>
      </c>
      <c r="CB147" s="608">
        <f t="shared" si="126"/>
        <v>0</v>
      </c>
      <c r="CC147" s="353">
        <v>76</v>
      </c>
      <c r="CD147" s="631">
        <f t="shared" si="127"/>
        <v>572.50000000000011</v>
      </c>
      <c r="CN147" s="632" t="s">
        <v>565</v>
      </c>
      <c r="CO147" s="580">
        <f>'[3]Plots R2&gt;.75 - UPDATED'!R144</f>
        <v>41703</v>
      </c>
      <c r="CP147" s="384"/>
      <c r="CQ147" s="661">
        <v>41703</v>
      </c>
      <c r="CR147" s="649">
        <v>0</v>
      </c>
      <c r="CS147" s="649">
        <v>4749.9360148578535</v>
      </c>
      <c r="CT147" s="649">
        <v>11458.571198448499</v>
      </c>
      <c r="CU147" s="383">
        <v>208.72737157538697</v>
      </c>
      <c r="CV147" s="663"/>
      <c r="CW147" s="663"/>
      <c r="CX147" s="569"/>
      <c r="CY147" s="663"/>
      <c r="CZ147" s="663">
        <f t="shared" si="117"/>
        <v>26.6176292591608</v>
      </c>
      <c r="DA147" s="663">
        <f t="shared" si="118"/>
        <v>-26.6176292591608</v>
      </c>
      <c r="DB147" s="663">
        <f t="shared" si="119"/>
        <v>1461.2362417922836</v>
      </c>
      <c r="DC147" s="513">
        <f t="shared" si="120"/>
        <v>0</v>
      </c>
      <c r="DF147" s="463">
        <v>0</v>
      </c>
      <c r="DG147" s="463">
        <v>0.4776104872181699</v>
      </c>
      <c r="DH147" s="463">
        <v>1.1729467128799538</v>
      </c>
      <c r="DI147" s="463">
        <v>3.4283395827165483E-2</v>
      </c>
      <c r="DR147" s="463"/>
      <c r="DS147" s="463"/>
      <c r="DT147" s="463"/>
      <c r="DU147" s="463"/>
      <c r="DV147" s="463"/>
      <c r="DW147" s="463"/>
      <c r="DX147" s="463">
        <v>1.9398975390870987</v>
      </c>
      <c r="DY147" s="463">
        <v>9.8998975390870214</v>
      </c>
      <c r="DZ147" s="463"/>
      <c r="EA147" s="463"/>
      <c r="EB147" s="463">
        <v>1.9398975390870987</v>
      </c>
      <c r="EC147" s="463">
        <v>9.8998975390870214</v>
      </c>
      <c r="ED147" s="463">
        <f t="shared" si="128"/>
        <v>0</v>
      </c>
      <c r="EE147" s="463">
        <f t="shared" si="129"/>
        <v>0</v>
      </c>
      <c r="EF147" s="463">
        <f t="shared" si="130"/>
        <v>19.398975390870987</v>
      </c>
      <c r="EG147" s="463">
        <f t="shared" si="131"/>
        <v>98.998975390870214</v>
      </c>
      <c r="EH147" s="331">
        <f>'[3]Plots R2&gt;.75 - UPDATED'!S144</f>
        <v>0</v>
      </c>
      <c r="EI147" s="331">
        <f>'[3]Plots R2&gt;.75 - UPDATED'!T144</f>
        <v>0.67626345085635875</v>
      </c>
      <c r="EJ147" s="331">
        <f>'[3]Plots R2&gt;.75 - UPDATED'!U144</f>
        <v>0.98956345085635766</v>
      </c>
      <c r="EK147" s="331">
        <f>'[3]Plots R2&gt;.75 - UPDATED'!V144</f>
        <v>0.39156345085635769</v>
      </c>
      <c r="EL147" s="677"/>
      <c r="EM147" s="677"/>
      <c r="EO147" s="331">
        <v>0</v>
      </c>
      <c r="EP147" s="331">
        <v>0.67626345085635875</v>
      </c>
      <c r="EQ147" s="331">
        <v>0.98956345085635766</v>
      </c>
      <c r="ER147" s="331">
        <v>0.39156345085635769</v>
      </c>
      <c r="GM147" s="640"/>
      <c r="GN147" s="640"/>
      <c r="GO147" s="640"/>
      <c r="GP147" s="640"/>
      <c r="GQ147" s="640"/>
      <c r="GR147" s="640"/>
      <c r="GS147" s="640"/>
      <c r="GT147" s="640"/>
      <c r="GU147" s="640"/>
    </row>
    <row r="148" spans="10:220" ht="17" thickBot="1">
      <c r="J148" s="580">
        <v>41685</v>
      </c>
      <c r="K148" s="581">
        <v>0</v>
      </c>
      <c r="L148" s="582">
        <v>10.1548</v>
      </c>
      <c r="M148" s="582">
        <v>10.140499999999999</v>
      </c>
      <c r="N148" s="582">
        <v>11.1615</v>
      </c>
      <c r="O148" s="582">
        <v>10.9191</v>
      </c>
      <c r="P148" s="582">
        <v>98.872</v>
      </c>
      <c r="Q148" s="582">
        <v>10.109606701047813</v>
      </c>
      <c r="R148" s="582">
        <v>0</v>
      </c>
      <c r="S148" s="582">
        <v>0.68089329895218653</v>
      </c>
      <c r="T148" s="582">
        <v>1.2418932989521871</v>
      </c>
      <c r="U148" s="582">
        <v>1.0794932989521873</v>
      </c>
      <c r="W148" s="580">
        <v>41703</v>
      </c>
      <c r="X148" s="582">
        <f t="shared" si="121"/>
        <v>0</v>
      </c>
      <c r="Y148" s="582" t="e">
        <f>AVERAGE(S166,S328,S490,S652,S814,#REF!,S1138,S1300,S1462,S1624,S1786,S1948,S2110)</f>
        <v>#REF!</v>
      </c>
      <c r="Z148" s="582">
        <f t="shared" si="122"/>
        <v>0.98983014898921007</v>
      </c>
      <c r="AA148" s="582">
        <f t="shared" si="122"/>
        <v>0.68131476437382577</v>
      </c>
      <c r="AB148" s="606"/>
      <c r="AC148" s="582"/>
      <c r="AD148" s="582"/>
      <c r="AE148" s="582">
        <f t="shared" si="113"/>
        <v>9.8005868654605699E-2</v>
      </c>
      <c r="AF148" s="582">
        <f t="shared" si="114"/>
        <v>1.0586865460626704E-4</v>
      </c>
      <c r="BE148" s="580">
        <v>41703</v>
      </c>
      <c r="BF148" s="664"/>
      <c r="BG148" s="664"/>
      <c r="BH148" s="664"/>
      <c r="BI148" s="664"/>
      <c r="BJ148" s="665"/>
      <c r="BK148" s="664"/>
      <c r="BL148" s="664"/>
      <c r="BM148" s="664"/>
      <c r="BN148" s="664"/>
      <c r="BO148" s="353">
        <v>68</v>
      </c>
      <c r="BP148" s="353">
        <f t="shared" si="123"/>
        <v>13.6</v>
      </c>
      <c r="BQ148" s="610">
        <f t="shared" si="124"/>
        <v>48.571428571428577</v>
      </c>
      <c r="BR148" s="610">
        <f t="shared" si="125"/>
        <v>18.378378378378379</v>
      </c>
      <c r="BT148" s="364"/>
      <c r="BU148" s="364"/>
      <c r="BV148" s="364"/>
      <c r="BW148" s="364"/>
      <c r="BX148" s="364"/>
      <c r="BY148" s="616" t="s">
        <v>510</v>
      </c>
      <c r="BZ148" s="617">
        <v>25</v>
      </c>
      <c r="CA148" s="608">
        <v>0</v>
      </c>
      <c r="CB148" s="608">
        <f t="shared" si="126"/>
        <v>0</v>
      </c>
      <c r="CC148" s="353">
        <v>74</v>
      </c>
      <c r="CD148" s="631">
        <f t="shared" si="127"/>
        <v>572.50000000000011</v>
      </c>
      <c r="CN148" s="632" t="s">
        <v>566</v>
      </c>
      <c r="CO148" s="580">
        <f>'[3]Plots R2&gt;.75 - UPDATED'!R145</f>
        <v>41704</v>
      </c>
      <c r="CP148" s="384"/>
      <c r="CQ148" s="661">
        <v>41704</v>
      </c>
      <c r="CR148" s="649">
        <v>0</v>
      </c>
      <c r="CS148" s="649">
        <v>4699.8618162496168</v>
      </c>
      <c r="CT148" s="649">
        <v>9488.8288577078274</v>
      </c>
      <c r="CU148" s="383">
        <v>207.56486795393002</v>
      </c>
      <c r="CV148" s="663"/>
      <c r="CW148" s="663"/>
      <c r="CX148" s="569"/>
      <c r="CY148" s="663"/>
      <c r="CZ148" s="663">
        <f t="shared" si="117"/>
        <v>32.143060494999531</v>
      </c>
      <c r="DA148" s="663">
        <f t="shared" si="118"/>
        <v>-32.143060494999531</v>
      </c>
      <c r="DB148" s="663">
        <f t="shared" si="119"/>
        <v>1469.4201528733472</v>
      </c>
      <c r="DC148" s="513">
        <f t="shared" si="120"/>
        <v>0</v>
      </c>
      <c r="DF148" s="463">
        <v>0</v>
      </c>
      <c r="DG148" s="463">
        <v>0.48026513573732527</v>
      </c>
      <c r="DH148" s="463">
        <v>1.1416975021794444</v>
      </c>
      <c r="DI148" s="463">
        <v>4.3726415858478945E-2</v>
      </c>
      <c r="DR148" s="463"/>
      <c r="DS148" s="463"/>
      <c r="DT148" s="463"/>
      <c r="DU148" s="463"/>
      <c r="DV148" s="463"/>
      <c r="DW148" s="463"/>
      <c r="DX148" s="463">
        <v>-2.1405525840226147</v>
      </c>
      <c r="DY148" s="463">
        <v>0.2494474159773219</v>
      </c>
      <c r="DZ148" s="463"/>
      <c r="EA148" s="463"/>
      <c r="EB148" s="463">
        <v>-2.1405525840226147</v>
      </c>
      <c r="EC148" s="463">
        <v>0.2494474159773219</v>
      </c>
      <c r="ED148" s="463">
        <f t="shared" si="128"/>
        <v>0</v>
      </c>
      <c r="EE148" s="463">
        <f t="shared" si="129"/>
        <v>0</v>
      </c>
      <c r="EF148" s="463">
        <f t="shared" si="130"/>
        <v>-21.405525840226147</v>
      </c>
      <c r="EG148" s="463">
        <f t="shared" si="131"/>
        <v>2.494474159773219</v>
      </c>
      <c r="EH148" s="331">
        <f>'[3]Plots R2&gt;.75 - UPDATED'!S145</f>
        <v>0</v>
      </c>
      <c r="EI148" s="331">
        <f>'[3]Plots R2&gt;.75 - UPDATED'!T145</f>
        <v>0.67378246864140734</v>
      </c>
      <c r="EJ148" s="331">
        <f>'[3]Plots R2&gt;.75 - UPDATED'!U145</f>
        <v>0.8906824686414071</v>
      </c>
      <c r="EK148" s="331">
        <f>'[3]Plots R2&gt;.75 - UPDATED'!V145</f>
        <v>0.39088246864140741</v>
      </c>
      <c r="EL148" s="677"/>
      <c r="EM148" s="677"/>
      <c r="EO148" s="331">
        <v>0</v>
      </c>
      <c r="EP148" s="331">
        <v>0.67378246864140734</v>
      </c>
      <c r="EQ148" s="331">
        <v>0.8906824686414071</v>
      </c>
      <c r="ER148" s="331">
        <v>0.39088246864140741</v>
      </c>
      <c r="GM148" s="640"/>
      <c r="GN148" s="640"/>
      <c r="GO148" s="640"/>
      <c r="GP148" s="640"/>
      <c r="GQ148" s="640"/>
      <c r="GR148" s="640"/>
      <c r="GS148" s="640"/>
      <c r="GT148" s="640"/>
      <c r="GU148" s="640"/>
    </row>
    <row r="149" spans="10:220" ht="17" thickBot="1">
      <c r="J149" s="580">
        <v>41686</v>
      </c>
      <c r="K149" s="581">
        <v>0</v>
      </c>
      <c r="L149" s="582">
        <v>10.139699999999999</v>
      </c>
      <c r="M149" s="582">
        <v>10.122</v>
      </c>
      <c r="N149" s="582">
        <v>11.126300000000001</v>
      </c>
      <c r="O149" s="582">
        <v>10.879099999999999</v>
      </c>
      <c r="P149" s="582">
        <v>98.718599999999995</v>
      </c>
      <c r="Q149" s="582">
        <v>10.093921636844188</v>
      </c>
      <c r="R149" s="582">
        <v>0</v>
      </c>
      <c r="S149" s="582">
        <v>0.67807836315581205</v>
      </c>
      <c r="T149" s="582">
        <v>1.2223783631558125</v>
      </c>
      <c r="U149" s="582">
        <v>1.0551783631558114</v>
      </c>
      <c r="W149" s="580">
        <v>41704</v>
      </c>
      <c r="X149" s="582">
        <f t="shared" si="121"/>
        <v>0</v>
      </c>
      <c r="Y149" s="582" t="e">
        <f>AVERAGE(S167,S329,S491,S653,S815,#REF!,S1139,S1301,S1463,S1625,S1787,S1949,S2111)</f>
        <v>#REF!</v>
      </c>
      <c r="Z149" s="582">
        <f t="shared" si="122"/>
        <v>0.89182428033460437</v>
      </c>
      <c r="AA149" s="582">
        <f t="shared" si="122"/>
        <v>0.6812088957192195</v>
      </c>
      <c r="AB149" s="606"/>
      <c r="AC149" s="582"/>
      <c r="AD149" s="582"/>
      <c r="AE149" s="582">
        <f t="shared" si="113"/>
        <v>0.26511587363661437</v>
      </c>
      <c r="AF149" s="582">
        <f t="shared" si="114"/>
        <v>2.6202748276860088E-4</v>
      </c>
      <c r="BE149" s="580">
        <v>41704</v>
      </c>
      <c r="BF149" s="664"/>
      <c r="BG149" s="664"/>
      <c r="BH149" s="664"/>
      <c r="BI149" s="664"/>
      <c r="BJ149" s="665"/>
      <c r="BK149" s="664"/>
      <c r="BL149" s="664"/>
      <c r="BM149" s="664"/>
      <c r="BN149" s="664"/>
      <c r="BO149" s="353">
        <v>67</v>
      </c>
      <c r="BP149" s="353">
        <f t="shared" si="123"/>
        <v>13.4</v>
      </c>
      <c r="BQ149" s="610">
        <f t="shared" si="124"/>
        <v>47.857142857142861</v>
      </c>
      <c r="BR149" s="610">
        <f t="shared" si="125"/>
        <v>18.108108108108109</v>
      </c>
      <c r="BT149" s="364"/>
      <c r="BU149" s="364"/>
      <c r="BV149" s="364"/>
      <c r="BW149" s="364"/>
      <c r="BX149" s="364"/>
      <c r="BY149" s="616" t="s">
        <v>511</v>
      </c>
      <c r="BZ149" s="617">
        <v>24</v>
      </c>
      <c r="CA149" s="608">
        <v>0</v>
      </c>
      <c r="CB149" s="608">
        <f t="shared" si="126"/>
        <v>0</v>
      </c>
      <c r="CC149" s="353">
        <v>75</v>
      </c>
      <c r="CD149" s="631">
        <f t="shared" si="127"/>
        <v>572.50000000000011</v>
      </c>
      <c r="CN149" s="632" t="s">
        <v>567</v>
      </c>
      <c r="CO149" s="580">
        <f>'[3]Plots R2&gt;.75 - UPDATED'!R146</f>
        <v>41705</v>
      </c>
      <c r="CP149" s="384"/>
      <c r="CQ149" s="661">
        <v>41705</v>
      </c>
      <c r="CR149" s="649">
        <v>0</v>
      </c>
      <c r="CS149" s="649">
        <v>4690.1817858894474</v>
      </c>
      <c r="CT149" s="649">
        <v>5069.0626143133923</v>
      </c>
      <c r="CU149" s="383">
        <v>208.79138215951207</v>
      </c>
      <c r="CV149" s="663"/>
      <c r="CW149" s="663"/>
      <c r="CX149" s="569"/>
      <c r="CY149" s="663"/>
      <c r="CZ149" s="663">
        <f t="shared" si="117"/>
        <v>60.168915479319338</v>
      </c>
      <c r="DA149" s="663">
        <f t="shared" si="118"/>
        <v>-60.168915479319338</v>
      </c>
      <c r="DB149" s="663">
        <f t="shared" si="119"/>
        <v>1460.7882607290114</v>
      </c>
      <c r="DC149" s="513">
        <f t="shared" si="120"/>
        <v>0</v>
      </c>
      <c r="DF149" s="463">
        <v>0</v>
      </c>
      <c r="DG149" s="463">
        <v>0.47316194146965435</v>
      </c>
      <c r="DH149" s="463">
        <v>1.1018282457009827</v>
      </c>
      <c r="DI149" s="463">
        <v>2.1302396439499823E-2</v>
      </c>
      <c r="DR149" s="463"/>
      <c r="DS149" s="463"/>
      <c r="DT149" s="463"/>
      <c r="DU149" s="463"/>
      <c r="DV149" s="463"/>
      <c r="DW149" s="463"/>
      <c r="DX149" s="463">
        <v>9.8880982214950564</v>
      </c>
      <c r="DY149" s="463">
        <v>6.8098221495027644E-2</v>
      </c>
      <c r="DZ149" s="463"/>
      <c r="EA149" s="463"/>
      <c r="EB149" s="463">
        <v>9.8880982214950564</v>
      </c>
      <c r="EC149" s="463">
        <v>6.8098221495027644E-2</v>
      </c>
      <c r="ED149" s="463">
        <f t="shared" si="128"/>
        <v>0</v>
      </c>
      <c r="EE149" s="463">
        <f t="shared" si="129"/>
        <v>0</v>
      </c>
      <c r="EF149" s="463">
        <f t="shared" si="130"/>
        <v>98.880982214950564</v>
      </c>
      <c r="EG149" s="463">
        <f t="shared" si="131"/>
        <v>0.68098221495027644</v>
      </c>
      <c r="EH149" s="331">
        <f>'[3]Plots R2&gt;.75 - UPDATED'!S146</f>
        <v>0</v>
      </c>
      <c r="EI149" s="331">
        <f>'[3]Plots R2&gt;.75 - UPDATED'!T146</f>
        <v>0.67330087166098074</v>
      </c>
      <c r="EJ149" s="331">
        <f>'[3]Plots R2&gt;.75 - UPDATED'!U146</f>
        <v>0.62770087166098121</v>
      </c>
      <c r="EK149" s="331">
        <f>'[3]Plots R2&gt;.75 - UPDATED'!V146</f>
        <v>0.39160087166097979</v>
      </c>
      <c r="EL149" s="677"/>
      <c r="EM149" s="677"/>
      <c r="EO149" s="331">
        <v>0</v>
      </c>
      <c r="EP149" s="331">
        <v>0.67330087166098074</v>
      </c>
      <c r="EQ149" s="331">
        <v>0.62770087166098121</v>
      </c>
      <c r="ER149" s="331">
        <v>0.39160087166097979</v>
      </c>
      <c r="GM149" s="640"/>
      <c r="GN149" s="640"/>
      <c r="GO149" s="640"/>
      <c r="GP149" s="640"/>
      <c r="GQ149" s="640"/>
      <c r="GR149" s="640"/>
      <c r="GS149" s="640"/>
      <c r="GT149" s="640"/>
      <c r="GU149" s="640"/>
    </row>
    <row r="150" spans="10:220" ht="16">
      <c r="J150" s="580">
        <v>41687</v>
      </c>
      <c r="K150" s="581">
        <v>0</v>
      </c>
      <c r="L150" s="582">
        <v>10.151999999999999</v>
      </c>
      <c r="M150" s="582">
        <v>10.134</v>
      </c>
      <c r="N150" s="582">
        <v>11.119300000000001</v>
      </c>
      <c r="O150" s="582">
        <v>10.868499999999999</v>
      </c>
      <c r="P150" s="582">
        <v>98.851500000000001</v>
      </c>
      <c r="Q150" s="582">
        <v>10.107510587513429</v>
      </c>
      <c r="R150" s="582">
        <v>0</v>
      </c>
      <c r="S150" s="582">
        <v>0.67648941248657102</v>
      </c>
      <c r="T150" s="582">
        <v>1.2017894124865713</v>
      </c>
      <c r="U150" s="582">
        <v>1.0309894124865697</v>
      </c>
      <c r="W150" s="580">
        <v>41705</v>
      </c>
      <c r="X150" s="582">
        <f t="shared" si="121"/>
        <v>0</v>
      </c>
      <c r="Y150" s="582" t="e">
        <f>AVERAGE(S168,S330,S492,S654,S816,#REF!,S1140,S1302,S1464,S1626,S1788,S1950,S2112)</f>
        <v>#REF!</v>
      </c>
      <c r="Z150" s="582">
        <f t="shared" si="122"/>
        <v>0.62670840669798999</v>
      </c>
      <c r="AA150" s="582">
        <f t="shared" si="122"/>
        <v>0.6809468682364509</v>
      </c>
      <c r="AB150" s="606"/>
      <c r="AC150" s="582"/>
      <c r="AD150" s="582"/>
      <c r="AE150" s="582">
        <f t="shared" si="113"/>
        <v>0.62670840669798999</v>
      </c>
      <c r="AF150" s="582">
        <f t="shared" si="114"/>
        <v>0.6809468682364509</v>
      </c>
      <c r="BE150" s="580">
        <v>41705</v>
      </c>
      <c r="BF150" s="664"/>
      <c r="BG150" s="664"/>
      <c r="BH150" s="664"/>
      <c r="BI150" s="664"/>
      <c r="BJ150" s="665"/>
      <c r="BK150" s="664"/>
      <c r="BL150" s="664"/>
      <c r="BM150" s="664"/>
      <c r="BN150" s="664"/>
      <c r="BO150" s="353">
        <v>64</v>
      </c>
      <c r="BP150" s="353">
        <f t="shared" si="123"/>
        <v>12.8</v>
      </c>
      <c r="BQ150" s="610">
        <f t="shared" si="124"/>
        <v>45.714285714285715</v>
      </c>
      <c r="BR150" s="610">
        <f t="shared" si="125"/>
        <v>17.297297297297295</v>
      </c>
      <c r="BT150" s="364"/>
      <c r="BU150" s="364"/>
      <c r="BV150" s="364"/>
      <c r="BW150" s="364"/>
      <c r="BX150" s="364"/>
      <c r="BY150" s="616" t="s">
        <v>512</v>
      </c>
      <c r="BZ150" s="617">
        <v>24</v>
      </c>
      <c r="CA150" s="608">
        <v>0</v>
      </c>
      <c r="CB150" s="608">
        <f t="shared" si="126"/>
        <v>0</v>
      </c>
      <c r="CC150" s="353">
        <v>73</v>
      </c>
      <c r="CD150" s="631">
        <f t="shared" si="127"/>
        <v>572.50000000000011</v>
      </c>
      <c r="CN150" s="632" t="s">
        <v>568</v>
      </c>
      <c r="CV150" s="582"/>
      <c r="CW150" s="666"/>
      <c r="CX150" s="582"/>
      <c r="CY150" s="666"/>
      <c r="CZ150" s="582"/>
      <c r="DA150" s="666">
        <f t="shared" si="118"/>
        <v>0</v>
      </c>
      <c r="DB150" s="582"/>
      <c r="DC150" s="513">
        <f t="shared" si="120"/>
        <v>391.60087166097981</v>
      </c>
      <c r="DF150" s="463">
        <v>0</v>
      </c>
      <c r="DG150" s="463">
        <v>0.47499360148578534</v>
      </c>
      <c r="DH150" s="463">
        <v>1.1458571198448499</v>
      </c>
      <c r="DI150" s="463">
        <v>2.0872737157538696E-2</v>
      </c>
      <c r="DR150" s="463"/>
      <c r="DS150" s="463"/>
      <c r="DT150" s="463"/>
      <c r="DU150" s="463"/>
      <c r="DV150" s="463"/>
      <c r="DW150" s="463"/>
      <c r="DX150" s="463">
        <v>26.298159698042589</v>
      </c>
      <c r="DY150" s="463">
        <v>-7.1840301957237784E-2</v>
      </c>
      <c r="DZ150" s="463"/>
      <c r="EA150" s="463"/>
      <c r="EB150" s="463">
        <v>26.298159698042589</v>
      </c>
      <c r="EC150" s="463">
        <v>-7.1840301957237784E-2</v>
      </c>
      <c r="ED150" s="463">
        <f t="shared" si="128"/>
        <v>0</v>
      </c>
      <c r="EE150" s="463">
        <f t="shared" si="129"/>
        <v>0</v>
      </c>
      <c r="EF150" s="463">
        <f t="shared" si="130"/>
        <v>262.98159698042588</v>
      </c>
      <c r="EG150" s="463">
        <f t="shared" si="131"/>
        <v>-0.71840301957237784</v>
      </c>
      <c r="EH150" s="331"/>
      <c r="EI150" s="331"/>
      <c r="EJ150" s="331"/>
      <c r="EK150" s="331"/>
      <c r="EL150" s="677"/>
      <c r="EM150" s="677"/>
      <c r="EO150" s="331"/>
      <c r="EP150" s="331"/>
      <c r="EQ150" s="331"/>
      <c r="ER150" s="331"/>
      <c r="GM150" s="640"/>
      <c r="GN150" s="640"/>
      <c r="GO150" s="640"/>
      <c r="GP150" s="640"/>
      <c r="GQ150" s="640"/>
      <c r="GR150" s="640"/>
      <c r="GS150" s="640"/>
      <c r="GT150" s="640"/>
      <c r="GU150" s="640"/>
    </row>
    <row r="151" spans="10:220" ht="16">
      <c r="J151" s="580">
        <v>41688</v>
      </c>
      <c r="K151" s="581">
        <v>0</v>
      </c>
      <c r="L151" s="582">
        <v>10.173500000000001</v>
      </c>
      <c r="M151" s="582">
        <v>10.155799999999999</v>
      </c>
      <c r="N151" s="582">
        <v>11.1189</v>
      </c>
      <c r="O151" s="582">
        <v>10.8644</v>
      </c>
      <c r="P151" s="582">
        <v>99.060400000000001</v>
      </c>
      <c r="Q151" s="582">
        <v>10.128870495675992</v>
      </c>
      <c r="R151" s="582">
        <v>0</v>
      </c>
      <c r="S151" s="582">
        <v>0.67692950432400756</v>
      </c>
      <c r="T151" s="582">
        <v>1.1800295043240081</v>
      </c>
      <c r="U151" s="582">
        <v>1.005529504324008</v>
      </c>
      <c r="BY151" s="616" t="s">
        <v>513</v>
      </c>
      <c r="BZ151" s="617">
        <v>24</v>
      </c>
      <c r="CA151" s="608">
        <v>0</v>
      </c>
      <c r="CB151" s="608">
        <f t="shared" si="126"/>
        <v>0</v>
      </c>
      <c r="CC151" s="353">
        <v>75</v>
      </c>
      <c r="CD151" s="631">
        <f t="shared" si="127"/>
        <v>572.50000000000011</v>
      </c>
      <c r="CN151" s="632" t="s">
        <v>569</v>
      </c>
      <c r="DF151" s="463">
        <v>0</v>
      </c>
      <c r="DG151" s="463">
        <v>0.4699861816249617</v>
      </c>
      <c r="DH151" s="463">
        <v>0.94888288577078272</v>
      </c>
      <c r="DI151" s="463">
        <v>2.0756486795393003E-2</v>
      </c>
      <c r="DR151" s="463"/>
      <c r="DS151" s="463"/>
      <c r="DT151" s="463"/>
      <c r="DU151" s="463"/>
      <c r="DV151" s="463"/>
      <c r="DW151" s="463"/>
      <c r="DX151" s="463">
        <v>62.770087166098122</v>
      </c>
      <c r="DY151" s="463">
        <v>39.160087166097981</v>
      </c>
      <c r="DZ151" s="463"/>
      <c r="EA151" s="463"/>
      <c r="EB151" s="463">
        <v>62.770087166098122</v>
      </c>
      <c r="EC151" s="463">
        <v>39.160087166097981</v>
      </c>
      <c r="ED151" s="463">
        <f t="shared" si="128"/>
        <v>0</v>
      </c>
      <c r="EE151" s="463">
        <f t="shared" si="129"/>
        <v>0</v>
      </c>
      <c r="EF151" s="463">
        <f t="shared" si="130"/>
        <v>627.70087166098119</v>
      </c>
      <c r="EG151" s="463">
        <f t="shared" si="131"/>
        <v>391.60087166097981</v>
      </c>
      <c r="EH151" s="331"/>
      <c r="EI151" s="331"/>
      <c r="EJ151" s="331"/>
      <c r="EK151" s="331"/>
      <c r="EL151" s="677"/>
      <c r="EM151" s="677"/>
      <c r="EO151" s="331"/>
      <c r="EP151" s="331"/>
      <c r="EQ151" s="331"/>
      <c r="ER151" s="331"/>
      <c r="GM151" s="640"/>
      <c r="GN151" s="640"/>
      <c r="GO151" s="640"/>
      <c r="GP151" s="640"/>
      <c r="GQ151" s="640"/>
      <c r="GR151" s="640"/>
      <c r="GS151" s="640"/>
      <c r="GT151" s="640"/>
      <c r="GU151" s="640"/>
    </row>
    <row r="152" spans="10:220" ht="16">
      <c r="J152" s="580">
        <v>41689</v>
      </c>
      <c r="K152" s="581">
        <v>0</v>
      </c>
      <c r="L152" s="582">
        <v>10.1774</v>
      </c>
      <c r="M152" s="582">
        <v>10.16</v>
      </c>
      <c r="N152" s="582">
        <v>11.1104</v>
      </c>
      <c r="O152" s="582">
        <v>10.8513</v>
      </c>
      <c r="P152" s="582">
        <v>99.116</v>
      </c>
      <c r="Q152" s="582">
        <v>10.134555564579001</v>
      </c>
      <c r="R152" s="582">
        <v>0</v>
      </c>
      <c r="S152" s="582">
        <v>0.67544443542099919</v>
      </c>
      <c r="T152" s="582">
        <v>1.1658444354209991</v>
      </c>
      <c r="U152" s="582">
        <v>0.9867444354209991</v>
      </c>
      <c r="BY152" s="616" t="s">
        <v>514</v>
      </c>
      <c r="BZ152" s="617">
        <v>25</v>
      </c>
      <c r="CA152" s="608">
        <v>0</v>
      </c>
      <c r="CB152" s="608">
        <f t="shared" si="126"/>
        <v>0</v>
      </c>
      <c r="CC152" s="353">
        <v>72</v>
      </c>
      <c r="CD152" s="631">
        <f t="shared" si="127"/>
        <v>572.50000000000011</v>
      </c>
      <c r="CN152" s="632" t="s">
        <v>570</v>
      </c>
      <c r="DF152" s="463">
        <v>0</v>
      </c>
      <c r="DG152" s="463">
        <v>0.46901817858894473</v>
      </c>
      <c r="DH152" s="463">
        <v>0.50690626143133921</v>
      </c>
      <c r="DI152" s="463">
        <v>2.0879138215951207E-2</v>
      </c>
      <c r="DR152" s="463"/>
      <c r="DS152" s="463"/>
      <c r="DT152" s="463"/>
      <c r="DU152" s="463"/>
      <c r="DV152" s="463"/>
      <c r="DW152" s="463"/>
      <c r="DX152" s="463">
        <v>0</v>
      </c>
      <c r="DY152" s="463">
        <v>0</v>
      </c>
      <c r="DZ152" s="463"/>
      <c r="EA152" s="463"/>
      <c r="EB152" s="463">
        <v>0</v>
      </c>
      <c r="EC152" s="463">
        <v>0</v>
      </c>
      <c r="ED152" s="463">
        <f t="shared" si="128"/>
        <v>0</v>
      </c>
      <c r="EE152" s="463">
        <f t="shared" si="129"/>
        <v>0</v>
      </c>
      <c r="EF152" s="463">
        <f t="shared" si="130"/>
        <v>0</v>
      </c>
      <c r="EG152" s="463">
        <f t="shared" si="131"/>
        <v>0</v>
      </c>
      <c r="EH152" s="1"/>
      <c r="EI152" s="1"/>
      <c r="EJ152" s="555"/>
      <c r="EK152" s="555"/>
      <c r="EO152" s="1"/>
      <c r="EP152" s="1"/>
      <c r="EQ152" s="555"/>
      <c r="ER152" s="555"/>
      <c r="GM152" s="640"/>
      <c r="GN152" s="640"/>
      <c r="GO152" s="640"/>
      <c r="GP152" s="640"/>
      <c r="GQ152" s="640"/>
      <c r="GR152" s="640"/>
      <c r="GS152" s="640"/>
      <c r="GT152" s="640"/>
      <c r="GU152" s="640"/>
    </row>
    <row r="153" spans="10:220" ht="16">
      <c r="J153" s="580">
        <v>41690</v>
      </c>
      <c r="K153" s="581">
        <v>0</v>
      </c>
      <c r="L153" s="582">
        <v>10.162699999999999</v>
      </c>
      <c r="M153" s="582">
        <v>10.1457</v>
      </c>
      <c r="N153" s="582">
        <v>11.0748</v>
      </c>
      <c r="O153" s="582">
        <v>10.8131</v>
      </c>
      <c r="P153" s="582">
        <v>98.983400000000003</v>
      </c>
      <c r="Q153" s="582">
        <v>10.12099728874197</v>
      </c>
      <c r="R153" s="582">
        <v>0</v>
      </c>
      <c r="S153" s="582">
        <v>0.67470271125802994</v>
      </c>
      <c r="T153" s="582">
        <v>1.1438027112580298</v>
      </c>
      <c r="U153" s="582">
        <v>0.96210271125803049</v>
      </c>
      <c r="BY153" s="616" t="s">
        <v>515</v>
      </c>
      <c r="BZ153" s="617">
        <v>26</v>
      </c>
      <c r="CA153" s="608">
        <v>0</v>
      </c>
      <c r="CB153" s="608">
        <f t="shared" si="126"/>
        <v>0</v>
      </c>
      <c r="CC153" s="353">
        <v>73</v>
      </c>
      <c r="CD153" s="631">
        <f t="shared" si="127"/>
        <v>572.50000000000011</v>
      </c>
      <c r="CN153" s="632" t="s">
        <v>571</v>
      </c>
      <c r="GM153" s="640"/>
      <c r="GN153" s="640"/>
      <c r="GO153" s="640"/>
      <c r="GP153" s="640"/>
      <c r="GQ153" s="640"/>
      <c r="GR153" s="640"/>
      <c r="GS153" s="640"/>
      <c r="GT153" s="640"/>
      <c r="GU153" s="640"/>
    </row>
    <row r="154" spans="10:220" ht="16">
      <c r="J154" s="580">
        <v>41691</v>
      </c>
      <c r="K154" s="581">
        <v>0</v>
      </c>
      <c r="L154" s="582">
        <v>10.180099999999999</v>
      </c>
      <c r="M154" s="582">
        <v>10.163399999999999</v>
      </c>
      <c r="N154" s="582">
        <v>11.0694</v>
      </c>
      <c r="O154" s="582">
        <v>10.684900000000001</v>
      </c>
      <c r="P154" s="582">
        <v>99.132800000000003</v>
      </c>
      <c r="Q154" s="582">
        <v>10.136273355182787</v>
      </c>
      <c r="R154" s="582">
        <v>0</v>
      </c>
      <c r="S154" s="582">
        <v>0.67712664481721219</v>
      </c>
      <c r="T154" s="582">
        <v>1.1231266448172126</v>
      </c>
      <c r="U154" s="582">
        <v>0.81862664481721348</v>
      </c>
      <c r="BY154" s="616" t="s">
        <v>516</v>
      </c>
      <c r="BZ154" s="617">
        <v>26</v>
      </c>
      <c r="CA154" s="608">
        <v>0</v>
      </c>
      <c r="CB154" s="608">
        <f t="shared" si="126"/>
        <v>0</v>
      </c>
      <c r="CC154" s="353">
        <v>72</v>
      </c>
      <c r="CD154" s="631">
        <f t="shared" si="127"/>
        <v>572.50000000000011</v>
      </c>
      <c r="CN154" s="632" t="s">
        <v>572</v>
      </c>
      <c r="GM154" s="640"/>
      <c r="GN154" s="640"/>
      <c r="GO154" s="640"/>
      <c r="GP154" s="640"/>
      <c r="GQ154" s="640"/>
      <c r="GR154" s="640"/>
      <c r="GS154" s="640"/>
      <c r="GT154" s="640"/>
      <c r="GU154" s="640"/>
    </row>
    <row r="155" spans="10:220" ht="16">
      <c r="J155" s="580">
        <v>41692</v>
      </c>
      <c r="K155" s="581">
        <v>0</v>
      </c>
      <c r="L155" s="582">
        <v>10.181699999999999</v>
      </c>
      <c r="M155" s="582">
        <v>10.164</v>
      </c>
      <c r="N155" s="582">
        <v>11.049099999999999</v>
      </c>
      <c r="O155" s="582">
        <v>10.6174</v>
      </c>
      <c r="P155" s="582">
        <v>99.134600000000006</v>
      </c>
      <c r="Q155" s="582">
        <v>10.136457404176051</v>
      </c>
      <c r="R155" s="582">
        <v>0</v>
      </c>
      <c r="S155" s="582">
        <v>0.67754259582394893</v>
      </c>
      <c r="T155" s="582">
        <v>1.1026425958239483</v>
      </c>
      <c r="U155" s="582">
        <v>0.75094259582394907</v>
      </c>
      <c r="BY155" s="616" t="s">
        <v>517</v>
      </c>
      <c r="BZ155" s="617">
        <v>24</v>
      </c>
      <c r="CA155" s="608">
        <v>0</v>
      </c>
      <c r="CB155" s="608">
        <f t="shared" si="126"/>
        <v>0</v>
      </c>
      <c r="CC155" s="353">
        <v>76</v>
      </c>
      <c r="CD155" s="631">
        <f t="shared" si="127"/>
        <v>572.50000000000011</v>
      </c>
      <c r="CN155" s="632" t="s">
        <v>573</v>
      </c>
      <c r="GM155" s="640"/>
      <c r="GN155" s="640"/>
      <c r="GO155" s="640"/>
      <c r="GP155" s="640"/>
      <c r="GQ155" s="640"/>
      <c r="GR155" s="640"/>
      <c r="GS155" s="640"/>
      <c r="GT155" s="640"/>
      <c r="GU155" s="640"/>
    </row>
    <row r="156" spans="10:220" ht="16">
      <c r="J156" s="580">
        <v>41693</v>
      </c>
      <c r="K156" s="581">
        <v>0</v>
      </c>
      <c r="L156" s="582">
        <v>10.1754</v>
      </c>
      <c r="M156" s="582">
        <v>10.1569</v>
      </c>
      <c r="N156" s="582">
        <v>11.023899999999999</v>
      </c>
      <c r="O156" s="582">
        <v>10.539400000000001</v>
      </c>
      <c r="P156" s="582">
        <v>99.086600000000004</v>
      </c>
      <c r="Q156" s="582">
        <v>10.131549431022375</v>
      </c>
      <c r="R156" s="582">
        <v>0</v>
      </c>
      <c r="S156" s="582">
        <v>0.67535056897762558</v>
      </c>
      <c r="T156" s="582">
        <v>1.0823505689776245</v>
      </c>
      <c r="U156" s="582">
        <v>0.67785056897762574</v>
      </c>
      <c r="BY156" s="616" t="s">
        <v>518</v>
      </c>
      <c r="BZ156" s="617">
        <v>24</v>
      </c>
      <c r="CA156" s="608">
        <v>0</v>
      </c>
      <c r="CB156" s="608">
        <f t="shared" si="126"/>
        <v>0</v>
      </c>
      <c r="CC156" s="353">
        <v>71</v>
      </c>
      <c r="CD156" s="631">
        <f t="shared" si="127"/>
        <v>572.50000000000011</v>
      </c>
      <c r="CN156" s="632" t="s">
        <v>574</v>
      </c>
      <c r="GM156" s="640"/>
      <c r="GN156" s="640"/>
      <c r="GO156" s="640"/>
      <c r="GP156" s="640"/>
      <c r="GQ156" s="640"/>
      <c r="GR156" s="640"/>
      <c r="GS156" s="640"/>
      <c r="GT156" s="640"/>
      <c r="GU156" s="640"/>
    </row>
    <row r="157" spans="10:220" ht="16">
      <c r="J157" s="580">
        <v>41694</v>
      </c>
      <c r="K157" s="581">
        <v>0</v>
      </c>
      <c r="L157" s="582">
        <v>10.1731</v>
      </c>
      <c r="M157" s="582">
        <v>10.1577</v>
      </c>
      <c r="N157" s="582">
        <v>11.0037</v>
      </c>
      <c r="O157" s="582">
        <v>10.539899999999999</v>
      </c>
      <c r="P157" s="582">
        <v>99.082800000000006</v>
      </c>
      <c r="Q157" s="582">
        <v>10.131160883147709</v>
      </c>
      <c r="R157" s="582">
        <v>0</v>
      </c>
      <c r="S157" s="582">
        <v>0.67653911685229118</v>
      </c>
      <c r="T157" s="582">
        <v>1.0625391168522911</v>
      </c>
      <c r="U157" s="582">
        <v>0.67873911685229027</v>
      </c>
      <c r="BY157" s="616" t="s">
        <v>519</v>
      </c>
      <c r="BZ157" s="617">
        <v>25</v>
      </c>
      <c r="CA157" s="608">
        <v>0</v>
      </c>
      <c r="CB157" s="608">
        <f t="shared" si="126"/>
        <v>0</v>
      </c>
      <c r="CC157" s="353">
        <v>76</v>
      </c>
      <c r="CD157" s="631">
        <f t="shared" si="127"/>
        <v>572.50000000000011</v>
      </c>
      <c r="CN157" s="632" t="s">
        <v>575</v>
      </c>
      <c r="GM157" s="640"/>
      <c r="GN157" s="640"/>
      <c r="GO157" s="640"/>
      <c r="GP157" s="640"/>
      <c r="GQ157" s="640"/>
      <c r="GR157" s="640"/>
      <c r="GS157" s="640"/>
      <c r="GT157" s="640"/>
      <c r="GU157" s="640"/>
    </row>
    <row r="158" spans="10:220" ht="16">
      <c r="J158" s="580">
        <v>41695</v>
      </c>
      <c r="K158" s="581">
        <v>0</v>
      </c>
      <c r="L158" s="582">
        <v>10.178100000000001</v>
      </c>
      <c r="M158" s="582">
        <v>10.1645</v>
      </c>
      <c r="N158" s="582">
        <v>10.9962</v>
      </c>
      <c r="O158" s="582">
        <v>10.551500000000001</v>
      </c>
      <c r="P158" s="582">
        <v>99.125799999999998</v>
      </c>
      <c r="Q158" s="582">
        <v>10.135557609097877</v>
      </c>
      <c r="R158" s="582">
        <v>0</v>
      </c>
      <c r="S158" s="582">
        <v>0.67894239090212394</v>
      </c>
      <c r="T158" s="582">
        <v>1.0506423909021234</v>
      </c>
      <c r="U158" s="582">
        <v>0.68594239090212428</v>
      </c>
      <c r="BY158" s="616" t="s">
        <v>520</v>
      </c>
      <c r="BZ158" s="617">
        <v>25</v>
      </c>
      <c r="CA158" s="608">
        <v>0</v>
      </c>
      <c r="CB158" s="608">
        <f t="shared" si="126"/>
        <v>0</v>
      </c>
      <c r="CC158" s="353">
        <v>71</v>
      </c>
      <c r="CD158" s="631">
        <f t="shared" si="127"/>
        <v>572.50000000000011</v>
      </c>
      <c r="CN158" s="632" t="s">
        <v>576</v>
      </c>
      <c r="EC158" s="839">
        <f>MIN(EC8:EC142)</f>
        <v>-2.4695976845197039</v>
      </c>
      <c r="ED158" s="839"/>
      <c r="EE158" s="839"/>
      <c r="EF158" s="839"/>
      <c r="EG158" s="839"/>
      <c r="GM158" s="640"/>
      <c r="GN158" s="640"/>
      <c r="GO158" s="640"/>
      <c r="GP158" s="640"/>
      <c r="GQ158" s="640"/>
      <c r="GR158" s="640"/>
      <c r="GS158" s="640"/>
      <c r="GT158" s="640"/>
      <c r="GU158" s="640"/>
    </row>
    <row r="159" spans="10:220" ht="16">
      <c r="J159" s="580">
        <v>41696</v>
      </c>
      <c r="K159" s="581">
        <v>0</v>
      </c>
      <c r="L159" s="582">
        <v>10.179600000000001</v>
      </c>
      <c r="M159" s="582">
        <v>10.1662</v>
      </c>
      <c r="N159" s="582">
        <v>10.9757</v>
      </c>
      <c r="O159" s="582">
        <v>10.5459</v>
      </c>
      <c r="P159" s="582">
        <v>99.165700000000001</v>
      </c>
      <c r="Q159" s="582">
        <v>10.139637361781871</v>
      </c>
      <c r="R159" s="582">
        <v>0</v>
      </c>
      <c r="S159" s="582">
        <v>0.67656263821812934</v>
      </c>
      <c r="T159" s="582">
        <v>1.026062638218129</v>
      </c>
      <c r="U159" s="582">
        <v>0.67626263821812893</v>
      </c>
      <c r="BY159" s="616" t="s">
        <v>521</v>
      </c>
      <c r="BZ159" s="617">
        <v>24</v>
      </c>
      <c r="CA159" s="608">
        <v>0</v>
      </c>
      <c r="CB159" s="608">
        <f t="shared" si="126"/>
        <v>0</v>
      </c>
      <c r="CC159" s="353">
        <v>68</v>
      </c>
      <c r="CD159" s="631">
        <f t="shared" si="127"/>
        <v>572.50000000000011</v>
      </c>
      <c r="CN159" s="632" t="s">
        <v>577</v>
      </c>
      <c r="GM159" s="640"/>
      <c r="GN159" s="640"/>
      <c r="GO159" s="640"/>
      <c r="GP159" s="640"/>
      <c r="GQ159" s="640"/>
      <c r="GR159" s="640"/>
      <c r="GS159" s="640"/>
      <c r="GT159" s="640"/>
      <c r="GU159" s="640"/>
    </row>
    <row r="160" spans="10:220" ht="16">
      <c r="J160" s="580">
        <v>41697</v>
      </c>
      <c r="K160" s="581">
        <v>0</v>
      </c>
      <c r="L160" s="582">
        <v>10.1746</v>
      </c>
      <c r="M160" s="582">
        <v>10.160600000000001</v>
      </c>
      <c r="N160" s="582">
        <v>10.9465</v>
      </c>
      <c r="O160" s="582">
        <v>10.538600000000001</v>
      </c>
      <c r="P160" s="582">
        <v>99.101900000000001</v>
      </c>
      <c r="Q160" s="582">
        <v>10.133113847465109</v>
      </c>
      <c r="R160" s="582">
        <v>0</v>
      </c>
      <c r="S160" s="582">
        <v>0.6774861525348912</v>
      </c>
      <c r="T160" s="582">
        <v>1.0033861525348908</v>
      </c>
      <c r="U160" s="582">
        <v>0.67548615253489119</v>
      </c>
      <c r="BY160" s="616" t="s">
        <v>522</v>
      </c>
      <c r="BZ160" s="617">
        <v>25</v>
      </c>
      <c r="CA160" s="608">
        <v>0</v>
      </c>
      <c r="CB160" s="608">
        <f t="shared" si="126"/>
        <v>0</v>
      </c>
      <c r="CC160" s="353">
        <v>72</v>
      </c>
      <c r="CD160" s="631">
        <f t="shared" si="127"/>
        <v>572.50000000000011</v>
      </c>
      <c r="CN160" s="632" t="s">
        <v>578</v>
      </c>
      <c r="GM160" s="640"/>
      <c r="GN160" s="640"/>
      <c r="GO160" s="640"/>
      <c r="GP160" s="640"/>
      <c r="GQ160" s="640"/>
      <c r="GR160" s="640"/>
      <c r="GS160" s="640"/>
      <c r="GT160" s="640"/>
      <c r="GU160" s="640"/>
    </row>
    <row r="161" spans="10:203" ht="16">
      <c r="J161" s="580">
        <v>41698</v>
      </c>
      <c r="K161" s="581">
        <v>0</v>
      </c>
      <c r="L161" s="582">
        <v>10.1713</v>
      </c>
      <c r="M161" s="582">
        <v>10.1564</v>
      </c>
      <c r="N161" s="582">
        <v>10.9208</v>
      </c>
      <c r="O161" s="582">
        <v>10.532</v>
      </c>
      <c r="P161" s="582">
        <v>99.057500000000005</v>
      </c>
      <c r="Q161" s="582">
        <v>10.128573972297959</v>
      </c>
      <c r="R161" s="582">
        <v>0</v>
      </c>
      <c r="S161" s="582">
        <v>0.67782602770204092</v>
      </c>
      <c r="T161" s="582">
        <v>0.98222602770204104</v>
      </c>
      <c r="U161" s="582">
        <v>0.67342602770204119</v>
      </c>
      <c r="BY161" s="616" t="s">
        <v>523</v>
      </c>
      <c r="BZ161" s="617">
        <v>26</v>
      </c>
      <c r="CA161" s="608">
        <v>0.03</v>
      </c>
      <c r="CB161" s="608">
        <f t="shared" si="126"/>
        <v>0.3</v>
      </c>
      <c r="CC161" s="353">
        <v>77</v>
      </c>
      <c r="CD161" s="631">
        <f t="shared" si="127"/>
        <v>572.80000000000007</v>
      </c>
      <c r="CN161" s="632" t="s">
        <v>579</v>
      </c>
      <c r="GM161" s="640"/>
      <c r="GN161" s="640"/>
      <c r="GO161" s="640"/>
      <c r="GP161" s="640"/>
      <c r="GQ161" s="640"/>
      <c r="GR161" s="640"/>
      <c r="GS161" s="640"/>
      <c r="GT161" s="640"/>
      <c r="GU161" s="640"/>
    </row>
    <row r="162" spans="10:203" ht="16">
      <c r="J162" s="580">
        <v>41699</v>
      </c>
      <c r="K162" s="581">
        <v>0</v>
      </c>
      <c r="L162" s="582">
        <v>10.1616</v>
      </c>
      <c r="M162" s="582">
        <v>10.146000000000001</v>
      </c>
      <c r="N162" s="582">
        <v>10.8879</v>
      </c>
      <c r="O162" s="582">
        <v>10.521599999999999</v>
      </c>
      <c r="P162" s="582">
        <v>98.956999999999994</v>
      </c>
      <c r="Q162" s="582">
        <v>10.118297903507447</v>
      </c>
      <c r="R162" s="582">
        <v>0</v>
      </c>
      <c r="S162" s="582">
        <v>0.6777020964925542</v>
      </c>
      <c r="T162" s="582">
        <v>0.95960209649255346</v>
      </c>
      <c r="U162" s="582">
        <v>0.67330209649255268</v>
      </c>
      <c r="BY162" s="616" t="s">
        <v>524</v>
      </c>
      <c r="BZ162" s="617">
        <v>26</v>
      </c>
      <c r="CA162" s="608">
        <v>0</v>
      </c>
      <c r="CB162" s="608">
        <f t="shared" si="126"/>
        <v>0</v>
      </c>
      <c r="CC162" s="353">
        <v>76</v>
      </c>
      <c r="CD162" s="631">
        <f t="shared" si="127"/>
        <v>572.80000000000007</v>
      </c>
      <c r="CN162" s="632" t="s">
        <v>580</v>
      </c>
      <c r="GM162" s="640"/>
      <c r="GN162" s="640"/>
      <c r="GO162" s="640"/>
      <c r="GP162" s="640"/>
      <c r="GQ162" s="640"/>
      <c r="GR162" s="640"/>
      <c r="GS162" s="640"/>
      <c r="GT162" s="640"/>
      <c r="GU162" s="640"/>
    </row>
    <row r="163" spans="10:203" ht="16">
      <c r="J163" s="580">
        <v>41700</v>
      </c>
      <c r="K163" s="581">
        <v>0</v>
      </c>
      <c r="L163" s="582">
        <v>10.166</v>
      </c>
      <c r="M163" s="582">
        <v>10.1508</v>
      </c>
      <c r="N163" s="582">
        <v>10.9358</v>
      </c>
      <c r="O163" s="582">
        <v>10.600300000000001</v>
      </c>
      <c r="P163" s="582">
        <v>99.005399999999995</v>
      </c>
      <c r="Q163" s="582">
        <v>10.123246776437405</v>
      </c>
      <c r="R163" s="582">
        <v>0</v>
      </c>
      <c r="S163" s="582">
        <v>0.6775532235625954</v>
      </c>
      <c r="T163" s="582">
        <v>1.0025532235625954</v>
      </c>
      <c r="U163" s="582">
        <v>0.74705322356259574</v>
      </c>
      <c r="BY163" s="616" t="s">
        <v>525</v>
      </c>
      <c r="BZ163" s="617">
        <v>26</v>
      </c>
      <c r="CA163" s="608">
        <v>0</v>
      </c>
      <c r="CB163" s="608">
        <f t="shared" si="126"/>
        <v>0</v>
      </c>
      <c r="CC163" s="353">
        <v>77</v>
      </c>
      <c r="CD163" s="631">
        <f t="shared" si="127"/>
        <v>572.80000000000007</v>
      </c>
      <c r="CN163" s="632" t="s">
        <v>581</v>
      </c>
      <c r="GM163" s="640"/>
      <c r="GN163" s="640"/>
      <c r="GO163" s="640"/>
      <c r="GP163" s="640"/>
      <c r="GQ163" s="640"/>
      <c r="GR163" s="640"/>
      <c r="GS163" s="640"/>
      <c r="GT163" s="640"/>
      <c r="GU163" s="640"/>
    </row>
    <row r="164" spans="10:203" ht="16">
      <c r="J164" s="580">
        <v>41701</v>
      </c>
      <c r="K164" s="581">
        <v>0</v>
      </c>
      <c r="L164" s="582">
        <v>10.1584</v>
      </c>
      <c r="M164" s="582">
        <v>10.1433</v>
      </c>
      <c r="N164" s="582">
        <v>10.912000000000001</v>
      </c>
      <c r="O164" s="582">
        <v>10.6275</v>
      </c>
      <c r="P164" s="582">
        <v>98.919300000000007</v>
      </c>
      <c r="Q164" s="582">
        <v>10.114443099592998</v>
      </c>
      <c r="R164" s="582">
        <v>0</v>
      </c>
      <c r="S164" s="582">
        <v>0.67885690040700175</v>
      </c>
      <c r="T164" s="582">
        <v>0.9875569004070025</v>
      </c>
      <c r="U164" s="582">
        <v>0.78305690040700116</v>
      </c>
      <c r="BY164" s="616" t="s">
        <v>526</v>
      </c>
      <c r="BZ164" s="617">
        <v>25</v>
      </c>
      <c r="CA164" s="608">
        <v>0</v>
      </c>
      <c r="CB164" s="608">
        <f t="shared" si="126"/>
        <v>0</v>
      </c>
      <c r="CC164" s="353">
        <v>75</v>
      </c>
      <c r="CD164" s="631">
        <f t="shared" si="127"/>
        <v>572.80000000000007</v>
      </c>
      <c r="CN164" s="632" t="s">
        <v>582</v>
      </c>
      <c r="GM164" s="640"/>
      <c r="GN164" s="640"/>
      <c r="GO164" s="640"/>
      <c r="GP164" s="640"/>
      <c r="GQ164" s="640"/>
      <c r="GR164" s="640"/>
      <c r="GS164" s="640"/>
      <c r="GT164" s="640"/>
      <c r="GU164" s="640"/>
    </row>
    <row r="165" spans="10:203" ht="16">
      <c r="J165" s="580">
        <v>41702</v>
      </c>
      <c r="K165" s="581">
        <v>0</v>
      </c>
      <c r="L165" s="582">
        <v>10.1622</v>
      </c>
      <c r="M165" s="582">
        <v>10.144299999999999</v>
      </c>
      <c r="N165" s="582">
        <v>10.8971</v>
      </c>
      <c r="O165" s="582">
        <v>10.532999999999999</v>
      </c>
      <c r="P165" s="582">
        <v>98.963300000000004</v>
      </c>
      <c r="Q165" s="582">
        <v>10.118942074983869</v>
      </c>
      <c r="R165" s="582">
        <v>0</v>
      </c>
      <c r="S165" s="582">
        <v>0.67535792501613101</v>
      </c>
      <c r="T165" s="582">
        <v>0.96815792501613152</v>
      </c>
      <c r="U165" s="582">
        <v>0.68405792501613094</v>
      </c>
      <c r="BY165" s="616" t="s">
        <v>527</v>
      </c>
      <c r="BZ165" s="617">
        <v>26</v>
      </c>
      <c r="CA165" s="608">
        <v>0</v>
      </c>
      <c r="CB165" s="608">
        <f t="shared" si="126"/>
        <v>0</v>
      </c>
      <c r="CC165" s="353">
        <v>68</v>
      </c>
      <c r="CD165" s="631">
        <f t="shared" si="127"/>
        <v>572.80000000000007</v>
      </c>
      <c r="CN165" s="632" t="s">
        <v>583</v>
      </c>
      <c r="GM165" s="640"/>
      <c r="GN165" s="640"/>
      <c r="GO165" s="640"/>
      <c r="GP165" s="640"/>
      <c r="GQ165" s="640"/>
      <c r="GR165" s="640"/>
      <c r="GS165" s="640"/>
      <c r="GT165" s="640"/>
      <c r="GU165" s="640"/>
    </row>
    <row r="166" spans="10:203" ht="16">
      <c r="J166" s="580">
        <v>41703</v>
      </c>
      <c r="K166" s="581">
        <v>0</v>
      </c>
      <c r="L166" s="582">
        <v>10.173400000000001</v>
      </c>
      <c r="M166" s="582">
        <v>10.154500000000001</v>
      </c>
      <c r="N166" s="582">
        <v>10.9278</v>
      </c>
      <c r="O166" s="582">
        <v>10.5398</v>
      </c>
      <c r="P166" s="582">
        <v>99.054199999999994</v>
      </c>
      <c r="Q166" s="582">
        <v>10.128236549143642</v>
      </c>
      <c r="R166" s="582">
        <v>0</v>
      </c>
      <c r="S166" s="582">
        <v>0.67626345085635875</v>
      </c>
      <c r="T166" s="582">
        <v>0.98956345085635766</v>
      </c>
      <c r="U166" s="582">
        <v>0.68156345085635772</v>
      </c>
      <c r="BY166" s="616" t="s">
        <v>528</v>
      </c>
      <c r="BZ166" s="617">
        <v>26</v>
      </c>
      <c r="CA166" s="608">
        <v>0</v>
      </c>
      <c r="CB166" s="608">
        <f t="shared" si="126"/>
        <v>0</v>
      </c>
      <c r="CC166" s="353">
        <v>71</v>
      </c>
      <c r="CD166" s="631">
        <f t="shared" si="127"/>
        <v>572.80000000000007</v>
      </c>
      <c r="CN166" s="632" t="s">
        <v>584</v>
      </c>
      <c r="GM166" s="640"/>
      <c r="GN166" s="640"/>
      <c r="GO166" s="640"/>
      <c r="GP166" s="640"/>
      <c r="GQ166" s="640"/>
      <c r="GR166" s="640"/>
      <c r="GS166" s="640"/>
      <c r="GT166" s="640"/>
      <c r="GU166" s="640"/>
    </row>
    <row r="167" spans="10:203" ht="16">
      <c r="J167" s="580">
        <v>41704</v>
      </c>
      <c r="K167" s="581">
        <v>0</v>
      </c>
      <c r="L167" s="582">
        <v>10.1693</v>
      </c>
      <c r="M167" s="582">
        <v>10.150700000000001</v>
      </c>
      <c r="N167" s="582">
        <v>10.8276</v>
      </c>
      <c r="O167" s="582">
        <v>10.537800000000001</v>
      </c>
      <c r="P167" s="582">
        <v>99.041300000000007</v>
      </c>
      <c r="Q167" s="582">
        <v>10.126917531358593</v>
      </c>
      <c r="R167" s="582">
        <v>0</v>
      </c>
      <c r="S167" s="582">
        <v>0.67378246864140734</v>
      </c>
      <c r="T167" s="582">
        <v>0.8906824686414071</v>
      </c>
      <c r="U167" s="582">
        <v>0.68088246864140745</v>
      </c>
      <c r="BY167" s="616" t="s">
        <v>529</v>
      </c>
      <c r="BZ167" s="617">
        <v>26</v>
      </c>
      <c r="CA167" s="608">
        <v>0</v>
      </c>
      <c r="CB167" s="608">
        <f t="shared" si="126"/>
        <v>0</v>
      </c>
      <c r="CC167" s="353">
        <v>74</v>
      </c>
      <c r="CD167" s="631">
        <f t="shared" si="127"/>
        <v>572.80000000000007</v>
      </c>
      <c r="CN167" s="632" t="s">
        <v>585</v>
      </c>
      <c r="GM167" s="640"/>
      <c r="GN167" s="640"/>
      <c r="GO167" s="640"/>
      <c r="GP167" s="640"/>
      <c r="GQ167" s="640"/>
      <c r="GR167" s="640"/>
      <c r="GS167" s="640"/>
      <c r="GT167" s="640"/>
      <c r="GU167" s="640"/>
    </row>
    <row r="168" spans="10:203" ht="16">
      <c r="J168" s="580">
        <v>41705</v>
      </c>
      <c r="K168" s="581">
        <v>0</v>
      </c>
      <c r="L168" s="582">
        <v>10.164999999999999</v>
      </c>
      <c r="M168" s="582">
        <v>10.1462</v>
      </c>
      <c r="N168" s="582">
        <v>10.560600000000001</v>
      </c>
      <c r="O168" s="582">
        <v>10.5345</v>
      </c>
      <c r="P168" s="582">
        <v>99.001999999999995</v>
      </c>
      <c r="Q168" s="582">
        <v>10.12289912833902</v>
      </c>
      <c r="R168" s="582">
        <v>0</v>
      </c>
      <c r="S168" s="582">
        <v>0.67330087166098074</v>
      </c>
      <c r="T168" s="582">
        <v>0.62770087166098121</v>
      </c>
      <c r="U168" s="582">
        <v>0.68160087166097982</v>
      </c>
      <c r="BY168" s="616" t="s">
        <v>530</v>
      </c>
      <c r="BZ168" s="617">
        <v>25</v>
      </c>
      <c r="CA168" s="608">
        <v>0</v>
      </c>
      <c r="CB168" s="608">
        <f t="shared" si="126"/>
        <v>0</v>
      </c>
      <c r="CC168" s="353">
        <v>76</v>
      </c>
      <c r="CD168" s="631">
        <f t="shared" si="127"/>
        <v>572.80000000000007</v>
      </c>
      <c r="CN168" s="632" t="s">
        <v>586</v>
      </c>
      <c r="GM168" s="640"/>
      <c r="GN168" s="640"/>
      <c r="GO168" s="640"/>
      <c r="GP168" s="640"/>
      <c r="GQ168" s="640"/>
      <c r="GR168" s="640"/>
      <c r="GS168" s="640"/>
      <c r="GT168" s="640"/>
      <c r="GU168" s="640"/>
    </row>
    <row r="169" spans="10:203" ht="16">
      <c r="J169" s="580">
        <v>41544</v>
      </c>
      <c r="K169" s="581">
        <v>3.472222222222222E-3</v>
      </c>
      <c r="L169" s="582">
        <v>10.054600000000001</v>
      </c>
      <c r="M169" s="582">
        <v>10.0685</v>
      </c>
      <c r="N169" s="582">
        <v>10.077999999999999</v>
      </c>
      <c r="O169" s="582">
        <v>10.089399999999999</v>
      </c>
      <c r="P169" s="582">
        <v>98.775599999999997</v>
      </c>
      <c r="Q169" s="582">
        <v>10.099749854964179</v>
      </c>
      <c r="R169" s="582">
        <v>0</v>
      </c>
      <c r="S169" s="582">
        <v>0.61875014503582171</v>
      </c>
      <c r="T169" s="582">
        <v>0.16825014503582081</v>
      </c>
      <c r="U169" s="582">
        <v>0.25965014503582079</v>
      </c>
      <c r="BY169" s="616" t="s">
        <v>531</v>
      </c>
      <c r="BZ169" s="617">
        <v>25</v>
      </c>
      <c r="CA169" s="608">
        <v>0</v>
      </c>
      <c r="CB169" s="608">
        <f t="shared" si="126"/>
        <v>0</v>
      </c>
      <c r="CC169" s="353">
        <v>77</v>
      </c>
      <c r="CD169" s="631">
        <f t="shared" si="127"/>
        <v>572.80000000000007</v>
      </c>
      <c r="CN169" s="632" t="s">
        <v>587</v>
      </c>
      <c r="GM169" s="640"/>
      <c r="GN169" s="640"/>
      <c r="GO169" s="640"/>
      <c r="GP169" s="640"/>
      <c r="GQ169" s="640"/>
      <c r="GR169" s="640"/>
      <c r="GS169" s="640"/>
      <c r="GT169" s="640"/>
      <c r="GU169" s="640"/>
    </row>
    <row r="170" spans="10:203" ht="17" thickBot="1">
      <c r="J170" s="580">
        <v>41545</v>
      </c>
      <c r="K170" s="581">
        <v>3.472222222222222E-3</v>
      </c>
      <c r="L170" s="582">
        <v>10.0519</v>
      </c>
      <c r="M170" s="582">
        <v>10.0678</v>
      </c>
      <c r="N170" s="582">
        <v>10.0762</v>
      </c>
      <c r="O170" s="582">
        <v>10.0884</v>
      </c>
      <c r="P170" s="582">
        <v>98.755099999999999</v>
      </c>
      <c r="Q170" s="582">
        <v>10.097653741429797</v>
      </c>
      <c r="R170" s="582">
        <v>0</v>
      </c>
      <c r="S170" s="582">
        <v>0.62014625857020333</v>
      </c>
      <c r="T170" s="582">
        <v>0.16854625857020322</v>
      </c>
      <c r="U170" s="582">
        <v>0.26074625857020312</v>
      </c>
      <c r="BY170" s="616" t="s">
        <v>532</v>
      </c>
      <c r="BZ170" s="617">
        <v>26</v>
      </c>
      <c r="CA170" s="608">
        <v>0</v>
      </c>
      <c r="CB170" s="608">
        <f t="shared" si="126"/>
        <v>0</v>
      </c>
      <c r="CC170" s="353">
        <v>77</v>
      </c>
      <c r="CD170" s="631">
        <f t="shared" si="127"/>
        <v>572.80000000000007</v>
      </c>
      <c r="CN170" s="667" t="s">
        <v>588</v>
      </c>
      <c r="GM170" s="640"/>
      <c r="GN170" s="640"/>
      <c r="GO170" s="640"/>
      <c r="GP170" s="640"/>
      <c r="GQ170" s="640"/>
      <c r="GR170" s="640"/>
      <c r="GS170" s="640"/>
      <c r="GT170" s="640"/>
      <c r="GU170" s="640"/>
    </row>
    <row r="171" spans="10:203" ht="16">
      <c r="J171" s="580">
        <v>41546</v>
      </c>
      <c r="K171" s="581">
        <v>3.472222222222222E-3</v>
      </c>
      <c r="L171" s="582">
        <v>10.033899999999999</v>
      </c>
      <c r="M171" s="582">
        <v>10.0479</v>
      </c>
      <c r="N171" s="582">
        <v>10.0557</v>
      </c>
      <c r="O171" s="582">
        <v>10.068300000000001</v>
      </c>
      <c r="P171" s="582">
        <v>98.555400000000006</v>
      </c>
      <c r="Q171" s="582">
        <v>10.077234528121689</v>
      </c>
      <c r="R171" s="582">
        <v>0</v>
      </c>
      <c r="S171" s="582">
        <v>0.62066547187831111</v>
      </c>
      <c r="T171" s="582">
        <v>0.16846547187831062</v>
      </c>
      <c r="U171" s="582">
        <v>0.26106547187831136</v>
      </c>
      <c r="BY171" s="616" t="s">
        <v>533</v>
      </c>
      <c r="BZ171" s="617">
        <v>26</v>
      </c>
      <c r="CA171" s="608">
        <v>0</v>
      </c>
      <c r="CB171" s="608">
        <f t="shared" si="126"/>
        <v>0</v>
      </c>
      <c r="CC171" s="353">
        <v>74</v>
      </c>
      <c r="CD171" s="631">
        <f t="shared" si="127"/>
        <v>572.80000000000007</v>
      </c>
      <c r="GM171" s="640"/>
      <c r="GN171" s="640"/>
      <c r="GO171" s="640"/>
      <c r="GP171" s="640"/>
      <c r="GQ171" s="640"/>
      <c r="GR171" s="640"/>
      <c r="GS171" s="640"/>
      <c r="GT171" s="640"/>
      <c r="GU171" s="640"/>
    </row>
    <row r="172" spans="10:203" ht="16">
      <c r="J172" s="580">
        <v>41547</v>
      </c>
      <c r="K172" s="581">
        <v>3.472222222222222E-3</v>
      </c>
      <c r="L172" s="582">
        <v>10.0115</v>
      </c>
      <c r="M172" s="582">
        <v>10.0253</v>
      </c>
      <c r="N172" s="582">
        <v>10.033099999999999</v>
      </c>
      <c r="O172" s="582">
        <v>10.045999999999999</v>
      </c>
      <c r="P172" s="582">
        <v>98.352500000000006</v>
      </c>
      <c r="Q172" s="582">
        <v>10.056488116603337</v>
      </c>
      <c r="R172" s="582">
        <v>0</v>
      </c>
      <c r="S172" s="582">
        <v>0.61881188339666315</v>
      </c>
      <c r="T172" s="582">
        <v>0.16661188339666266</v>
      </c>
      <c r="U172" s="582">
        <v>0.2595118833966627</v>
      </c>
      <c r="BY172" s="616" t="s">
        <v>534</v>
      </c>
      <c r="BZ172" s="617">
        <v>26</v>
      </c>
      <c r="CA172" s="608">
        <v>0</v>
      </c>
      <c r="CB172" s="608">
        <f t="shared" si="126"/>
        <v>0</v>
      </c>
      <c r="CC172" s="353">
        <v>74</v>
      </c>
      <c r="CD172" s="631">
        <f t="shared" si="127"/>
        <v>572.80000000000007</v>
      </c>
      <c r="GM172" s="640"/>
      <c r="GN172" s="640"/>
      <c r="GO172" s="640"/>
      <c r="GP172" s="640"/>
      <c r="GQ172" s="640"/>
      <c r="GR172" s="640"/>
      <c r="GS172" s="640"/>
      <c r="GT172" s="640"/>
      <c r="GU172" s="640"/>
    </row>
    <row r="173" spans="10:203" ht="16">
      <c r="J173" s="580">
        <v>41548</v>
      </c>
      <c r="K173" s="581">
        <v>3.472222222222222E-3</v>
      </c>
      <c r="L173" s="582">
        <v>10.0113</v>
      </c>
      <c r="M173" s="582">
        <v>10.0253</v>
      </c>
      <c r="N173" s="582">
        <v>10.033300000000001</v>
      </c>
      <c r="O173" s="582">
        <v>10.0464</v>
      </c>
      <c r="P173" s="582">
        <v>98.354200000000006</v>
      </c>
      <c r="Q173" s="582">
        <v>10.056661940652528</v>
      </c>
      <c r="R173" s="582">
        <v>0</v>
      </c>
      <c r="S173" s="582">
        <v>0.6186380593474714</v>
      </c>
      <c r="T173" s="582">
        <v>0.16663805934747222</v>
      </c>
      <c r="U173" s="582">
        <v>0.25973805934747179</v>
      </c>
      <c r="BY173" s="616" t="s">
        <v>535</v>
      </c>
      <c r="BZ173" s="617">
        <v>26</v>
      </c>
      <c r="CA173" s="608">
        <v>0</v>
      </c>
      <c r="CB173" s="608">
        <f t="shared" si="126"/>
        <v>0</v>
      </c>
      <c r="CC173" s="353">
        <v>76</v>
      </c>
      <c r="CD173" s="631">
        <f t="shared" si="127"/>
        <v>572.80000000000007</v>
      </c>
      <c r="GM173" s="640"/>
      <c r="GN173" s="640"/>
      <c r="GO173" s="640"/>
      <c r="GP173" s="640"/>
      <c r="GQ173" s="640"/>
      <c r="GR173" s="640"/>
      <c r="GS173" s="640"/>
      <c r="GT173" s="640"/>
      <c r="GU173" s="640"/>
    </row>
    <row r="174" spans="10:203" ht="16">
      <c r="J174" s="580">
        <v>41549</v>
      </c>
      <c r="K174" s="581">
        <v>3.472222222222222E-3</v>
      </c>
      <c r="L174" s="582">
        <v>10.019299999999999</v>
      </c>
      <c r="M174" s="582">
        <v>10.033300000000001</v>
      </c>
      <c r="N174" s="582">
        <v>10.041399999999999</v>
      </c>
      <c r="O174" s="582">
        <v>10.0547</v>
      </c>
      <c r="P174" s="582">
        <v>98.4178</v>
      </c>
      <c r="Q174" s="582">
        <v>10.063165005081149</v>
      </c>
      <c r="R174" s="582">
        <v>0</v>
      </c>
      <c r="S174" s="582">
        <v>0.62013499491885127</v>
      </c>
      <c r="T174" s="582">
        <v>0.16823499491885008</v>
      </c>
      <c r="U174" s="582">
        <v>0.26153499491885096</v>
      </c>
      <c r="BY174" s="616" t="s">
        <v>536</v>
      </c>
      <c r="BZ174" s="617">
        <v>27</v>
      </c>
      <c r="CA174" s="608">
        <v>0</v>
      </c>
      <c r="CB174" s="608">
        <f t="shared" si="126"/>
        <v>0</v>
      </c>
      <c r="CC174" s="353">
        <v>71</v>
      </c>
      <c r="CD174" s="631">
        <f t="shared" si="127"/>
        <v>572.80000000000007</v>
      </c>
      <c r="GM174" s="640"/>
      <c r="GN174" s="640"/>
      <c r="GO174" s="640"/>
      <c r="GP174" s="640"/>
      <c r="GQ174" s="640"/>
      <c r="GR174" s="640"/>
      <c r="GS174" s="640"/>
      <c r="GT174" s="640"/>
      <c r="GU174" s="640"/>
    </row>
    <row r="175" spans="10:203" ht="16">
      <c r="J175" s="580">
        <v>41550</v>
      </c>
      <c r="K175" s="581">
        <v>3.472222222222222E-3</v>
      </c>
      <c r="L175" s="582">
        <v>10.0341</v>
      </c>
      <c r="M175" s="582">
        <v>10.044700000000001</v>
      </c>
      <c r="N175" s="582">
        <v>10.053100000000001</v>
      </c>
      <c r="O175" s="582">
        <v>10.065099999999999</v>
      </c>
      <c r="P175" s="582">
        <v>98.539699999999996</v>
      </c>
      <c r="Q175" s="582">
        <v>10.075629211902672</v>
      </c>
      <c r="R175" s="582">
        <v>0</v>
      </c>
      <c r="S175" s="582">
        <v>0.6190707880973283</v>
      </c>
      <c r="T175" s="582">
        <v>0.16747078809732818</v>
      </c>
      <c r="U175" s="582">
        <v>0.25947078809732677</v>
      </c>
      <c r="BY175" s="616" t="s">
        <v>537</v>
      </c>
      <c r="BZ175" s="617">
        <v>26</v>
      </c>
      <c r="CA175" s="608">
        <v>0</v>
      </c>
      <c r="CB175" s="608">
        <f t="shared" si="126"/>
        <v>0</v>
      </c>
      <c r="CC175" s="353">
        <v>74</v>
      </c>
      <c r="CD175" s="631">
        <f t="shared" si="127"/>
        <v>572.80000000000007</v>
      </c>
      <c r="GM175" s="640"/>
      <c r="GN175" s="640"/>
      <c r="GO175" s="640"/>
      <c r="GP175" s="640"/>
      <c r="GQ175" s="640"/>
      <c r="GR175" s="640"/>
      <c r="GS175" s="640"/>
      <c r="GT175" s="640"/>
      <c r="GU175" s="640"/>
    </row>
    <row r="176" spans="10:203" ht="16">
      <c r="J176" s="580">
        <v>41551</v>
      </c>
      <c r="K176" s="581">
        <v>3.472222222222222E-3</v>
      </c>
      <c r="L176" s="582">
        <v>10.0405</v>
      </c>
      <c r="M176" s="582">
        <v>10.052199999999999</v>
      </c>
      <c r="N176" s="582">
        <v>10.0587</v>
      </c>
      <c r="O176" s="582">
        <v>10.0718</v>
      </c>
      <c r="P176" s="582">
        <v>98.594399999999993</v>
      </c>
      <c r="Q176" s="582">
        <v>10.081222256309051</v>
      </c>
      <c r="R176" s="582">
        <v>0</v>
      </c>
      <c r="S176" s="582">
        <v>0.62097774369094849</v>
      </c>
      <c r="T176" s="582">
        <v>0.16747774369094925</v>
      </c>
      <c r="U176" s="582">
        <v>0.26057774369094883</v>
      </c>
      <c r="BY176" s="616" t="s">
        <v>538</v>
      </c>
      <c r="BZ176" s="617">
        <v>26</v>
      </c>
      <c r="CA176" s="608">
        <v>0</v>
      </c>
      <c r="CB176" s="608">
        <f t="shared" si="126"/>
        <v>0</v>
      </c>
      <c r="CC176" s="353">
        <v>75</v>
      </c>
      <c r="CD176" s="631">
        <f t="shared" si="127"/>
        <v>572.80000000000007</v>
      </c>
      <c r="GM176" s="640"/>
      <c r="GN176" s="640"/>
      <c r="GO176" s="640"/>
      <c r="GP176" s="640"/>
      <c r="GQ176" s="640"/>
      <c r="GR176" s="640"/>
      <c r="GS176" s="640"/>
      <c r="GT176" s="640"/>
      <c r="GU176" s="640"/>
    </row>
    <row r="177" spans="10:203" ht="16">
      <c r="J177" s="580">
        <v>41552</v>
      </c>
      <c r="K177" s="581">
        <v>3.472222222222222E-3</v>
      </c>
      <c r="L177" s="582">
        <v>10.051</v>
      </c>
      <c r="M177" s="582">
        <v>10.061199999999999</v>
      </c>
      <c r="N177" s="582">
        <v>10.069900000000001</v>
      </c>
      <c r="O177" s="582">
        <v>10.0831</v>
      </c>
      <c r="P177" s="582">
        <v>98.7166</v>
      </c>
      <c r="Q177" s="582">
        <v>10.093717137962786</v>
      </c>
      <c r="R177" s="582">
        <v>0</v>
      </c>
      <c r="S177" s="582">
        <v>0.6174828620372137</v>
      </c>
      <c r="T177" s="582">
        <v>0.16618286203721466</v>
      </c>
      <c r="U177" s="582">
        <v>0.259382862037214</v>
      </c>
      <c r="BY177" s="616" t="s">
        <v>539</v>
      </c>
      <c r="BZ177" s="617">
        <v>26</v>
      </c>
      <c r="CA177" s="608">
        <v>0</v>
      </c>
      <c r="CB177" s="608">
        <f t="shared" si="126"/>
        <v>0</v>
      </c>
      <c r="CC177" s="353">
        <v>73</v>
      </c>
      <c r="CD177" s="631">
        <f t="shared" si="127"/>
        <v>572.80000000000007</v>
      </c>
      <c r="GM177" s="640"/>
      <c r="GN177" s="640"/>
      <c r="GO177" s="640"/>
      <c r="GP177" s="640"/>
      <c r="GQ177" s="640"/>
      <c r="GR177" s="640"/>
      <c r="GS177" s="640"/>
      <c r="GT177" s="640"/>
      <c r="GU177" s="640"/>
    </row>
    <row r="178" spans="10:203" ht="16">
      <c r="J178" s="580">
        <v>41553</v>
      </c>
      <c r="K178" s="581">
        <v>3.472222222222222E-3</v>
      </c>
      <c r="L178" s="582">
        <v>10.0419</v>
      </c>
      <c r="M178" s="582">
        <v>10.0524</v>
      </c>
      <c r="N178" s="582">
        <v>10.0611</v>
      </c>
      <c r="O178" s="582">
        <v>10.074299999999999</v>
      </c>
      <c r="P178" s="582">
        <v>98.620500000000007</v>
      </c>
      <c r="Q178" s="582">
        <v>10.083890966711364</v>
      </c>
      <c r="R178" s="582">
        <v>0</v>
      </c>
      <c r="S178" s="582">
        <v>0.61850903328863693</v>
      </c>
      <c r="T178" s="582">
        <v>0.16720903328863612</v>
      </c>
      <c r="U178" s="582">
        <v>0.26040903328863546</v>
      </c>
      <c r="BY178" s="616" t="s">
        <v>540</v>
      </c>
      <c r="BZ178" s="617">
        <v>25</v>
      </c>
      <c r="CA178" s="608">
        <v>0</v>
      </c>
      <c r="CB178" s="608">
        <f t="shared" si="126"/>
        <v>0</v>
      </c>
      <c r="CC178" s="353">
        <v>72</v>
      </c>
      <c r="CD178" s="631">
        <f t="shared" si="127"/>
        <v>572.80000000000007</v>
      </c>
      <c r="GM178" s="640"/>
      <c r="GN178" s="640"/>
      <c r="GO178" s="640"/>
      <c r="GP178" s="640"/>
      <c r="GQ178" s="640"/>
      <c r="GR178" s="640"/>
      <c r="GS178" s="640"/>
      <c r="GT178" s="640"/>
      <c r="GU178" s="640"/>
    </row>
    <row r="179" spans="10:203" ht="16">
      <c r="J179" s="580">
        <v>41554</v>
      </c>
      <c r="K179" s="581">
        <v>3.472222222222222E-3</v>
      </c>
      <c r="L179" s="582">
        <v>10.042400000000001</v>
      </c>
      <c r="M179" s="582">
        <v>10.053599999999999</v>
      </c>
      <c r="N179" s="582">
        <v>10.0616</v>
      </c>
      <c r="O179" s="582">
        <v>10.075200000000001</v>
      </c>
      <c r="P179" s="582">
        <v>98.625600000000006</v>
      </c>
      <c r="Q179" s="582">
        <v>10.084412438858941</v>
      </c>
      <c r="R179" s="582">
        <v>0</v>
      </c>
      <c r="S179" s="582">
        <v>0.61918756114105888</v>
      </c>
      <c r="T179" s="582">
        <v>0.1671875611410597</v>
      </c>
      <c r="U179" s="582">
        <v>0.26078756114105989</v>
      </c>
      <c r="BY179" s="616" t="s">
        <v>541</v>
      </c>
      <c r="BZ179" s="617">
        <v>26</v>
      </c>
      <c r="CA179" s="608">
        <v>0</v>
      </c>
      <c r="CB179" s="608">
        <f t="shared" si="126"/>
        <v>0</v>
      </c>
      <c r="CC179" s="353">
        <v>75</v>
      </c>
      <c r="CD179" s="631">
        <f t="shared" si="127"/>
        <v>572.80000000000007</v>
      </c>
      <c r="GM179" s="640"/>
      <c r="GN179" s="640"/>
      <c r="GO179" s="640"/>
      <c r="GP179" s="640"/>
      <c r="GQ179" s="640"/>
      <c r="GR179" s="640"/>
      <c r="GS179" s="640"/>
      <c r="GT179" s="640"/>
      <c r="GU179" s="640"/>
    </row>
    <row r="180" spans="10:203" ht="16">
      <c r="J180" s="580">
        <v>41555</v>
      </c>
      <c r="K180" s="581">
        <v>3.472222222222222E-3</v>
      </c>
      <c r="L180" s="582">
        <v>10.0457</v>
      </c>
      <c r="M180" s="582">
        <v>10.0566</v>
      </c>
      <c r="N180" s="582">
        <v>10.0654</v>
      </c>
      <c r="O180" s="582">
        <v>10.0802</v>
      </c>
      <c r="P180" s="582">
        <v>98.675600000000003</v>
      </c>
      <c r="Q180" s="582">
        <v>10.089524910894021</v>
      </c>
      <c r="R180" s="582">
        <v>0</v>
      </c>
      <c r="S180" s="582">
        <v>0.61707508910597908</v>
      </c>
      <c r="T180" s="582">
        <v>0.16587508910597981</v>
      </c>
      <c r="U180" s="582">
        <v>0.26067508910597897</v>
      </c>
      <c r="BY180" s="616" t="s">
        <v>542</v>
      </c>
      <c r="BZ180" s="617">
        <v>26</v>
      </c>
      <c r="CA180" s="608">
        <v>0</v>
      </c>
      <c r="CB180" s="608">
        <f t="shared" si="126"/>
        <v>0</v>
      </c>
      <c r="CC180" s="353">
        <v>73</v>
      </c>
      <c r="CD180" s="631">
        <f t="shared" si="127"/>
        <v>572.80000000000007</v>
      </c>
      <c r="GM180" s="640"/>
      <c r="GN180" s="640"/>
      <c r="GO180" s="640"/>
      <c r="GP180" s="640"/>
      <c r="GQ180" s="640"/>
      <c r="GR180" s="640"/>
      <c r="GS180" s="640"/>
      <c r="GT180" s="640"/>
      <c r="GU180" s="640"/>
    </row>
    <row r="181" spans="10:203" ht="16">
      <c r="J181" s="580">
        <v>41556</v>
      </c>
      <c r="K181" s="581">
        <v>3.472222222222222E-3</v>
      </c>
      <c r="L181" s="582">
        <v>10.054500000000001</v>
      </c>
      <c r="M181" s="582">
        <v>10.0686</v>
      </c>
      <c r="N181" s="582">
        <v>10.0738</v>
      </c>
      <c r="O181" s="582">
        <v>10.087999999999999</v>
      </c>
      <c r="P181" s="582">
        <v>98.787899999999993</v>
      </c>
      <c r="Q181" s="582">
        <v>10.101007523084808</v>
      </c>
      <c r="R181" s="582">
        <v>0</v>
      </c>
      <c r="S181" s="582">
        <v>0.6175924769151917</v>
      </c>
      <c r="T181" s="582">
        <v>0.16279247691519194</v>
      </c>
      <c r="U181" s="582">
        <v>0.25699247691519073</v>
      </c>
      <c r="BY181" s="616" t="s">
        <v>543</v>
      </c>
      <c r="BZ181" s="617">
        <v>26</v>
      </c>
      <c r="CA181" s="608">
        <v>0</v>
      </c>
      <c r="CB181" s="608">
        <f t="shared" si="126"/>
        <v>0</v>
      </c>
      <c r="CC181" s="353">
        <v>71</v>
      </c>
      <c r="CD181" s="631">
        <f t="shared" si="127"/>
        <v>572.80000000000007</v>
      </c>
      <c r="GM181" s="640"/>
      <c r="GN181" s="640"/>
      <c r="GO181" s="640"/>
      <c r="GP181" s="640"/>
      <c r="GQ181" s="640"/>
      <c r="GR181" s="640"/>
      <c r="GS181" s="640"/>
      <c r="GT181" s="640"/>
      <c r="GU181" s="640"/>
    </row>
    <row r="182" spans="10:203" ht="16">
      <c r="J182" s="580">
        <v>41557</v>
      </c>
      <c r="K182" s="581">
        <v>3.472222222222222E-3</v>
      </c>
      <c r="L182" s="582">
        <v>10.0444</v>
      </c>
      <c r="M182" s="582">
        <v>10.058299999999999</v>
      </c>
      <c r="N182" s="582">
        <v>10.065</v>
      </c>
      <c r="O182" s="582">
        <v>10.078099999999999</v>
      </c>
      <c r="P182" s="582">
        <v>98.683199999999999</v>
      </c>
      <c r="Q182" s="582">
        <v>10.090302006643352</v>
      </c>
      <c r="R182" s="582">
        <v>0</v>
      </c>
      <c r="S182" s="582">
        <v>0.61799799335664729</v>
      </c>
      <c r="T182" s="582">
        <v>0.16469799335664759</v>
      </c>
      <c r="U182" s="582">
        <v>0.25779799335664716</v>
      </c>
      <c r="BY182" s="616" t="s">
        <v>544</v>
      </c>
      <c r="BZ182" s="617">
        <v>26</v>
      </c>
      <c r="CA182" s="608">
        <v>0</v>
      </c>
      <c r="CB182" s="608">
        <f t="shared" si="126"/>
        <v>0</v>
      </c>
      <c r="CC182" s="353">
        <v>71</v>
      </c>
      <c r="CD182" s="631">
        <f t="shared" si="127"/>
        <v>572.80000000000007</v>
      </c>
      <c r="GM182" s="640"/>
      <c r="GN182" s="640"/>
      <c r="GO182" s="640"/>
      <c r="GP182" s="640"/>
      <c r="GQ182" s="640"/>
      <c r="GR182" s="640"/>
      <c r="GS182" s="640"/>
      <c r="GT182" s="640"/>
      <c r="GU182" s="640"/>
    </row>
    <row r="183" spans="10:203" ht="16">
      <c r="J183" s="580">
        <v>41558</v>
      </c>
      <c r="K183" s="581">
        <v>3.472222222222222E-3</v>
      </c>
      <c r="L183" s="582">
        <v>10.0503</v>
      </c>
      <c r="M183" s="582">
        <v>10.0649</v>
      </c>
      <c r="N183" s="582">
        <v>10.071</v>
      </c>
      <c r="O183" s="582">
        <v>10.083299999999999</v>
      </c>
      <c r="P183" s="582">
        <v>98.732900000000001</v>
      </c>
      <c r="Q183" s="582">
        <v>10.095383803846222</v>
      </c>
      <c r="R183" s="582">
        <v>0</v>
      </c>
      <c r="S183" s="582">
        <v>0.61951619615377829</v>
      </c>
      <c r="T183" s="582">
        <v>0.16561619615377821</v>
      </c>
      <c r="U183" s="582">
        <v>0.25791619615377787</v>
      </c>
      <c r="BY183" s="616" t="s">
        <v>545</v>
      </c>
      <c r="BZ183" s="617">
        <v>26</v>
      </c>
      <c r="CA183" s="608">
        <v>0</v>
      </c>
      <c r="CB183" s="608">
        <f t="shared" si="126"/>
        <v>0</v>
      </c>
      <c r="CC183" s="353">
        <v>71</v>
      </c>
      <c r="CD183" s="631">
        <f t="shared" si="127"/>
        <v>572.80000000000007</v>
      </c>
      <c r="GM183" s="640"/>
      <c r="GN183" s="640"/>
      <c r="GO183" s="640"/>
      <c r="GP183" s="640"/>
      <c r="GQ183" s="640"/>
      <c r="GR183" s="640"/>
      <c r="GS183" s="640"/>
      <c r="GT183" s="640"/>
      <c r="GU183" s="640"/>
    </row>
    <row r="184" spans="10:203" ht="16">
      <c r="J184" s="580">
        <v>41559</v>
      </c>
      <c r="K184" s="581">
        <v>3.472222222222222E-3</v>
      </c>
      <c r="L184" s="582">
        <v>10.0282</v>
      </c>
      <c r="M184" s="582">
        <v>10.041600000000001</v>
      </c>
      <c r="N184" s="582">
        <v>10.047499999999999</v>
      </c>
      <c r="O184" s="582">
        <v>10.0604</v>
      </c>
      <c r="P184" s="582">
        <v>98.516900000000007</v>
      </c>
      <c r="Q184" s="582">
        <v>10.073297924654678</v>
      </c>
      <c r="R184" s="582">
        <v>0</v>
      </c>
      <c r="S184" s="582">
        <v>0.61830207534532255</v>
      </c>
      <c r="T184" s="582">
        <v>0.16420207534532116</v>
      </c>
      <c r="U184" s="582">
        <v>0.2571020753453212</v>
      </c>
      <c r="BY184" s="616" t="s">
        <v>546</v>
      </c>
      <c r="BZ184" s="617">
        <v>26</v>
      </c>
      <c r="CA184" s="608">
        <v>0</v>
      </c>
      <c r="CB184" s="608">
        <f t="shared" si="126"/>
        <v>0</v>
      </c>
      <c r="CC184" s="353">
        <v>71</v>
      </c>
      <c r="CD184" s="631">
        <f t="shared" si="127"/>
        <v>572.80000000000007</v>
      </c>
      <c r="GM184" s="640"/>
      <c r="GN184" s="640"/>
      <c r="GO184" s="640"/>
      <c r="GP184" s="640"/>
      <c r="GQ184" s="640"/>
      <c r="GR184" s="640"/>
      <c r="GS184" s="640"/>
      <c r="GT184" s="640"/>
      <c r="GU184" s="640"/>
    </row>
    <row r="185" spans="10:203" ht="16">
      <c r="J185" s="580">
        <v>41560</v>
      </c>
      <c r="K185" s="581">
        <v>3.472222222222222E-3</v>
      </c>
      <c r="L185" s="582">
        <v>10.0184</v>
      </c>
      <c r="M185" s="582">
        <v>10.0312</v>
      </c>
      <c r="N185" s="582">
        <v>10.038600000000001</v>
      </c>
      <c r="O185" s="582">
        <v>10.0505</v>
      </c>
      <c r="P185" s="582">
        <v>98.405500000000004</v>
      </c>
      <c r="Q185" s="582">
        <v>10.06190733696052</v>
      </c>
      <c r="R185" s="582">
        <v>0</v>
      </c>
      <c r="S185" s="582">
        <v>0.61929266303948061</v>
      </c>
      <c r="T185" s="582">
        <v>0.16669266303948105</v>
      </c>
      <c r="U185" s="582">
        <v>0.25859266303947986</v>
      </c>
      <c r="BY185" s="616" t="s">
        <v>547</v>
      </c>
      <c r="BZ185" s="617">
        <v>26</v>
      </c>
      <c r="CA185" s="608">
        <v>0</v>
      </c>
      <c r="CB185" s="608">
        <f t="shared" si="126"/>
        <v>0</v>
      </c>
      <c r="CC185" s="353">
        <v>70</v>
      </c>
      <c r="CD185" s="631">
        <f t="shared" si="127"/>
        <v>572.80000000000007</v>
      </c>
      <c r="GM185" s="640"/>
      <c r="GN185" s="640"/>
      <c r="GO185" s="640"/>
      <c r="GP185" s="640"/>
      <c r="GQ185" s="640"/>
      <c r="GR185" s="640"/>
      <c r="GS185" s="640"/>
      <c r="GT185" s="640"/>
      <c r="GU185" s="640"/>
    </row>
    <row r="186" spans="10:203" ht="16">
      <c r="J186" s="580">
        <v>41561</v>
      </c>
      <c r="K186" s="581">
        <v>3.472222222222222E-3</v>
      </c>
      <c r="L186" s="582">
        <v>10.028600000000001</v>
      </c>
      <c r="M186" s="582">
        <v>10.0403</v>
      </c>
      <c r="N186" s="582">
        <v>10.049099999999999</v>
      </c>
      <c r="O186" s="582">
        <v>10.061</v>
      </c>
      <c r="P186" s="582">
        <v>98.498000000000005</v>
      </c>
      <c r="Q186" s="582">
        <v>10.071365410225418</v>
      </c>
      <c r="R186" s="582">
        <v>0</v>
      </c>
      <c r="S186" s="582">
        <v>0.61893458977458216</v>
      </c>
      <c r="T186" s="582">
        <v>0.16773458977458111</v>
      </c>
      <c r="U186" s="582">
        <v>0.2596345897745817</v>
      </c>
      <c r="BY186" s="616" t="s">
        <v>548</v>
      </c>
      <c r="BZ186" s="617">
        <v>25</v>
      </c>
      <c r="CA186" s="608">
        <v>0</v>
      </c>
      <c r="CB186" s="608">
        <f t="shared" si="126"/>
        <v>0</v>
      </c>
      <c r="CC186" s="353">
        <v>72</v>
      </c>
      <c r="CD186" s="631">
        <f t="shared" si="127"/>
        <v>572.80000000000007</v>
      </c>
      <c r="GM186" s="640"/>
      <c r="GN186" s="640"/>
      <c r="GO186" s="640"/>
      <c r="GP186" s="640"/>
      <c r="GQ186" s="640"/>
      <c r="GR186" s="640"/>
      <c r="GS186" s="640"/>
      <c r="GT186" s="640"/>
      <c r="GU186" s="640"/>
    </row>
    <row r="187" spans="10:203" ht="16">
      <c r="J187" s="580">
        <v>41562</v>
      </c>
      <c r="K187" s="581">
        <v>3.472222222222222E-3</v>
      </c>
      <c r="L187" s="582">
        <v>10.045400000000001</v>
      </c>
      <c r="M187" s="582">
        <v>10.057</v>
      </c>
      <c r="N187" s="582">
        <v>10.0655</v>
      </c>
      <c r="O187" s="582">
        <v>10.0778</v>
      </c>
      <c r="P187" s="582">
        <v>98.659800000000004</v>
      </c>
      <c r="Q187" s="582">
        <v>10.087909369730935</v>
      </c>
      <c r="R187" s="582">
        <v>0</v>
      </c>
      <c r="S187" s="582">
        <v>0.61909063026906508</v>
      </c>
      <c r="T187" s="582">
        <v>0.16759063026906473</v>
      </c>
      <c r="U187" s="582">
        <v>0.25989063026906439</v>
      </c>
      <c r="BY187" s="616" t="s">
        <v>549</v>
      </c>
      <c r="BZ187" s="617">
        <v>26</v>
      </c>
      <c r="CA187" s="608">
        <v>0</v>
      </c>
      <c r="CB187" s="608">
        <f t="shared" si="126"/>
        <v>0</v>
      </c>
      <c r="CC187" s="353">
        <v>71</v>
      </c>
      <c r="CD187" s="631">
        <f t="shared" si="127"/>
        <v>572.80000000000007</v>
      </c>
      <c r="GM187" s="640"/>
      <c r="GN187" s="640"/>
      <c r="GO187" s="640"/>
      <c r="GP187" s="640"/>
      <c r="GQ187" s="640"/>
      <c r="GR187" s="640"/>
      <c r="GS187" s="640"/>
      <c r="GT187" s="640"/>
      <c r="GU187" s="640"/>
    </row>
    <row r="188" spans="10:203" ht="16">
      <c r="J188" s="580">
        <v>41563</v>
      </c>
      <c r="K188" s="581">
        <v>3.472222222222222E-3</v>
      </c>
      <c r="L188" s="582">
        <v>12.624000000000001</v>
      </c>
      <c r="M188" s="582">
        <v>12.4152</v>
      </c>
      <c r="N188" s="582">
        <v>13.0602</v>
      </c>
      <c r="O188" s="582">
        <v>12.994999999999999</v>
      </c>
      <c r="P188" s="582">
        <v>98.735399999999998</v>
      </c>
      <c r="Q188" s="582">
        <v>10.095639427447974</v>
      </c>
      <c r="R188" s="582">
        <v>2.3433605725520263</v>
      </c>
      <c r="S188" s="582">
        <v>2.9695605725520267</v>
      </c>
      <c r="T188" s="582">
        <v>3.1545605725520263</v>
      </c>
      <c r="U188" s="582">
        <v>3.1693605725520246</v>
      </c>
      <c r="BY188" s="616" t="s">
        <v>550</v>
      </c>
      <c r="BZ188" s="617">
        <v>26</v>
      </c>
      <c r="CA188" s="608">
        <v>0</v>
      </c>
      <c r="CB188" s="608">
        <f t="shared" si="126"/>
        <v>0</v>
      </c>
      <c r="CC188" s="353">
        <v>66</v>
      </c>
      <c r="CD188" s="631">
        <f t="shared" si="127"/>
        <v>572.80000000000007</v>
      </c>
      <c r="GM188" s="640"/>
      <c r="GN188" s="640"/>
      <c r="GO188" s="640"/>
      <c r="GP188" s="640"/>
      <c r="GQ188" s="640"/>
      <c r="GR188" s="640"/>
      <c r="GS188" s="640"/>
      <c r="GT188" s="640"/>
      <c r="GU188" s="640"/>
    </row>
    <row r="189" spans="10:203" ht="16">
      <c r="J189" s="580">
        <v>41564</v>
      </c>
      <c r="K189" s="581">
        <v>3.472222222222222E-3</v>
      </c>
      <c r="L189" s="582">
        <v>13.285</v>
      </c>
      <c r="M189" s="582">
        <v>12.625400000000001</v>
      </c>
      <c r="N189" s="582">
        <v>13.3096</v>
      </c>
      <c r="O189" s="582">
        <v>13.2616</v>
      </c>
      <c r="P189" s="582">
        <v>98.736999999999995</v>
      </c>
      <c r="Q189" s="582">
        <v>10.095803026553098</v>
      </c>
      <c r="R189" s="582">
        <v>3.0041969734469025</v>
      </c>
      <c r="S189" s="582">
        <v>3.1795969734469036</v>
      </c>
      <c r="T189" s="582">
        <v>3.4037969734469025</v>
      </c>
      <c r="U189" s="582">
        <v>3.4357969734469016</v>
      </c>
      <c r="BY189" s="616" t="s">
        <v>551</v>
      </c>
      <c r="BZ189" s="617">
        <v>26</v>
      </c>
      <c r="CA189" s="608">
        <v>0</v>
      </c>
      <c r="CB189" s="608">
        <f t="shared" si="126"/>
        <v>0</v>
      </c>
      <c r="CC189" s="353">
        <v>66</v>
      </c>
      <c r="CD189" s="631">
        <f t="shared" si="127"/>
        <v>572.80000000000007</v>
      </c>
      <c r="GM189" s="640"/>
      <c r="GN189" s="640"/>
      <c r="GO189" s="640"/>
      <c r="GP189" s="640"/>
      <c r="GQ189" s="640"/>
      <c r="GR189" s="640"/>
      <c r="GS189" s="640"/>
      <c r="GT189" s="640"/>
      <c r="GU189" s="640"/>
    </row>
    <row r="190" spans="10:203" ht="16">
      <c r="J190" s="580">
        <v>41565</v>
      </c>
      <c r="K190" s="581">
        <v>3.472222222222222E-3</v>
      </c>
      <c r="L190" s="582">
        <v>13.311</v>
      </c>
      <c r="M190" s="582">
        <v>12.724</v>
      </c>
      <c r="N190" s="582">
        <v>13.5044</v>
      </c>
      <c r="O190" s="582">
        <v>13.3222</v>
      </c>
      <c r="P190" s="582">
        <v>98.769099999999995</v>
      </c>
      <c r="Q190" s="582">
        <v>10.099085233599618</v>
      </c>
      <c r="R190" s="582">
        <v>3.0269147664003815</v>
      </c>
      <c r="S190" s="582">
        <v>3.2749147664003821</v>
      </c>
      <c r="T190" s="582">
        <v>3.5953147664003824</v>
      </c>
      <c r="U190" s="582">
        <v>3.4931147664003817</v>
      </c>
      <c r="BY190" s="616" t="s">
        <v>552</v>
      </c>
      <c r="BZ190" s="617">
        <v>26</v>
      </c>
      <c r="CA190" s="608">
        <v>0</v>
      </c>
      <c r="CB190" s="608">
        <f t="shared" si="126"/>
        <v>0</v>
      </c>
      <c r="CC190" s="353">
        <v>62</v>
      </c>
      <c r="CD190" s="631">
        <f t="shared" si="127"/>
        <v>572.80000000000007</v>
      </c>
      <c r="GM190" s="640"/>
      <c r="GN190" s="640"/>
      <c r="GO190" s="640"/>
      <c r="GP190" s="640"/>
      <c r="GQ190" s="640"/>
      <c r="GR190" s="640"/>
      <c r="GS190" s="640"/>
      <c r="GT190" s="640"/>
      <c r="GU190" s="640"/>
    </row>
    <row r="191" spans="10:203" ht="16">
      <c r="J191" s="580">
        <v>41566</v>
      </c>
      <c r="K191" s="581">
        <v>3.472222222222222E-3</v>
      </c>
      <c r="L191" s="582">
        <v>13.474</v>
      </c>
      <c r="M191" s="582">
        <v>12.789199999999999</v>
      </c>
      <c r="N191" s="582">
        <v>13.631600000000001</v>
      </c>
      <c r="O191" s="582">
        <v>13.3988</v>
      </c>
      <c r="P191" s="582">
        <v>98.827500000000001</v>
      </c>
      <c r="Q191" s="582">
        <v>10.105056600936592</v>
      </c>
      <c r="R191" s="582">
        <v>3.1839433990634078</v>
      </c>
      <c r="S191" s="582">
        <v>3.3341433990634073</v>
      </c>
      <c r="T191" s="582">
        <v>3.7165433990634087</v>
      </c>
      <c r="U191" s="582">
        <v>3.5637433990634069</v>
      </c>
      <c r="BY191" s="616" t="s">
        <v>553</v>
      </c>
      <c r="BZ191" s="617">
        <v>26</v>
      </c>
      <c r="CA191" s="608">
        <v>0</v>
      </c>
      <c r="CB191" s="608">
        <f t="shared" si="126"/>
        <v>0</v>
      </c>
      <c r="CC191" s="353">
        <v>68</v>
      </c>
      <c r="CD191" s="631">
        <f t="shared" si="127"/>
        <v>572.80000000000007</v>
      </c>
      <c r="GM191" s="640"/>
      <c r="GN191" s="640"/>
      <c r="GO191" s="640"/>
      <c r="GP191" s="640"/>
      <c r="GQ191" s="640"/>
      <c r="GR191" s="640"/>
      <c r="GS191" s="640"/>
      <c r="GT191" s="640"/>
      <c r="GU191" s="640"/>
    </row>
    <row r="192" spans="10:203" ht="16">
      <c r="J192" s="580">
        <v>41567</v>
      </c>
      <c r="K192" s="581">
        <v>3.472222222222222E-3</v>
      </c>
      <c r="L192" s="582">
        <v>13.4688</v>
      </c>
      <c r="M192" s="582">
        <v>12.864800000000001</v>
      </c>
      <c r="N192" s="582">
        <v>13.9015</v>
      </c>
      <c r="O192" s="582">
        <v>13.5327</v>
      </c>
      <c r="P192" s="582">
        <v>98.893299999999996</v>
      </c>
      <c r="Q192" s="582">
        <v>10.111784614134756</v>
      </c>
      <c r="R192" s="582">
        <v>3.1720153858652442</v>
      </c>
      <c r="S192" s="582">
        <v>3.4030153858652454</v>
      </c>
      <c r="T192" s="582">
        <v>3.9797153858652452</v>
      </c>
      <c r="U192" s="582">
        <v>3.6909153858652441</v>
      </c>
      <c r="BY192" s="616" t="s">
        <v>554</v>
      </c>
      <c r="BZ192" s="617">
        <v>27</v>
      </c>
      <c r="CA192" s="608">
        <v>0</v>
      </c>
      <c r="CB192" s="608">
        <f t="shared" si="126"/>
        <v>0</v>
      </c>
      <c r="CC192" s="353">
        <v>71</v>
      </c>
      <c r="CD192" s="631">
        <f t="shared" si="127"/>
        <v>572.80000000000007</v>
      </c>
      <c r="GM192" s="640"/>
      <c r="GN192" s="640"/>
      <c r="GO192" s="640"/>
      <c r="GP192" s="640"/>
      <c r="GQ192" s="640"/>
      <c r="GR192" s="640"/>
      <c r="GS192" s="640"/>
      <c r="GT192" s="640"/>
      <c r="GU192" s="640"/>
    </row>
    <row r="193" spans="10:203" ht="16">
      <c r="J193" s="580">
        <v>41568</v>
      </c>
      <c r="K193" s="581">
        <v>3.472222222222222E-3</v>
      </c>
      <c r="L193" s="582">
        <v>13.3912</v>
      </c>
      <c r="M193" s="582">
        <v>12.8474</v>
      </c>
      <c r="N193" s="582">
        <v>13.954599999999999</v>
      </c>
      <c r="O193" s="582">
        <v>13.2996</v>
      </c>
      <c r="P193" s="582">
        <v>98.530500000000004</v>
      </c>
      <c r="Q193" s="582">
        <v>10.074688517048219</v>
      </c>
      <c r="R193" s="582">
        <v>3.1315114829517801</v>
      </c>
      <c r="S193" s="582">
        <v>3.4227114829517813</v>
      </c>
      <c r="T193" s="582">
        <v>4.0699114829517802</v>
      </c>
      <c r="U193" s="582">
        <v>3.49491148295178</v>
      </c>
      <c r="BY193" s="616" t="s">
        <v>555</v>
      </c>
      <c r="BZ193" s="617">
        <v>27</v>
      </c>
      <c r="CA193" s="608">
        <v>0</v>
      </c>
      <c r="CB193" s="608">
        <f t="shared" si="126"/>
        <v>0</v>
      </c>
      <c r="CC193" s="353">
        <v>70</v>
      </c>
      <c r="CD193" s="631">
        <f t="shared" si="127"/>
        <v>572.80000000000007</v>
      </c>
      <c r="GM193" s="640"/>
      <c r="GN193" s="640"/>
      <c r="GO193" s="640"/>
      <c r="GP193" s="640"/>
      <c r="GQ193" s="640"/>
      <c r="GR193" s="640"/>
      <c r="GS193" s="640"/>
      <c r="GT193" s="640"/>
      <c r="GU193" s="640"/>
    </row>
    <row r="194" spans="10:203" ht="16">
      <c r="J194" s="580">
        <v>41569</v>
      </c>
      <c r="K194" s="581">
        <v>3.472222222222222E-3</v>
      </c>
      <c r="L194" s="582">
        <v>13.327500000000001</v>
      </c>
      <c r="M194" s="582">
        <v>12.814</v>
      </c>
      <c r="N194" s="582">
        <v>13.9024</v>
      </c>
      <c r="O194" s="582">
        <v>13.2903</v>
      </c>
      <c r="P194" s="582">
        <v>98.3459</v>
      </c>
      <c r="Q194" s="582">
        <v>10.055813270294705</v>
      </c>
      <c r="R194" s="582">
        <v>3.086686729705296</v>
      </c>
      <c r="S194" s="582">
        <v>3.4081867297052959</v>
      </c>
      <c r="T194" s="582">
        <v>4.036586729705296</v>
      </c>
      <c r="U194" s="582">
        <v>3.5044867297052953</v>
      </c>
      <c r="BY194" s="616" t="s">
        <v>556</v>
      </c>
      <c r="BZ194" s="617">
        <v>27</v>
      </c>
      <c r="CA194" s="608">
        <v>0</v>
      </c>
      <c r="CB194" s="608">
        <f t="shared" si="126"/>
        <v>0</v>
      </c>
      <c r="CC194" s="353">
        <v>66</v>
      </c>
      <c r="CD194" s="631">
        <f t="shared" si="127"/>
        <v>572.80000000000007</v>
      </c>
      <c r="GM194" s="640"/>
      <c r="GN194" s="640"/>
      <c r="GO194" s="640"/>
      <c r="GP194" s="640"/>
      <c r="GQ194" s="640"/>
      <c r="GR194" s="640"/>
      <c r="GS194" s="640"/>
      <c r="GT194" s="640"/>
      <c r="GU194" s="640"/>
    </row>
    <row r="195" spans="10:203" ht="16">
      <c r="J195" s="580">
        <v>41570</v>
      </c>
      <c r="K195" s="581">
        <v>3.472222222222222E-3</v>
      </c>
      <c r="L195" s="582">
        <v>13.282999999999999</v>
      </c>
      <c r="M195" s="582">
        <v>12.797700000000001</v>
      </c>
      <c r="N195" s="582">
        <v>13.852</v>
      </c>
      <c r="O195" s="582">
        <v>13.255699999999999</v>
      </c>
      <c r="P195" s="582">
        <v>98.341999999999999</v>
      </c>
      <c r="Q195" s="582">
        <v>10.055414497475969</v>
      </c>
      <c r="R195" s="582">
        <v>3.0425855025240307</v>
      </c>
      <c r="S195" s="582">
        <v>3.3922855025240324</v>
      </c>
      <c r="T195" s="582">
        <v>3.986585502524032</v>
      </c>
      <c r="U195" s="582">
        <v>3.47028550252403</v>
      </c>
      <c r="BY195" s="616" t="s">
        <v>557</v>
      </c>
      <c r="BZ195" s="617">
        <v>26</v>
      </c>
      <c r="CA195" s="608">
        <v>0</v>
      </c>
      <c r="CB195" s="608">
        <f t="shared" si="126"/>
        <v>0</v>
      </c>
      <c r="CC195" s="353">
        <v>65</v>
      </c>
      <c r="CD195" s="631">
        <f t="shared" si="127"/>
        <v>572.80000000000007</v>
      </c>
      <c r="GM195" s="640"/>
      <c r="GN195" s="640"/>
      <c r="GO195" s="640"/>
      <c r="GP195" s="640"/>
      <c r="GQ195" s="640"/>
      <c r="GR195" s="640"/>
      <c r="GS195" s="640"/>
      <c r="GT195" s="640"/>
      <c r="GU195" s="640"/>
    </row>
    <row r="196" spans="10:203" ht="16">
      <c r="J196" s="580">
        <v>41571</v>
      </c>
      <c r="K196" s="581">
        <v>3.472222222222222E-3</v>
      </c>
      <c r="L196" s="582">
        <v>13.2468</v>
      </c>
      <c r="M196" s="582">
        <v>12.784599999999999</v>
      </c>
      <c r="N196" s="582">
        <v>13.808299999999999</v>
      </c>
      <c r="O196" s="582">
        <v>13.231299999999999</v>
      </c>
      <c r="P196" s="582">
        <v>98.408500000000004</v>
      </c>
      <c r="Q196" s="582">
        <v>10.062214085282625</v>
      </c>
      <c r="R196" s="582">
        <v>2.9995859147173758</v>
      </c>
      <c r="S196" s="582">
        <v>3.3723859147173751</v>
      </c>
      <c r="T196" s="582">
        <v>3.936085914717375</v>
      </c>
      <c r="U196" s="582">
        <v>3.4390859147173742</v>
      </c>
      <c r="BY196" s="616" t="s">
        <v>558</v>
      </c>
      <c r="BZ196" s="617">
        <v>26</v>
      </c>
      <c r="CA196" s="608">
        <v>0</v>
      </c>
      <c r="CB196" s="608">
        <f t="shared" si="126"/>
        <v>0</v>
      </c>
      <c r="CC196" s="353">
        <v>59</v>
      </c>
      <c r="CD196" s="631">
        <f t="shared" si="127"/>
        <v>572.80000000000007</v>
      </c>
      <c r="GM196" s="640"/>
      <c r="GN196" s="640"/>
      <c r="GO196" s="640"/>
      <c r="GP196" s="640"/>
      <c r="GQ196" s="640"/>
      <c r="GR196" s="640"/>
      <c r="GS196" s="640"/>
      <c r="GT196" s="640"/>
      <c r="GU196" s="640"/>
    </row>
    <row r="197" spans="10:203" ht="16">
      <c r="J197" s="580">
        <v>41572</v>
      </c>
      <c r="K197" s="581">
        <v>3.472222222222222E-3</v>
      </c>
      <c r="L197" s="582">
        <v>13.206200000000001</v>
      </c>
      <c r="M197" s="582">
        <v>12.7615</v>
      </c>
      <c r="N197" s="582">
        <v>13.751899999999999</v>
      </c>
      <c r="O197" s="582">
        <v>13.209899999999999</v>
      </c>
      <c r="P197" s="582">
        <v>98.378500000000003</v>
      </c>
      <c r="Q197" s="582">
        <v>10.059146602061578</v>
      </c>
      <c r="R197" s="582">
        <v>2.9620533979384231</v>
      </c>
      <c r="S197" s="582">
        <v>3.3523533979384226</v>
      </c>
      <c r="T197" s="582">
        <v>3.8827533979384219</v>
      </c>
      <c r="U197" s="582">
        <v>3.4207533979384213</v>
      </c>
      <c r="BY197" s="616" t="s">
        <v>559</v>
      </c>
      <c r="BZ197" s="617">
        <v>25</v>
      </c>
      <c r="CA197" s="608">
        <v>0</v>
      </c>
      <c r="CB197" s="608">
        <f t="shared" si="126"/>
        <v>0</v>
      </c>
      <c r="CC197" s="353">
        <v>66</v>
      </c>
      <c r="CD197" s="631">
        <f t="shared" si="127"/>
        <v>572.80000000000007</v>
      </c>
      <c r="GM197" s="640"/>
      <c r="GN197" s="640"/>
      <c r="GO197" s="640"/>
      <c r="GP197" s="640"/>
      <c r="GQ197" s="640"/>
      <c r="GR197" s="640"/>
      <c r="GS197" s="640"/>
      <c r="GT197" s="640"/>
      <c r="GU197" s="640"/>
    </row>
    <row r="198" spans="10:203" ht="16">
      <c r="J198" s="580">
        <v>41573</v>
      </c>
      <c r="K198" s="581">
        <v>3.472222222222222E-3</v>
      </c>
      <c r="L198" s="582">
        <v>13.165900000000001</v>
      </c>
      <c r="M198" s="582">
        <v>12.746600000000001</v>
      </c>
      <c r="N198" s="582">
        <v>13.7021</v>
      </c>
      <c r="O198" s="582">
        <v>13.203799999999999</v>
      </c>
      <c r="P198" s="582">
        <v>98.431700000000006</v>
      </c>
      <c r="Q198" s="582">
        <v>10.064586272306903</v>
      </c>
      <c r="R198" s="582">
        <v>2.9163137276930979</v>
      </c>
      <c r="S198" s="582">
        <v>3.3320137276930986</v>
      </c>
      <c r="T198" s="582">
        <v>3.8275137276930975</v>
      </c>
      <c r="U198" s="582">
        <v>3.4092137276930963</v>
      </c>
      <c r="BY198" s="616" t="s">
        <v>560</v>
      </c>
      <c r="BZ198" s="617">
        <v>24</v>
      </c>
      <c r="CA198" s="608">
        <v>0</v>
      </c>
      <c r="CB198" s="608">
        <f t="shared" si="126"/>
        <v>0</v>
      </c>
      <c r="CC198" s="353">
        <v>62</v>
      </c>
      <c r="CD198" s="631">
        <f t="shared" si="127"/>
        <v>572.80000000000007</v>
      </c>
      <c r="GM198" s="640"/>
      <c r="GN198" s="640"/>
      <c r="GO198" s="640"/>
      <c r="GP198" s="640"/>
      <c r="GQ198" s="640"/>
      <c r="GR198" s="640"/>
      <c r="GS198" s="640"/>
      <c r="GT198" s="640"/>
      <c r="GU198" s="640"/>
    </row>
    <row r="199" spans="10:203" ht="16">
      <c r="J199" s="580">
        <v>41574</v>
      </c>
      <c r="K199" s="581">
        <v>3.472222222222222E-3</v>
      </c>
      <c r="L199" s="582">
        <v>13.1517</v>
      </c>
      <c r="M199" s="582">
        <v>12.7523</v>
      </c>
      <c r="N199" s="582">
        <v>13.687200000000001</v>
      </c>
      <c r="O199" s="582">
        <v>13.206799999999999</v>
      </c>
      <c r="P199" s="582">
        <v>98.670100000000005</v>
      </c>
      <c r="Q199" s="582">
        <v>10.088962538970161</v>
      </c>
      <c r="R199" s="582">
        <v>2.8777374610298385</v>
      </c>
      <c r="S199" s="582">
        <v>3.3133374610298389</v>
      </c>
      <c r="T199" s="582">
        <v>3.7882374610298397</v>
      </c>
      <c r="U199" s="582">
        <v>3.3878374610298376</v>
      </c>
      <c r="BY199" s="616" t="s">
        <v>561</v>
      </c>
      <c r="BZ199" s="617">
        <v>25</v>
      </c>
      <c r="CA199" s="608">
        <v>0</v>
      </c>
      <c r="CB199" s="608">
        <f t="shared" si="126"/>
        <v>0</v>
      </c>
      <c r="CC199" s="353">
        <v>60</v>
      </c>
      <c r="CD199" s="631">
        <f t="shared" si="127"/>
        <v>572.80000000000007</v>
      </c>
      <c r="GM199" s="640"/>
      <c r="GN199" s="640"/>
      <c r="GO199" s="640"/>
      <c r="GP199" s="640"/>
      <c r="GQ199" s="640"/>
      <c r="GR199" s="640"/>
      <c r="GS199" s="640"/>
      <c r="GT199" s="640"/>
      <c r="GU199" s="640"/>
    </row>
    <row r="200" spans="10:203" ht="16">
      <c r="J200" s="580">
        <v>41575</v>
      </c>
      <c r="K200" s="581">
        <v>3.472222222222222E-3</v>
      </c>
      <c r="L200" s="582">
        <v>13.122</v>
      </c>
      <c r="M200" s="582">
        <v>12.7393</v>
      </c>
      <c r="N200" s="582">
        <v>13.642799999999999</v>
      </c>
      <c r="O200" s="582">
        <v>13.191700000000001</v>
      </c>
      <c r="P200" s="582">
        <v>98.749300000000005</v>
      </c>
      <c r="Q200" s="582">
        <v>10.097060694673727</v>
      </c>
      <c r="R200" s="582">
        <v>2.8399393053262725</v>
      </c>
      <c r="S200" s="582">
        <v>3.2922393053262731</v>
      </c>
      <c r="T200" s="582">
        <v>3.7357393053262724</v>
      </c>
      <c r="U200" s="582">
        <v>3.3646393053262731</v>
      </c>
      <c r="BY200" s="616" t="s">
        <v>562</v>
      </c>
      <c r="BZ200" s="617">
        <v>26</v>
      </c>
      <c r="CA200" s="608">
        <v>0</v>
      </c>
      <c r="CB200" s="608">
        <f t="shared" si="126"/>
        <v>0</v>
      </c>
      <c r="CC200" s="353">
        <v>65</v>
      </c>
      <c r="CD200" s="631">
        <f t="shared" si="127"/>
        <v>572.80000000000007</v>
      </c>
      <c r="GM200" s="640"/>
      <c r="GN200" s="640"/>
      <c r="GO200" s="640"/>
      <c r="GP200" s="640"/>
      <c r="GQ200" s="640"/>
      <c r="GR200" s="640"/>
      <c r="GS200" s="640"/>
      <c r="GT200" s="640"/>
      <c r="GU200" s="640"/>
    </row>
    <row r="201" spans="10:203" ht="16">
      <c r="J201" s="580">
        <v>41576</v>
      </c>
      <c r="K201" s="581">
        <v>3.472222222222222E-3</v>
      </c>
      <c r="L201" s="582">
        <v>13.0923</v>
      </c>
      <c r="M201" s="582">
        <v>12.730700000000001</v>
      </c>
      <c r="N201" s="582">
        <v>13.6074</v>
      </c>
      <c r="O201" s="582">
        <v>13.176399999999999</v>
      </c>
      <c r="P201" s="582">
        <v>98.859700000000004</v>
      </c>
      <c r="Q201" s="582">
        <v>10.108349032927183</v>
      </c>
      <c r="R201" s="582">
        <v>2.7989509670728165</v>
      </c>
      <c r="S201" s="582">
        <v>3.2723509670728177</v>
      </c>
      <c r="T201" s="582">
        <v>3.6890509670728173</v>
      </c>
      <c r="U201" s="582">
        <v>3.3380509670728156</v>
      </c>
      <c r="BY201" s="616" t="s">
        <v>563</v>
      </c>
      <c r="BZ201" s="617">
        <v>26</v>
      </c>
      <c r="CA201" s="608">
        <v>0</v>
      </c>
      <c r="CB201" s="608">
        <f t="shared" ref="CB201:CB226" si="132">CA201*10</f>
        <v>0</v>
      </c>
      <c r="CC201" s="353">
        <v>65</v>
      </c>
      <c r="CD201" s="631">
        <f t="shared" si="127"/>
        <v>572.80000000000007</v>
      </c>
      <c r="GM201" s="640"/>
      <c r="GN201" s="640"/>
      <c r="GO201" s="640"/>
      <c r="GP201" s="640"/>
      <c r="GQ201" s="640"/>
      <c r="GR201" s="640"/>
      <c r="GS201" s="640"/>
      <c r="GT201" s="640"/>
      <c r="GU201" s="640"/>
    </row>
    <row r="202" spans="10:203" ht="16">
      <c r="J202" s="580">
        <v>41577</v>
      </c>
      <c r="K202" s="581">
        <v>3.472222222222222E-3</v>
      </c>
      <c r="L202" s="582">
        <v>13.064500000000001</v>
      </c>
      <c r="M202" s="582">
        <v>12.722300000000001</v>
      </c>
      <c r="N202" s="582">
        <v>13.59</v>
      </c>
      <c r="O202" s="582">
        <v>13.168699999999999</v>
      </c>
      <c r="P202" s="582">
        <v>98.965000000000003</v>
      </c>
      <c r="Q202" s="582">
        <v>10.11911589903306</v>
      </c>
      <c r="R202" s="582">
        <v>2.7603841009669403</v>
      </c>
      <c r="S202" s="582">
        <v>3.2531841009669407</v>
      </c>
      <c r="T202" s="582">
        <v>3.6608841009669399</v>
      </c>
      <c r="U202" s="582">
        <v>3.3195841009669387</v>
      </c>
      <c r="BY202" s="616" t="s">
        <v>564</v>
      </c>
      <c r="BZ202" s="617">
        <v>27</v>
      </c>
      <c r="CA202" s="608">
        <v>0</v>
      </c>
      <c r="CB202" s="608">
        <f t="shared" si="132"/>
        <v>0</v>
      </c>
      <c r="CC202" s="353">
        <v>65</v>
      </c>
      <c r="CD202" s="631">
        <f t="shared" ref="CD202:CD226" si="133">CD201+CB202</f>
        <v>572.80000000000007</v>
      </c>
    </row>
    <row r="203" spans="10:203" ht="16">
      <c r="J203" s="580">
        <v>41578</v>
      </c>
      <c r="K203" s="581">
        <v>3.472222222222222E-3</v>
      </c>
      <c r="L203" s="582">
        <v>13.026899999999999</v>
      </c>
      <c r="M203" s="582">
        <v>12.703200000000001</v>
      </c>
      <c r="N203" s="582">
        <v>13.545500000000001</v>
      </c>
      <c r="O203" s="582">
        <v>13.151</v>
      </c>
      <c r="P203" s="582">
        <v>98.972200000000001</v>
      </c>
      <c r="Q203" s="582">
        <v>10.119852095006113</v>
      </c>
      <c r="R203" s="582">
        <v>2.7220479049938864</v>
      </c>
      <c r="S203" s="582">
        <v>3.233347904993888</v>
      </c>
      <c r="T203" s="582">
        <v>3.6156479049938879</v>
      </c>
      <c r="U203" s="582">
        <v>3.3011479049938863</v>
      </c>
      <c r="BY203" s="616" t="s">
        <v>565</v>
      </c>
      <c r="BZ203" s="617">
        <v>27</v>
      </c>
      <c r="CA203" s="608">
        <v>0</v>
      </c>
      <c r="CB203" s="608">
        <f t="shared" si="132"/>
        <v>0</v>
      </c>
      <c r="CC203" s="353">
        <v>66</v>
      </c>
      <c r="CD203" s="631">
        <f t="shared" si="133"/>
        <v>572.80000000000007</v>
      </c>
    </row>
    <row r="204" spans="10:203" ht="16">
      <c r="J204" s="580">
        <v>41579</v>
      </c>
      <c r="K204" s="581">
        <v>3.472222222222222E-3</v>
      </c>
      <c r="L204" s="582">
        <v>13.000500000000001</v>
      </c>
      <c r="M204" s="582">
        <v>12.682700000000001</v>
      </c>
      <c r="N204" s="582">
        <v>13.494</v>
      </c>
      <c r="O204" s="582">
        <v>13.1328</v>
      </c>
      <c r="P204" s="582">
        <v>98.963999999999999</v>
      </c>
      <c r="Q204" s="582">
        <v>10.119013649592359</v>
      </c>
      <c r="R204" s="582">
        <v>2.6964863504076413</v>
      </c>
      <c r="S204" s="582">
        <v>3.2136863504076416</v>
      </c>
      <c r="T204" s="582">
        <v>3.5649863504076409</v>
      </c>
      <c r="U204" s="582">
        <v>3.2837863504076399</v>
      </c>
      <c r="BY204" s="616" t="s">
        <v>566</v>
      </c>
      <c r="BZ204" s="617">
        <v>27</v>
      </c>
      <c r="CA204" s="608">
        <v>0</v>
      </c>
      <c r="CB204" s="608">
        <f t="shared" si="132"/>
        <v>0</v>
      </c>
      <c r="CC204" s="353">
        <v>66</v>
      </c>
      <c r="CD204" s="631">
        <f t="shared" si="133"/>
        <v>572.80000000000007</v>
      </c>
    </row>
    <row r="205" spans="10:203" ht="16">
      <c r="J205" s="580">
        <v>41580</v>
      </c>
      <c r="K205" s="581">
        <v>3.472222222222222E-3</v>
      </c>
      <c r="L205" s="582">
        <v>12.954800000000001</v>
      </c>
      <c r="M205" s="582">
        <v>12.6557</v>
      </c>
      <c r="N205" s="582">
        <v>13.435499999999999</v>
      </c>
      <c r="O205" s="582">
        <v>13.1044</v>
      </c>
      <c r="P205" s="582">
        <v>98.8857</v>
      </c>
      <c r="Q205" s="582">
        <v>10.111007518385424</v>
      </c>
      <c r="R205" s="582">
        <v>2.6587924816145763</v>
      </c>
      <c r="S205" s="582">
        <v>3.1946924816145756</v>
      </c>
      <c r="T205" s="582">
        <v>3.5144924816145755</v>
      </c>
      <c r="U205" s="582">
        <v>3.2633924816145754</v>
      </c>
      <c r="BY205" s="616" t="s">
        <v>567</v>
      </c>
      <c r="BZ205" s="617">
        <v>28</v>
      </c>
      <c r="CA205" s="608">
        <v>0</v>
      </c>
      <c r="CB205" s="608">
        <f t="shared" si="132"/>
        <v>0</v>
      </c>
      <c r="CC205" s="353">
        <v>69</v>
      </c>
      <c r="CD205" s="631">
        <f t="shared" si="133"/>
        <v>572.80000000000007</v>
      </c>
    </row>
    <row r="206" spans="10:203" ht="16">
      <c r="J206" s="580">
        <v>41581</v>
      </c>
      <c r="K206" s="581">
        <v>3.472222222222222E-3</v>
      </c>
      <c r="L206" s="582">
        <v>12.921099999999999</v>
      </c>
      <c r="M206" s="582">
        <v>12.6389</v>
      </c>
      <c r="N206" s="582">
        <v>13.402699999999999</v>
      </c>
      <c r="O206" s="582">
        <v>13.0869</v>
      </c>
      <c r="P206" s="582">
        <v>98.883499999999998</v>
      </c>
      <c r="Q206" s="582">
        <v>10.11078256961588</v>
      </c>
      <c r="R206" s="582">
        <v>2.6253174303841189</v>
      </c>
      <c r="S206" s="582">
        <v>3.1781174303841198</v>
      </c>
      <c r="T206" s="582">
        <v>3.4819174303841196</v>
      </c>
      <c r="U206" s="582">
        <v>3.2461174303841194</v>
      </c>
      <c r="BY206" s="616" t="s">
        <v>568</v>
      </c>
      <c r="BZ206" s="617">
        <v>28</v>
      </c>
      <c r="CA206" s="608">
        <v>0</v>
      </c>
      <c r="CB206" s="608">
        <f t="shared" si="132"/>
        <v>0</v>
      </c>
      <c r="CC206" s="353">
        <v>66</v>
      </c>
      <c r="CD206" s="631">
        <f t="shared" si="133"/>
        <v>572.80000000000007</v>
      </c>
    </row>
    <row r="207" spans="10:203" ht="16">
      <c r="J207" s="580">
        <v>41582</v>
      </c>
      <c r="K207" s="581">
        <v>3.472222222222222E-3</v>
      </c>
      <c r="L207" s="582">
        <v>12.892300000000001</v>
      </c>
      <c r="M207" s="582">
        <v>12.626899999999999</v>
      </c>
      <c r="N207" s="582">
        <v>13.3742</v>
      </c>
      <c r="O207" s="582">
        <v>13.0741</v>
      </c>
      <c r="P207" s="582">
        <v>98.944400000000002</v>
      </c>
      <c r="Q207" s="582">
        <v>10.117009560554608</v>
      </c>
      <c r="R207" s="582">
        <v>2.5902904394453921</v>
      </c>
      <c r="S207" s="582">
        <v>3.1598904394453911</v>
      </c>
      <c r="T207" s="582">
        <v>3.4471904394453921</v>
      </c>
      <c r="U207" s="582">
        <v>3.2270904394453908</v>
      </c>
      <c r="BY207" s="616" t="s">
        <v>569</v>
      </c>
      <c r="BZ207" s="617">
        <v>30</v>
      </c>
      <c r="CA207" s="608">
        <v>0.03</v>
      </c>
      <c r="CB207" s="608">
        <f t="shared" si="132"/>
        <v>0.3</v>
      </c>
      <c r="CC207" s="353">
        <v>69</v>
      </c>
      <c r="CD207" s="631">
        <f t="shared" si="133"/>
        <v>573.1</v>
      </c>
    </row>
    <row r="208" spans="10:203" ht="16">
      <c r="J208" s="580">
        <v>41583</v>
      </c>
      <c r="K208" s="581">
        <v>3.472222222222222E-3</v>
      </c>
      <c r="L208" s="582">
        <v>12.925700000000001</v>
      </c>
      <c r="M208" s="582">
        <v>12.648099999999999</v>
      </c>
      <c r="N208" s="582">
        <v>13.385300000000001</v>
      </c>
      <c r="O208" s="582">
        <v>13.099399999999999</v>
      </c>
      <c r="P208" s="582">
        <v>99.071700000000007</v>
      </c>
      <c r="Q208" s="582">
        <v>10.130025914355921</v>
      </c>
      <c r="R208" s="582">
        <v>2.6106740856440802</v>
      </c>
      <c r="S208" s="582">
        <v>3.1680740856440792</v>
      </c>
      <c r="T208" s="582">
        <v>3.4452740856440807</v>
      </c>
      <c r="U208" s="582">
        <v>3.2393740856440782</v>
      </c>
      <c r="BY208" s="616" t="s">
        <v>570</v>
      </c>
      <c r="BZ208" s="617">
        <v>30</v>
      </c>
      <c r="CA208" s="608">
        <v>0</v>
      </c>
      <c r="CB208" s="608">
        <f t="shared" si="132"/>
        <v>0</v>
      </c>
      <c r="CC208" s="353">
        <v>69</v>
      </c>
      <c r="CD208" s="631">
        <f t="shared" si="133"/>
        <v>573.1</v>
      </c>
    </row>
    <row r="209" spans="10:82" ht="16">
      <c r="J209" s="580">
        <v>41584</v>
      </c>
      <c r="K209" s="581">
        <v>3.472222222222222E-3</v>
      </c>
      <c r="L209" s="582">
        <v>12.9117</v>
      </c>
      <c r="M209" s="582">
        <v>12.645200000000001</v>
      </c>
      <c r="N209" s="582">
        <v>13.3569</v>
      </c>
      <c r="O209" s="582">
        <v>13.086600000000001</v>
      </c>
      <c r="P209" s="582">
        <v>99.032600000000002</v>
      </c>
      <c r="Q209" s="582">
        <v>10.126027961224489</v>
      </c>
      <c r="R209" s="582">
        <v>2.6006720387755107</v>
      </c>
      <c r="S209" s="582">
        <v>3.1691720387755122</v>
      </c>
      <c r="T209" s="582">
        <v>3.4208720387755109</v>
      </c>
      <c r="U209" s="582">
        <v>3.2305720387755112</v>
      </c>
      <c r="BY209" s="616" t="s">
        <v>571</v>
      </c>
      <c r="BZ209" s="617">
        <v>28</v>
      </c>
      <c r="CA209" s="608">
        <v>0</v>
      </c>
      <c r="CB209" s="608">
        <f t="shared" si="132"/>
        <v>0</v>
      </c>
      <c r="CC209" s="353">
        <v>69</v>
      </c>
      <c r="CD209" s="631">
        <f t="shared" si="133"/>
        <v>573.1</v>
      </c>
    </row>
    <row r="210" spans="10:82" ht="16">
      <c r="J210" s="580">
        <v>41585</v>
      </c>
      <c r="K210" s="581">
        <v>3.472222222222222E-3</v>
      </c>
      <c r="L210" s="582">
        <v>12.8734</v>
      </c>
      <c r="M210" s="582">
        <v>12.6197</v>
      </c>
      <c r="N210" s="582">
        <v>13.318099999999999</v>
      </c>
      <c r="O210" s="582">
        <v>13.060700000000001</v>
      </c>
      <c r="P210" s="582">
        <v>98.994299999999996</v>
      </c>
      <c r="Q210" s="582">
        <v>10.122111807645616</v>
      </c>
      <c r="R210" s="582">
        <v>2.5662881923543837</v>
      </c>
      <c r="S210" s="582">
        <v>3.1475881923543838</v>
      </c>
      <c r="T210" s="582">
        <v>3.3859881923543833</v>
      </c>
      <c r="U210" s="582">
        <v>3.2085881923543838</v>
      </c>
      <c r="BY210" s="616" t="s">
        <v>572</v>
      </c>
      <c r="BZ210" s="617">
        <v>28</v>
      </c>
      <c r="CA210" s="608">
        <v>0</v>
      </c>
      <c r="CB210" s="608">
        <f t="shared" si="132"/>
        <v>0</v>
      </c>
      <c r="CC210" s="353">
        <v>71</v>
      </c>
      <c r="CD210" s="631">
        <f t="shared" si="133"/>
        <v>573.1</v>
      </c>
    </row>
    <row r="211" spans="10:82" ht="16">
      <c r="J211" s="580">
        <v>41586</v>
      </c>
      <c r="K211" s="581">
        <v>3.472222222222222E-3</v>
      </c>
      <c r="L211" s="582">
        <v>12.829599999999999</v>
      </c>
      <c r="M211" s="582">
        <v>12.5936</v>
      </c>
      <c r="N211" s="582">
        <v>13.270799999999999</v>
      </c>
      <c r="O211" s="582">
        <v>13.0298</v>
      </c>
      <c r="P211" s="582">
        <v>98.907499999999999</v>
      </c>
      <c r="Q211" s="582">
        <v>10.113236556192719</v>
      </c>
      <c r="R211" s="582">
        <v>2.5313634438072801</v>
      </c>
      <c r="S211" s="582">
        <v>3.1303634438072816</v>
      </c>
      <c r="T211" s="582">
        <v>3.3475634438072808</v>
      </c>
      <c r="U211" s="582">
        <v>3.1865634438072803</v>
      </c>
      <c r="BY211" s="616" t="s">
        <v>573</v>
      </c>
      <c r="BZ211" s="617">
        <v>27</v>
      </c>
      <c r="CA211" s="608">
        <v>0</v>
      </c>
      <c r="CB211" s="608">
        <f t="shared" si="132"/>
        <v>0</v>
      </c>
      <c r="CC211" s="353">
        <v>70</v>
      </c>
      <c r="CD211" s="631">
        <f t="shared" si="133"/>
        <v>573.1</v>
      </c>
    </row>
    <row r="212" spans="10:82" ht="16">
      <c r="J212" s="580">
        <v>41587</v>
      </c>
      <c r="K212" s="581">
        <v>3.472222222222222E-3</v>
      </c>
      <c r="L212" s="582">
        <v>12.788</v>
      </c>
      <c r="M212" s="582">
        <v>12.563599999999999</v>
      </c>
      <c r="N212" s="582">
        <v>13.220800000000001</v>
      </c>
      <c r="O212" s="582">
        <v>12.995699999999999</v>
      </c>
      <c r="P212" s="582">
        <v>98.807699999999997</v>
      </c>
      <c r="Q212" s="582">
        <v>10.103032062010699</v>
      </c>
      <c r="R212" s="582">
        <v>2.4999679379893007</v>
      </c>
      <c r="S212" s="582">
        <v>3.1105679379893001</v>
      </c>
      <c r="T212" s="582">
        <v>3.3077679379893015</v>
      </c>
      <c r="U212" s="582">
        <v>3.1626679379892995</v>
      </c>
      <c r="BY212" s="616" t="s">
        <v>574</v>
      </c>
      <c r="BZ212" s="617">
        <v>28</v>
      </c>
      <c r="CA212" s="608">
        <v>0</v>
      </c>
      <c r="CB212" s="608">
        <f t="shared" si="132"/>
        <v>0</v>
      </c>
      <c r="CC212" s="353">
        <v>64</v>
      </c>
      <c r="CD212" s="631">
        <f t="shared" si="133"/>
        <v>573.1</v>
      </c>
    </row>
    <row r="213" spans="10:82" ht="16">
      <c r="J213" s="580">
        <v>41588</v>
      </c>
      <c r="K213" s="581">
        <v>3.472222222222222E-3</v>
      </c>
      <c r="L213" s="582">
        <v>12.742900000000001</v>
      </c>
      <c r="M213" s="582">
        <v>12.5375</v>
      </c>
      <c r="N213" s="582">
        <v>13.173299999999999</v>
      </c>
      <c r="O213" s="582">
        <v>12.9642</v>
      </c>
      <c r="P213" s="582">
        <v>98.727900000000005</v>
      </c>
      <c r="Q213" s="582">
        <v>10.094872556642713</v>
      </c>
      <c r="R213" s="582">
        <v>2.4630274433572876</v>
      </c>
      <c r="S213" s="582">
        <v>3.0926274433572871</v>
      </c>
      <c r="T213" s="582">
        <v>3.2684274433572869</v>
      </c>
      <c r="U213" s="582">
        <v>3.1393274433572866</v>
      </c>
      <c r="BY213" s="616" t="s">
        <v>575</v>
      </c>
      <c r="BZ213" s="617">
        <v>28</v>
      </c>
      <c r="CA213" s="608">
        <v>0</v>
      </c>
      <c r="CB213" s="608">
        <f t="shared" si="132"/>
        <v>0</v>
      </c>
      <c r="CC213" s="353">
        <v>62</v>
      </c>
      <c r="CD213" s="631">
        <f t="shared" si="133"/>
        <v>573.1</v>
      </c>
    </row>
    <row r="214" spans="10:82" ht="16">
      <c r="J214" s="580">
        <v>41589</v>
      </c>
      <c r="K214" s="581">
        <v>3.472222222222222E-3</v>
      </c>
      <c r="L214" s="582">
        <v>12.7105</v>
      </c>
      <c r="M214" s="582">
        <v>12.5213</v>
      </c>
      <c r="N214" s="582">
        <v>13.1378</v>
      </c>
      <c r="O214" s="582">
        <v>12.942</v>
      </c>
      <c r="P214" s="582">
        <v>98.775999999999996</v>
      </c>
      <c r="Q214" s="582">
        <v>10.099790754740459</v>
      </c>
      <c r="R214" s="582">
        <v>2.4257092452595406</v>
      </c>
      <c r="S214" s="582">
        <v>3.0715092452595414</v>
      </c>
      <c r="T214" s="582">
        <v>3.2280092452595417</v>
      </c>
      <c r="U214" s="582">
        <v>3.1122092452595407</v>
      </c>
      <c r="BY214" s="616" t="s">
        <v>576</v>
      </c>
      <c r="BZ214" s="617">
        <v>27</v>
      </c>
      <c r="CA214" s="608">
        <v>0</v>
      </c>
      <c r="CB214" s="608">
        <f t="shared" si="132"/>
        <v>0</v>
      </c>
      <c r="CC214" s="353">
        <v>61</v>
      </c>
      <c r="CD214" s="631">
        <f t="shared" si="133"/>
        <v>573.1</v>
      </c>
    </row>
    <row r="215" spans="10:82" ht="16">
      <c r="J215" s="580">
        <v>41590</v>
      </c>
      <c r="K215" s="581">
        <v>3.472222222222222E-3</v>
      </c>
      <c r="L215" s="582">
        <v>12.661799999999999</v>
      </c>
      <c r="M215" s="582">
        <v>12.4894</v>
      </c>
      <c r="N215" s="582">
        <v>13.0853</v>
      </c>
      <c r="O215" s="582">
        <v>12.8927</v>
      </c>
      <c r="P215" s="582">
        <v>98.673199999999994</v>
      </c>
      <c r="Q215" s="582">
        <v>10.089279512236336</v>
      </c>
      <c r="R215" s="582">
        <v>2.3875204877636631</v>
      </c>
      <c r="S215" s="582">
        <v>3.0501204877636638</v>
      </c>
      <c r="T215" s="582">
        <v>3.1860204877636642</v>
      </c>
      <c r="U215" s="582">
        <v>3.0734204877636628</v>
      </c>
      <c r="BY215" s="616" t="s">
        <v>577</v>
      </c>
      <c r="BZ215" s="617">
        <v>25</v>
      </c>
      <c r="CA215" s="668">
        <v>1.3</v>
      </c>
      <c r="CB215" s="608">
        <f t="shared" si="132"/>
        <v>13</v>
      </c>
      <c r="CC215" s="353">
        <v>85</v>
      </c>
      <c r="CD215" s="631">
        <f t="shared" si="133"/>
        <v>586.1</v>
      </c>
    </row>
    <row r="216" spans="10:82" ht="16">
      <c r="J216" s="580">
        <v>41591</v>
      </c>
      <c r="K216" s="581">
        <v>3.472222222222222E-3</v>
      </c>
      <c r="L216" s="582">
        <v>12.6318</v>
      </c>
      <c r="M216" s="582">
        <v>12.471500000000001</v>
      </c>
      <c r="N216" s="582">
        <v>13.0548</v>
      </c>
      <c r="O216" s="582">
        <v>12.8741</v>
      </c>
      <c r="P216" s="582">
        <v>98.718599999999995</v>
      </c>
      <c r="Q216" s="582">
        <v>10.093921636844188</v>
      </c>
      <c r="R216" s="582">
        <v>2.3528783631558121</v>
      </c>
      <c r="S216" s="582">
        <v>3.0275783631558131</v>
      </c>
      <c r="T216" s="582">
        <v>3.1508783631558126</v>
      </c>
      <c r="U216" s="582">
        <v>3.0501783631558119</v>
      </c>
      <c r="BY216" s="616" t="s">
        <v>578</v>
      </c>
      <c r="BZ216" s="617">
        <v>28</v>
      </c>
      <c r="CA216" s="608">
        <v>0</v>
      </c>
      <c r="CB216" s="608">
        <f t="shared" si="132"/>
        <v>0</v>
      </c>
      <c r="CC216" s="353">
        <v>75</v>
      </c>
      <c r="CD216" s="631">
        <f t="shared" si="133"/>
        <v>586.1</v>
      </c>
    </row>
    <row r="217" spans="10:82" ht="16">
      <c r="J217" s="580">
        <v>41592</v>
      </c>
      <c r="K217" s="581">
        <v>3.472222222222222E-3</v>
      </c>
      <c r="L217" s="582">
        <v>12.6107</v>
      </c>
      <c r="M217" s="582">
        <v>12.4594</v>
      </c>
      <c r="N217" s="582">
        <v>13.0335</v>
      </c>
      <c r="O217" s="582">
        <v>12.8644</v>
      </c>
      <c r="P217" s="582">
        <v>98.812399999999997</v>
      </c>
      <c r="Q217" s="582">
        <v>10.103512634381998</v>
      </c>
      <c r="R217" s="582">
        <v>2.3221873656180017</v>
      </c>
      <c r="S217" s="582">
        <v>3.005887365618003</v>
      </c>
      <c r="T217" s="582">
        <v>3.1199873656180026</v>
      </c>
      <c r="U217" s="582">
        <v>3.0308873656180015</v>
      </c>
      <c r="BY217" s="616" t="s">
        <v>579</v>
      </c>
      <c r="BZ217" s="617">
        <v>28</v>
      </c>
      <c r="CA217" s="608">
        <v>0</v>
      </c>
      <c r="CB217" s="608">
        <f t="shared" si="132"/>
        <v>0</v>
      </c>
      <c r="CC217" s="353">
        <v>66</v>
      </c>
      <c r="CD217" s="631">
        <f t="shared" si="133"/>
        <v>586.1</v>
      </c>
    </row>
    <row r="218" spans="10:82" ht="16">
      <c r="J218" s="580">
        <v>41593</v>
      </c>
      <c r="K218" s="581">
        <v>3.472222222222222E-3</v>
      </c>
      <c r="L218" s="582">
        <v>12.573700000000001</v>
      </c>
      <c r="M218" s="582">
        <v>12.437900000000001</v>
      </c>
      <c r="N218" s="582">
        <v>13.0014</v>
      </c>
      <c r="O218" s="582">
        <v>12.8447</v>
      </c>
      <c r="P218" s="582">
        <v>98.850399999999993</v>
      </c>
      <c r="Q218" s="582">
        <v>10.107398113128658</v>
      </c>
      <c r="R218" s="582">
        <v>2.2813018868713422</v>
      </c>
      <c r="S218" s="582">
        <v>2.9805018868713429</v>
      </c>
      <c r="T218" s="582">
        <v>3.0840018868713424</v>
      </c>
      <c r="U218" s="582">
        <v>3.0073018868713408</v>
      </c>
      <c r="BY218" s="616" t="s">
        <v>580</v>
      </c>
      <c r="BZ218" s="617">
        <v>28</v>
      </c>
      <c r="CA218" s="608">
        <v>0</v>
      </c>
      <c r="CB218" s="608">
        <f t="shared" si="132"/>
        <v>0</v>
      </c>
      <c r="CC218" s="353">
        <v>65</v>
      </c>
      <c r="CD218" s="631">
        <f t="shared" si="133"/>
        <v>586.1</v>
      </c>
    </row>
    <row r="219" spans="10:82" ht="16">
      <c r="J219" s="580">
        <v>41594</v>
      </c>
      <c r="K219" s="581">
        <v>3.472222222222222E-3</v>
      </c>
      <c r="L219" s="582">
        <v>12.513</v>
      </c>
      <c r="M219" s="582">
        <v>12.3973</v>
      </c>
      <c r="N219" s="582">
        <v>12.942299999999999</v>
      </c>
      <c r="O219" s="582">
        <v>12.792</v>
      </c>
      <c r="P219" s="582">
        <v>98.691199999999995</v>
      </c>
      <c r="Q219" s="582">
        <v>10.091120002168964</v>
      </c>
      <c r="R219" s="582">
        <v>2.2368799978310361</v>
      </c>
      <c r="S219" s="582">
        <v>2.9561799978310361</v>
      </c>
      <c r="T219" s="582">
        <v>3.0411799978310361</v>
      </c>
      <c r="U219" s="582">
        <v>2.9708799978310356</v>
      </c>
      <c r="BY219" s="616" t="s">
        <v>581</v>
      </c>
      <c r="BZ219" s="617">
        <v>29</v>
      </c>
      <c r="CA219" s="608">
        <v>0</v>
      </c>
      <c r="CB219" s="608">
        <f t="shared" si="132"/>
        <v>0</v>
      </c>
      <c r="CC219" s="353">
        <v>68</v>
      </c>
      <c r="CD219" s="631">
        <f t="shared" si="133"/>
        <v>586.1</v>
      </c>
    </row>
    <row r="220" spans="10:82" ht="16">
      <c r="J220" s="580">
        <v>41595</v>
      </c>
      <c r="K220" s="581">
        <v>3.472222222222222E-3</v>
      </c>
      <c r="L220" s="582">
        <v>12.460100000000001</v>
      </c>
      <c r="M220" s="582">
        <v>12.362399999999999</v>
      </c>
      <c r="N220" s="582">
        <v>12.8941</v>
      </c>
      <c r="O220" s="582">
        <v>12.745799999999999</v>
      </c>
      <c r="P220" s="582">
        <v>98.616500000000002</v>
      </c>
      <c r="Q220" s="582">
        <v>10.083481968948556</v>
      </c>
      <c r="R220" s="582">
        <v>2.1916180310514446</v>
      </c>
      <c r="S220" s="582">
        <v>2.9289180310514435</v>
      </c>
      <c r="T220" s="582">
        <v>3.0006180310514443</v>
      </c>
      <c r="U220" s="582">
        <v>2.9323180310514427</v>
      </c>
      <c r="BY220" s="616" t="s">
        <v>582</v>
      </c>
      <c r="BZ220" s="617">
        <v>29</v>
      </c>
      <c r="CA220" s="608">
        <v>0</v>
      </c>
      <c r="CB220" s="608">
        <f t="shared" si="132"/>
        <v>0</v>
      </c>
      <c r="CC220" s="353">
        <v>69</v>
      </c>
      <c r="CD220" s="631">
        <f t="shared" si="133"/>
        <v>586.1</v>
      </c>
    </row>
    <row r="221" spans="10:82" ht="16">
      <c r="J221" s="580">
        <v>41596</v>
      </c>
      <c r="K221" s="581">
        <v>3.472222222222222E-3</v>
      </c>
      <c r="L221" s="582">
        <v>12.545999999999999</v>
      </c>
      <c r="M221" s="582">
        <v>12.686500000000001</v>
      </c>
      <c r="N221" s="582">
        <v>13.701599999999999</v>
      </c>
      <c r="O221" s="582">
        <v>13.2852</v>
      </c>
      <c r="P221" s="582">
        <v>98.831900000000005</v>
      </c>
      <c r="Q221" s="582">
        <v>10.105506498475679</v>
      </c>
      <c r="R221" s="582">
        <v>2.2554935015243207</v>
      </c>
      <c r="S221" s="582">
        <v>3.2309935015243223</v>
      </c>
      <c r="T221" s="582">
        <v>3.7860935015243209</v>
      </c>
      <c r="U221" s="582">
        <v>3.4496935015243206</v>
      </c>
      <c r="BY221" s="616" t="s">
        <v>583</v>
      </c>
      <c r="BZ221" s="617">
        <v>28</v>
      </c>
      <c r="CA221" s="608">
        <v>0</v>
      </c>
      <c r="CB221" s="608">
        <f t="shared" si="132"/>
        <v>0</v>
      </c>
      <c r="CC221" s="353">
        <v>67</v>
      </c>
      <c r="CD221" s="631">
        <f t="shared" si="133"/>
        <v>586.1</v>
      </c>
    </row>
    <row r="222" spans="10:82" ht="16">
      <c r="J222" s="580">
        <v>41597</v>
      </c>
      <c r="K222" s="581">
        <v>3.472222222222222E-3</v>
      </c>
      <c r="L222" s="582">
        <v>12.5199</v>
      </c>
      <c r="M222" s="582">
        <v>12.6837</v>
      </c>
      <c r="N222" s="582">
        <v>13.7103</v>
      </c>
      <c r="O222" s="582">
        <v>13.2834</v>
      </c>
      <c r="P222" s="582">
        <v>98.991699999999994</v>
      </c>
      <c r="Q222" s="582">
        <v>10.121845959099792</v>
      </c>
      <c r="R222" s="582">
        <v>2.2130540409002077</v>
      </c>
      <c r="S222" s="582">
        <v>3.2118540409002083</v>
      </c>
      <c r="T222" s="582">
        <v>3.7784540409002085</v>
      </c>
      <c r="U222" s="582">
        <v>3.4315540409002079</v>
      </c>
      <c r="BY222" s="616" t="s">
        <v>584</v>
      </c>
      <c r="BZ222" s="617">
        <v>30</v>
      </c>
      <c r="CA222" s="608">
        <v>0</v>
      </c>
      <c r="CB222" s="608">
        <f t="shared" si="132"/>
        <v>0</v>
      </c>
      <c r="CC222" s="353">
        <v>64</v>
      </c>
      <c r="CD222" s="631">
        <f t="shared" si="133"/>
        <v>586.1</v>
      </c>
    </row>
    <row r="223" spans="10:82" ht="16">
      <c r="J223" s="580">
        <v>41598</v>
      </c>
      <c r="K223" s="581">
        <v>3.472222222222222E-3</v>
      </c>
      <c r="L223" s="582">
        <v>12.4636</v>
      </c>
      <c r="M223" s="582">
        <v>12.652900000000001</v>
      </c>
      <c r="N223" s="582">
        <v>13.661</v>
      </c>
      <c r="O223" s="582">
        <v>13.248100000000001</v>
      </c>
      <c r="P223" s="582">
        <v>98.874600000000001</v>
      </c>
      <c r="Q223" s="582">
        <v>10.109872549593637</v>
      </c>
      <c r="R223" s="582">
        <v>2.1687274504063621</v>
      </c>
      <c r="S223" s="582">
        <v>3.1930274504063636</v>
      </c>
      <c r="T223" s="582">
        <v>3.7411274504063625</v>
      </c>
      <c r="U223" s="582">
        <v>3.408227450406363</v>
      </c>
      <c r="BY223" s="616" t="s">
        <v>585</v>
      </c>
      <c r="BZ223" s="617">
        <v>29</v>
      </c>
      <c r="CA223" s="608">
        <v>0</v>
      </c>
      <c r="CB223" s="608">
        <f t="shared" si="132"/>
        <v>0</v>
      </c>
      <c r="CC223" s="353">
        <v>66</v>
      </c>
      <c r="CD223" s="631">
        <f t="shared" si="133"/>
        <v>586.1</v>
      </c>
    </row>
    <row r="224" spans="10:82" ht="16">
      <c r="J224" s="580">
        <v>41599</v>
      </c>
      <c r="K224" s="581">
        <v>3.472222222222222E-3</v>
      </c>
      <c r="L224" s="582">
        <v>12.386900000000001</v>
      </c>
      <c r="M224" s="582">
        <v>12.5989</v>
      </c>
      <c r="N224" s="582">
        <v>13.5883</v>
      </c>
      <c r="O224" s="582">
        <v>13.191800000000001</v>
      </c>
      <c r="P224" s="582">
        <v>98.558099999999996</v>
      </c>
      <c r="Q224" s="582">
        <v>10.077510601611582</v>
      </c>
      <c r="R224" s="582">
        <v>2.1243893983884186</v>
      </c>
      <c r="S224" s="582">
        <v>3.1713893983884187</v>
      </c>
      <c r="T224" s="582">
        <v>3.7007893983884186</v>
      </c>
      <c r="U224" s="582">
        <v>3.3842893983884181</v>
      </c>
      <c r="BY224" s="616" t="s">
        <v>586</v>
      </c>
      <c r="BZ224" s="617">
        <v>29</v>
      </c>
      <c r="CA224" s="608">
        <v>0.05</v>
      </c>
      <c r="CB224" s="608">
        <f t="shared" si="132"/>
        <v>0.5</v>
      </c>
      <c r="CC224" s="353">
        <v>68</v>
      </c>
      <c r="CD224" s="631">
        <f t="shared" si="133"/>
        <v>586.6</v>
      </c>
    </row>
    <row r="225" spans="10:82" ht="16">
      <c r="J225" s="580">
        <v>41600</v>
      </c>
      <c r="K225" s="581">
        <v>3.472222222222222E-3</v>
      </c>
      <c r="L225" s="582">
        <v>12.338900000000001</v>
      </c>
      <c r="M225" s="582">
        <v>12.5809</v>
      </c>
      <c r="N225" s="582">
        <v>13.554</v>
      </c>
      <c r="O225" s="582">
        <v>13.1714</v>
      </c>
      <c r="P225" s="582">
        <v>98.619399999999999</v>
      </c>
      <c r="Q225" s="582">
        <v>10.083778492326591</v>
      </c>
      <c r="R225" s="582">
        <v>2.0701215076734099</v>
      </c>
      <c r="S225" s="582">
        <v>3.1471215076734094</v>
      </c>
      <c r="T225" s="582">
        <v>3.6602215076734099</v>
      </c>
      <c r="U225" s="582">
        <v>3.3576215076734091</v>
      </c>
      <c r="BY225" s="616" t="s">
        <v>587</v>
      </c>
      <c r="BZ225" s="617">
        <v>30</v>
      </c>
      <c r="CA225" s="608">
        <v>0</v>
      </c>
      <c r="CB225" s="608">
        <f t="shared" si="132"/>
        <v>0</v>
      </c>
      <c r="CC225" s="353">
        <v>67</v>
      </c>
      <c r="CD225" s="631">
        <f t="shared" si="133"/>
        <v>586.6</v>
      </c>
    </row>
    <row r="226" spans="10:82" ht="16">
      <c r="J226" s="580">
        <v>41601</v>
      </c>
      <c r="K226" s="581">
        <v>3.472222222222222E-3</v>
      </c>
      <c r="L226" s="582">
        <v>12.296099999999999</v>
      </c>
      <c r="M226" s="582">
        <v>12.571300000000001</v>
      </c>
      <c r="N226" s="582">
        <v>13.5283</v>
      </c>
      <c r="O226" s="582">
        <v>13.1578</v>
      </c>
      <c r="P226" s="582">
        <v>98.739900000000006</v>
      </c>
      <c r="Q226" s="582">
        <v>10.096099549931132</v>
      </c>
      <c r="R226" s="582">
        <v>2.0150004500688667</v>
      </c>
      <c r="S226" s="582">
        <v>3.1252004500688688</v>
      </c>
      <c r="T226" s="582">
        <v>3.6222004500688678</v>
      </c>
      <c r="U226" s="582">
        <v>3.3317004500688672</v>
      </c>
      <c r="BY226" s="616" t="s">
        <v>588</v>
      </c>
      <c r="BZ226" s="617">
        <v>29</v>
      </c>
      <c r="CA226" s="608">
        <v>0</v>
      </c>
      <c r="CB226" s="608">
        <f t="shared" si="132"/>
        <v>0</v>
      </c>
      <c r="CC226" s="353">
        <v>64</v>
      </c>
      <c r="CD226" s="631">
        <f t="shared" si="133"/>
        <v>586.6</v>
      </c>
    </row>
    <row r="227" spans="10:82">
      <c r="J227" s="580">
        <v>41602</v>
      </c>
      <c r="K227" s="581">
        <v>3.472222222222222E-3</v>
      </c>
      <c r="L227" s="582">
        <v>12.2577</v>
      </c>
      <c r="M227" s="582">
        <v>12.5602</v>
      </c>
      <c r="N227" s="582">
        <v>13.4962</v>
      </c>
      <c r="O227" s="582">
        <v>13.141299999999999</v>
      </c>
      <c r="P227" s="582">
        <v>98.837800000000001</v>
      </c>
      <c r="Q227" s="582">
        <v>10.106109770175818</v>
      </c>
      <c r="R227" s="582">
        <v>1.9665902298241815</v>
      </c>
      <c r="S227" s="582">
        <v>3.1040902298241821</v>
      </c>
      <c r="T227" s="582">
        <v>3.5800902298241821</v>
      </c>
      <c r="U227" s="582">
        <v>3.3051902298241806</v>
      </c>
      <c r="BY227" s="669"/>
      <c r="BZ227" s="669"/>
      <c r="CA227" s="669"/>
      <c r="CB227" s="669"/>
      <c r="CC227" s="669"/>
      <c r="CD227" s="670"/>
    </row>
    <row r="228" spans="10:82">
      <c r="J228" s="580">
        <v>41603</v>
      </c>
      <c r="K228" s="581">
        <v>3.472222222222222E-3</v>
      </c>
      <c r="L228" s="582">
        <v>12.213900000000001</v>
      </c>
      <c r="M228" s="582">
        <v>12.5413</v>
      </c>
      <c r="N228" s="582">
        <v>13.4595</v>
      </c>
      <c r="O228" s="582">
        <v>13.120900000000001</v>
      </c>
      <c r="P228" s="582">
        <v>98.8733</v>
      </c>
      <c r="Q228" s="582">
        <v>10.109739625320724</v>
      </c>
      <c r="R228" s="582">
        <v>1.9191603746792762</v>
      </c>
      <c r="S228" s="582">
        <v>3.0815603746792757</v>
      </c>
      <c r="T228" s="582">
        <v>3.5397603746792763</v>
      </c>
      <c r="U228" s="582">
        <v>3.2811603746792759</v>
      </c>
      <c r="BY228" s="670"/>
      <c r="BZ228" s="670"/>
      <c r="CA228" s="670"/>
      <c r="CB228" s="670"/>
      <c r="CC228" s="670"/>
      <c r="CD228" s="670"/>
    </row>
    <row r="229" spans="10:82">
      <c r="J229" s="580">
        <v>41604</v>
      </c>
      <c r="K229" s="581">
        <v>3.472222222222222E-3</v>
      </c>
      <c r="L229" s="582">
        <v>12.155799999999999</v>
      </c>
      <c r="M229" s="582">
        <v>12.5006</v>
      </c>
      <c r="N229" s="582">
        <v>13.4072</v>
      </c>
      <c r="O229" s="582">
        <v>13.083</v>
      </c>
      <c r="P229" s="582">
        <v>98.743300000000005</v>
      </c>
      <c r="Q229" s="582">
        <v>10.096447198029518</v>
      </c>
      <c r="R229" s="582">
        <v>1.8743528019704816</v>
      </c>
      <c r="S229" s="582">
        <v>3.0541528019704831</v>
      </c>
      <c r="T229" s="582">
        <v>3.5007528019704823</v>
      </c>
      <c r="U229" s="582">
        <v>3.2565528019704821</v>
      </c>
      <c r="BY229" s="670"/>
      <c r="BZ229" s="670"/>
      <c r="CA229" s="670"/>
      <c r="CB229" s="670"/>
      <c r="CC229" s="670"/>
      <c r="CD229" s="670"/>
    </row>
    <row r="230" spans="10:82">
      <c r="J230" s="580">
        <v>41605</v>
      </c>
      <c r="K230" s="581">
        <v>3.472222222222222E-3</v>
      </c>
      <c r="L230" s="582">
        <v>12.114100000000001</v>
      </c>
      <c r="M230" s="582">
        <v>12.466699999999999</v>
      </c>
      <c r="N230" s="582">
        <v>13.366099999999999</v>
      </c>
      <c r="O230" s="582">
        <v>13.0525</v>
      </c>
      <c r="P230" s="582">
        <v>98.701400000000007</v>
      </c>
      <c r="Q230" s="582">
        <v>10.092162946464121</v>
      </c>
      <c r="R230" s="582">
        <v>1.8369370535358791</v>
      </c>
      <c r="S230" s="582">
        <v>3.0245370535358784</v>
      </c>
      <c r="T230" s="582">
        <v>3.4639370535358784</v>
      </c>
      <c r="U230" s="582">
        <v>3.2303370535358784</v>
      </c>
      <c r="BY230" s="670"/>
      <c r="BZ230" s="670"/>
      <c r="CA230" s="670"/>
      <c r="CB230" s="670"/>
      <c r="CC230" s="670"/>
      <c r="CD230" s="670"/>
    </row>
    <row r="231" spans="10:82">
      <c r="J231" s="580">
        <v>41606</v>
      </c>
      <c r="K231" s="581">
        <v>3.472222222222222E-3</v>
      </c>
      <c r="L231" s="582">
        <v>12.0875</v>
      </c>
      <c r="M231" s="582">
        <v>12.4498</v>
      </c>
      <c r="N231" s="582">
        <v>13.331099999999999</v>
      </c>
      <c r="O231" s="582">
        <v>13.036199999999999</v>
      </c>
      <c r="P231" s="582">
        <v>98.805700000000002</v>
      </c>
      <c r="Q231" s="582">
        <v>10.102827563129297</v>
      </c>
      <c r="R231" s="582">
        <v>1.7996724368707029</v>
      </c>
      <c r="S231" s="582">
        <v>2.9969724368707027</v>
      </c>
      <c r="T231" s="582">
        <v>3.4182724368707023</v>
      </c>
      <c r="U231" s="582">
        <v>3.2033724368707013</v>
      </c>
      <c r="BY231" s="670"/>
      <c r="BZ231" s="670"/>
      <c r="CA231" s="670"/>
      <c r="CB231" s="670"/>
      <c r="CC231" s="670"/>
      <c r="CD231" s="670"/>
    </row>
    <row r="232" spans="10:82">
      <c r="J232" s="580">
        <v>41607</v>
      </c>
      <c r="K232" s="581">
        <v>3.472222222222222E-3</v>
      </c>
      <c r="L232" s="582">
        <v>12.0662</v>
      </c>
      <c r="M232" s="582">
        <v>12.4406</v>
      </c>
      <c r="N232" s="582">
        <v>13.302099999999999</v>
      </c>
      <c r="O232" s="582">
        <v>13.024900000000001</v>
      </c>
      <c r="P232" s="582">
        <v>98.953400000000002</v>
      </c>
      <c r="Q232" s="582">
        <v>10.117929805520923</v>
      </c>
      <c r="R232" s="582">
        <v>1.7632701944790772</v>
      </c>
      <c r="S232" s="582">
        <v>2.9726701944790772</v>
      </c>
      <c r="T232" s="582">
        <v>3.3741701944790767</v>
      </c>
      <c r="U232" s="582">
        <v>3.1769701944790771</v>
      </c>
      <c r="BY232" s="670"/>
      <c r="BZ232" s="670"/>
      <c r="CA232" s="670"/>
      <c r="CB232" s="670"/>
      <c r="CC232" s="670"/>
      <c r="CD232" s="670"/>
    </row>
    <row r="233" spans="10:82">
      <c r="J233" s="580">
        <v>41608</v>
      </c>
      <c r="K233" s="581">
        <v>3.472222222222222E-3</v>
      </c>
      <c r="L233" s="582">
        <v>12.022500000000001</v>
      </c>
      <c r="M233" s="582">
        <v>12.422499999999999</v>
      </c>
      <c r="N233" s="582">
        <v>13.2723</v>
      </c>
      <c r="O233" s="582">
        <v>13.0032</v>
      </c>
      <c r="P233" s="582">
        <v>99.001199999999997</v>
      </c>
      <c r="Q233" s="582">
        <v>10.122817328786457</v>
      </c>
      <c r="R233" s="582">
        <v>1.7146826712135437</v>
      </c>
      <c r="S233" s="582">
        <v>2.9496826712135427</v>
      </c>
      <c r="T233" s="582">
        <v>3.3394826712135428</v>
      </c>
      <c r="U233" s="582">
        <v>3.1503826712135421</v>
      </c>
      <c r="BY233" s="670"/>
      <c r="BZ233" s="670"/>
      <c r="CA233" s="670"/>
      <c r="CB233" s="670"/>
      <c r="CC233" s="670"/>
      <c r="CD233" s="670"/>
    </row>
    <row r="234" spans="10:82">
      <c r="J234" s="580">
        <v>41609</v>
      </c>
      <c r="K234" s="581">
        <v>3.472222222222222E-3</v>
      </c>
      <c r="L234" s="582">
        <v>11.9778</v>
      </c>
      <c r="M234" s="582">
        <v>12.3949</v>
      </c>
      <c r="N234" s="582">
        <v>13.243</v>
      </c>
      <c r="O234" s="582">
        <v>12.975300000000001</v>
      </c>
      <c r="P234" s="582">
        <v>98.983199999999997</v>
      </c>
      <c r="Q234" s="582">
        <v>10.12097683885383</v>
      </c>
      <c r="R234" s="582">
        <v>1.6718231611461705</v>
      </c>
      <c r="S234" s="582">
        <v>2.9239231611461705</v>
      </c>
      <c r="T234" s="582">
        <v>3.312023161146171</v>
      </c>
      <c r="U234" s="582">
        <v>3.1243231611461706</v>
      </c>
      <c r="BY234" s="670"/>
      <c r="BZ234" s="670"/>
      <c r="CA234" s="670"/>
      <c r="CB234" s="670"/>
      <c r="CC234" s="670"/>
      <c r="CD234" s="670"/>
    </row>
    <row r="235" spans="10:82">
      <c r="J235" s="580">
        <v>41610</v>
      </c>
      <c r="K235" s="581">
        <v>3.472222222222222E-3</v>
      </c>
      <c r="L235" s="582">
        <v>11.9451</v>
      </c>
      <c r="M235" s="582">
        <v>12.372999999999999</v>
      </c>
      <c r="N235" s="582">
        <v>13.2073</v>
      </c>
      <c r="O235" s="582">
        <v>12.9497</v>
      </c>
      <c r="P235" s="582">
        <v>98.990099999999998</v>
      </c>
      <c r="Q235" s="582">
        <v>10.12168235999467</v>
      </c>
      <c r="R235" s="582">
        <v>1.6384176400053296</v>
      </c>
      <c r="S235" s="582">
        <v>2.9013176400053293</v>
      </c>
      <c r="T235" s="582">
        <v>3.2756176400053301</v>
      </c>
      <c r="U235" s="582">
        <v>3.0980176400053292</v>
      </c>
      <c r="BY235" s="670"/>
      <c r="BZ235" s="670"/>
      <c r="CA235" s="670"/>
      <c r="CB235" s="670"/>
      <c r="CC235" s="670"/>
      <c r="CD235" s="670"/>
    </row>
    <row r="236" spans="10:82">
      <c r="J236" s="580">
        <v>41611</v>
      </c>
      <c r="K236" s="581">
        <v>3.472222222222222E-3</v>
      </c>
      <c r="L236" s="582">
        <v>11.9453</v>
      </c>
      <c r="M236" s="582">
        <v>12.3764</v>
      </c>
      <c r="N236" s="582">
        <v>13.202</v>
      </c>
      <c r="O236" s="582">
        <v>12.947900000000001</v>
      </c>
      <c r="P236" s="582">
        <v>99.077799999999996</v>
      </c>
      <c r="Q236" s="582">
        <v>10.1306496359442</v>
      </c>
      <c r="R236" s="582">
        <v>1.6296503640557991</v>
      </c>
      <c r="S236" s="582">
        <v>2.8957503640558002</v>
      </c>
      <c r="T236" s="582">
        <v>3.2613503640557999</v>
      </c>
      <c r="U236" s="582">
        <v>3.0872503640557998</v>
      </c>
      <c r="BY236" s="670"/>
      <c r="BZ236" s="670"/>
      <c r="CA236" s="670"/>
      <c r="CB236" s="670"/>
      <c r="CC236" s="670"/>
      <c r="CD236" s="670"/>
    </row>
    <row r="237" spans="10:82">
      <c r="J237" s="580">
        <v>41612</v>
      </c>
      <c r="K237" s="581">
        <v>3.472222222222222E-3</v>
      </c>
      <c r="L237" s="582">
        <v>11.888199999999999</v>
      </c>
      <c r="M237" s="582">
        <v>12.331300000000001</v>
      </c>
      <c r="N237" s="582">
        <v>13.1496</v>
      </c>
      <c r="O237" s="582">
        <v>12.902100000000001</v>
      </c>
      <c r="P237" s="582">
        <v>98.834500000000006</v>
      </c>
      <c r="Q237" s="582">
        <v>10.105772347021503</v>
      </c>
      <c r="R237" s="582">
        <v>1.5974276529784963</v>
      </c>
      <c r="S237" s="582">
        <v>2.8755276529784979</v>
      </c>
      <c r="T237" s="582">
        <v>3.2338276529784968</v>
      </c>
      <c r="U237" s="582">
        <v>3.0663276529784973</v>
      </c>
      <c r="BY237" s="670"/>
      <c r="BZ237" s="670"/>
      <c r="CA237" s="670"/>
      <c r="CB237" s="670"/>
      <c r="CC237" s="670"/>
      <c r="CD237" s="670"/>
    </row>
    <row r="238" spans="10:82">
      <c r="J238" s="580">
        <v>41613</v>
      </c>
      <c r="K238" s="581">
        <v>3.472222222222222E-3</v>
      </c>
      <c r="L238" s="582">
        <v>11.850099999999999</v>
      </c>
      <c r="M238" s="582">
        <v>12.2965</v>
      </c>
      <c r="N238" s="582">
        <v>13.1105</v>
      </c>
      <c r="O238" s="582">
        <v>12.869199999999999</v>
      </c>
      <c r="P238" s="582">
        <v>98.763099999999994</v>
      </c>
      <c r="Q238" s="582">
        <v>10.098471736955409</v>
      </c>
      <c r="R238" s="582">
        <v>1.5666282630445907</v>
      </c>
      <c r="S238" s="582">
        <v>2.8480282630445917</v>
      </c>
      <c r="T238" s="582">
        <v>3.2020282630445918</v>
      </c>
      <c r="U238" s="582">
        <v>3.0407282630445902</v>
      </c>
      <c r="BY238" s="670"/>
      <c r="BZ238" s="670"/>
      <c r="CA238" s="670"/>
      <c r="CB238" s="670"/>
      <c r="CC238" s="670"/>
      <c r="CD238" s="670"/>
    </row>
    <row r="239" spans="10:82">
      <c r="J239" s="580">
        <v>41614</v>
      </c>
      <c r="K239" s="581">
        <v>3.472222222222222E-3</v>
      </c>
      <c r="L239" s="582">
        <v>11.800800000000001</v>
      </c>
      <c r="M239" s="582">
        <v>12.2486</v>
      </c>
      <c r="N239" s="582">
        <v>13.057</v>
      </c>
      <c r="O239" s="582">
        <v>12.821099999999999</v>
      </c>
      <c r="P239" s="582">
        <v>98.590500000000006</v>
      </c>
      <c r="Q239" s="582">
        <v>10.080823483490315</v>
      </c>
      <c r="R239" s="582">
        <v>1.5349765165096856</v>
      </c>
      <c r="S239" s="582">
        <v>2.8177765165096851</v>
      </c>
      <c r="T239" s="582">
        <v>3.1661765165096858</v>
      </c>
      <c r="U239" s="582">
        <v>3.0102765165096841</v>
      </c>
      <c r="BY239" s="670"/>
      <c r="BZ239" s="670"/>
      <c r="CA239" s="670"/>
      <c r="CB239" s="670"/>
      <c r="CC239" s="670"/>
      <c r="CD239" s="670"/>
    </row>
    <row r="240" spans="10:82">
      <c r="J240" s="580">
        <v>41615</v>
      </c>
      <c r="K240" s="581">
        <v>3.472222222222222E-3</v>
      </c>
      <c r="L240" s="582">
        <v>11.766500000000001</v>
      </c>
      <c r="M240" s="582">
        <v>12.2075</v>
      </c>
      <c r="N240" s="582">
        <v>13.013500000000001</v>
      </c>
      <c r="O240" s="582">
        <v>12.7803</v>
      </c>
      <c r="P240" s="582">
        <v>98.555800000000005</v>
      </c>
      <c r="Q240" s="582">
        <v>10.07727542789797</v>
      </c>
      <c r="R240" s="582">
        <v>1.5042245721020309</v>
      </c>
      <c r="S240" s="582">
        <v>2.7802245721020302</v>
      </c>
      <c r="T240" s="582">
        <v>3.1262245721020312</v>
      </c>
      <c r="U240" s="582">
        <v>2.9730245721020303</v>
      </c>
      <c r="BY240" s="670"/>
      <c r="BZ240" s="670"/>
      <c r="CA240" s="670"/>
      <c r="CB240" s="670"/>
      <c r="CC240" s="670"/>
      <c r="CD240" s="670"/>
    </row>
    <row r="241" spans="10:82">
      <c r="J241" s="580">
        <v>41616</v>
      </c>
      <c r="K241" s="581">
        <v>3.472222222222222E-3</v>
      </c>
      <c r="L241" s="582">
        <v>11.745100000000001</v>
      </c>
      <c r="M241" s="582">
        <v>12.1785</v>
      </c>
      <c r="N241" s="582">
        <v>12.989100000000001</v>
      </c>
      <c r="O241" s="582">
        <v>12.7507</v>
      </c>
      <c r="P241" s="582">
        <v>98.610500000000002</v>
      </c>
      <c r="Q241" s="582">
        <v>10.082868472304346</v>
      </c>
      <c r="R241" s="582">
        <v>1.4772315276956545</v>
      </c>
      <c r="S241" s="582">
        <v>2.7456315276956538</v>
      </c>
      <c r="T241" s="582">
        <v>3.0962315276956547</v>
      </c>
      <c r="U241" s="582">
        <v>2.9378315276956535</v>
      </c>
      <c r="BY241" s="670"/>
      <c r="BZ241" s="670"/>
      <c r="CA241" s="670"/>
      <c r="CB241" s="670"/>
      <c r="CC241" s="670"/>
      <c r="CD241" s="670"/>
    </row>
    <row r="242" spans="10:82">
      <c r="J242" s="580">
        <v>41617</v>
      </c>
      <c r="K242" s="581">
        <v>3.472222222222222E-3</v>
      </c>
      <c r="L242" s="582">
        <v>11.721500000000001</v>
      </c>
      <c r="M242" s="582">
        <v>12.1492</v>
      </c>
      <c r="N242" s="582">
        <v>12.9686</v>
      </c>
      <c r="O242" s="582">
        <v>12.7203</v>
      </c>
      <c r="P242" s="582">
        <v>98.671700000000001</v>
      </c>
      <c r="Q242" s="582">
        <v>10.089126138075283</v>
      </c>
      <c r="R242" s="582">
        <v>1.4473738619247176</v>
      </c>
      <c r="S242" s="582">
        <v>2.7100738619247178</v>
      </c>
      <c r="T242" s="582">
        <v>3.0694738619247177</v>
      </c>
      <c r="U242" s="582">
        <v>2.9011738619247165</v>
      </c>
      <c r="BY242" s="670"/>
      <c r="BZ242" s="670"/>
      <c r="CA242" s="670"/>
      <c r="CB242" s="670"/>
      <c r="CC242" s="670"/>
      <c r="CD242" s="670"/>
    </row>
    <row r="243" spans="10:82">
      <c r="J243" s="580">
        <v>41618</v>
      </c>
      <c r="K243" s="581">
        <v>3.472222222222222E-3</v>
      </c>
      <c r="L243" s="582">
        <v>11.683299999999999</v>
      </c>
      <c r="M243" s="582">
        <v>12.101000000000001</v>
      </c>
      <c r="N243" s="582">
        <v>12.917899999999999</v>
      </c>
      <c r="O243" s="582">
        <v>12.673500000000001</v>
      </c>
      <c r="P243" s="582">
        <v>98.553100000000001</v>
      </c>
      <c r="Q243" s="582">
        <v>10.076999354408075</v>
      </c>
      <c r="R243" s="582">
        <v>1.4213006455919239</v>
      </c>
      <c r="S243" s="582">
        <v>2.6745006455919249</v>
      </c>
      <c r="T243" s="582">
        <v>3.0309006455919247</v>
      </c>
      <c r="U243" s="582">
        <v>2.8665006455919251</v>
      </c>
      <c r="BY243" s="670"/>
      <c r="BZ243" s="670"/>
      <c r="CA243" s="670"/>
      <c r="CB243" s="670"/>
      <c r="CC243" s="670"/>
      <c r="CD243" s="670"/>
    </row>
    <row r="244" spans="10:82">
      <c r="J244" s="580">
        <v>41619</v>
      </c>
      <c r="K244" s="581">
        <v>3.472222222222222E-3</v>
      </c>
      <c r="L244" s="582">
        <v>11.666600000000001</v>
      </c>
      <c r="M244" s="582">
        <v>12.072699999999999</v>
      </c>
      <c r="N244" s="582">
        <v>12.8932</v>
      </c>
      <c r="O244" s="582">
        <v>12.6471</v>
      </c>
      <c r="P244" s="582">
        <v>98.659499999999994</v>
      </c>
      <c r="Q244" s="582">
        <v>10.087878694898723</v>
      </c>
      <c r="R244" s="582">
        <v>1.3937213051012773</v>
      </c>
      <c r="S244" s="582">
        <v>2.6348213051012763</v>
      </c>
      <c r="T244" s="582">
        <v>2.9953213051012773</v>
      </c>
      <c r="U244" s="582">
        <v>2.8292213051012762</v>
      </c>
      <c r="BY244" s="670"/>
      <c r="BZ244" s="670"/>
      <c r="CA244" s="670"/>
      <c r="CB244" s="670"/>
      <c r="CC244" s="670"/>
      <c r="CD244" s="670"/>
    </row>
    <row r="245" spans="10:82">
      <c r="J245" s="580">
        <v>41620</v>
      </c>
      <c r="K245" s="581">
        <v>3.472222222222222E-3</v>
      </c>
      <c r="L245" s="582">
        <v>11.6234</v>
      </c>
      <c r="M245" s="582">
        <v>12.009</v>
      </c>
      <c r="N245" s="582">
        <v>12.831</v>
      </c>
      <c r="O245" s="582">
        <v>12.5891</v>
      </c>
      <c r="P245" s="582">
        <v>98.458100000000002</v>
      </c>
      <c r="Q245" s="582">
        <v>10.067285657541424</v>
      </c>
      <c r="R245" s="582">
        <v>1.3711143424585761</v>
      </c>
      <c r="S245" s="582">
        <v>2.5917143424585767</v>
      </c>
      <c r="T245" s="582">
        <v>2.9537143424585759</v>
      </c>
      <c r="U245" s="582">
        <v>2.7918143424585757</v>
      </c>
      <c r="BY245" s="670"/>
      <c r="BZ245" s="670"/>
      <c r="CA245" s="670"/>
      <c r="CB245" s="670"/>
      <c r="CC245" s="670"/>
      <c r="CD245" s="670"/>
    </row>
    <row r="246" spans="10:82">
      <c r="J246" s="580">
        <v>41621</v>
      </c>
      <c r="K246" s="581">
        <v>3.472222222222222E-3</v>
      </c>
      <c r="L246" s="582">
        <v>11.6082</v>
      </c>
      <c r="M246" s="582">
        <v>11.9962</v>
      </c>
      <c r="N246" s="582">
        <v>12.813599999999999</v>
      </c>
      <c r="O246" s="582">
        <v>12.5746</v>
      </c>
      <c r="P246" s="582">
        <v>98.355199999999996</v>
      </c>
      <c r="Q246" s="582">
        <v>10.056764190093229</v>
      </c>
      <c r="R246" s="582">
        <v>1.3664358099067706</v>
      </c>
      <c r="S246" s="582">
        <v>2.5894358099067709</v>
      </c>
      <c r="T246" s="582">
        <v>2.9468358099067702</v>
      </c>
      <c r="U246" s="582">
        <v>2.7878358099067704</v>
      </c>
      <c r="BY246" s="670"/>
      <c r="BZ246" s="670"/>
      <c r="CA246" s="670"/>
      <c r="CB246" s="670"/>
      <c r="CC246" s="670"/>
      <c r="CD246" s="670"/>
    </row>
    <row r="247" spans="10:82">
      <c r="J247" s="580">
        <v>41622</v>
      </c>
      <c r="K247" s="581">
        <v>3.472222222222222E-3</v>
      </c>
      <c r="L247" s="582">
        <v>11.662100000000001</v>
      </c>
      <c r="M247" s="582">
        <v>12.075799999999999</v>
      </c>
      <c r="N247" s="582">
        <v>12.8721</v>
      </c>
      <c r="O247" s="582">
        <v>12.6455</v>
      </c>
      <c r="P247" s="582">
        <v>98.813400000000001</v>
      </c>
      <c r="Q247" s="582">
        <v>10.103614883822699</v>
      </c>
      <c r="R247" s="582">
        <v>1.3734851161773016</v>
      </c>
      <c r="S247" s="582">
        <v>2.6221851161773007</v>
      </c>
      <c r="T247" s="582">
        <v>2.9584851161773011</v>
      </c>
      <c r="U247" s="582">
        <v>2.8118851161773009</v>
      </c>
      <c r="BY247" s="670"/>
      <c r="BZ247" s="670"/>
      <c r="CA247" s="670"/>
      <c r="CB247" s="670"/>
      <c r="CC247" s="670"/>
      <c r="CD247" s="670"/>
    </row>
    <row r="248" spans="10:82">
      <c r="J248" s="580">
        <v>41623</v>
      </c>
      <c r="K248" s="581">
        <v>3.472222222222222E-3</v>
      </c>
      <c r="L248" s="582">
        <v>11.6408</v>
      </c>
      <c r="M248" s="582">
        <v>12.057</v>
      </c>
      <c r="N248" s="582">
        <v>12.860300000000001</v>
      </c>
      <c r="O248" s="582">
        <v>12.6297</v>
      </c>
      <c r="P248" s="582">
        <v>98.876599999999996</v>
      </c>
      <c r="Q248" s="582">
        <v>10.11007704847504</v>
      </c>
      <c r="R248" s="582">
        <v>1.3457229515249609</v>
      </c>
      <c r="S248" s="582">
        <v>2.5969229515249612</v>
      </c>
      <c r="T248" s="582">
        <v>2.9402229515249614</v>
      </c>
      <c r="U248" s="582">
        <v>2.7896229515249598</v>
      </c>
      <c r="BY248" s="670"/>
      <c r="BZ248" s="670"/>
      <c r="CA248" s="670"/>
      <c r="CB248" s="670"/>
      <c r="CC248" s="670"/>
      <c r="CD248" s="670"/>
    </row>
    <row r="249" spans="10:82">
      <c r="J249" s="580">
        <v>41624</v>
      </c>
      <c r="K249" s="581">
        <v>3.472222222222222E-3</v>
      </c>
      <c r="L249" s="582">
        <v>11.6197</v>
      </c>
      <c r="M249" s="582">
        <v>12.043100000000001</v>
      </c>
      <c r="N249" s="582">
        <v>12.8369</v>
      </c>
      <c r="O249" s="582">
        <v>12.6129</v>
      </c>
      <c r="P249" s="582">
        <v>98.951999999999998</v>
      </c>
      <c r="Q249" s="582">
        <v>10.11778665630394</v>
      </c>
      <c r="R249" s="582">
        <v>1.3169133436960601</v>
      </c>
      <c r="S249" s="582">
        <v>2.5753133436960614</v>
      </c>
      <c r="T249" s="582">
        <v>2.9091133436960606</v>
      </c>
      <c r="U249" s="582">
        <v>2.7651133436960595</v>
      </c>
      <c r="BY249" s="670"/>
      <c r="BZ249" s="670"/>
      <c r="CA249" s="670"/>
      <c r="CB249" s="670"/>
      <c r="CC249" s="670"/>
      <c r="CD249" s="670"/>
    </row>
    <row r="250" spans="10:82">
      <c r="J250" s="580">
        <v>41625</v>
      </c>
      <c r="K250" s="581">
        <v>3.472222222222222E-3</v>
      </c>
      <c r="L250" s="582">
        <v>11.5915</v>
      </c>
      <c r="M250" s="582">
        <v>12.021800000000001</v>
      </c>
      <c r="N250" s="582">
        <v>12.8094</v>
      </c>
      <c r="O250" s="582">
        <v>12.582800000000001</v>
      </c>
      <c r="P250" s="582">
        <v>98.957800000000006</v>
      </c>
      <c r="Q250" s="582">
        <v>10.118379703060009</v>
      </c>
      <c r="R250" s="582">
        <v>1.2881202969399905</v>
      </c>
      <c r="S250" s="582">
        <v>2.5534202969399917</v>
      </c>
      <c r="T250" s="582">
        <v>2.8810202969399912</v>
      </c>
      <c r="U250" s="582">
        <v>2.7344202969399909</v>
      </c>
      <c r="BY250" s="670"/>
      <c r="BZ250" s="670"/>
      <c r="CA250" s="670"/>
      <c r="CB250" s="670"/>
      <c r="CC250" s="670"/>
      <c r="CD250" s="670"/>
    </row>
    <row r="251" spans="10:82">
      <c r="J251" s="580">
        <v>41626</v>
      </c>
      <c r="K251" s="581">
        <v>3.472222222222222E-3</v>
      </c>
      <c r="L251" s="582">
        <v>11.551299999999999</v>
      </c>
      <c r="M251" s="582">
        <v>11.983599999999999</v>
      </c>
      <c r="N251" s="582">
        <v>12.7606</v>
      </c>
      <c r="O251" s="582">
        <v>12.5336</v>
      </c>
      <c r="P251" s="582">
        <v>98.839799999999997</v>
      </c>
      <c r="Q251" s="582">
        <v>10.10631426905722</v>
      </c>
      <c r="R251" s="582">
        <v>1.2599857309427791</v>
      </c>
      <c r="S251" s="582">
        <v>2.5272857309427792</v>
      </c>
      <c r="T251" s="582">
        <v>2.8442857309427803</v>
      </c>
      <c r="U251" s="582">
        <v>2.6972857309427796</v>
      </c>
      <c r="BY251" s="670"/>
      <c r="BZ251" s="670"/>
      <c r="CA251" s="670"/>
      <c r="CB251" s="670"/>
      <c r="CC251" s="670"/>
      <c r="CD251" s="670"/>
    </row>
    <row r="252" spans="10:82">
      <c r="J252" s="580">
        <v>41627</v>
      </c>
      <c r="K252" s="581">
        <v>3.472222222222222E-3</v>
      </c>
      <c r="L252" s="582">
        <v>11.5214</v>
      </c>
      <c r="M252" s="582">
        <v>11.9497</v>
      </c>
      <c r="N252" s="582">
        <v>12.7209</v>
      </c>
      <c r="O252" s="582">
        <v>12.4955</v>
      </c>
      <c r="P252" s="582">
        <v>98.833399999999997</v>
      </c>
      <c r="Q252" s="582">
        <v>10.10565987263673</v>
      </c>
      <c r="R252" s="582">
        <v>1.2307401273632697</v>
      </c>
      <c r="S252" s="582">
        <v>2.4940401273632702</v>
      </c>
      <c r="T252" s="582">
        <v>2.8052401273632706</v>
      </c>
      <c r="U252" s="582">
        <v>2.6598401273632697</v>
      </c>
      <c r="BY252" s="670"/>
      <c r="BZ252" s="670"/>
      <c r="CA252" s="670"/>
      <c r="CB252" s="670"/>
      <c r="CC252" s="670"/>
      <c r="CD252" s="670"/>
    </row>
    <row r="253" spans="10:82">
      <c r="J253" s="580">
        <v>41628</v>
      </c>
      <c r="K253" s="581">
        <v>3.472222222222222E-3</v>
      </c>
      <c r="L253" s="582">
        <v>11.4999</v>
      </c>
      <c r="M253" s="582">
        <v>11.9161</v>
      </c>
      <c r="N253" s="582">
        <v>12.6851</v>
      </c>
      <c r="O253" s="582">
        <v>12.444000000000001</v>
      </c>
      <c r="P253" s="582">
        <v>98.866399999999999</v>
      </c>
      <c r="Q253" s="582">
        <v>10.109034104179884</v>
      </c>
      <c r="R253" s="582">
        <v>1.2058658958201165</v>
      </c>
      <c r="S253" s="582">
        <v>2.4570658958201168</v>
      </c>
      <c r="T253" s="582">
        <v>2.766065895820117</v>
      </c>
      <c r="U253" s="582">
        <v>2.6049658958201172</v>
      </c>
    </row>
    <row r="254" spans="10:82">
      <c r="J254" s="580">
        <v>41629</v>
      </c>
      <c r="K254" s="581">
        <v>3.472222222222222E-3</v>
      </c>
      <c r="L254" s="582">
        <v>11.4922</v>
      </c>
      <c r="M254" s="582">
        <v>11.901999999999999</v>
      </c>
      <c r="N254" s="582">
        <v>12.657500000000001</v>
      </c>
      <c r="O254" s="582">
        <v>12.3752</v>
      </c>
      <c r="P254" s="582">
        <v>99.028999999999996</v>
      </c>
      <c r="Q254" s="582">
        <v>10.125659863237962</v>
      </c>
      <c r="R254" s="582">
        <v>1.1815401367620386</v>
      </c>
      <c r="S254" s="582">
        <v>2.4263401367620379</v>
      </c>
      <c r="T254" s="582">
        <v>2.7218401367620393</v>
      </c>
      <c r="U254" s="582">
        <v>2.5195401367620378</v>
      </c>
    </row>
    <row r="255" spans="10:82">
      <c r="J255" s="580">
        <v>41630</v>
      </c>
      <c r="K255" s="581">
        <v>3.472222222222222E-3</v>
      </c>
      <c r="L255" s="582">
        <v>11.474500000000001</v>
      </c>
      <c r="M255" s="582">
        <v>11.877800000000001</v>
      </c>
      <c r="N255" s="582">
        <v>12.6221</v>
      </c>
      <c r="O255" s="582">
        <v>12.298500000000001</v>
      </c>
      <c r="P255" s="582">
        <v>99.112399999999994</v>
      </c>
      <c r="Q255" s="582">
        <v>10.134187466592474</v>
      </c>
      <c r="R255" s="582">
        <v>1.1553125334075269</v>
      </c>
      <c r="S255" s="582">
        <v>2.3936125334075271</v>
      </c>
      <c r="T255" s="582">
        <v>2.6779125334075262</v>
      </c>
      <c r="U255" s="582">
        <v>2.4343125334075268</v>
      </c>
    </row>
    <row r="256" spans="10:82">
      <c r="J256" s="580">
        <v>41631</v>
      </c>
      <c r="K256" s="581">
        <v>3.472222222222222E-3</v>
      </c>
      <c r="L256" s="582">
        <v>11.453799999999999</v>
      </c>
      <c r="M256" s="582">
        <v>11.84</v>
      </c>
      <c r="N256" s="582">
        <v>12.5931</v>
      </c>
      <c r="O256" s="582">
        <v>12.2356</v>
      </c>
      <c r="P256" s="582">
        <v>99.159400000000005</v>
      </c>
      <c r="Q256" s="582">
        <v>10.138993190305451</v>
      </c>
      <c r="R256" s="582">
        <v>1.1298068096945486</v>
      </c>
      <c r="S256" s="582">
        <v>2.3510068096945496</v>
      </c>
      <c r="T256" s="582">
        <v>2.6441068096945495</v>
      </c>
      <c r="U256" s="582">
        <v>2.3666068096945492</v>
      </c>
    </row>
    <row r="257" spans="10:99">
      <c r="J257" s="580">
        <v>41632</v>
      </c>
      <c r="K257" s="581">
        <v>3.472222222222222E-3</v>
      </c>
      <c r="L257" s="582">
        <v>11.4297</v>
      </c>
      <c r="M257" s="582">
        <v>11.803599999999999</v>
      </c>
      <c r="N257" s="582">
        <v>12.5649</v>
      </c>
      <c r="O257" s="582">
        <v>12.1845</v>
      </c>
      <c r="P257" s="582">
        <v>99.191599999999994</v>
      </c>
      <c r="Q257" s="582">
        <v>10.142285622296042</v>
      </c>
      <c r="R257" s="582">
        <v>1.1024143777039588</v>
      </c>
      <c r="S257" s="582">
        <v>2.3113143777039582</v>
      </c>
      <c r="T257" s="582">
        <v>2.6126143777039585</v>
      </c>
      <c r="U257" s="582">
        <v>2.3122143777039583</v>
      </c>
    </row>
    <row r="258" spans="10:99">
      <c r="J258" s="580">
        <v>41633</v>
      </c>
      <c r="K258" s="581">
        <v>3.472222222222222E-3</v>
      </c>
      <c r="L258" s="582">
        <v>11.412800000000001</v>
      </c>
      <c r="M258" s="582">
        <v>11.776</v>
      </c>
      <c r="N258" s="582">
        <v>12.537599999999999</v>
      </c>
      <c r="O258" s="582">
        <v>12.146800000000001</v>
      </c>
      <c r="P258" s="582">
        <v>99.260800000000003</v>
      </c>
      <c r="Q258" s="582">
        <v>10.149361283592592</v>
      </c>
      <c r="R258" s="582">
        <v>1.0784387164074087</v>
      </c>
      <c r="S258" s="582">
        <v>2.2766387164074082</v>
      </c>
      <c r="T258" s="582">
        <v>2.5782387164074079</v>
      </c>
      <c r="U258" s="582">
        <v>2.2674387164074088</v>
      </c>
    </row>
    <row r="259" spans="10:99">
      <c r="J259" s="580">
        <v>41634</v>
      </c>
      <c r="K259" s="581">
        <v>3.472222222222222E-3</v>
      </c>
      <c r="L259" s="582">
        <v>11.3902</v>
      </c>
      <c r="M259" s="582">
        <v>11.7453</v>
      </c>
      <c r="N259" s="582">
        <v>12.5091</v>
      </c>
      <c r="O259" s="582">
        <v>12.1196</v>
      </c>
      <c r="P259" s="582">
        <v>99.302899999999994</v>
      </c>
      <c r="Q259" s="582">
        <v>10.153665985046128</v>
      </c>
      <c r="R259" s="582">
        <v>1.0515340149538717</v>
      </c>
      <c r="S259" s="582">
        <v>2.2416340149538723</v>
      </c>
      <c r="T259" s="582">
        <v>2.5454340149538721</v>
      </c>
      <c r="U259" s="582">
        <v>2.2359340149538718</v>
      </c>
      <c r="CU259" s="331" t="s">
        <v>266</v>
      </c>
    </row>
    <row r="260" spans="10:99">
      <c r="J260" s="580">
        <v>41635</v>
      </c>
      <c r="K260" s="581">
        <v>3.472222222222222E-3</v>
      </c>
      <c r="L260" s="582">
        <v>11.3452</v>
      </c>
      <c r="M260" s="582">
        <v>11.695</v>
      </c>
      <c r="N260" s="582">
        <v>12.457100000000001</v>
      </c>
      <c r="O260" s="582">
        <v>12.0846</v>
      </c>
      <c r="P260" s="582">
        <v>99.160499999999999</v>
      </c>
      <c r="Q260" s="582">
        <v>10.139105664690222</v>
      </c>
      <c r="R260" s="582">
        <v>1.0210943353097783</v>
      </c>
      <c r="S260" s="582">
        <v>2.2058943353097789</v>
      </c>
      <c r="T260" s="582">
        <v>2.5079943353097791</v>
      </c>
      <c r="U260" s="582">
        <v>2.2154943353097782</v>
      </c>
    </row>
    <row r="261" spans="10:99">
      <c r="J261" s="580">
        <v>41636</v>
      </c>
      <c r="K261" s="581">
        <v>3.472222222222222E-3</v>
      </c>
      <c r="L261" s="582">
        <v>11.3125</v>
      </c>
      <c r="M261" s="582">
        <v>11.6548</v>
      </c>
      <c r="N261" s="582">
        <v>12.414199999999999</v>
      </c>
      <c r="O261" s="582">
        <v>12.0626</v>
      </c>
      <c r="P261" s="582">
        <v>99.120800000000003</v>
      </c>
      <c r="Q261" s="582">
        <v>10.13504636189437</v>
      </c>
      <c r="R261" s="582">
        <v>0.99245363810563048</v>
      </c>
      <c r="S261" s="582">
        <v>2.1697536381056306</v>
      </c>
      <c r="T261" s="582">
        <v>2.46915363810563</v>
      </c>
      <c r="U261" s="582">
        <v>2.1975536381056302</v>
      </c>
    </row>
    <row r="262" spans="10:99">
      <c r="J262" s="580">
        <v>41637</v>
      </c>
      <c r="K262" s="581">
        <v>3.472222222222222E-3</v>
      </c>
      <c r="L262" s="582">
        <v>11.2819</v>
      </c>
      <c r="M262" s="582">
        <v>11.608599999999999</v>
      </c>
      <c r="N262" s="582">
        <v>12.3711</v>
      </c>
      <c r="O262" s="582">
        <v>12.0398</v>
      </c>
      <c r="P262" s="582">
        <v>99.075199999999995</v>
      </c>
      <c r="Q262" s="582">
        <v>10.130383787398376</v>
      </c>
      <c r="R262" s="582">
        <v>0.96651621260162435</v>
      </c>
      <c r="S262" s="582">
        <v>2.1282162126016235</v>
      </c>
      <c r="T262" s="582">
        <v>2.4307162126016246</v>
      </c>
      <c r="U262" s="582">
        <v>2.1794162126016237</v>
      </c>
    </row>
    <row r="263" spans="10:99">
      <c r="J263" s="580">
        <v>41638</v>
      </c>
      <c r="K263" s="581">
        <v>3.472222222222222E-3</v>
      </c>
      <c r="L263" s="582">
        <v>11.2639</v>
      </c>
      <c r="M263" s="582">
        <v>11.5708</v>
      </c>
      <c r="N263" s="582">
        <v>12.3354</v>
      </c>
      <c r="O263" s="582">
        <v>12.007</v>
      </c>
      <c r="P263" s="582">
        <v>99.085599999999999</v>
      </c>
      <c r="Q263" s="582">
        <v>10.131447181581672</v>
      </c>
      <c r="R263" s="582">
        <v>0.94745281841832762</v>
      </c>
      <c r="S263" s="582">
        <v>2.0893528184183285</v>
      </c>
      <c r="T263" s="582">
        <v>2.3939528184183283</v>
      </c>
      <c r="U263" s="582">
        <v>2.1455528184183277</v>
      </c>
    </row>
    <row r="264" spans="10:99">
      <c r="J264" s="580">
        <v>41639</v>
      </c>
      <c r="K264" s="581">
        <v>3.472222222222222E-3</v>
      </c>
      <c r="L264" s="582">
        <v>11.248799999999999</v>
      </c>
      <c r="M264" s="582">
        <v>11.5349</v>
      </c>
      <c r="N264" s="582">
        <v>12.295999999999999</v>
      </c>
      <c r="O264" s="582">
        <v>11.972799999999999</v>
      </c>
      <c r="P264" s="582">
        <v>99.137600000000006</v>
      </c>
      <c r="Q264" s="582">
        <v>10.136764152498156</v>
      </c>
      <c r="R264" s="582">
        <v>0.92703584750184354</v>
      </c>
      <c r="S264" s="582">
        <v>2.048135847501845</v>
      </c>
      <c r="T264" s="582">
        <v>2.349235847501844</v>
      </c>
      <c r="U264" s="582">
        <v>2.1060358475018437</v>
      </c>
    </row>
    <row r="265" spans="10:99">
      <c r="J265" s="580">
        <v>41640</v>
      </c>
      <c r="K265" s="581">
        <v>3.472222222222222E-3</v>
      </c>
      <c r="L265" s="582">
        <v>11.222</v>
      </c>
      <c r="M265" s="582">
        <v>11.4847</v>
      </c>
      <c r="N265" s="582">
        <v>12.2424</v>
      </c>
      <c r="O265" s="582">
        <v>11.929</v>
      </c>
      <c r="P265" s="582">
        <v>99.072100000000006</v>
      </c>
      <c r="Q265" s="582">
        <v>10.130066814132201</v>
      </c>
      <c r="R265" s="582">
        <v>0.90693318586779859</v>
      </c>
      <c r="S265" s="582">
        <v>2.0046331858677995</v>
      </c>
      <c r="T265" s="582">
        <v>2.3023331858677993</v>
      </c>
      <c r="U265" s="582">
        <v>2.0689331858677993</v>
      </c>
    </row>
    <row r="266" spans="10:99">
      <c r="J266" s="580">
        <v>41641</v>
      </c>
      <c r="K266" s="581">
        <v>3.472222222222222E-3</v>
      </c>
      <c r="L266" s="582">
        <v>11.200699999999999</v>
      </c>
      <c r="M266" s="582">
        <v>11.460800000000001</v>
      </c>
      <c r="N266" s="582">
        <v>12.208399999999999</v>
      </c>
      <c r="O266" s="582">
        <v>11.8947</v>
      </c>
      <c r="P266" s="582">
        <v>99.065600000000003</v>
      </c>
      <c r="Q266" s="582">
        <v>10.129402192767641</v>
      </c>
      <c r="R266" s="582">
        <v>0.88629780723235874</v>
      </c>
      <c r="S266" s="582">
        <v>1.9813978072323601</v>
      </c>
      <c r="T266" s="582">
        <v>2.2689978072323589</v>
      </c>
      <c r="U266" s="582">
        <v>2.0352978072323595</v>
      </c>
    </row>
    <row r="267" spans="10:99">
      <c r="J267" s="580">
        <v>41642</v>
      </c>
      <c r="K267" s="581">
        <v>3.472222222222222E-3</v>
      </c>
      <c r="L267" s="582">
        <v>11.171799999999999</v>
      </c>
      <c r="M267" s="582">
        <v>11.438599999999999</v>
      </c>
      <c r="N267" s="582">
        <v>12.1806</v>
      </c>
      <c r="O267" s="582">
        <v>11.868</v>
      </c>
      <c r="P267" s="582">
        <v>99.079599999999999</v>
      </c>
      <c r="Q267" s="582">
        <v>10.130833684937462</v>
      </c>
      <c r="R267" s="582">
        <v>0.85596631506253706</v>
      </c>
      <c r="S267" s="582">
        <v>1.9577663150625371</v>
      </c>
      <c r="T267" s="582">
        <v>2.2397663150625382</v>
      </c>
      <c r="U267" s="582">
        <v>2.0071663150625381</v>
      </c>
    </row>
    <row r="268" spans="10:99">
      <c r="J268" s="580">
        <v>41643</v>
      </c>
      <c r="K268" s="581">
        <v>3.472222222222222E-3</v>
      </c>
      <c r="L268" s="582">
        <v>11.138</v>
      </c>
      <c r="M268" s="582">
        <v>11.411</v>
      </c>
      <c r="N268" s="582">
        <v>12.145799999999999</v>
      </c>
      <c r="O268" s="582">
        <v>11.8376</v>
      </c>
      <c r="P268" s="582">
        <v>99.022499999999994</v>
      </c>
      <c r="Q268" s="582">
        <v>10.124995241873401</v>
      </c>
      <c r="R268" s="582">
        <v>0.82800475812659846</v>
      </c>
      <c r="S268" s="582">
        <v>1.9360047581265982</v>
      </c>
      <c r="T268" s="582">
        <v>2.2108047581265984</v>
      </c>
      <c r="U268" s="582">
        <v>1.9826047581265986</v>
      </c>
    </row>
    <row r="269" spans="10:99">
      <c r="J269" s="580">
        <v>41644</v>
      </c>
      <c r="K269" s="581">
        <v>3.472222222222222E-3</v>
      </c>
      <c r="L269" s="582">
        <v>11.093</v>
      </c>
      <c r="M269" s="582">
        <v>11.3751</v>
      </c>
      <c r="N269" s="582">
        <v>12.107100000000001</v>
      </c>
      <c r="O269" s="582">
        <v>11.807</v>
      </c>
      <c r="P269" s="582">
        <v>98.908299999999997</v>
      </c>
      <c r="Q269" s="582">
        <v>10.11331835574528</v>
      </c>
      <c r="R269" s="582">
        <v>0.7946816442547201</v>
      </c>
      <c r="S269" s="582">
        <v>1.91178164425472</v>
      </c>
      <c r="T269" s="582">
        <v>2.1837816442547213</v>
      </c>
      <c r="U269" s="582">
        <v>1.9636816442547205</v>
      </c>
    </row>
    <row r="270" spans="10:99">
      <c r="J270" s="580">
        <v>41645</v>
      </c>
      <c r="K270" s="581">
        <v>3.472222222222222E-3</v>
      </c>
      <c r="L270" s="582">
        <v>11.0448</v>
      </c>
      <c r="M270" s="582">
        <v>11.3315</v>
      </c>
      <c r="N270" s="582">
        <v>12.0573</v>
      </c>
      <c r="O270" s="582">
        <v>11.7683</v>
      </c>
      <c r="P270" s="582">
        <v>98.722700000000003</v>
      </c>
      <c r="Q270" s="582">
        <v>10.094340859551066</v>
      </c>
      <c r="R270" s="582">
        <v>0.76545914044893471</v>
      </c>
      <c r="S270" s="582">
        <v>1.8871591404489345</v>
      </c>
      <c r="T270" s="582">
        <v>2.1529591404489343</v>
      </c>
      <c r="U270" s="582">
        <v>1.9439591404489343</v>
      </c>
    </row>
    <row r="271" spans="10:99">
      <c r="J271" s="580">
        <v>41646</v>
      </c>
      <c r="K271" s="581">
        <v>3.472222222222222E-3</v>
      </c>
      <c r="L271" s="582">
        <v>11.0306</v>
      </c>
      <c r="M271" s="582">
        <v>11.3223</v>
      </c>
      <c r="N271" s="582">
        <v>12.033799999999999</v>
      </c>
      <c r="O271" s="582">
        <v>11.7568</v>
      </c>
      <c r="P271" s="582">
        <v>98.802499999999995</v>
      </c>
      <c r="Q271" s="582">
        <v>10.102500364919051</v>
      </c>
      <c r="R271" s="582">
        <v>0.74309963508094912</v>
      </c>
      <c r="S271" s="582">
        <v>1.8697996350809498</v>
      </c>
      <c r="T271" s="582">
        <v>2.1212996350809492</v>
      </c>
      <c r="U271" s="582">
        <v>1.9242996350809496</v>
      </c>
    </row>
    <row r="272" spans="10:99">
      <c r="J272" s="580">
        <v>41647</v>
      </c>
      <c r="K272" s="581">
        <v>3.472222222222222E-3</v>
      </c>
      <c r="L272" s="582">
        <v>11.0298</v>
      </c>
      <c r="M272" s="582">
        <v>11.1188</v>
      </c>
      <c r="N272" s="582">
        <v>12.0267</v>
      </c>
      <c r="O272" s="582">
        <v>11.756600000000001</v>
      </c>
      <c r="P272" s="582">
        <v>98.957899999999995</v>
      </c>
      <c r="Q272" s="582">
        <v>10.118389928004079</v>
      </c>
      <c r="R272" s="582">
        <v>0.72641007199592034</v>
      </c>
      <c r="S272" s="582">
        <v>1.6504100719959209</v>
      </c>
      <c r="T272" s="582">
        <v>2.0983100719959209</v>
      </c>
      <c r="U272" s="582">
        <v>1.9082100719959212</v>
      </c>
    </row>
    <row r="273" spans="10:21">
      <c r="J273" s="580">
        <v>41648</v>
      </c>
      <c r="K273" s="581">
        <v>3.472222222222222E-3</v>
      </c>
      <c r="L273" s="582">
        <v>11.031499999999999</v>
      </c>
      <c r="M273" s="582">
        <v>11.2827</v>
      </c>
      <c r="N273" s="582">
        <v>12.017099999999999</v>
      </c>
      <c r="O273" s="582">
        <v>11.7591</v>
      </c>
      <c r="P273" s="582">
        <v>99.029700000000005</v>
      </c>
      <c r="Q273" s="582">
        <v>10.125731437846454</v>
      </c>
      <c r="R273" s="582">
        <v>0.72076856215354512</v>
      </c>
      <c r="S273" s="582">
        <v>1.8069685621535461</v>
      </c>
      <c r="T273" s="582">
        <v>2.0813685621535454</v>
      </c>
      <c r="U273" s="582">
        <v>1.9033685621535459</v>
      </c>
    </row>
    <row r="274" spans="10:21">
      <c r="J274" s="580">
        <v>41649</v>
      </c>
      <c r="K274" s="581">
        <v>3.472222222222222E-3</v>
      </c>
      <c r="L274" s="582">
        <v>11.0151</v>
      </c>
      <c r="M274" s="582">
        <v>11.2761</v>
      </c>
      <c r="N274" s="582">
        <v>11.9918</v>
      </c>
      <c r="O274" s="582">
        <v>11.7431</v>
      </c>
      <c r="P274" s="582">
        <v>99.035600000000002</v>
      </c>
      <c r="Q274" s="582">
        <v>10.126334709546594</v>
      </c>
      <c r="R274" s="582">
        <v>0.70376529045340641</v>
      </c>
      <c r="S274" s="582">
        <v>1.7997652904534058</v>
      </c>
      <c r="T274" s="582">
        <v>2.0554652904534061</v>
      </c>
      <c r="U274" s="582">
        <v>1.8867652904534062</v>
      </c>
    </row>
    <row r="275" spans="10:21">
      <c r="J275" s="580">
        <v>41650</v>
      </c>
      <c r="K275" s="581">
        <v>3.472222222222222E-3</v>
      </c>
      <c r="L275" s="582">
        <v>10.998699999999999</v>
      </c>
      <c r="M275" s="582">
        <v>11.2545</v>
      </c>
      <c r="N275" s="582">
        <v>11.9701</v>
      </c>
      <c r="O275" s="582">
        <v>11.7316</v>
      </c>
      <c r="P275" s="582">
        <v>99.087100000000007</v>
      </c>
      <c r="Q275" s="582">
        <v>10.131600555742725</v>
      </c>
      <c r="R275" s="582">
        <v>0.68209944425727409</v>
      </c>
      <c r="S275" s="582">
        <v>1.772899444257275</v>
      </c>
      <c r="T275" s="582">
        <v>2.0284994442572755</v>
      </c>
      <c r="U275" s="582">
        <v>1.8699994442572749</v>
      </c>
    </row>
    <row r="276" spans="10:21">
      <c r="J276" s="580">
        <v>41651</v>
      </c>
      <c r="K276" s="581">
        <v>3.472222222222222E-3</v>
      </c>
      <c r="L276" s="582">
        <v>10.9786</v>
      </c>
      <c r="M276" s="582">
        <v>10.650499999999999</v>
      </c>
      <c r="N276" s="582">
        <v>11.945600000000001</v>
      </c>
      <c r="O276" s="582">
        <v>11.7204</v>
      </c>
      <c r="P276" s="582">
        <v>99.128100000000003</v>
      </c>
      <c r="Q276" s="582">
        <v>10.135792782811491</v>
      </c>
      <c r="R276" s="582">
        <v>0.65780721718850943</v>
      </c>
      <c r="S276" s="582">
        <v>1.1647072171885087</v>
      </c>
      <c r="T276" s="582">
        <v>1.9998072171885102</v>
      </c>
      <c r="U276" s="582">
        <v>1.8546072171885091</v>
      </c>
    </row>
    <row r="277" spans="10:21">
      <c r="J277" s="580">
        <v>41652</v>
      </c>
      <c r="K277" s="581">
        <v>3.472222222222222E-3</v>
      </c>
      <c r="L277" s="582">
        <v>10.933299999999999</v>
      </c>
      <c r="M277" s="582">
        <v>10.604200000000001</v>
      </c>
      <c r="N277" s="582">
        <v>11.917</v>
      </c>
      <c r="O277" s="582">
        <v>11.7028</v>
      </c>
      <c r="P277" s="582">
        <v>99.121899999999997</v>
      </c>
      <c r="Q277" s="582">
        <v>10.135158836279141</v>
      </c>
      <c r="R277" s="582">
        <v>0.61314116372085836</v>
      </c>
      <c r="S277" s="582">
        <v>1.1190411637208599</v>
      </c>
      <c r="T277" s="582">
        <v>1.9718411637208593</v>
      </c>
      <c r="U277" s="582">
        <v>1.8376411637208592</v>
      </c>
    </row>
    <row r="278" spans="10:21">
      <c r="J278" s="580">
        <v>41653</v>
      </c>
      <c r="K278" s="581">
        <v>3.472222222222222E-3</v>
      </c>
      <c r="L278" s="582">
        <v>10.855600000000001</v>
      </c>
      <c r="M278" s="582">
        <v>10.575200000000001</v>
      </c>
      <c r="N278" s="582">
        <v>11.8904</v>
      </c>
      <c r="O278" s="582">
        <v>11.6835</v>
      </c>
      <c r="P278" s="582">
        <v>99.117000000000004</v>
      </c>
      <c r="Q278" s="582">
        <v>10.134657814019704</v>
      </c>
      <c r="R278" s="582">
        <v>0.53594218598029686</v>
      </c>
      <c r="S278" s="582">
        <v>1.0905421859802968</v>
      </c>
      <c r="T278" s="582">
        <v>1.9457421859802959</v>
      </c>
      <c r="U278" s="582">
        <v>1.8188421859802966</v>
      </c>
    </row>
    <row r="279" spans="10:21">
      <c r="J279" s="580">
        <v>41654</v>
      </c>
      <c r="K279" s="581">
        <v>3.472222222222222E-3</v>
      </c>
      <c r="L279" s="582">
        <v>10.7742</v>
      </c>
      <c r="M279" s="582">
        <v>10.5778</v>
      </c>
      <c r="N279" s="582">
        <v>11.8645</v>
      </c>
      <c r="O279" s="582">
        <v>11.665100000000001</v>
      </c>
      <c r="P279" s="582">
        <v>99.119100000000003</v>
      </c>
      <c r="Q279" s="582">
        <v>10.134872537845176</v>
      </c>
      <c r="R279" s="582">
        <v>0.45432746215482439</v>
      </c>
      <c r="S279" s="582">
        <v>1.0929274621548239</v>
      </c>
      <c r="T279" s="582">
        <v>1.9196274621548237</v>
      </c>
      <c r="U279" s="582">
        <v>1.8002274621548247</v>
      </c>
    </row>
    <row r="280" spans="10:21">
      <c r="J280" s="580">
        <v>41655</v>
      </c>
      <c r="K280" s="581">
        <v>3.472222222222222E-3</v>
      </c>
      <c r="L280" s="582">
        <v>10.732799999999999</v>
      </c>
      <c r="M280" s="582">
        <v>10.5886</v>
      </c>
      <c r="N280" s="582">
        <v>11.842499999999999</v>
      </c>
      <c r="O280" s="582">
        <v>11.654</v>
      </c>
      <c r="P280" s="582">
        <v>99.184700000000007</v>
      </c>
      <c r="Q280" s="582">
        <v>10.141580101155201</v>
      </c>
      <c r="R280" s="582">
        <v>0.40621989884479831</v>
      </c>
      <c r="S280" s="582">
        <v>1.0970198988447988</v>
      </c>
      <c r="T280" s="582">
        <v>1.8909198988447986</v>
      </c>
      <c r="U280" s="582">
        <v>1.782419898844799</v>
      </c>
    </row>
    <row r="281" spans="10:21">
      <c r="J281" s="580">
        <v>41656</v>
      </c>
      <c r="K281" s="581">
        <v>3.472222222222222E-3</v>
      </c>
      <c r="L281" s="582">
        <v>10.6355</v>
      </c>
      <c r="M281" s="582">
        <v>10.5884</v>
      </c>
      <c r="N281" s="582">
        <v>11.817</v>
      </c>
      <c r="O281" s="582">
        <v>11.635400000000001</v>
      </c>
      <c r="P281" s="582">
        <v>99.188900000000004</v>
      </c>
      <c r="Q281" s="582">
        <v>10.142009548806147</v>
      </c>
      <c r="R281" s="582">
        <v>0.30849045119385338</v>
      </c>
      <c r="S281" s="582">
        <v>1.0963904511938531</v>
      </c>
      <c r="T281" s="582">
        <v>1.8649904511938533</v>
      </c>
      <c r="U281" s="582">
        <v>1.7633904511938536</v>
      </c>
    </row>
    <row r="282" spans="10:21">
      <c r="J282" s="580">
        <v>41657</v>
      </c>
      <c r="K282" s="581">
        <v>3.472222222222222E-3</v>
      </c>
      <c r="L282" s="582">
        <v>10.531499999999999</v>
      </c>
      <c r="M282" s="582">
        <v>10.574999999999999</v>
      </c>
      <c r="N282" s="582">
        <v>11.786899999999999</v>
      </c>
      <c r="O282" s="582">
        <v>11.608000000000001</v>
      </c>
      <c r="P282" s="582">
        <v>99.107200000000006</v>
      </c>
      <c r="Q282" s="582">
        <v>10.133655769500828</v>
      </c>
      <c r="R282" s="582">
        <v>0.21284423049917095</v>
      </c>
      <c r="S282" s="582">
        <v>1.091344230499171</v>
      </c>
      <c r="T282" s="582">
        <v>1.843244230499171</v>
      </c>
      <c r="U282" s="582">
        <v>1.7443442304991721</v>
      </c>
    </row>
    <row r="283" spans="10:21">
      <c r="J283" s="580">
        <v>41658</v>
      </c>
      <c r="K283" s="581">
        <v>3.472222222222222E-3</v>
      </c>
      <c r="L283" s="582">
        <v>10.550800000000001</v>
      </c>
      <c r="M283" s="582">
        <v>10.597300000000001</v>
      </c>
      <c r="N283" s="582">
        <v>11.783899999999999</v>
      </c>
      <c r="O283" s="582">
        <v>11.608700000000001</v>
      </c>
      <c r="P283" s="582">
        <v>99.307199999999995</v>
      </c>
      <c r="Q283" s="582">
        <v>10.154105657641145</v>
      </c>
      <c r="R283" s="582">
        <v>0.21169434235885604</v>
      </c>
      <c r="S283" s="582">
        <v>1.0931943423588562</v>
      </c>
      <c r="T283" s="582">
        <v>1.8197943423588547</v>
      </c>
      <c r="U283" s="582">
        <v>1.7245943423588561</v>
      </c>
    </row>
    <row r="284" spans="10:21">
      <c r="J284" s="580">
        <v>41659</v>
      </c>
      <c r="K284" s="581">
        <v>3.472222222222222E-3</v>
      </c>
      <c r="L284" s="582">
        <v>10.549899999999999</v>
      </c>
      <c r="M284" s="582">
        <v>10.594900000000001</v>
      </c>
      <c r="N284" s="582">
        <v>11.7662</v>
      </c>
      <c r="O284" s="582">
        <v>11.593299999999999</v>
      </c>
      <c r="P284" s="582">
        <v>99.3523</v>
      </c>
      <c r="Q284" s="582">
        <v>10.158717107416788</v>
      </c>
      <c r="R284" s="582">
        <v>0.20618289258321149</v>
      </c>
      <c r="S284" s="582">
        <v>1.0861828925832133</v>
      </c>
      <c r="T284" s="582">
        <v>1.797482892583212</v>
      </c>
      <c r="U284" s="582">
        <v>1.7045828925832116</v>
      </c>
    </row>
    <row r="285" spans="10:21">
      <c r="J285" s="580">
        <v>41660</v>
      </c>
      <c r="K285" s="581">
        <v>3.472222222222222E-3</v>
      </c>
      <c r="L285" s="582">
        <v>10.1944</v>
      </c>
      <c r="M285" s="582">
        <v>10.190099999999999</v>
      </c>
      <c r="N285" s="582">
        <v>11.741899999999999</v>
      </c>
      <c r="O285" s="582">
        <v>11.5703</v>
      </c>
      <c r="P285" s="582">
        <v>99.3352</v>
      </c>
      <c r="Q285" s="582">
        <v>10.156968641980789</v>
      </c>
      <c r="R285" s="582">
        <v>0</v>
      </c>
      <c r="S285" s="582">
        <v>0.68313135801920999</v>
      </c>
      <c r="T285" s="582">
        <v>1.7749313580192101</v>
      </c>
      <c r="U285" s="582">
        <v>1.6833313580192102</v>
      </c>
    </row>
    <row r="286" spans="10:21">
      <c r="J286" s="580">
        <v>41661</v>
      </c>
      <c r="K286" s="581">
        <v>3.472222222222222E-3</v>
      </c>
      <c r="L286" s="582">
        <v>10.1782</v>
      </c>
      <c r="M286" s="582">
        <v>10.1753</v>
      </c>
      <c r="N286" s="582">
        <v>11.701599999999999</v>
      </c>
      <c r="O286" s="582">
        <v>11.5328</v>
      </c>
      <c r="P286" s="582">
        <v>99.178899999999999</v>
      </c>
      <c r="Q286" s="582">
        <v>10.140987054399131</v>
      </c>
      <c r="R286" s="582">
        <v>0</v>
      </c>
      <c r="S286" s="582">
        <v>0.68431294560086875</v>
      </c>
      <c r="T286" s="582">
        <v>1.7506129456008679</v>
      </c>
      <c r="U286" s="582">
        <v>1.6618129456008686</v>
      </c>
    </row>
    <row r="287" spans="10:21">
      <c r="J287" s="580">
        <v>41662</v>
      </c>
      <c r="K287" s="581">
        <v>3.472222222222222E-3</v>
      </c>
      <c r="L287" s="582">
        <v>10.1881</v>
      </c>
      <c r="M287" s="582">
        <v>10.1755</v>
      </c>
      <c r="N287" s="582">
        <v>11.6831</v>
      </c>
      <c r="O287" s="582">
        <v>11.5152</v>
      </c>
      <c r="P287" s="582">
        <v>99.218000000000004</v>
      </c>
      <c r="Q287" s="582">
        <v>10.144985007530563</v>
      </c>
      <c r="R287" s="582">
        <v>0</v>
      </c>
      <c r="S287" s="582">
        <v>0.6805149924694367</v>
      </c>
      <c r="T287" s="582">
        <v>1.7281149924694368</v>
      </c>
      <c r="U287" s="582">
        <v>1.6402149924694371</v>
      </c>
    </row>
    <row r="288" spans="10:21">
      <c r="J288" s="580">
        <v>41663</v>
      </c>
      <c r="K288" s="581">
        <v>3.472222222222222E-3</v>
      </c>
      <c r="L288" s="582">
        <v>10.1868</v>
      </c>
      <c r="M288" s="582">
        <v>10.174200000000001</v>
      </c>
      <c r="N288" s="582">
        <v>11.660600000000001</v>
      </c>
      <c r="O288" s="582">
        <v>11.492900000000001</v>
      </c>
      <c r="P288" s="582">
        <v>99.219800000000006</v>
      </c>
      <c r="Q288" s="582">
        <v>10.145169056523827</v>
      </c>
      <c r="R288" s="582">
        <v>0</v>
      </c>
      <c r="S288" s="582">
        <v>0.67903094347617432</v>
      </c>
      <c r="T288" s="582">
        <v>1.7054309434761741</v>
      </c>
      <c r="U288" s="582">
        <v>1.617730943476174</v>
      </c>
    </row>
    <row r="289" spans="10:21">
      <c r="J289" s="580">
        <v>41664</v>
      </c>
      <c r="K289" s="581">
        <v>3.472222222222222E-3</v>
      </c>
      <c r="L289" s="582">
        <v>10.1699</v>
      </c>
      <c r="M289" s="582">
        <v>10.156499999999999</v>
      </c>
      <c r="N289" s="582">
        <v>11.620699999999999</v>
      </c>
      <c r="O289" s="582">
        <v>11.4518</v>
      </c>
      <c r="P289" s="582">
        <v>99.037899999999993</v>
      </c>
      <c r="Q289" s="582">
        <v>10.126569883260206</v>
      </c>
      <c r="R289" s="582">
        <v>0</v>
      </c>
      <c r="S289" s="582">
        <v>0.67993011673979331</v>
      </c>
      <c r="T289" s="582">
        <v>1.6841301167397933</v>
      </c>
      <c r="U289" s="582">
        <v>1.5952301167397942</v>
      </c>
    </row>
    <row r="290" spans="10:21">
      <c r="J290" s="580">
        <v>41665</v>
      </c>
      <c r="K290" s="581">
        <v>3.472222222222222E-3</v>
      </c>
      <c r="L290" s="582">
        <v>10.173400000000001</v>
      </c>
      <c r="M290" s="582">
        <v>10.1594</v>
      </c>
      <c r="N290" s="582">
        <v>11.6006</v>
      </c>
      <c r="O290" s="582">
        <v>11.429600000000001</v>
      </c>
      <c r="P290" s="582">
        <v>99.036600000000007</v>
      </c>
      <c r="Q290" s="582">
        <v>10.126436958987295</v>
      </c>
      <c r="R290" s="582">
        <v>0</v>
      </c>
      <c r="S290" s="582">
        <v>0.682963041012705</v>
      </c>
      <c r="T290" s="582">
        <v>1.6641630410127053</v>
      </c>
      <c r="U290" s="582">
        <v>1.5731630410127058</v>
      </c>
    </row>
    <row r="291" spans="10:21">
      <c r="J291" s="580">
        <v>41666</v>
      </c>
      <c r="K291" s="581">
        <v>3.472222222222222E-3</v>
      </c>
      <c r="L291" s="582">
        <v>10.1737</v>
      </c>
      <c r="M291" s="582">
        <v>10.159700000000001</v>
      </c>
      <c r="N291" s="582">
        <v>11.5802</v>
      </c>
      <c r="O291" s="582">
        <v>11.407999999999999</v>
      </c>
      <c r="P291" s="582">
        <v>99.063999999999993</v>
      </c>
      <c r="Q291" s="582">
        <v>10.129238593662517</v>
      </c>
      <c r="R291" s="582">
        <v>0</v>
      </c>
      <c r="S291" s="582">
        <v>0.68046140633748364</v>
      </c>
      <c r="T291" s="582">
        <v>1.6409614063374824</v>
      </c>
      <c r="U291" s="582">
        <v>1.5487614063374822</v>
      </c>
    </row>
    <row r="292" spans="10:21">
      <c r="J292" s="580">
        <v>41667</v>
      </c>
      <c r="K292" s="581">
        <v>3.472222222222222E-3</v>
      </c>
      <c r="L292" s="582">
        <v>10.1708</v>
      </c>
      <c r="M292" s="582">
        <v>10.1586</v>
      </c>
      <c r="N292" s="582">
        <v>11.5571</v>
      </c>
      <c r="O292" s="582">
        <v>11.382400000000001</v>
      </c>
      <c r="P292" s="582">
        <v>99.043999999999997</v>
      </c>
      <c r="Q292" s="582">
        <v>10.127193604848486</v>
      </c>
      <c r="R292" s="582">
        <v>0</v>
      </c>
      <c r="S292" s="582">
        <v>0.68140639515151391</v>
      </c>
      <c r="T292" s="582">
        <v>1.6199063951515142</v>
      </c>
      <c r="U292" s="582">
        <v>1.5252063951515145</v>
      </c>
    </row>
    <row r="293" spans="10:21">
      <c r="J293" s="580">
        <v>41668</v>
      </c>
      <c r="K293" s="581">
        <v>3.472222222222222E-3</v>
      </c>
      <c r="L293" s="582">
        <v>10.1721</v>
      </c>
      <c r="M293" s="582">
        <v>10.159700000000001</v>
      </c>
      <c r="N293" s="582">
        <v>11.5379</v>
      </c>
      <c r="O293" s="582">
        <v>11.3607</v>
      </c>
      <c r="P293" s="582">
        <v>99.049899999999994</v>
      </c>
      <c r="Q293" s="582">
        <v>10.127796876548626</v>
      </c>
      <c r="R293" s="582">
        <v>0</v>
      </c>
      <c r="S293" s="582">
        <v>0.68190312345137527</v>
      </c>
      <c r="T293" s="582">
        <v>1.600103123451375</v>
      </c>
      <c r="U293" s="582">
        <v>1.5029031234513739</v>
      </c>
    </row>
    <row r="294" spans="10:21">
      <c r="J294" s="580">
        <v>41669</v>
      </c>
      <c r="K294" s="581">
        <v>3.472222222222222E-3</v>
      </c>
      <c r="L294" s="582">
        <v>10.1807</v>
      </c>
      <c r="M294" s="582">
        <v>10.167199999999999</v>
      </c>
      <c r="N294" s="582">
        <v>11.525499999999999</v>
      </c>
      <c r="O294" s="582">
        <v>11.3454</v>
      </c>
      <c r="P294" s="582">
        <v>99.150099999999995</v>
      </c>
      <c r="Q294" s="582">
        <v>10.138042270506924</v>
      </c>
      <c r="R294" s="582">
        <v>0</v>
      </c>
      <c r="S294" s="582">
        <v>0.67915772949307551</v>
      </c>
      <c r="T294" s="582">
        <v>1.5774577294930754</v>
      </c>
      <c r="U294" s="582">
        <v>1.4773577294930758</v>
      </c>
    </row>
    <row r="295" spans="10:21">
      <c r="J295" s="580">
        <v>41670</v>
      </c>
      <c r="K295" s="581">
        <v>3.472222222222222E-3</v>
      </c>
      <c r="L295" s="582">
        <v>10.1805</v>
      </c>
      <c r="M295" s="582">
        <v>10.167</v>
      </c>
      <c r="N295" s="582">
        <v>11.5025</v>
      </c>
      <c r="O295" s="582">
        <v>11.319100000000001</v>
      </c>
      <c r="P295" s="582">
        <v>99.138599999999997</v>
      </c>
      <c r="Q295" s="582">
        <v>10.136866401938857</v>
      </c>
      <c r="R295" s="582">
        <v>0</v>
      </c>
      <c r="S295" s="582">
        <v>0.68013359806114315</v>
      </c>
      <c r="T295" s="582">
        <v>1.5556335980611429</v>
      </c>
      <c r="U295" s="582">
        <v>1.4522335980611438</v>
      </c>
    </row>
    <row r="296" spans="10:21">
      <c r="J296" s="580">
        <v>41671</v>
      </c>
      <c r="K296" s="581">
        <v>3.472222222222222E-3</v>
      </c>
      <c r="L296" s="582">
        <v>10.162699999999999</v>
      </c>
      <c r="M296" s="582">
        <v>10.148999999999999</v>
      </c>
      <c r="N296" s="582">
        <v>11.465199999999999</v>
      </c>
      <c r="O296" s="582">
        <v>11.277200000000001</v>
      </c>
      <c r="P296" s="582">
        <v>98.966300000000004</v>
      </c>
      <c r="Q296" s="582">
        <v>10.119248823305973</v>
      </c>
      <c r="R296" s="582">
        <v>0</v>
      </c>
      <c r="S296" s="582">
        <v>0.67975117669402585</v>
      </c>
      <c r="T296" s="582">
        <v>1.5359511766940259</v>
      </c>
      <c r="U296" s="582">
        <v>1.4279511766940272</v>
      </c>
    </row>
    <row r="297" spans="10:21">
      <c r="J297" s="580">
        <v>41672</v>
      </c>
      <c r="K297" s="581">
        <v>3.472222222222222E-3</v>
      </c>
      <c r="L297" s="582">
        <v>10.1761</v>
      </c>
      <c r="M297" s="582">
        <v>10.162800000000001</v>
      </c>
      <c r="N297" s="582">
        <v>11.458299999999999</v>
      </c>
      <c r="O297" s="582">
        <v>11.2652</v>
      </c>
      <c r="P297" s="582">
        <v>99.100099999999998</v>
      </c>
      <c r="Q297" s="582">
        <v>10.132929798471846</v>
      </c>
      <c r="R297" s="582">
        <v>0</v>
      </c>
      <c r="S297" s="582">
        <v>0.67987020152815503</v>
      </c>
      <c r="T297" s="582">
        <v>1.5153702015281536</v>
      </c>
      <c r="U297" s="582">
        <v>1.4022702015281543</v>
      </c>
    </row>
    <row r="298" spans="10:21">
      <c r="J298" s="580">
        <v>41673</v>
      </c>
      <c r="K298" s="581">
        <v>3.472222222222222E-3</v>
      </c>
      <c r="L298" s="582">
        <v>10.158899999999999</v>
      </c>
      <c r="M298" s="582">
        <v>10.145300000000001</v>
      </c>
      <c r="N298" s="582">
        <v>11.420999999999999</v>
      </c>
      <c r="O298" s="582">
        <v>11.224399999999999</v>
      </c>
      <c r="P298" s="582">
        <v>98.927800000000005</v>
      </c>
      <c r="Q298" s="582">
        <v>10.115312219838962</v>
      </c>
      <c r="R298" s="582">
        <v>0</v>
      </c>
      <c r="S298" s="582">
        <v>0.67998778016103834</v>
      </c>
      <c r="T298" s="582">
        <v>1.4956877801610369</v>
      </c>
      <c r="U298" s="582">
        <v>1.3790877801610368</v>
      </c>
    </row>
    <row r="299" spans="10:21">
      <c r="J299" s="580">
        <v>41674</v>
      </c>
      <c r="K299" s="581">
        <v>3.472222222222222E-3</v>
      </c>
      <c r="L299" s="582">
        <v>10.1488</v>
      </c>
      <c r="M299" s="582">
        <v>10.1364</v>
      </c>
      <c r="N299" s="582">
        <v>11.388199999999999</v>
      </c>
      <c r="O299" s="582">
        <v>11.190300000000001</v>
      </c>
      <c r="P299" s="582">
        <v>98.834500000000006</v>
      </c>
      <c r="Q299" s="582">
        <v>10.105772347021503</v>
      </c>
      <c r="R299" s="582">
        <v>0</v>
      </c>
      <c r="S299" s="582">
        <v>0.68062765297849714</v>
      </c>
      <c r="T299" s="582">
        <v>1.4724276529784963</v>
      </c>
      <c r="U299" s="582">
        <v>1.3545276529784975</v>
      </c>
    </row>
    <row r="300" spans="10:21">
      <c r="J300" s="580">
        <v>41675</v>
      </c>
      <c r="K300" s="581">
        <v>3.472222222222222E-3</v>
      </c>
      <c r="L300" s="582">
        <v>10.137600000000001</v>
      </c>
      <c r="M300" s="582">
        <v>10.1251</v>
      </c>
      <c r="N300" s="582">
        <v>11.3546</v>
      </c>
      <c r="O300" s="582">
        <v>11.151899999999999</v>
      </c>
      <c r="P300" s="582">
        <v>98.696299999999994</v>
      </c>
      <c r="Q300" s="582">
        <v>10.091641474316543</v>
      </c>
      <c r="R300" s="582">
        <v>0</v>
      </c>
      <c r="S300" s="582">
        <v>0.68345852568345733</v>
      </c>
      <c r="T300" s="582">
        <v>1.452958525683457</v>
      </c>
      <c r="U300" s="582">
        <v>1.3302585256834569</v>
      </c>
    </row>
    <row r="301" spans="10:21">
      <c r="J301" s="580">
        <v>41676</v>
      </c>
      <c r="K301" s="581">
        <v>3.472222222222222E-3</v>
      </c>
      <c r="L301" s="582">
        <v>10.1463</v>
      </c>
      <c r="M301" s="582">
        <v>10.1335</v>
      </c>
      <c r="N301" s="582">
        <v>11.3432</v>
      </c>
      <c r="O301" s="582">
        <v>11.138199999999999</v>
      </c>
      <c r="P301" s="582">
        <v>98.797799999999995</v>
      </c>
      <c r="Q301" s="582">
        <v>10.102019792547754</v>
      </c>
      <c r="R301" s="582">
        <v>0</v>
      </c>
      <c r="S301" s="582">
        <v>0.68148020745224591</v>
      </c>
      <c r="T301" s="582">
        <v>1.4311802074522455</v>
      </c>
      <c r="U301" s="582">
        <v>1.3061802074522455</v>
      </c>
    </row>
    <row r="302" spans="10:21">
      <c r="J302" s="580">
        <v>41677</v>
      </c>
      <c r="K302" s="581">
        <v>3.472222222222222E-3</v>
      </c>
      <c r="L302" s="582">
        <v>10.140599999999999</v>
      </c>
      <c r="M302" s="582">
        <v>10.128</v>
      </c>
      <c r="N302" s="582">
        <v>11.3148</v>
      </c>
      <c r="O302" s="582">
        <v>11.109500000000001</v>
      </c>
      <c r="P302" s="582">
        <v>98.726900000000001</v>
      </c>
      <c r="Q302" s="582">
        <v>10.094770307202012</v>
      </c>
      <c r="R302" s="582">
        <v>0</v>
      </c>
      <c r="S302" s="582">
        <v>0.6832296927979884</v>
      </c>
      <c r="T302" s="582">
        <v>1.4100296927979881</v>
      </c>
      <c r="U302" s="582">
        <v>1.2847296927979888</v>
      </c>
    </row>
    <row r="303" spans="10:21">
      <c r="J303" s="580">
        <v>41678</v>
      </c>
      <c r="K303" s="581">
        <v>3.472222222222222E-3</v>
      </c>
      <c r="L303" s="582">
        <v>10.148400000000001</v>
      </c>
      <c r="M303" s="582">
        <v>10.1363</v>
      </c>
      <c r="N303" s="582">
        <v>11.3024</v>
      </c>
      <c r="O303" s="582">
        <v>11.0939</v>
      </c>
      <c r="P303" s="582">
        <v>98.805499999999995</v>
      </c>
      <c r="Q303" s="582">
        <v>10.102807113241155</v>
      </c>
      <c r="R303" s="582">
        <v>0</v>
      </c>
      <c r="S303" s="582">
        <v>0.68349288675884501</v>
      </c>
      <c r="T303" s="582">
        <v>1.389592886758845</v>
      </c>
      <c r="U303" s="582">
        <v>1.2610928867588442</v>
      </c>
    </row>
    <row r="304" spans="10:21">
      <c r="J304" s="580">
        <v>41679</v>
      </c>
      <c r="K304" s="581">
        <v>3.472222222222222E-3</v>
      </c>
      <c r="L304" s="582">
        <v>10.1379</v>
      </c>
      <c r="M304" s="582">
        <v>10.125400000000001</v>
      </c>
      <c r="N304" s="582">
        <v>11.270300000000001</v>
      </c>
      <c r="O304" s="582">
        <v>11.0587</v>
      </c>
      <c r="P304" s="582">
        <v>98.708699999999993</v>
      </c>
      <c r="Q304" s="582">
        <v>10.092909367381242</v>
      </c>
      <c r="R304" s="582">
        <v>0</v>
      </c>
      <c r="S304" s="582">
        <v>0.68249063261875853</v>
      </c>
      <c r="T304" s="582">
        <v>1.3673906326187582</v>
      </c>
      <c r="U304" s="582">
        <v>1.2357906326187575</v>
      </c>
    </row>
    <row r="305" spans="10:21">
      <c r="J305" s="580">
        <v>41680</v>
      </c>
      <c r="K305" s="581">
        <v>3.472222222222222E-3</v>
      </c>
      <c r="L305" s="582">
        <v>10.1434</v>
      </c>
      <c r="M305" s="582">
        <v>10.1313</v>
      </c>
      <c r="N305" s="582">
        <v>11.2537</v>
      </c>
      <c r="O305" s="582">
        <v>11.0381</v>
      </c>
      <c r="P305" s="582">
        <v>98.746399999999994</v>
      </c>
      <c r="Q305" s="582">
        <v>10.096764171295693</v>
      </c>
      <c r="R305" s="582">
        <v>0</v>
      </c>
      <c r="S305" s="582">
        <v>0.68453582870430707</v>
      </c>
      <c r="T305" s="582">
        <v>1.3469358287043076</v>
      </c>
      <c r="U305" s="582">
        <v>1.2113358287043074</v>
      </c>
    </row>
    <row r="306" spans="10:21">
      <c r="J306" s="580">
        <v>41681</v>
      </c>
      <c r="K306" s="581">
        <v>3.472222222222222E-3</v>
      </c>
      <c r="L306" s="582">
        <v>10.141999999999999</v>
      </c>
      <c r="M306" s="582">
        <v>10.129099999999999</v>
      </c>
      <c r="N306" s="582">
        <v>11.230499999999999</v>
      </c>
      <c r="O306" s="582">
        <v>11.0083</v>
      </c>
      <c r="P306" s="582">
        <v>98.727800000000002</v>
      </c>
      <c r="Q306" s="582">
        <v>10.094862331698643</v>
      </c>
      <c r="R306" s="582">
        <v>0</v>
      </c>
      <c r="S306" s="582">
        <v>0.68423766830135668</v>
      </c>
      <c r="T306" s="582">
        <v>1.3256376683013564</v>
      </c>
      <c r="U306" s="582">
        <v>1.1834376683013574</v>
      </c>
    </row>
    <row r="307" spans="10:21">
      <c r="J307" s="580">
        <v>41682</v>
      </c>
      <c r="K307" s="581">
        <v>3.472222222222222E-3</v>
      </c>
      <c r="L307" s="582">
        <v>10.1251</v>
      </c>
      <c r="M307" s="582">
        <v>10.111000000000001</v>
      </c>
      <c r="N307" s="582">
        <v>11.195600000000001</v>
      </c>
      <c r="O307" s="582">
        <v>10.968299999999999</v>
      </c>
      <c r="P307" s="582">
        <v>98.584199999999996</v>
      </c>
      <c r="Q307" s="582">
        <v>10.080179312013893</v>
      </c>
      <c r="R307" s="582">
        <v>0</v>
      </c>
      <c r="S307" s="582">
        <v>0.68082068798610762</v>
      </c>
      <c r="T307" s="582">
        <v>1.3054206879861074</v>
      </c>
      <c r="U307" s="582">
        <v>1.1581206879861061</v>
      </c>
    </row>
    <row r="308" spans="10:21">
      <c r="J308" s="580">
        <v>41683</v>
      </c>
      <c r="K308" s="581">
        <v>3.472222222222222E-3</v>
      </c>
      <c r="L308" s="582">
        <v>10.144299999999999</v>
      </c>
      <c r="M308" s="582">
        <v>10.129799999999999</v>
      </c>
      <c r="N308" s="582">
        <v>11.193</v>
      </c>
      <c r="O308" s="582">
        <v>10.9621</v>
      </c>
      <c r="P308" s="582">
        <v>98.766199999999998</v>
      </c>
      <c r="Q308" s="582">
        <v>10.098788710221584</v>
      </c>
      <c r="R308" s="582">
        <v>0</v>
      </c>
      <c r="S308" s="582">
        <v>0.68101128977841596</v>
      </c>
      <c r="T308" s="582">
        <v>1.2842112897784159</v>
      </c>
      <c r="U308" s="582">
        <v>1.1333112897784159</v>
      </c>
    </row>
    <row r="309" spans="10:21">
      <c r="J309" s="580">
        <v>41684</v>
      </c>
      <c r="K309" s="581">
        <v>3.472222222222222E-3</v>
      </c>
      <c r="L309" s="582">
        <v>10.163500000000001</v>
      </c>
      <c r="M309" s="582">
        <v>10.150600000000001</v>
      </c>
      <c r="N309" s="582">
        <v>11.1897</v>
      </c>
      <c r="O309" s="582">
        <v>10.952400000000001</v>
      </c>
      <c r="P309" s="582">
        <v>98.944500000000005</v>
      </c>
      <c r="Q309" s="582">
        <v>10.117019785498679</v>
      </c>
      <c r="R309" s="582">
        <v>0</v>
      </c>
      <c r="S309" s="582">
        <v>0.68358021450132234</v>
      </c>
      <c r="T309" s="582">
        <v>1.2626802145013216</v>
      </c>
      <c r="U309" s="582">
        <v>1.1053802145013223</v>
      </c>
    </row>
    <row r="310" spans="10:21">
      <c r="J310" s="580">
        <v>41685</v>
      </c>
      <c r="K310" s="581">
        <v>3.472222222222222E-3</v>
      </c>
      <c r="L310" s="582">
        <v>10.1547</v>
      </c>
      <c r="M310" s="582">
        <v>10.14</v>
      </c>
      <c r="N310" s="582">
        <v>11.161099999999999</v>
      </c>
      <c r="O310" s="582">
        <v>10.918799999999999</v>
      </c>
      <c r="P310" s="582">
        <v>98.865099999999998</v>
      </c>
      <c r="Q310" s="582">
        <v>10.108901179906971</v>
      </c>
      <c r="R310" s="582">
        <v>0</v>
      </c>
      <c r="S310" s="582">
        <v>0.68109882009303013</v>
      </c>
      <c r="T310" s="582">
        <v>1.2421988200930287</v>
      </c>
      <c r="U310" s="582">
        <v>1.0798988200930286</v>
      </c>
    </row>
    <row r="311" spans="10:21">
      <c r="J311" s="580">
        <v>41686</v>
      </c>
      <c r="K311" s="581">
        <v>3.472222222222222E-3</v>
      </c>
      <c r="L311" s="582">
        <v>10.138400000000001</v>
      </c>
      <c r="M311" s="582">
        <v>10.1212</v>
      </c>
      <c r="N311" s="582">
        <v>11.125500000000001</v>
      </c>
      <c r="O311" s="582">
        <v>10.8786</v>
      </c>
      <c r="P311" s="582">
        <v>98.7119</v>
      </c>
      <c r="Q311" s="582">
        <v>10.093236565591488</v>
      </c>
      <c r="R311" s="582">
        <v>0</v>
      </c>
      <c r="S311" s="582">
        <v>0.67796343440851259</v>
      </c>
      <c r="T311" s="582">
        <v>1.222263434408513</v>
      </c>
      <c r="U311" s="582">
        <v>1.055363434408513</v>
      </c>
    </row>
    <row r="312" spans="10:21">
      <c r="J312" s="580">
        <v>41687</v>
      </c>
      <c r="K312" s="581">
        <v>3.472222222222222E-3</v>
      </c>
      <c r="L312" s="582">
        <v>10.152100000000001</v>
      </c>
      <c r="M312" s="582">
        <v>10.134499999999999</v>
      </c>
      <c r="N312" s="582">
        <v>11.1198</v>
      </c>
      <c r="O312" s="582">
        <v>10.8688</v>
      </c>
      <c r="P312" s="582">
        <v>98.850999999999999</v>
      </c>
      <c r="Q312" s="582">
        <v>10.107459462793079</v>
      </c>
      <c r="R312" s="582">
        <v>0</v>
      </c>
      <c r="S312" s="582">
        <v>0.67704053720692037</v>
      </c>
      <c r="T312" s="582">
        <v>1.2023405372069207</v>
      </c>
      <c r="U312" s="582">
        <v>1.0313405372069213</v>
      </c>
    </row>
    <row r="313" spans="10:21">
      <c r="J313" s="580">
        <v>41688</v>
      </c>
      <c r="K313" s="581">
        <v>3.472222222222222E-3</v>
      </c>
      <c r="L313" s="582">
        <v>10.1724</v>
      </c>
      <c r="M313" s="582">
        <v>10.155200000000001</v>
      </c>
      <c r="N313" s="582">
        <v>11.1187</v>
      </c>
      <c r="O313" s="582">
        <v>10.8643</v>
      </c>
      <c r="P313" s="582">
        <v>99.058300000000003</v>
      </c>
      <c r="Q313" s="582">
        <v>10.12865577185052</v>
      </c>
      <c r="R313" s="582">
        <v>0</v>
      </c>
      <c r="S313" s="582">
        <v>0.67654422814948112</v>
      </c>
      <c r="T313" s="582">
        <v>1.1800442281494807</v>
      </c>
      <c r="U313" s="582">
        <v>1.0056442281494804</v>
      </c>
    </row>
    <row r="314" spans="10:21">
      <c r="J314" s="580">
        <v>41689</v>
      </c>
      <c r="K314" s="581">
        <v>3.472222222222222E-3</v>
      </c>
      <c r="L314" s="582">
        <v>10.177099999999999</v>
      </c>
      <c r="M314" s="582">
        <v>10.159800000000001</v>
      </c>
      <c r="N314" s="582">
        <v>11.11</v>
      </c>
      <c r="O314" s="582">
        <v>10.850899999999999</v>
      </c>
      <c r="P314" s="582">
        <v>99.114800000000002</v>
      </c>
      <c r="Q314" s="582">
        <v>10.13443286525016</v>
      </c>
      <c r="R314" s="582">
        <v>0</v>
      </c>
      <c r="S314" s="582">
        <v>0.67536713474984089</v>
      </c>
      <c r="T314" s="582">
        <v>1.1655671347498395</v>
      </c>
      <c r="U314" s="582">
        <v>0.98646713474983949</v>
      </c>
    </row>
    <row r="315" spans="10:21">
      <c r="J315" s="580">
        <v>41690</v>
      </c>
      <c r="K315" s="581">
        <v>3.472222222222222E-3</v>
      </c>
      <c r="L315" s="582">
        <v>10.162699999999999</v>
      </c>
      <c r="M315" s="582">
        <v>10.1456</v>
      </c>
      <c r="N315" s="582">
        <v>11.0741</v>
      </c>
      <c r="O315" s="582">
        <v>10.8131</v>
      </c>
      <c r="P315" s="582">
        <v>98.983900000000006</v>
      </c>
      <c r="Q315" s="582">
        <v>10.12104841346232</v>
      </c>
      <c r="R315" s="582">
        <v>0</v>
      </c>
      <c r="S315" s="582">
        <v>0.67455158653767966</v>
      </c>
      <c r="T315" s="582">
        <v>1.1430515865376791</v>
      </c>
      <c r="U315" s="582">
        <v>0.96205158653767997</v>
      </c>
    </row>
    <row r="316" spans="10:21">
      <c r="J316" s="580">
        <v>41691</v>
      </c>
      <c r="K316" s="581">
        <v>3.472222222222222E-3</v>
      </c>
      <c r="L316" s="582">
        <v>10.179600000000001</v>
      </c>
      <c r="M316" s="582">
        <v>10.1624</v>
      </c>
      <c r="N316" s="582">
        <v>11.0695</v>
      </c>
      <c r="O316" s="582">
        <v>10.685</v>
      </c>
      <c r="P316" s="582">
        <v>99.127899999999997</v>
      </c>
      <c r="Q316" s="582">
        <v>10.13577233292335</v>
      </c>
      <c r="R316" s="582">
        <v>0</v>
      </c>
      <c r="S316" s="582">
        <v>0.67662766707664956</v>
      </c>
      <c r="T316" s="582">
        <v>1.1237276670766492</v>
      </c>
      <c r="U316" s="582">
        <v>0.81922766707665007</v>
      </c>
    </row>
    <row r="317" spans="10:21">
      <c r="J317" s="580">
        <v>41692</v>
      </c>
      <c r="K317" s="581">
        <v>3.472222222222222E-3</v>
      </c>
      <c r="L317" s="582">
        <v>10.1805</v>
      </c>
      <c r="M317" s="582">
        <v>10.1632</v>
      </c>
      <c r="N317" s="582">
        <v>11.0486</v>
      </c>
      <c r="O317" s="582">
        <v>10.6172</v>
      </c>
      <c r="P317" s="582">
        <v>99.1297</v>
      </c>
      <c r="Q317" s="582">
        <v>10.135956381916612</v>
      </c>
      <c r="R317" s="582">
        <v>0</v>
      </c>
      <c r="S317" s="582">
        <v>0.67724361808338762</v>
      </c>
      <c r="T317" s="582">
        <v>1.1026436180833881</v>
      </c>
      <c r="U317" s="582">
        <v>0.75124361808338813</v>
      </c>
    </row>
    <row r="318" spans="10:21">
      <c r="J318" s="580">
        <v>41693</v>
      </c>
      <c r="K318" s="581">
        <v>3.472222222222222E-3</v>
      </c>
      <c r="L318" s="582">
        <v>10.1753</v>
      </c>
      <c r="M318" s="582">
        <v>10.156499999999999</v>
      </c>
      <c r="N318" s="582">
        <v>11.0235</v>
      </c>
      <c r="O318" s="582">
        <v>10.539</v>
      </c>
      <c r="P318" s="582">
        <v>99.080399999999997</v>
      </c>
      <c r="Q318" s="582">
        <v>10.130915484490025</v>
      </c>
      <c r="R318" s="582">
        <v>0</v>
      </c>
      <c r="S318" s="582">
        <v>0.67558451550997467</v>
      </c>
      <c r="T318" s="582">
        <v>1.0825845155099754</v>
      </c>
      <c r="U318" s="582">
        <v>0.67808451550997484</v>
      </c>
    </row>
    <row r="319" spans="10:21">
      <c r="J319" s="580">
        <v>41694</v>
      </c>
      <c r="K319" s="581">
        <v>3.472222222222222E-3</v>
      </c>
      <c r="L319" s="582">
        <v>10.1736</v>
      </c>
      <c r="M319" s="582">
        <v>10.1576</v>
      </c>
      <c r="N319" s="582">
        <v>11.003299999999999</v>
      </c>
      <c r="O319" s="582">
        <v>10.5395</v>
      </c>
      <c r="P319" s="582">
        <v>99.073099999999997</v>
      </c>
      <c r="Q319" s="582">
        <v>10.130169063572902</v>
      </c>
      <c r="R319" s="582">
        <v>0</v>
      </c>
      <c r="S319" s="582">
        <v>0.67743093642709851</v>
      </c>
      <c r="T319" s="582">
        <v>1.0631309364270973</v>
      </c>
      <c r="U319" s="582">
        <v>0.6793309364270983</v>
      </c>
    </row>
    <row r="320" spans="10:21">
      <c r="J320" s="580">
        <v>41695</v>
      </c>
      <c r="K320" s="581">
        <v>3.472222222222222E-3</v>
      </c>
      <c r="L320" s="582">
        <v>10.177899999999999</v>
      </c>
      <c r="M320" s="582">
        <v>10.164899999999999</v>
      </c>
      <c r="N320" s="582">
        <v>10.9964</v>
      </c>
      <c r="O320" s="582">
        <v>10.551500000000001</v>
      </c>
      <c r="P320" s="582">
        <v>99.121200000000002</v>
      </c>
      <c r="Q320" s="582">
        <v>10.13508726167065</v>
      </c>
      <c r="R320" s="582">
        <v>0</v>
      </c>
      <c r="S320" s="582">
        <v>0.67981273832934952</v>
      </c>
      <c r="T320" s="582">
        <v>1.0513127383293495</v>
      </c>
      <c r="U320" s="582">
        <v>0.68641273832935079</v>
      </c>
    </row>
    <row r="321" spans="10:21">
      <c r="J321" s="580">
        <v>41696</v>
      </c>
      <c r="K321" s="581">
        <v>3.472222222222222E-3</v>
      </c>
      <c r="L321" s="582">
        <v>10.1792</v>
      </c>
      <c r="M321" s="582">
        <v>10.166399999999999</v>
      </c>
      <c r="N321" s="582">
        <v>10.9755</v>
      </c>
      <c r="O321" s="582">
        <v>10.545</v>
      </c>
      <c r="P321" s="582">
        <v>99.159800000000004</v>
      </c>
      <c r="Q321" s="582">
        <v>10.139034090081731</v>
      </c>
      <c r="R321" s="582">
        <v>0</v>
      </c>
      <c r="S321" s="582">
        <v>0.67736590991826851</v>
      </c>
      <c r="T321" s="582">
        <v>1.0264659099182691</v>
      </c>
      <c r="U321" s="582">
        <v>0.67596590991826888</v>
      </c>
    </row>
    <row r="322" spans="10:21">
      <c r="J322" s="580">
        <v>41697</v>
      </c>
      <c r="K322" s="581">
        <v>3.472222222222222E-3</v>
      </c>
      <c r="L322" s="582">
        <v>10.1739</v>
      </c>
      <c r="M322" s="582">
        <v>10.1599</v>
      </c>
      <c r="N322" s="582">
        <v>10.945399999999999</v>
      </c>
      <c r="O322" s="582">
        <v>10.5382</v>
      </c>
      <c r="P322" s="582">
        <v>99.093500000000006</v>
      </c>
      <c r="Q322" s="582">
        <v>10.132254952163215</v>
      </c>
      <c r="R322" s="582">
        <v>0</v>
      </c>
      <c r="S322" s="582">
        <v>0.67764504783678503</v>
      </c>
      <c r="T322" s="582">
        <v>1.0031450478367838</v>
      </c>
      <c r="U322" s="582">
        <v>0.67594504783678433</v>
      </c>
    </row>
    <row r="323" spans="10:21">
      <c r="J323" s="580">
        <v>41698</v>
      </c>
      <c r="K323" s="581">
        <v>3.472222222222222E-3</v>
      </c>
      <c r="L323" s="582">
        <v>10.171099999999999</v>
      </c>
      <c r="M323" s="582">
        <v>10.1568</v>
      </c>
      <c r="N323" s="582">
        <v>10.919499999999999</v>
      </c>
      <c r="O323" s="582">
        <v>10.5313</v>
      </c>
      <c r="P323" s="582">
        <v>99.051299999999998</v>
      </c>
      <c r="Q323" s="582">
        <v>10.127940025765607</v>
      </c>
      <c r="R323" s="582">
        <v>0</v>
      </c>
      <c r="S323" s="582">
        <v>0.67885997423439348</v>
      </c>
      <c r="T323" s="582">
        <v>0.98155997423439223</v>
      </c>
      <c r="U323" s="582">
        <v>0.67335997423439276</v>
      </c>
    </row>
    <row r="324" spans="10:21">
      <c r="J324" s="580">
        <v>41699</v>
      </c>
      <c r="K324" s="581">
        <v>3.472222222222222E-3</v>
      </c>
      <c r="L324" s="582">
        <v>10.161099999999999</v>
      </c>
      <c r="M324" s="582">
        <v>10.145799999999999</v>
      </c>
      <c r="N324" s="582">
        <v>10.8871</v>
      </c>
      <c r="O324" s="582">
        <v>10.5205</v>
      </c>
      <c r="P324" s="582">
        <v>98.947800000000001</v>
      </c>
      <c r="Q324" s="582">
        <v>10.117357208652994</v>
      </c>
      <c r="R324" s="582">
        <v>0</v>
      </c>
      <c r="S324" s="582">
        <v>0.67844279134700591</v>
      </c>
      <c r="T324" s="582">
        <v>0.95974279134700657</v>
      </c>
      <c r="U324" s="582">
        <v>0.6731427913470065</v>
      </c>
    </row>
    <row r="325" spans="10:21">
      <c r="J325" s="580">
        <v>41700</v>
      </c>
      <c r="K325" s="581">
        <v>3.472222222222222E-3</v>
      </c>
      <c r="L325" s="582">
        <v>10.1653</v>
      </c>
      <c r="M325" s="582">
        <v>10.1502</v>
      </c>
      <c r="N325" s="582">
        <v>10.9354</v>
      </c>
      <c r="O325" s="582">
        <v>10.599500000000001</v>
      </c>
      <c r="P325" s="582">
        <v>99.003900000000002</v>
      </c>
      <c r="Q325" s="582">
        <v>10.123093402276353</v>
      </c>
      <c r="R325" s="582">
        <v>0</v>
      </c>
      <c r="S325" s="582">
        <v>0.67710659772364656</v>
      </c>
      <c r="T325" s="582">
        <v>1.0023065977236461</v>
      </c>
      <c r="U325" s="582">
        <v>0.74640659772364737</v>
      </c>
    </row>
    <row r="326" spans="10:21">
      <c r="J326" s="580">
        <v>41701</v>
      </c>
      <c r="K326" s="581">
        <v>3.472222222222222E-3</v>
      </c>
      <c r="L326" s="582">
        <v>10.157999999999999</v>
      </c>
      <c r="M326" s="582">
        <v>10.142799999999999</v>
      </c>
      <c r="N326" s="582">
        <v>10.911199999999999</v>
      </c>
      <c r="O326" s="582">
        <v>10.6265</v>
      </c>
      <c r="P326" s="582">
        <v>98.918700000000001</v>
      </c>
      <c r="Q326" s="582">
        <v>10.114381749928578</v>
      </c>
      <c r="R326" s="582">
        <v>0</v>
      </c>
      <c r="S326" s="582">
        <v>0.67841825007142176</v>
      </c>
      <c r="T326" s="582">
        <v>0.98681825007142143</v>
      </c>
      <c r="U326" s="582">
        <v>0.78211825007142233</v>
      </c>
    </row>
    <row r="327" spans="10:21">
      <c r="J327" s="580">
        <v>41702</v>
      </c>
      <c r="K327" s="581">
        <v>3.472222222222222E-3</v>
      </c>
      <c r="L327" s="582">
        <v>10.162599999999999</v>
      </c>
      <c r="M327" s="582">
        <v>10.1447</v>
      </c>
      <c r="N327" s="582">
        <v>10.8969</v>
      </c>
      <c r="O327" s="582">
        <v>10.533300000000001</v>
      </c>
      <c r="P327" s="582">
        <v>98.959299999999999</v>
      </c>
      <c r="Q327" s="582">
        <v>10.118533077221061</v>
      </c>
      <c r="R327" s="582">
        <v>0</v>
      </c>
      <c r="S327" s="582">
        <v>0.67616692277893953</v>
      </c>
      <c r="T327" s="582">
        <v>0.96836692277893965</v>
      </c>
      <c r="U327" s="582">
        <v>0.68476692277893969</v>
      </c>
    </row>
    <row r="328" spans="10:21">
      <c r="J328" s="580">
        <v>41703</v>
      </c>
      <c r="K328" s="581">
        <v>3.472222222222222E-3</v>
      </c>
      <c r="L328" s="582">
        <v>10.172700000000001</v>
      </c>
      <c r="M328" s="582">
        <v>10.1538</v>
      </c>
      <c r="N328" s="582">
        <v>10.9278</v>
      </c>
      <c r="O328" s="582">
        <v>10.539</v>
      </c>
      <c r="P328" s="582">
        <v>99.045000000000002</v>
      </c>
      <c r="Q328" s="582">
        <v>10.127295854289189</v>
      </c>
      <c r="R328" s="582">
        <v>0</v>
      </c>
      <c r="S328" s="582">
        <v>0.67650414571081163</v>
      </c>
      <c r="T328" s="582">
        <v>0.99050414571081069</v>
      </c>
      <c r="U328" s="582">
        <v>0.68170414571081084</v>
      </c>
    </row>
    <row r="329" spans="10:21">
      <c r="J329" s="580">
        <v>41704</v>
      </c>
      <c r="K329" s="581">
        <v>3.472222222222222E-3</v>
      </c>
      <c r="L329" s="582">
        <v>10.1699</v>
      </c>
      <c r="M329" s="582">
        <v>10.150600000000001</v>
      </c>
      <c r="N329" s="582">
        <v>10.8261</v>
      </c>
      <c r="O329" s="582">
        <v>10.537000000000001</v>
      </c>
      <c r="P329" s="582">
        <v>99.028000000000006</v>
      </c>
      <c r="Q329" s="582">
        <v>10.125557613797261</v>
      </c>
      <c r="R329" s="582">
        <v>0</v>
      </c>
      <c r="S329" s="582">
        <v>0.67504238620274015</v>
      </c>
      <c r="T329" s="582">
        <v>0.89054238620273962</v>
      </c>
      <c r="U329" s="582">
        <v>0.68144238620274011</v>
      </c>
    </row>
    <row r="330" spans="10:21">
      <c r="J330" s="580">
        <v>41705</v>
      </c>
      <c r="K330" s="581">
        <v>3.472222222222222E-3</v>
      </c>
      <c r="L330" s="582">
        <v>10.164899999999999</v>
      </c>
      <c r="M330" s="582">
        <v>10.146100000000001</v>
      </c>
      <c r="N330" s="582">
        <v>10.5601</v>
      </c>
      <c r="O330" s="582">
        <v>10.5344</v>
      </c>
      <c r="P330" s="582">
        <v>99.006900000000002</v>
      </c>
      <c r="Q330" s="582">
        <v>10.123400150598458</v>
      </c>
      <c r="R330" s="582">
        <v>0</v>
      </c>
      <c r="S330" s="582">
        <v>0.67269984940154237</v>
      </c>
      <c r="T330" s="582">
        <v>0.626699849401542</v>
      </c>
      <c r="U330" s="582">
        <v>0.68099984940154146</v>
      </c>
    </row>
    <row r="331" spans="10:21">
      <c r="J331" s="580">
        <v>41544</v>
      </c>
      <c r="K331" s="581">
        <v>6.9444444444444441E-3</v>
      </c>
      <c r="L331" s="582">
        <v>10.0543</v>
      </c>
      <c r="M331" s="582">
        <v>10.0685</v>
      </c>
      <c r="N331" s="582">
        <v>10.0777</v>
      </c>
      <c r="O331" s="582">
        <v>10.089399999999999</v>
      </c>
      <c r="P331" s="582">
        <v>98.774299999999997</v>
      </c>
      <c r="Q331" s="582">
        <v>10.099616930691267</v>
      </c>
      <c r="R331" s="582">
        <v>0</v>
      </c>
      <c r="S331" s="582">
        <v>0.61888306930873305</v>
      </c>
      <c r="T331" s="582">
        <v>0.16808306930873285</v>
      </c>
      <c r="U331" s="582">
        <v>0.25978306930873213</v>
      </c>
    </row>
    <row r="332" spans="10:21">
      <c r="J332" s="580">
        <v>41545</v>
      </c>
      <c r="K332" s="581">
        <v>6.9444444444444441E-3</v>
      </c>
      <c r="L332" s="582">
        <v>10.051600000000001</v>
      </c>
      <c r="M332" s="582">
        <v>10.0669</v>
      </c>
      <c r="N332" s="582">
        <v>10.074999999999999</v>
      </c>
      <c r="O332" s="582">
        <v>10.087199999999999</v>
      </c>
      <c r="P332" s="582">
        <v>98.748900000000006</v>
      </c>
      <c r="Q332" s="582">
        <v>10.097019794897447</v>
      </c>
      <c r="R332" s="582">
        <v>0</v>
      </c>
      <c r="S332" s="582">
        <v>0.61988020510255359</v>
      </c>
      <c r="T332" s="582">
        <v>0.1679802051025524</v>
      </c>
      <c r="U332" s="582">
        <v>0.2601802051025523</v>
      </c>
    </row>
    <row r="333" spans="10:21">
      <c r="J333" s="580">
        <v>41546</v>
      </c>
      <c r="K333" s="581">
        <v>6.9444444444444441E-3</v>
      </c>
      <c r="L333" s="582">
        <v>10.0334</v>
      </c>
      <c r="M333" s="582">
        <v>10.047800000000001</v>
      </c>
      <c r="N333" s="582">
        <v>10.0556</v>
      </c>
      <c r="O333" s="582">
        <v>10.0686</v>
      </c>
      <c r="P333" s="582">
        <v>98.551900000000003</v>
      </c>
      <c r="Q333" s="582">
        <v>10.076876655079234</v>
      </c>
      <c r="R333" s="582">
        <v>0</v>
      </c>
      <c r="S333" s="582">
        <v>0.62092334492076673</v>
      </c>
      <c r="T333" s="582">
        <v>0.16872334492076624</v>
      </c>
      <c r="U333" s="582">
        <v>0.26172334492076604</v>
      </c>
    </row>
    <row r="334" spans="10:21">
      <c r="J334" s="580">
        <v>41547</v>
      </c>
      <c r="K334" s="581">
        <v>6.9444444444444441E-3</v>
      </c>
      <c r="L334" s="582">
        <v>10.0107</v>
      </c>
      <c r="M334" s="582">
        <v>10.024900000000001</v>
      </c>
      <c r="N334" s="582">
        <v>10.033200000000001</v>
      </c>
      <c r="O334" s="582">
        <v>10.045</v>
      </c>
      <c r="P334" s="582">
        <v>98.348799999999997</v>
      </c>
      <c r="Q334" s="582">
        <v>10.056109793672739</v>
      </c>
      <c r="R334" s="582">
        <v>0</v>
      </c>
      <c r="S334" s="582">
        <v>0.61879020632726145</v>
      </c>
      <c r="T334" s="582">
        <v>0.16709020632726157</v>
      </c>
      <c r="U334" s="582">
        <v>0.25889020632726062</v>
      </c>
    </row>
    <row r="335" spans="10:21">
      <c r="J335" s="580">
        <v>41548</v>
      </c>
      <c r="K335" s="581">
        <v>6.9444444444444441E-3</v>
      </c>
      <c r="L335" s="582">
        <v>10.010999999999999</v>
      </c>
      <c r="M335" s="582">
        <v>10.025499999999999</v>
      </c>
      <c r="N335" s="582">
        <v>10.0327</v>
      </c>
      <c r="O335" s="582">
        <v>10.0456</v>
      </c>
      <c r="P335" s="582">
        <v>98.340599999999995</v>
      </c>
      <c r="Q335" s="582">
        <v>10.055271348258985</v>
      </c>
      <c r="R335" s="582">
        <v>0</v>
      </c>
      <c r="S335" s="582">
        <v>0.62022865174101383</v>
      </c>
      <c r="T335" s="582">
        <v>0.16742865174101473</v>
      </c>
      <c r="U335" s="582">
        <v>0.26032865174101477</v>
      </c>
    </row>
    <row r="336" spans="10:21">
      <c r="J336" s="580">
        <v>41549</v>
      </c>
      <c r="K336" s="581">
        <v>6.9444444444444441E-3</v>
      </c>
      <c r="L336" s="582">
        <v>10.018800000000001</v>
      </c>
      <c r="M336" s="582">
        <v>10.032400000000001</v>
      </c>
      <c r="N336" s="582">
        <v>10.0404</v>
      </c>
      <c r="O336" s="582">
        <v>10.053900000000001</v>
      </c>
      <c r="P336" s="582">
        <v>98.404600000000002</v>
      </c>
      <c r="Q336" s="582">
        <v>10.061815312463889</v>
      </c>
      <c r="R336" s="582">
        <v>0</v>
      </c>
      <c r="S336" s="582">
        <v>0.62058468753611229</v>
      </c>
      <c r="T336" s="582">
        <v>0.16858468753611133</v>
      </c>
      <c r="U336" s="582">
        <v>0.26208468753611175</v>
      </c>
    </row>
    <row r="337" spans="10:21">
      <c r="J337" s="580">
        <v>41550</v>
      </c>
      <c r="K337" s="581">
        <v>6.9444444444444441E-3</v>
      </c>
      <c r="L337" s="582">
        <v>10.0335</v>
      </c>
      <c r="M337" s="582">
        <v>10.043900000000001</v>
      </c>
      <c r="N337" s="582">
        <v>10.0524</v>
      </c>
      <c r="O337" s="582">
        <v>10.0646</v>
      </c>
      <c r="P337" s="582">
        <v>98.535799999999995</v>
      </c>
      <c r="Q337" s="582">
        <v>10.075230439083937</v>
      </c>
      <c r="R337" s="582">
        <v>0</v>
      </c>
      <c r="S337" s="582">
        <v>0.61866956091606418</v>
      </c>
      <c r="T337" s="582">
        <v>0.16716956091606383</v>
      </c>
      <c r="U337" s="582">
        <v>0.25936956091606372</v>
      </c>
    </row>
    <row r="338" spans="10:21">
      <c r="J338" s="580">
        <v>41551</v>
      </c>
      <c r="K338" s="581">
        <v>6.9444444444444441E-3</v>
      </c>
      <c r="L338" s="582">
        <v>10.039999999999999</v>
      </c>
      <c r="M338" s="582">
        <v>10.052899999999999</v>
      </c>
      <c r="N338" s="582">
        <v>10.059799999999999</v>
      </c>
      <c r="O338" s="582">
        <v>10.071400000000001</v>
      </c>
      <c r="P338" s="582">
        <v>98.590900000000005</v>
      </c>
      <c r="Q338" s="582">
        <v>10.080864383266595</v>
      </c>
      <c r="R338" s="582">
        <v>0</v>
      </c>
      <c r="S338" s="582">
        <v>0.62203561673340402</v>
      </c>
      <c r="T338" s="582">
        <v>0.16893561673340385</v>
      </c>
      <c r="U338" s="582">
        <v>0.26053561673340514</v>
      </c>
    </row>
    <row r="339" spans="10:21">
      <c r="J339" s="580">
        <v>41552</v>
      </c>
      <c r="K339" s="581">
        <v>6.9444444444444441E-3</v>
      </c>
      <c r="L339" s="582">
        <v>10.0502</v>
      </c>
      <c r="M339" s="582">
        <v>10.062200000000001</v>
      </c>
      <c r="N339" s="582">
        <v>10.0693</v>
      </c>
      <c r="O339" s="582">
        <v>10.082700000000001</v>
      </c>
      <c r="P339" s="582">
        <v>98.712000000000003</v>
      </c>
      <c r="Q339" s="582">
        <v>10.093246790535558</v>
      </c>
      <c r="R339" s="582">
        <v>0</v>
      </c>
      <c r="S339" s="582">
        <v>0.61895320946444321</v>
      </c>
      <c r="T339" s="582">
        <v>0.16605320946444257</v>
      </c>
      <c r="U339" s="582">
        <v>0.25945320946444322</v>
      </c>
    </row>
    <row r="340" spans="10:21">
      <c r="J340" s="580">
        <v>41553</v>
      </c>
      <c r="K340" s="581">
        <v>6.9444444444444441E-3</v>
      </c>
      <c r="L340" s="582">
        <v>10.0413</v>
      </c>
      <c r="M340" s="582">
        <v>10.052</v>
      </c>
      <c r="N340" s="582">
        <v>10.059200000000001</v>
      </c>
      <c r="O340" s="582">
        <v>10.0733</v>
      </c>
      <c r="P340" s="582">
        <v>98.616299999999995</v>
      </c>
      <c r="Q340" s="582">
        <v>10.083461519060416</v>
      </c>
      <c r="R340" s="582">
        <v>0</v>
      </c>
      <c r="S340" s="582">
        <v>0.61853848093958397</v>
      </c>
      <c r="T340" s="582">
        <v>0.16573848093958488</v>
      </c>
      <c r="U340" s="582">
        <v>0.25983848093958389</v>
      </c>
    </row>
    <row r="341" spans="10:21">
      <c r="J341" s="580">
        <v>41554</v>
      </c>
      <c r="K341" s="581">
        <v>6.9444444444444441E-3</v>
      </c>
      <c r="L341" s="582">
        <v>10.041399999999999</v>
      </c>
      <c r="M341" s="582">
        <v>10.052300000000001</v>
      </c>
      <c r="N341" s="582">
        <v>10.059799999999999</v>
      </c>
      <c r="O341" s="582">
        <v>10.074299999999999</v>
      </c>
      <c r="P341" s="582">
        <v>98.621899999999997</v>
      </c>
      <c r="Q341" s="582">
        <v>10.084034115928343</v>
      </c>
      <c r="R341" s="582">
        <v>0</v>
      </c>
      <c r="S341" s="582">
        <v>0.6182658840716575</v>
      </c>
      <c r="T341" s="582">
        <v>0.16576588407165593</v>
      </c>
      <c r="U341" s="582">
        <v>0.2602658840716558</v>
      </c>
    </row>
    <row r="342" spans="10:21">
      <c r="J342" s="580">
        <v>41555</v>
      </c>
      <c r="K342" s="581">
        <v>6.9444444444444441E-3</v>
      </c>
      <c r="L342" s="582">
        <v>10.044700000000001</v>
      </c>
      <c r="M342" s="582">
        <v>10.056100000000001</v>
      </c>
      <c r="N342" s="582">
        <v>10.065</v>
      </c>
      <c r="O342" s="582">
        <v>10.0801</v>
      </c>
      <c r="P342" s="582">
        <v>98.670900000000003</v>
      </c>
      <c r="Q342" s="582">
        <v>10.089044338522722</v>
      </c>
      <c r="R342" s="582">
        <v>0</v>
      </c>
      <c r="S342" s="582">
        <v>0.61705566147727864</v>
      </c>
      <c r="T342" s="582">
        <v>0.16595566147727736</v>
      </c>
      <c r="U342" s="582">
        <v>0.2610556614772776</v>
      </c>
    </row>
    <row r="343" spans="10:21">
      <c r="J343" s="580">
        <v>41556</v>
      </c>
      <c r="K343" s="581">
        <v>6.9444444444444441E-3</v>
      </c>
      <c r="L343" s="582">
        <v>10.053599999999999</v>
      </c>
      <c r="M343" s="582">
        <v>10.068300000000001</v>
      </c>
      <c r="N343" s="582">
        <v>10.0732</v>
      </c>
      <c r="O343" s="582">
        <v>10.087999999999999</v>
      </c>
      <c r="P343" s="582">
        <v>98.778700000000001</v>
      </c>
      <c r="Q343" s="582">
        <v>10.100066828230354</v>
      </c>
      <c r="R343" s="582">
        <v>0</v>
      </c>
      <c r="S343" s="582">
        <v>0.61823317176964721</v>
      </c>
      <c r="T343" s="582">
        <v>0.16313317176964637</v>
      </c>
      <c r="U343" s="582">
        <v>0.25793317176964553</v>
      </c>
    </row>
    <row r="344" spans="10:21">
      <c r="J344" s="580">
        <v>41557</v>
      </c>
      <c r="K344" s="581">
        <v>6.9444444444444441E-3</v>
      </c>
      <c r="L344" s="582">
        <v>10.0441</v>
      </c>
      <c r="M344" s="582">
        <v>10.057600000000001</v>
      </c>
      <c r="N344" s="582">
        <v>10.0647</v>
      </c>
      <c r="O344" s="582">
        <v>10.0783</v>
      </c>
      <c r="P344" s="582">
        <v>98.672399999999996</v>
      </c>
      <c r="Q344" s="582">
        <v>10.089197712683774</v>
      </c>
      <c r="R344" s="582">
        <v>0</v>
      </c>
      <c r="S344" s="582">
        <v>0.61840228731622715</v>
      </c>
      <c r="T344" s="582">
        <v>0.16550228731622652</v>
      </c>
      <c r="U344" s="582">
        <v>0.2591022873162267</v>
      </c>
    </row>
    <row r="345" spans="10:21">
      <c r="J345" s="580">
        <v>41558</v>
      </c>
      <c r="K345" s="581">
        <v>6.9444444444444441E-3</v>
      </c>
      <c r="L345" s="582">
        <v>10.0502</v>
      </c>
      <c r="M345" s="582">
        <v>10.064399999999999</v>
      </c>
      <c r="N345" s="582">
        <v>10.0707</v>
      </c>
      <c r="O345" s="582">
        <v>10.083600000000001</v>
      </c>
      <c r="P345" s="582">
        <v>98.726100000000002</v>
      </c>
      <c r="Q345" s="582">
        <v>10.094688507649451</v>
      </c>
      <c r="R345" s="582">
        <v>0</v>
      </c>
      <c r="S345" s="582">
        <v>0.61971149235054823</v>
      </c>
      <c r="T345" s="582">
        <v>0.16601149235054946</v>
      </c>
      <c r="U345" s="582">
        <v>0.2589114923505495</v>
      </c>
    </row>
    <row r="346" spans="10:21">
      <c r="J346" s="580">
        <v>41559</v>
      </c>
      <c r="K346" s="581">
        <v>6.9444444444444441E-3</v>
      </c>
      <c r="L346" s="582">
        <v>10.0273</v>
      </c>
      <c r="M346" s="582">
        <v>10.041</v>
      </c>
      <c r="N346" s="582">
        <v>10.046799999999999</v>
      </c>
      <c r="O346" s="582">
        <v>10.0596</v>
      </c>
      <c r="P346" s="582">
        <v>98.506799999999998</v>
      </c>
      <c r="Q346" s="582">
        <v>10.072265205303591</v>
      </c>
      <c r="R346" s="582">
        <v>0</v>
      </c>
      <c r="S346" s="582">
        <v>0.61873479469640968</v>
      </c>
      <c r="T346" s="582">
        <v>0.16453479469640853</v>
      </c>
      <c r="U346" s="582">
        <v>0.2573347946964088</v>
      </c>
    </row>
    <row r="347" spans="10:21">
      <c r="J347" s="580">
        <v>41560</v>
      </c>
      <c r="K347" s="581">
        <v>6.9444444444444441E-3</v>
      </c>
      <c r="L347" s="582">
        <v>10.0174</v>
      </c>
      <c r="M347" s="582">
        <v>10.0298</v>
      </c>
      <c r="N347" s="582">
        <v>10.0382</v>
      </c>
      <c r="O347" s="582">
        <v>10.0497</v>
      </c>
      <c r="P347" s="582">
        <v>98.378</v>
      </c>
      <c r="Q347" s="582">
        <v>10.059095477341225</v>
      </c>
      <c r="R347" s="582">
        <v>0</v>
      </c>
      <c r="S347" s="582">
        <v>0.62070452265877463</v>
      </c>
      <c r="T347" s="582">
        <v>0.16910452265877451</v>
      </c>
      <c r="U347" s="582">
        <v>0.26060452265877426</v>
      </c>
    </row>
    <row r="348" spans="10:21">
      <c r="J348" s="580">
        <v>41561</v>
      </c>
      <c r="K348" s="581">
        <v>6.9444444444444441E-3</v>
      </c>
      <c r="L348" s="582">
        <v>10.0281</v>
      </c>
      <c r="M348" s="582">
        <v>10.0403</v>
      </c>
      <c r="N348" s="582">
        <v>10.0479</v>
      </c>
      <c r="O348" s="582">
        <v>10.060600000000001</v>
      </c>
      <c r="P348" s="582">
        <v>98.489699999999999</v>
      </c>
      <c r="Q348" s="582">
        <v>10.070516739867594</v>
      </c>
      <c r="R348" s="582">
        <v>0</v>
      </c>
      <c r="S348" s="582">
        <v>0.61978326013240603</v>
      </c>
      <c r="T348" s="582">
        <v>0.16738326013240601</v>
      </c>
      <c r="U348" s="582">
        <v>0.26008326013240651</v>
      </c>
    </row>
    <row r="349" spans="10:21">
      <c r="J349" s="580">
        <v>41562</v>
      </c>
      <c r="K349" s="581">
        <v>6.9444444444444441E-3</v>
      </c>
      <c r="L349" s="582">
        <v>10.0451</v>
      </c>
      <c r="M349" s="582">
        <v>10.0563</v>
      </c>
      <c r="N349" s="582">
        <v>10.064299999999999</v>
      </c>
      <c r="O349" s="582">
        <v>10.0768</v>
      </c>
      <c r="P349" s="582">
        <v>98.654700000000005</v>
      </c>
      <c r="Q349" s="582">
        <v>10.087387897583357</v>
      </c>
      <c r="R349" s="582">
        <v>0</v>
      </c>
      <c r="S349" s="582">
        <v>0.61891210241664374</v>
      </c>
      <c r="T349" s="582">
        <v>0.16691210241664278</v>
      </c>
      <c r="U349" s="582">
        <v>0.25941210241664375</v>
      </c>
    </row>
    <row r="350" spans="10:21">
      <c r="J350" s="580">
        <v>41563</v>
      </c>
      <c r="K350" s="581">
        <v>6.9444444444444441E-3</v>
      </c>
      <c r="L350" s="582">
        <v>12.624499999999999</v>
      </c>
      <c r="M350" s="582">
        <v>12.4171</v>
      </c>
      <c r="N350" s="582">
        <v>13.060499999999999</v>
      </c>
      <c r="O350" s="582">
        <v>12.994</v>
      </c>
      <c r="P350" s="582">
        <v>98.724599999999995</v>
      </c>
      <c r="Q350" s="582">
        <v>10.094535133488398</v>
      </c>
      <c r="R350" s="582">
        <v>2.3449648665116016</v>
      </c>
      <c r="S350" s="582">
        <v>2.9725648665116022</v>
      </c>
      <c r="T350" s="582">
        <v>3.155964866511602</v>
      </c>
      <c r="U350" s="582">
        <v>3.1694648665116016</v>
      </c>
    </row>
    <row r="351" spans="10:21">
      <c r="J351" s="580">
        <v>41564</v>
      </c>
      <c r="K351" s="581">
        <v>6.9444444444444441E-3</v>
      </c>
      <c r="L351" s="582">
        <v>13.2888</v>
      </c>
      <c r="M351" s="582">
        <v>12.6274</v>
      </c>
      <c r="N351" s="582">
        <v>13.3117</v>
      </c>
      <c r="O351" s="582">
        <v>13.2638</v>
      </c>
      <c r="P351" s="582">
        <v>98.738299999999995</v>
      </c>
      <c r="Q351" s="582">
        <v>10.095935950826009</v>
      </c>
      <c r="R351" s="582">
        <v>3.0078640491739912</v>
      </c>
      <c r="S351" s="582">
        <v>3.1814640491739912</v>
      </c>
      <c r="T351" s="582">
        <v>3.4057640491739916</v>
      </c>
      <c r="U351" s="582">
        <v>3.4378640491739905</v>
      </c>
    </row>
    <row r="352" spans="10:21">
      <c r="J352" s="580">
        <v>41565</v>
      </c>
      <c r="K352" s="581">
        <v>6.9444444444444441E-3</v>
      </c>
      <c r="L352" s="582">
        <v>13.3109</v>
      </c>
      <c r="M352" s="582">
        <v>12.7249</v>
      </c>
      <c r="N352" s="582">
        <v>13.5036</v>
      </c>
      <c r="O352" s="582">
        <v>13.3215</v>
      </c>
      <c r="P352" s="582">
        <v>98.765500000000003</v>
      </c>
      <c r="Q352" s="582">
        <v>10.098717135613093</v>
      </c>
      <c r="R352" s="582">
        <v>3.0271828643869072</v>
      </c>
      <c r="S352" s="582">
        <v>3.2761828643869073</v>
      </c>
      <c r="T352" s="582">
        <v>3.594882864386908</v>
      </c>
      <c r="U352" s="582">
        <v>3.492782864386907</v>
      </c>
    </row>
    <row r="353" spans="10:21">
      <c r="J353" s="580">
        <v>41566</v>
      </c>
      <c r="K353" s="581">
        <v>6.9444444444444441E-3</v>
      </c>
      <c r="L353" s="582">
        <v>13.473699999999999</v>
      </c>
      <c r="M353" s="582">
        <v>12.788399999999999</v>
      </c>
      <c r="N353" s="582">
        <v>13.631399999999999</v>
      </c>
      <c r="O353" s="582">
        <v>13.3969</v>
      </c>
      <c r="P353" s="582">
        <v>98.816400000000002</v>
      </c>
      <c r="Q353" s="582">
        <v>10.103921632144804</v>
      </c>
      <c r="R353" s="582">
        <v>3.1847783678551953</v>
      </c>
      <c r="S353" s="582">
        <v>3.3344783678551959</v>
      </c>
      <c r="T353" s="582">
        <v>3.7174783678551959</v>
      </c>
      <c r="U353" s="582">
        <v>3.5629783678551963</v>
      </c>
    </row>
    <row r="354" spans="10:21">
      <c r="J354" s="580">
        <v>41567</v>
      </c>
      <c r="K354" s="581">
        <v>6.9444444444444441E-3</v>
      </c>
      <c r="L354" s="582">
        <v>13.4682</v>
      </c>
      <c r="M354" s="582">
        <v>12.864800000000001</v>
      </c>
      <c r="N354" s="582">
        <v>13.9069</v>
      </c>
      <c r="O354" s="582">
        <v>13.5326</v>
      </c>
      <c r="P354" s="582">
        <v>98.881799999999998</v>
      </c>
      <c r="Q354" s="582">
        <v>10.110608745566688</v>
      </c>
      <c r="R354" s="582">
        <v>3.172591254433311</v>
      </c>
      <c r="S354" s="582">
        <v>3.4041912544333126</v>
      </c>
      <c r="T354" s="582">
        <v>3.9862912544333122</v>
      </c>
      <c r="U354" s="582">
        <v>3.6919912544333116</v>
      </c>
    </row>
    <row r="355" spans="10:21">
      <c r="J355" s="580">
        <v>41568</v>
      </c>
      <c r="K355" s="581">
        <v>6.9444444444444441E-3</v>
      </c>
      <c r="L355" s="582">
        <v>13.39</v>
      </c>
      <c r="M355" s="582">
        <v>12.846500000000001</v>
      </c>
      <c r="N355" s="582">
        <v>13.9528</v>
      </c>
      <c r="O355" s="582">
        <v>13.2981</v>
      </c>
      <c r="P355" s="582">
        <v>98.516400000000004</v>
      </c>
      <c r="Q355" s="582">
        <v>10.073246799934326</v>
      </c>
      <c r="R355" s="582">
        <v>3.1317532000656745</v>
      </c>
      <c r="S355" s="582">
        <v>3.423253200065675</v>
      </c>
      <c r="T355" s="582">
        <v>4.0695532000656742</v>
      </c>
      <c r="U355" s="582">
        <v>3.4948532000656733</v>
      </c>
    </row>
    <row r="356" spans="10:21">
      <c r="J356" s="580">
        <v>41569</v>
      </c>
      <c r="K356" s="581">
        <v>6.9444444444444441E-3</v>
      </c>
      <c r="L356" s="582">
        <v>13.327400000000001</v>
      </c>
      <c r="M356" s="582">
        <v>12.8142</v>
      </c>
      <c r="N356" s="582">
        <v>13.901899999999999</v>
      </c>
      <c r="O356" s="582">
        <v>13.289300000000001</v>
      </c>
      <c r="P356" s="582">
        <v>98.339299999999994</v>
      </c>
      <c r="Q356" s="582">
        <v>10.055138423986074</v>
      </c>
      <c r="R356" s="582">
        <v>3.0872615760139266</v>
      </c>
      <c r="S356" s="582">
        <v>3.4090615760139258</v>
      </c>
      <c r="T356" s="582">
        <v>4.0367615760139257</v>
      </c>
      <c r="U356" s="582">
        <v>3.5041615760139262</v>
      </c>
    </row>
    <row r="357" spans="10:21">
      <c r="J357" s="580">
        <v>41570</v>
      </c>
      <c r="K357" s="581">
        <v>6.9444444444444441E-3</v>
      </c>
      <c r="L357" s="582">
        <v>13.281599999999999</v>
      </c>
      <c r="M357" s="582">
        <v>12.796799999999999</v>
      </c>
      <c r="N357" s="582">
        <v>13.8512</v>
      </c>
      <c r="O357" s="582">
        <v>13.2553</v>
      </c>
      <c r="P357" s="582">
        <v>98.334900000000005</v>
      </c>
      <c r="Q357" s="582">
        <v>10.054688526446988</v>
      </c>
      <c r="R357" s="582">
        <v>3.0419114735530113</v>
      </c>
      <c r="S357" s="582">
        <v>3.3921114735530118</v>
      </c>
      <c r="T357" s="582">
        <v>3.9865114735530129</v>
      </c>
      <c r="U357" s="582">
        <v>3.4706114735530118</v>
      </c>
    </row>
    <row r="358" spans="10:21">
      <c r="J358" s="580">
        <v>41571</v>
      </c>
      <c r="K358" s="581">
        <v>6.9444444444444441E-3</v>
      </c>
      <c r="L358" s="582">
        <v>13.2462</v>
      </c>
      <c r="M358" s="582">
        <v>12.7835</v>
      </c>
      <c r="N358" s="582">
        <v>13.8072</v>
      </c>
      <c r="O358" s="582">
        <v>13.230700000000001</v>
      </c>
      <c r="P358" s="582">
        <v>98.398399999999995</v>
      </c>
      <c r="Q358" s="582">
        <v>10.061181365931539</v>
      </c>
      <c r="R358" s="582">
        <v>3.0000186340684611</v>
      </c>
      <c r="S358" s="582">
        <v>3.3723186340684617</v>
      </c>
      <c r="T358" s="582">
        <v>3.9360186340684615</v>
      </c>
      <c r="U358" s="582">
        <v>3.4395186340684614</v>
      </c>
    </row>
    <row r="359" spans="10:21">
      <c r="J359" s="580">
        <v>41572</v>
      </c>
      <c r="K359" s="581">
        <v>6.9444444444444441E-3</v>
      </c>
      <c r="L359" s="582">
        <v>13.205299999999999</v>
      </c>
      <c r="M359" s="582">
        <v>12.760300000000001</v>
      </c>
      <c r="N359" s="582">
        <v>13.7517</v>
      </c>
      <c r="O359" s="582">
        <v>13.2096</v>
      </c>
      <c r="P359" s="582">
        <v>98.380200000000002</v>
      </c>
      <c r="Q359" s="582">
        <v>10.059320426110769</v>
      </c>
      <c r="R359" s="582">
        <v>2.9609795738892299</v>
      </c>
      <c r="S359" s="582">
        <v>3.3509795738892318</v>
      </c>
      <c r="T359" s="582">
        <v>3.8823795738892306</v>
      </c>
      <c r="U359" s="582">
        <v>3.4202795738892302</v>
      </c>
    </row>
    <row r="360" spans="10:21">
      <c r="J360" s="580">
        <v>41573</v>
      </c>
      <c r="K360" s="581">
        <v>6.9444444444444441E-3</v>
      </c>
      <c r="L360" s="582">
        <v>13.1638</v>
      </c>
      <c r="M360" s="582">
        <v>12.7464</v>
      </c>
      <c r="N360" s="582">
        <v>13.7019</v>
      </c>
      <c r="O360" s="582">
        <v>13.2029</v>
      </c>
      <c r="P360" s="582">
        <v>98.423400000000001</v>
      </c>
      <c r="Q360" s="582">
        <v>10.063737601949079</v>
      </c>
      <c r="R360" s="582">
        <v>2.9150623980509214</v>
      </c>
      <c r="S360" s="582">
        <v>3.3326623980509211</v>
      </c>
      <c r="T360" s="582">
        <v>3.8281623980509218</v>
      </c>
      <c r="U360" s="582">
        <v>3.4091623980509205</v>
      </c>
    </row>
    <row r="361" spans="10:21">
      <c r="J361" s="580">
        <v>41574</v>
      </c>
      <c r="K361" s="581">
        <v>6.9444444444444441E-3</v>
      </c>
      <c r="L361" s="582">
        <v>13.151999999999999</v>
      </c>
      <c r="M361" s="582">
        <v>12.752000000000001</v>
      </c>
      <c r="N361" s="582">
        <v>13.6868</v>
      </c>
      <c r="O361" s="582">
        <v>13.2065</v>
      </c>
      <c r="P361" s="582">
        <v>98.669600000000003</v>
      </c>
      <c r="Q361" s="582">
        <v>10.088911414249811</v>
      </c>
      <c r="R361" s="582">
        <v>2.8780885857501883</v>
      </c>
      <c r="S361" s="582">
        <v>3.3130885857501902</v>
      </c>
      <c r="T361" s="582">
        <v>3.7878885857501894</v>
      </c>
      <c r="U361" s="582">
        <v>3.3875885857501888</v>
      </c>
    </row>
    <row r="362" spans="10:21">
      <c r="J362" s="580">
        <v>41575</v>
      </c>
      <c r="K362" s="581">
        <v>6.9444444444444441E-3</v>
      </c>
      <c r="L362" s="582">
        <v>13.1213</v>
      </c>
      <c r="M362" s="582">
        <v>12.738899999999999</v>
      </c>
      <c r="N362" s="582">
        <v>13.642200000000001</v>
      </c>
      <c r="O362" s="582">
        <v>13.1914</v>
      </c>
      <c r="P362" s="582">
        <v>98.738699999999994</v>
      </c>
      <c r="Q362" s="582">
        <v>10.095976850602289</v>
      </c>
      <c r="R362" s="582">
        <v>2.8403231493977104</v>
      </c>
      <c r="S362" s="582">
        <v>3.2929231493977102</v>
      </c>
      <c r="T362" s="582">
        <v>3.7362231493977118</v>
      </c>
      <c r="U362" s="582">
        <v>3.36542314939771</v>
      </c>
    </row>
    <row r="363" spans="10:21">
      <c r="J363" s="580">
        <v>41576</v>
      </c>
      <c r="K363" s="581">
        <v>6.9444444444444441E-3</v>
      </c>
      <c r="L363" s="582">
        <v>13.0921</v>
      </c>
      <c r="M363" s="582">
        <v>12.7303</v>
      </c>
      <c r="N363" s="582">
        <v>13.606299999999999</v>
      </c>
      <c r="O363" s="582">
        <v>13.176</v>
      </c>
      <c r="P363" s="582">
        <v>98.851699999999994</v>
      </c>
      <c r="Q363" s="582">
        <v>10.10753103740157</v>
      </c>
      <c r="R363" s="582">
        <v>2.7995689625984306</v>
      </c>
      <c r="S363" s="582">
        <v>3.2727689625984304</v>
      </c>
      <c r="T363" s="582">
        <v>3.6887689625984299</v>
      </c>
      <c r="U363" s="582">
        <v>3.3384689625984301</v>
      </c>
    </row>
    <row r="364" spans="10:21">
      <c r="J364" s="580">
        <v>41577</v>
      </c>
      <c r="K364" s="581">
        <v>6.9444444444444441E-3</v>
      </c>
      <c r="L364" s="582">
        <v>13.064</v>
      </c>
      <c r="M364" s="582">
        <v>12.7216</v>
      </c>
      <c r="N364" s="582">
        <v>13.5892</v>
      </c>
      <c r="O364" s="582">
        <v>13.1685</v>
      </c>
      <c r="P364" s="582">
        <v>98.953400000000002</v>
      </c>
      <c r="Q364" s="582">
        <v>10.117929805520923</v>
      </c>
      <c r="R364" s="582">
        <v>2.761070194479077</v>
      </c>
      <c r="S364" s="582">
        <v>3.2536701944790778</v>
      </c>
      <c r="T364" s="582">
        <v>3.6612701944790773</v>
      </c>
      <c r="U364" s="582">
        <v>3.3205701944790764</v>
      </c>
    </row>
    <row r="365" spans="10:21">
      <c r="J365" s="580">
        <v>41578</v>
      </c>
      <c r="K365" s="581">
        <v>6.9444444444444441E-3</v>
      </c>
      <c r="L365" s="582">
        <v>13.0261</v>
      </c>
      <c r="M365" s="582">
        <v>12.702500000000001</v>
      </c>
      <c r="N365" s="582">
        <v>13.544700000000001</v>
      </c>
      <c r="O365" s="582">
        <v>13.150600000000001</v>
      </c>
      <c r="P365" s="582">
        <v>98.964500000000001</v>
      </c>
      <c r="Q365" s="582">
        <v>10.11906477431271</v>
      </c>
      <c r="R365" s="582">
        <v>2.7220352256872897</v>
      </c>
      <c r="S365" s="582">
        <v>3.2334352256872911</v>
      </c>
      <c r="T365" s="582">
        <v>3.6156352256872912</v>
      </c>
      <c r="U365" s="582">
        <v>3.3015352256872905</v>
      </c>
    </row>
    <row r="366" spans="10:21">
      <c r="J366" s="580">
        <v>41579</v>
      </c>
      <c r="K366" s="581">
        <v>6.9444444444444441E-3</v>
      </c>
      <c r="L366" s="582">
        <v>12.9998</v>
      </c>
      <c r="M366" s="582">
        <v>12.6823</v>
      </c>
      <c r="N366" s="582">
        <v>13.493399999999999</v>
      </c>
      <c r="O366" s="582">
        <v>13.1326</v>
      </c>
      <c r="P366" s="582">
        <v>98.963999999999999</v>
      </c>
      <c r="Q366" s="582">
        <v>10.119013649592359</v>
      </c>
      <c r="R366" s="582">
        <v>2.6957863504076411</v>
      </c>
      <c r="S366" s="582">
        <v>3.2132863504076408</v>
      </c>
      <c r="T366" s="582">
        <v>3.5643863504076405</v>
      </c>
      <c r="U366" s="582">
        <v>3.2835863504076404</v>
      </c>
    </row>
    <row r="367" spans="10:21">
      <c r="J367" s="580">
        <v>41580</v>
      </c>
      <c r="K367" s="581">
        <v>6.9444444444444441E-3</v>
      </c>
      <c r="L367" s="582">
        <v>12.954499999999999</v>
      </c>
      <c r="M367" s="582">
        <v>12.6555</v>
      </c>
      <c r="N367" s="582">
        <v>13.435</v>
      </c>
      <c r="O367" s="582">
        <v>13.103999999999999</v>
      </c>
      <c r="P367" s="582">
        <v>98.885900000000007</v>
      </c>
      <c r="Q367" s="582">
        <v>10.111027968273566</v>
      </c>
      <c r="R367" s="582">
        <v>2.6584720317264332</v>
      </c>
      <c r="S367" s="582">
        <v>3.1944720317264341</v>
      </c>
      <c r="T367" s="582">
        <v>3.5139720317264347</v>
      </c>
      <c r="U367" s="582">
        <v>3.2629720317264326</v>
      </c>
    </row>
    <row r="368" spans="10:21">
      <c r="J368" s="580">
        <v>41581</v>
      </c>
      <c r="K368" s="581">
        <v>6.9444444444444441E-3</v>
      </c>
      <c r="L368" s="582">
        <v>12.920299999999999</v>
      </c>
      <c r="M368" s="582">
        <v>12.638400000000001</v>
      </c>
      <c r="N368" s="582">
        <v>13.402200000000001</v>
      </c>
      <c r="O368" s="582">
        <v>13.0863</v>
      </c>
      <c r="P368" s="582">
        <v>98.878900000000002</v>
      </c>
      <c r="Q368" s="582">
        <v>10.110312222188654</v>
      </c>
      <c r="R368" s="582">
        <v>2.6249877778113455</v>
      </c>
      <c r="S368" s="582">
        <v>3.1780877778113474</v>
      </c>
      <c r="T368" s="582">
        <v>3.4818877778113473</v>
      </c>
      <c r="U368" s="582">
        <v>3.2459877778113455</v>
      </c>
    </row>
    <row r="369" spans="10:99">
      <c r="J369" s="580">
        <v>41582</v>
      </c>
      <c r="K369" s="581">
        <v>6.9444444444444441E-3</v>
      </c>
      <c r="L369" s="582">
        <v>12.8912</v>
      </c>
      <c r="M369" s="582">
        <v>12.6264</v>
      </c>
      <c r="N369" s="582">
        <v>13.3742</v>
      </c>
      <c r="O369" s="582">
        <v>13.074</v>
      </c>
      <c r="P369" s="582">
        <v>98.938699999999997</v>
      </c>
      <c r="Q369" s="582">
        <v>10.116426738742609</v>
      </c>
      <c r="R369" s="582">
        <v>2.5897732612573905</v>
      </c>
      <c r="S369" s="582">
        <v>3.1599732612573916</v>
      </c>
      <c r="T369" s="582">
        <v>3.4477732612573915</v>
      </c>
      <c r="U369" s="582">
        <v>3.2275732612573904</v>
      </c>
    </row>
    <row r="370" spans="10:99">
      <c r="J370" s="580">
        <v>41583</v>
      </c>
      <c r="K370" s="581">
        <v>6.9444444444444441E-3</v>
      </c>
      <c r="L370" s="582">
        <v>12.9252</v>
      </c>
      <c r="M370" s="582">
        <v>12.648</v>
      </c>
      <c r="N370" s="582">
        <v>13.384399999999999</v>
      </c>
      <c r="O370" s="582">
        <v>13.0991</v>
      </c>
      <c r="P370" s="582">
        <v>99.0715</v>
      </c>
      <c r="Q370" s="582">
        <v>10.13000546446778</v>
      </c>
      <c r="R370" s="582">
        <v>2.6101945355322198</v>
      </c>
      <c r="S370" s="582">
        <v>3.1679945355322197</v>
      </c>
      <c r="T370" s="582">
        <v>3.4443945355322194</v>
      </c>
      <c r="U370" s="582">
        <v>3.2390945355322192</v>
      </c>
    </row>
    <row r="371" spans="10:99">
      <c r="J371" s="580">
        <v>41584</v>
      </c>
      <c r="K371" s="581">
        <v>6.9444444444444441E-3</v>
      </c>
      <c r="L371" s="582">
        <v>12.9115</v>
      </c>
      <c r="M371" s="582">
        <v>12.645</v>
      </c>
      <c r="N371" s="582">
        <v>13.3569</v>
      </c>
      <c r="O371" s="582">
        <v>13.086499999999999</v>
      </c>
      <c r="P371" s="582">
        <v>99.036799999999999</v>
      </c>
      <c r="Q371" s="582">
        <v>10.126457408875435</v>
      </c>
      <c r="R371" s="582">
        <v>2.600042591124565</v>
      </c>
      <c r="S371" s="582">
        <v>3.1685425911245648</v>
      </c>
      <c r="T371" s="582">
        <v>3.4204425911245648</v>
      </c>
      <c r="U371" s="582">
        <v>3.2300425911245636</v>
      </c>
    </row>
    <row r="372" spans="10:99">
      <c r="J372" s="580">
        <v>41585</v>
      </c>
      <c r="K372" s="581">
        <v>6.9444444444444441E-3</v>
      </c>
      <c r="L372" s="582">
        <v>12.8734</v>
      </c>
      <c r="M372" s="582">
        <v>12.619899999999999</v>
      </c>
      <c r="N372" s="582">
        <v>13.317399999999999</v>
      </c>
      <c r="O372" s="582">
        <v>13.059900000000001</v>
      </c>
      <c r="P372" s="582">
        <v>98.987300000000005</v>
      </c>
      <c r="Q372" s="582">
        <v>10.121396061560707</v>
      </c>
      <c r="R372" s="582">
        <v>2.5670039384392926</v>
      </c>
      <c r="S372" s="582">
        <v>3.1485039384392923</v>
      </c>
      <c r="T372" s="582">
        <v>3.3860039384392921</v>
      </c>
      <c r="U372" s="582">
        <v>3.2085039384392928</v>
      </c>
    </row>
    <row r="373" spans="10:99">
      <c r="J373" s="580">
        <v>41586</v>
      </c>
      <c r="K373" s="581">
        <v>6.9444444444444441E-3</v>
      </c>
      <c r="L373" s="582">
        <v>12.8293</v>
      </c>
      <c r="M373" s="582">
        <v>12.593400000000001</v>
      </c>
      <c r="N373" s="582">
        <v>13.2706</v>
      </c>
      <c r="O373" s="582">
        <v>13.0297</v>
      </c>
      <c r="P373" s="582">
        <v>98.901200000000003</v>
      </c>
      <c r="Q373" s="582">
        <v>10.112592384716299</v>
      </c>
      <c r="R373" s="582">
        <v>2.5317076152837008</v>
      </c>
      <c r="S373" s="582">
        <v>3.1308076152837021</v>
      </c>
      <c r="T373" s="582">
        <v>3.3480076152837013</v>
      </c>
      <c r="U373" s="582">
        <v>3.1871076152837006</v>
      </c>
    </row>
    <row r="374" spans="10:99">
      <c r="J374" s="580">
        <v>41587</v>
      </c>
      <c r="K374" s="581">
        <v>6.9444444444444441E-3</v>
      </c>
      <c r="L374" s="582">
        <v>12.7881</v>
      </c>
      <c r="M374" s="582">
        <v>12.563800000000001</v>
      </c>
      <c r="N374" s="582">
        <v>13.220700000000001</v>
      </c>
      <c r="O374" s="582">
        <v>12.995799999999999</v>
      </c>
      <c r="P374" s="582">
        <v>98.811800000000005</v>
      </c>
      <c r="Q374" s="582">
        <v>10.103451284717577</v>
      </c>
      <c r="R374" s="582">
        <v>2.4996487152824227</v>
      </c>
      <c r="S374" s="582">
        <v>3.1103487152824236</v>
      </c>
      <c r="T374" s="582">
        <v>3.3072487152824239</v>
      </c>
      <c r="U374" s="582">
        <v>3.1623487152824215</v>
      </c>
    </row>
    <row r="375" spans="10:99">
      <c r="J375" s="580">
        <v>41588</v>
      </c>
      <c r="K375" s="581">
        <v>6.9444444444444441E-3</v>
      </c>
      <c r="L375" s="582">
        <v>12.742599999999999</v>
      </c>
      <c r="M375" s="582">
        <v>12.536899999999999</v>
      </c>
      <c r="N375" s="582">
        <v>13.1729</v>
      </c>
      <c r="O375" s="582">
        <v>12.963900000000001</v>
      </c>
      <c r="P375" s="582">
        <v>98.727999999999994</v>
      </c>
      <c r="Q375" s="582">
        <v>10.094882781586783</v>
      </c>
      <c r="R375" s="582">
        <v>2.4627172184132164</v>
      </c>
      <c r="S375" s="582">
        <v>3.0920172184132166</v>
      </c>
      <c r="T375" s="582">
        <v>3.2680172184132177</v>
      </c>
      <c r="U375" s="582">
        <v>3.1390172184132172</v>
      </c>
    </row>
    <row r="376" spans="10:99">
      <c r="J376" s="580">
        <v>41589</v>
      </c>
      <c r="K376" s="581">
        <v>6.9444444444444441E-3</v>
      </c>
      <c r="L376" s="582">
        <v>12.710100000000001</v>
      </c>
      <c r="M376" s="582">
        <v>12.521100000000001</v>
      </c>
      <c r="N376" s="582">
        <v>13.137700000000001</v>
      </c>
      <c r="O376" s="582">
        <v>12.9421</v>
      </c>
      <c r="P376" s="582">
        <v>98.779200000000003</v>
      </c>
      <c r="Q376" s="582">
        <v>10.100117952950706</v>
      </c>
      <c r="R376" s="582">
        <v>2.4249820470492947</v>
      </c>
      <c r="S376" s="582">
        <v>3.070982047049295</v>
      </c>
      <c r="T376" s="582">
        <v>3.2275820470492951</v>
      </c>
      <c r="U376" s="582">
        <v>3.1119820470492936</v>
      </c>
    </row>
    <row r="377" spans="10:99">
      <c r="J377" s="580">
        <v>41590</v>
      </c>
      <c r="K377" s="581">
        <v>6.9444444444444441E-3</v>
      </c>
      <c r="L377" s="582">
        <v>12.661</v>
      </c>
      <c r="M377" s="582">
        <v>12.488899999999999</v>
      </c>
      <c r="N377" s="582">
        <v>13.084300000000001</v>
      </c>
      <c r="O377" s="582">
        <v>12.892099999999999</v>
      </c>
      <c r="P377" s="582">
        <v>98.666399999999996</v>
      </c>
      <c r="Q377" s="582">
        <v>10.088584216039564</v>
      </c>
      <c r="R377" s="582">
        <v>2.3874157839604355</v>
      </c>
      <c r="S377" s="582">
        <v>3.0503157839604356</v>
      </c>
      <c r="T377" s="582">
        <v>3.1857157839604371</v>
      </c>
      <c r="U377" s="582">
        <v>3.0735157839604348</v>
      </c>
    </row>
    <row r="378" spans="10:99">
      <c r="J378" s="580">
        <v>41591</v>
      </c>
      <c r="K378" s="581">
        <v>6.9444444444444441E-3</v>
      </c>
      <c r="L378" s="582">
        <v>12.631</v>
      </c>
      <c r="M378" s="582">
        <v>12.470800000000001</v>
      </c>
      <c r="N378" s="582">
        <v>13.0548</v>
      </c>
      <c r="O378" s="582">
        <v>12.873100000000001</v>
      </c>
      <c r="P378" s="582">
        <v>98.714600000000004</v>
      </c>
      <c r="Q378" s="582">
        <v>10.093512639081382</v>
      </c>
      <c r="R378" s="582">
        <v>2.3524873609186181</v>
      </c>
      <c r="S378" s="582">
        <v>3.0272873609186188</v>
      </c>
      <c r="T378" s="582">
        <v>3.1512873609186185</v>
      </c>
      <c r="U378" s="582">
        <v>3.0495873609186184</v>
      </c>
    </row>
    <row r="379" spans="10:99">
      <c r="J379" s="580">
        <v>41592</v>
      </c>
      <c r="K379" s="581">
        <v>6.9444444444444441E-3</v>
      </c>
      <c r="L379" s="582">
        <v>12.609500000000001</v>
      </c>
      <c r="M379" s="582">
        <v>12.459</v>
      </c>
      <c r="N379" s="582">
        <v>13.032400000000001</v>
      </c>
      <c r="O379" s="582">
        <v>12.863200000000001</v>
      </c>
      <c r="P379" s="582">
        <v>98.803700000000006</v>
      </c>
      <c r="Q379" s="582">
        <v>10.102623064247895</v>
      </c>
      <c r="R379" s="582">
        <v>2.3218769357521052</v>
      </c>
      <c r="S379" s="582">
        <v>3.0063769357521046</v>
      </c>
      <c r="T379" s="582">
        <v>3.1197769357521059</v>
      </c>
      <c r="U379" s="582">
        <v>3.0305769357521051</v>
      </c>
    </row>
    <row r="380" spans="10:99">
      <c r="J380" s="580">
        <v>41593</v>
      </c>
      <c r="K380" s="581">
        <v>6.9444444444444441E-3</v>
      </c>
      <c r="L380" s="582">
        <v>12.572800000000001</v>
      </c>
      <c r="M380" s="582">
        <v>12.4377</v>
      </c>
      <c r="N380" s="582">
        <v>13.001099999999999</v>
      </c>
      <c r="O380" s="582">
        <v>12.844799999999999</v>
      </c>
      <c r="P380" s="582">
        <v>98.852400000000003</v>
      </c>
      <c r="Q380" s="582">
        <v>10.107602612010062</v>
      </c>
      <c r="R380" s="582">
        <v>2.2801973879899387</v>
      </c>
      <c r="S380" s="582">
        <v>2.9800973879899377</v>
      </c>
      <c r="T380" s="582">
        <v>3.0834973879899374</v>
      </c>
      <c r="U380" s="582">
        <v>3.0071973879899367</v>
      </c>
    </row>
    <row r="381" spans="10:99">
      <c r="J381" s="580">
        <v>41594</v>
      </c>
      <c r="K381" s="581">
        <v>6.9444444444444441E-3</v>
      </c>
      <c r="L381" s="582">
        <v>12.513</v>
      </c>
      <c r="M381" s="582">
        <v>12.3971</v>
      </c>
      <c r="N381" s="582">
        <v>12.942299999999999</v>
      </c>
      <c r="O381" s="582">
        <v>12.790900000000001</v>
      </c>
      <c r="P381" s="582">
        <v>98.690100000000001</v>
      </c>
      <c r="Q381" s="582">
        <v>10.091007527784193</v>
      </c>
      <c r="R381" s="582">
        <v>2.2369924722158072</v>
      </c>
      <c r="S381" s="582">
        <v>2.9560924722158077</v>
      </c>
      <c r="T381" s="582">
        <v>3.0412924722158072</v>
      </c>
      <c r="U381" s="582">
        <v>2.9698924722158075</v>
      </c>
    </row>
    <row r="382" spans="10:99">
      <c r="J382" s="580">
        <v>41595</v>
      </c>
      <c r="K382" s="581">
        <v>6.9444444444444441E-3</v>
      </c>
      <c r="L382" s="582">
        <v>12.4596</v>
      </c>
      <c r="M382" s="582">
        <v>12.361700000000001</v>
      </c>
      <c r="N382" s="582">
        <v>12.8934</v>
      </c>
      <c r="O382" s="582">
        <v>12.7454</v>
      </c>
      <c r="P382" s="582">
        <v>98.611400000000003</v>
      </c>
      <c r="Q382" s="582">
        <v>10.082960496800977</v>
      </c>
      <c r="R382" s="582">
        <v>2.1916395031990228</v>
      </c>
      <c r="S382" s="582">
        <v>2.928739503199024</v>
      </c>
      <c r="T382" s="582">
        <v>3.000439503199023</v>
      </c>
      <c r="U382" s="582">
        <v>2.9324395031990225</v>
      </c>
      <c r="CU382" s="331" t="s">
        <v>267</v>
      </c>
    </row>
    <row r="383" spans="10:99">
      <c r="J383" s="580">
        <v>41596</v>
      </c>
      <c r="K383" s="581">
        <v>6.9444444444444441E-3</v>
      </c>
      <c r="L383" s="582">
        <v>12.545500000000001</v>
      </c>
      <c r="M383" s="582">
        <v>12.685499999999999</v>
      </c>
      <c r="N383" s="582">
        <v>13.700900000000001</v>
      </c>
      <c r="O383" s="582">
        <v>13.283799999999999</v>
      </c>
      <c r="P383" s="582">
        <v>98.826300000000003</v>
      </c>
      <c r="Q383" s="582">
        <v>10.104933901607749</v>
      </c>
      <c r="R383" s="582">
        <v>2.2555660983922512</v>
      </c>
      <c r="S383" s="582">
        <v>3.2305660983922504</v>
      </c>
      <c r="T383" s="582">
        <v>3.7859660983922518</v>
      </c>
      <c r="U383" s="582">
        <v>3.4488660983922497</v>
      </c>
    </row>
    <row r="384" spans="10:99">
      <c r="J384" s="580">
        <v>41597</v>
      </c>
      <c r="K384" s="581">
        <v>6.9444444444444441E-3</v>
      </c>
      <c r="L384" s="582">
        <v>12.5191</v>
      </c>
      <c r="M384" s="582">
        <v>12.6831</v>
      </c>
      <c r="N384" s="582">
        <v>13.7103</v>
      </c>
      <c r="O384" s="582">
        <v>13.2829</v>
      </c>
      <c r="P384" s="582">
        <v>98.988399999999999</v>
      </c>
      <c r="Q384" s="582">
        <v>10.121508535945479</v>
      </c>
      <c r="R384" s="582">
        <v>2.2125914640545212</v>
      </c>
      <c r="S384" s="582">
        <v>3.2115914640545213</v>
      </c>
      <c r="T384" s="582">
        <v>3.7787914640545219</v>
      </c>
      <c r="U384" s="582">
        <v>3.4313914640545207</v>
      </c>
    </row>
    <row r="385" spans="10:21">
      <c r="J385" s="580">
        <v>41598</v>
      </c>
      <c r="K385" s="581">
        <v>6.9444444444444441E-3</v>
      </c>
      <c r="L385" s="582">
        <v>12.4634</v>
      </c>
      <c r="M385" s="582">
        <v>12.6525</v>
      </c>
      <c r="N385" s="582">
        <v>13.6602</v>
      </c>
      <c r="O385" s="582">
        <v>13.248100000000001</v>
      </c>
      <c r="P385" s="582">
        <v>98.872699999999995</v>
      </c>
      <c r="Q385" s="582">
        <v>10.109678275656304</v>
      </c>
      <c r="R385" s="582">
        <v>2.1687217243436963</v>
      </c>
      <c r="S385" s="582">
        <v>3.1928217243436965</v>
      </c>
      <c r="T385" s="582">
        <v>3.7405217243436963</v>
      </c>
      <c r="U385" s="582">
        <v>3.4084217243436967</v>
      </c>
    </row>
    <row r="386" spans="10:21">
      <c r="J386" s="580">
        <v>41599</v>
      </c>
      <c r="K386" s="581">
        <v>6.9444444444444441E-3</v>
      </c>
      <c r="L386" s="582">
        <v>12.3873</v>
      </c>
      <c r="M386" s="582">
        <v>12.599500000000001</v>
      </c>
      <c r="N386" s="582">
        <v>13.588699999999999</v>
      </c>
      <c r="O386" s="582">
        <v>13.192</v>
      </c>
      <c r="P386" s="582">
        <v>98.566599999999994</v>
      </c>
      <c r="Q386" s="582">
        <v>10.078379721857546</v>
      </c>
      <c r="R386" s="582">
        <v>2.1239202781424535</v>
      </c>
      <c r="S386" s="582">
        <v>3.171120278142455</v>
      </c>
      <c r="T386" s="582">
        <v>3.7003202781424536</v>
      </c>
      <c r="U386" s="582">
        <v>3.3836202781424536</v>
      </c>
    </row>
    <row r="387" spans="10:21">
      <c r="J387" s="580">
        <v>41600</v>
      </c>
      <c r="K387" s="581">
        <v>6.9444444444444441E-3</v>
      </c>
      <c r="L387" s="582">
        <v>12.3392</v>
      </c>
      <c r="M387" s="582">
        <v>12.581300000000001</v>
      </c>
      <c r="N387" s="582">
        <v>13.553900000000001</v>
      </c>
      <c r="O387" s="582">
        <v>13.171200000000001</v>
      </c>
      <c r="P387" s="582">
        <v>98.6233</v>
      </c>
      <c r="Q387" s="582">
        <v>10.084177265145327</v>
      </c>
      <c r="R387" s="582">
        <v>2.0700227348546734</v>
      </c>
      <c r="S387" s="582">
        <v>3.1471227348546744</v>
      </c>
      <c r="T387" s="582">
        <v>3.6597227348546744</v>
      </c>
      <c r="U387" s="582">
        <v>3.3570227348546737</v>
      </c>
    </row>
    <row r="388" spans="10:21">
      <c r="J388" s="580">
        <v>41601</v>
      </c>
      <c r="K388" s="581">
        <v>6.9444444444444441E-3</v>
      </c>
      <c r="L388" s="582">
        <v>12.295999999999999</v>
      </c>
      <c r="M388" s="582">
        <v>12.5717</v>
      </c>
      <c r="N388" s="582">
        <v>13.5281</v>
      </c>
      <c r="O388" s="582">
        <v>13.1577</v>
      </c>
      <c r="P388" s="582">
        <v>98.740300000000005</v>
      </c>
      <c r="Q388" s="582">
        <v>10.096140449707413</v>
      </c>
      <c r="R388" s="582">
        <v>2.0148595502925866</v>
      </c>
      <c r="S388" s="582">
        <v>3.1255595502925875</v>
      </c>
      <c r="T388" s="582">
        <v>3.6219595502925879</v>
      </c>
      <c r="U388" s="582">
        <v>3.331559550292587</v>
      </c>
    </row>
    <row r="389" spans="10:21">
      <c r="J389" s="580">
        <v>41602</v>
      </c>
      <c r="K389" s="581">
        <v>6.9444444444444441E-3</v>
      </c>
      <c r="L389" s="582">
        <v>12.256399999999999</v>
      </c>
      <c r="M389" s="582">
        <v>12.5595</v>
      </c>
      <c r="N389" s="582">
        <v>13.4954</v>
      </c>
      <c r="O389" s="582">
        <v>13.140599999999999</v>
      </c>
      <c r="P389" s="582">
        <v>98.828900000000004</v>
      </c>
      <c r="Q389" s="582">
        <v>10.105199750153574</v>
      </c>
      <c r="R389" s="582">
        <v>1.9662002498464255</v>
      </c>
      <c r="S389" s="582">
        <v>3.1043002498464265</v>
      </c>
      <c r="T389" s="582">
        <v>3.5802002498464267</v>
      </c>
      <c r="U389" s="582">
        <v>3.305400249846425</v>
      </c>
    </row>
    <row r="390" spans="10:21">
      <c r="J390" s="580">
        <v>41603</v>
      </c>
      <c r="K390" s="581">
        <v>6.9444444444444441E-3</v>
      </c>
      <c r="L390" s="582">
        <v>12.2135</v>
      </c>
      <c r="M390" s="582">
        <v>12.540699999999999</v>
      </c>
      <c r="N390" s="582">
        <v>13.4587</v>
      </c>
      <c r="O390" s="582">
        <v>13.1198</v>
      </c>
      <c r="P390" s="582">
        <v>98.865600000000001</v>
      </c>
      <c r="Q390" s="582">
        <v>10.108952304627323</v>
      </c>
      <c r="R390" s="582">
        <v>1.9195476953726769</v>
      </c>
      <c r="S390" s="582">
        <v>3.0817476953726768</v>
      </c>
      <c r="T390" s="582">
        <v>3.5397476953726779</v>
      </c>
      <c r="U390" s="582">
        <v>3.2808476953726764</v>
      </c>
    </row>
    <row r="391" spans="10:21">
      <c r="J391" s="580">
        <v>41604</v>
      </c>
      <c r="K391" s="581">
        <v>6.9444444444444441E-3</v>
      </c>
      <c r="L391" s="582">
        <v>12.155799999999999</v>
      </c>
      <c r="M391" s="582">
        <v>12.500500000000001</v>
      </c>
      <c r="N391" s="582">
        <v>13.4072</v>
      </c>
      <c r="O391" s="582">
        <v>13.083</v>
      </c>
      <c r="P391" s="582">
        <v>98.745800000000003</v>
      </c>
      <c r="Q391" s="582">
        <v>10.096702821631272</v>
      </c>
      <c r="R391" s="582">
        <v>1.8740971783687272</v>
      </c>
      <c r="S391" s="582">
        <v>3.053797178368729</v>
      </c>
      <c r="T391" s="582">
        <v>3.500497178368728</v>
      </c>
      <c r="U391" s="582">
        <v>3.2562971783687278</v>
      </c>
    </row>
    <row r="392" spans="10:21">
      <c r="J392" s="580">
        <v>41605</v>
      </c>
      <c r="K392" s="581">
        <v>6.9444444444444441E-3</v>
      </c>
      <c r="L392" s="582">
        <v>12.1128</v>
      </c>
      <c r="M392" s="582">
        <v>12.466200000000001</v>
      </c>
      <c r="N392" s="582">
        <v>13.3651</v>
      </c>
      <c r="O392" s="582">
        <v>13.052</v>
      </c>
      <c r="P392" s="582">
        <v>98.692599999999999</v>
      </c>
      <c r="Q392" s="582">
        <v>10.091263151385947</v>
      </c>
      <c r="R392" s="582">
        <v>1.836536848614053</v>
      </c>
      <c r="S392" s="582">
        <v>3.024936848614054</v>
      </c>
      <c r="T392" s="582">
        <v>3.4638368486140534</v>
      </c>
      <c r="U392" s="582">
        <v>3.2307368486140522</v>
      </c>
    </row>
    <row r="393" spans="10:21">
      <c r="J393" s="580">
        <v>41606</v>
      </c>
      <c r="K393" s="581">
        <v>6.9444444444444441E-3</v>
      </c>
      <c r="L393" s="582">
        <v>12.0868</v>
      </c>
      <c r="M393" s="582">
        <v>12.449199999999999</v>
      </c>
      <c r="N393" s="582">
        <v>13.3306</v>
      </c>
      <c r="O393" s="582">
        <v>13.036</v>
      </c>
      <c r="P393" s="582">
        <v>98.801500000000004</v>
      </c>
      <c r="Q393" s="582">
        <v>10.102398115478351</v>
      </c>
      <c r="R393" s="582">
        <v>1.7994018845216488</v>
      </c>
      <c r="S393" s="582">
        <v>2.9968018845216484</v>
      </c>
      <c r="T393" s="582">
        <v>3.4182018845216495</v>
      </c>
      <c r="U393" s="582">
        <v>3.2036018845216478</v>
      </c>
    </row>
    <row r="394" spans="10:21">
      <c r="J394" s="580">
        <v>41607</v>
      </c>
      <c r="K394" s="581">
        <v>6.9444444444444441E-3</v>
      </c>
      <c r="L394" s="582">
        <v>12.065799999999999</v>
      </c>
      <c r="M394" s="582">
        <v>12.440200000000001</v>
      </c>
      <c r="N394" s="582">
        <v>13.3017</v>
      </c>
      <c r="O394" s="582">
        <v>13.024100000000001</v>
      </c>
      <c r="P394" s="582">
        <v>98.946299999999994</v>
      </c>
      <c r="Q394" s="582">
        <v>10.11720383449194</v>
      </c>
      <c r="R394" s="582">
        <v>1.763596165508059</v>
      </c>
      <c r="S394" s="582">
        <v>2.9729961655080608</v>
      </c>
      <c r="T394" s="582">
        <v>3.3744961655080603</v>
      </c>
      <c r="U394" s="582">
        <v>3.1768961655080599</v>
      </c>
    </row>
    <row r="395" spans="10:21">
      <c r="J395" s="580">
        <v>41608</v>
      </c>
      <c r="K395" s="581">
        <v>6.9444444444444441E-3</v>
      </c>
      <c r="L395" s="582">
        <v>12.0222</v>
      </c>
      <c r="M395" s="582">
        <v>12.4223</v>
      </c>
      <c r="N395" s="582">
        <v>13.2715</v>
      </c>
      <c r="O395" s="582">
        <v>13.002700000000001</v>
      </c>
      <c r="P395" s="582">
        <v>98.995099999999994</v>
      </c>
      <c r="Q395" s="582">
        <v>10.122193607198177</v>
      </c>
      <c r="R395" s="582">
        <v>1.7150063928018224</v>
      </c>
      <c r="S395" s="582">
        <v>2.950106392801823</v>
      </c>
      <c r="T395" s="582">
        <v>3.3393063928018227</v>
      </c>
      <c r="U395" s="582">
        <v>3.1505063928018231</v>
      </c>
    </row>
    <row r="396" spans="10:21">
      <c r="J396" s="580">
        <v>41609</v>
      </c>
      <c r="K396" s="581">
        <v>6.9444444444444441E-3</v>
      </c>
      <c r="L396" s="582">
        <v>11.9773</v>
      </c>
      <c r="M396" s="582">
        <v>12.3947</v>
      </c>
      <c r="N396" s="582">
        <v>13.2424</v>
      </c>
      <c r="O396" s="582">
        <v>12.974299999999999</v>
      </c>
      <c r="P396" s="582">
        <v>98.973799999999997</v>
      </c>
      <c r="Q396" s="582">
        <v>10.120015694111235</v>
      </c>
      <c r="R396" s="582">
        <v>1.6722843058887649</v>
      </c>
      <c r="S396" s="582">
        <v>2.9246843058887659</v>
      </c>
      <c r="T396" s="582">
        <v>3.3123843058887656</v>
      </c>
      <c r="U396" s="582">
        <v>3.1242843058887644</v>
      </c>
    </row>
    <row r="397" spans="10:21">
      <c r="J397" s="580">
        <v>41610</v>
      </c>
      <c r="K397" s="581">
        <v>6.9444444444444441E-3</v>
      </c>
      <c r="L397" s="582">
        <v>11.944599999999999</v>
      </c>
      <c r="M397" s="582">
        <v>12.372299999999999</v>
      </c>
      <c r="N397" s="582">
        <v>13.2065</v>
      </c>
      <c r="O397" s="582">
        <v>12.9489</v>
      </c>
      <c r="P397" s="582">
        <v>98.983599999999996</v>
      </c>
      <c r="Q397" s="582">
        <v>10.12101773863011</v>
      </c>
      <c r="R397" s="582">
        <v>1.6385822613698893</v>
      </c>
      <c r="S397" s="582">
        <v>2.9012822613698894</v>
      </c>
      <c r="T397" s="582">
        <v>3.2754822613698904</v>
      </c>
      <c r="U397" s="582">
        <v>3.0978822613698895</v>
      </c>
    </row>
    <row r="398" spans="10:21">
      <c r="J398" s="580">
        <v>41611</v>
      </c>
      <c r="K398" s="581">
        <v>6.9444444444444441E-3</v>
      </c>
      <c r="L398" s="582">
        <v>11.944100000000001</v>
      </c>
      <c r="M398" s="582">
        <v>12.3756</v>
      </c>
      <c r="N398" s="582">
        <v>13.200799999999999</v>
      </c>
      <c r="O398" s="582">
        <v>12.9475</v>
      </c>
      <c r="P398" s="582">
        <v>99.059299999999993</v>
      </c>
      <c r="Q398" s="582">
        <v>10.128758021291221</v>
      </c>
      <c r="R398" s="582">
        <v>1.6303419787087798</v>
      </c>
      <c r="S398" s="582">
        <v>2.89684197870878</v>
      </c>
      <c r="T398" s="582">
        <v>3.2620419787087789</v>
      </c>
      <c r="U398" s="582">
        <v>3.0887419787087786</v>
      </c>
    </row>
    <row r="399" spans="10:21">
      <c r="J399" s="580">
        <v>41612</v>
      </c>
      <c r="K399" s="581">
        <v>6.9444444444444441E-3</v>
      </c>
      <c r="L399" s="582">
        <v>11.8879</v>
      </c>
      <c r="M399" s="582">
        <v>12.331099999999999</v>
      </c>
      <c r="N399" s="582">
        <v>13.1494</v>
      </c>
      <c r="O399" s="582">
        <v>12.901899999999999</v>
      </c>
      <c r="P399" s="582">
        <v>98.837000000000003</v>
      </c>
      <c r="Q399" s="582">
        <v>10.106027970623257</v>
      </c>
      <c r="R399" s="582">
        <v>1.5968720293767427</v>
      </c>
      <c r="S399" s="582">
        <v>2.8750720293767422</v>
      </c>
      <c r="T399" s="582">
        <v>3.233372029376743</v>
      </c>
      <c r="U399" s="582">
        <v>3.0658720293767416</v>
      </c>
    </row>
    <row r="400" spans="10:21">
      <c r="J400" s="580">
        <v>41613</v>
      </c>
      <c r="K400" s="581">
        <v>6.9444444444444441E-3</v>
      </c>
      <c r="L400" s="582">
        <v>11.8498</v>
      </c>
      <c r="M400" s="582">
        <v>12.2956</v>
      </c>
      <c r="N400" s="582">
        <v>13.110099999999999</v>
      </c>
      <c r="O400" s="582">
        <v>12.868</v>
      </c>
      <c r="P400" s="582">
        <v>98.755899999999997</v>
      </c>
      <c r="Q400" s="582">
        <v>10.097735540982358</v>
      </c>
      <c r="R400" s="582">
        <v>1.5670644590176424</v>
      </c>
      <c r="S400" s="582">
        <v>2.847864459017643</v>
      </c>
      <c r="T400" s="582">
        <v>3.2023644590176419</v>
      </c>
      <c r="U400" s="582">
        <v>3.0402644590176422</v>
      </c>
    </row>
    <row r="401" spans="10:21">
      <c r="J401" s="580">
        <v>41614</v>
      </c>
      <c r="K401" s="581">
        <v>6.9444444444444441E-3</v>
      </c>
      <c r="L401" s="582">
        <v>11.8002</v>
      </c>
      <c r="M401" s="582">
        <v>12.248200000000001</v>
      </c>
      <c r="N401" s="582">
        <v>13.055899999999999</v>
      </c>
      <c r="O401" s="582">
        <v>12.820499999999999</v>
      </c>
      <c r="P401" s="582">
        <v>98.588300000000004</v>
      </c>
      <c r="Q401" s="582">
        <v>10.080598534720771</v>
      </c>
      <c r="R401" s="582">
        <v>1.5346014652792292</v>
      </c>
      <c r="S401" s="582">
        <v>2.8176014652792301</v>
      </c>
      <c r="T401" s="582">
        <v>3.1653014652792288</v>
      </c>
      <c r="U401" s="582">
        <v>3.0099014652792278</v>
      </c>
    </row>
    <row r="402" spans="10:21">
      <c r="J402" s="580">
        <v>41615</v>
      </c>
      <c r="K402" s="581">
        <v>6.9444444444444441E-3</v>
      </c>
      <c r="L402" s="582">
        <v>11.7659</v>
      </c>
      <c r="M402" s="582">
        <v>12.2072</v>
      </c>
      <c r="N402" s="582">
        <v>13.0131</v>
      </c>
      <c r="O402" s="582">
        <v>12.78</v>
      </c>
      <c r="P402" s="582">
        <v>98.557000000000002</v>
      </c>
      <c r="Q402" s="582">
        <v>10.077398127226811</v>
      </c>
      <c r="R402" s="582">
        <v>1.5035018727731893</v>
      </c>
      <c r="S402" s="582">
        <v>2.7798018727731897</v>
      </c>
      <c r="T402" s="582">
        <v>3.1257018727731891</v>
      </c>
      <c r="U402" s="582">
        <v>2.972601872773188</v>
      </c>
    </row>
    <row r="403" spans="10:21">
      <c r="J403" s="580">
        <v>41616</v>
      </c>
      <c r="K403" s="581">
        <v>6.9444444444444441E-3</v>
      </c>
      <c r="L403" s="582">
        <v>11.744400000000001</v>
      </c>
      <c r="M403" s="582">
        <v>12.1783</v>
      </c>
      <c r="N403" s="582">
        <v>12.989100000000001</v>
      </c>
      <c r="O403" s="582">
        <v>12.750500000000001</v>
      </c>
      <c r="P403" s="582">
        <v>98.605400000000003</v>
      </c>
      <c r="Q403" s="582">
        <v>10.082347000156769</v>
      </c>
      <c r="R403" s="582">
        <v>1.4770529998432314</v>
      </c>
      <c r="S403" s="582">
        <v>2.7459529998432313</v>
      </c>
      <c r="T403" s="582">
        <v>3.0967529998432317</v>
      </c>
      <c r="U403" s="582">
        <v>2.938152999843231</v>
      </c>
    </row>
    <row r="404" spans="10:21">
      <c r="J404" s="580">
        <v>41617</v>
      </c>
      <c r="K404" s="581">
        <v>6.9444444444444441E-3</v>
      </c>
      <c r="L404" s="582">
        <v>11.721500000000001</v>
      </c>
      <c r="M404" s="582">
        <v>12.1479</v>
      </c>
      <c r="N404" s="582">
        <v>12.9674</v>
      </c>
      <c r="O404" s="582">
        <v>12.7203</v>
      </c>
      <c r="P404" s="582">
        <v>98.662300000000002</v>
      </c>
      <c r="Q404" s="582">
        <v>10.08816499333269</v>
      </c>
      <c r="R404" s="582">
        <v>1.4483350066673109</v>
      </c>
      <c r="S404" s="582">
        <v>2.7097350066673105</v>
      </c>
      <c r="T404" s="582">
        <v>3.0692350066673102</v>
      </c>
      <c r="U404" s="582">
        <v>2.9021350066673097</v>
      </c>
    </row>
    <row r="405" spans="10:21">
      <c r="J405" s="580">
        <v>41618</v>
      </c>
      <c r="K405" s="581">
        <v>6.9444444444444441E-3</v>
      </c>
      <c r="L405" s="582">
        <v>11.682499999999999</v>
      </c>
      <c r="M405" s="582">
        <v>12.1006</v>
      </c>
      <c r="N405" s="582">
        <v>12.9178</v>
      </c>
      <c r="O405" s="582">
        <v>12.673500000000001</v>
      </c>
      <c r="P405" s="582">
        <v>98.549000000000007</v>
      </c>
      <c r="Q405" s="582">
        <v>10.076580131701199</v>
      </c>
      <c r="R405" s="582">
        <v>1.4209198682988</v>
      </c>
      <c r="S405" s="582">
        <v>2.6744198682988021</v>
      </c>
      <c r="T405" s="582">
        <v>3.031219868298801</v>
      </c>
      <c r="U405" s="582">
        <v>2.8669198682988011</v>
      </c>
    </row>
    <row r="406" spans="10:21">
      <c r="J406" s="580">
        <v>41619</v>
      </c>
      <c r="K406" s="581">
        <v>6.9444444444444441E-3</v>
      </c>
      <c r="L406" s="582">
        <v>11.665699999999999</v>
      </c>
      <c r="M406" s="582">
        <v>12.0709</v>
      </c>
      <c r="N406" s="582">
        <v>12.8918</v>
      </c>
      <c r="O406" s="582">
        <v>12.645899999999999</v>
      </c>
      <c r="P406" s="582">
        <v>98.645099999999999</v>
      </c>
      <c r="Q406" s="582">
        <v>10.086406302952621</v>
      </c>
      <c r="R406" s="582">
        <v>1.3942936970473778</v>
      </c>
      <c r="S406" s="582">
        <v>2.6344936970473789</v>
      </c>
      <c r="T406" s="582">
        <v>2.9953936970473789</v>
      </c>
      <c r="U406" s="582">
        <v>2.8294936970473774</v>
      </c>
    </row>
    <row r="407" spans="10:21">
      <c r="J407" s="580">
        <v>41620</v>
      </c>
      <c r="K407" s="581">
        <v>6.9444444444444441E-3</v>
      </c>
      <c r="L407" s="582">
        <v>11.6225</v>
      </c>
      <c r="M407" s="582">
        <v>12.0085</v>
      </c>
      <c r="N407" s="582">
        <v>12.83</v>
      </c>
      <c r="O407" s="582">
        <v>12.5885</v>
      </c>
      <c r="P407" s="582">
        <v>98.455200000000005</v>
      </c>
      <c r="Q407" s="582">
        <v>10.066989134163389</v>
      </c>
      <c r="R407" s="582">
        <v>1.3705108658366112</v>
      </c>
      <c r="S407" s="582">
        <v>2.5915108658366108</v>
      </c>
      <c r="T407" s="582">
        <v>2.9530108658366112</v>
      </c>
      <c r="U407" s="582">
        <v>2.7915108658366101</v>
      </c>
    </row>
    <row r="408" spans="10:21">
      <c r="J408" s="580">
        <v>41621</v>
      </c>
      <c r="K408" s="581">
        <v>6.9444444444444441E-3</v>
      </c>
      <c r="L408" s="582">
        <v>11.6084</v>
      </c>
      <c r="M408" s="582">
        <v>11.9954</v>
      </c>
      <c r="N408" s="582">
        <v>12.815799999999999</v>
      </c>
      <c r="O408" s="582">
        <v>12.5768</v>
      </c>
      <c r="P408" s="582">
        <v>98.3446</v>
      </c>
      <c r="Q408" s="582">
        <v>10.055680346021793</v>
      </c>
      <c r="R408" s="582">
        <v>1.3677196539782064</v>
      </c>
      <c r="S408" s="582">
        <v>2.5897196539782072</v>
      </c>
      <c r="T408" s="582">
        <v>2.9501196539782066</v>
      </c>
      <c r="U408" s="582">
        <v>2.7911196539782068</v>
      </c>
    </row>
    <row r="409" spans="10:21">
      <c r="J409" s="580">
        <v>41622</v>
      </c>
      <c r="K409" s="581">
        <v>6.9444444444444441E-3</v>
      </c>
      <c r="L409" s="582">
        <v>11.662000000000001</v>
      </c>
      <c r="M409" s="582">
        <v>12.075100000000001</v>
      </c>
      <c r="N409" s="582">
        <v>12.872</v>
      </c>
      <c r="O409" s="582">
        <v>12.6454</v>
      </c>
      <c r="P409" s="582">
        <v>98.808199999999999</v>
      </c>
      <c r="Q409" s="582">
        <v>10.103083186731052</v>
      </c>
      <c r="R409" s="582">
        <v>1.373916813268949</v>
      </c>
      <c r="S409" s="582">
        <v>2.6220168132689494</v>
      </c>
      <c r="T409" s="582">
        <v>2.9589168132689485</v>
      </c>
      <c r="U409" s="582">
        <v>2.8123168132689482</v>
      </c>
    </row>
    <row r="410" spans="10:21">
      <c r="J410" s="580">
        <v>41623</v>
      </c>
      <c r="K410" s="581">
        <v>6.9444444444444441E-3</v>
      </c>
      <c r="L410" s="582">
        <v>11.640499999999999</v>
      </c>
      <c r="M410" s="582">
        <v>12.0571</v>
      </c>
      <c r="N410" s="582">
        <v>12.859400000000001</v>
      </c>
      <c r="O410" s="582">
        <v>12.629300000000001</v>
      </c>
      <c r="P410" s="582">
        <v>98.867800000000003</v>
      </c>
      <c r="Q410" s="582">
        <v>10.109177253396867</v>
      </c>
      <c r="R410" s="582">
        <v>1.3463227466031324</v>
      </c>
      <c r="S410" s="582">
        <v>2.5979227466031336</v>
      </c>
      <c r="T410" s="582">
        <v>2.9402227466031343</v>
      </c>
      <c r="U410" s="582">
        <v>2.7901227466031333</v>
      </c>
    </row>
    <row r="411" spans="10:21">
      <c r="J411" s="580">
        <v>41624</v>
      </c>
      <c r="K411" s="581">
        <v>6.9444444444444441E-3</v>
      </c>
      <c r="L411" s="582">
        <v>11.619400000000001</v>
      </c>
      <c r="M411" s="582">
        <v>12.042400000000001</v>
      </c>
      <c r="N411" s="582">
        <v>12.836600000000001</v>
      </c>
      <c r="O411" s="582">
        <v>12.612</v>
      </c>
      <c r="P411" s="582">
        <v>98.949200000000005</v>
      </c>
      <c r="Q411" s="582">
        <v>10.117500357869975</v>
      </c>
      <c r="R411" s="582">
        <v>1.3168996421300254</v>
      </c>
      <c r="S411" s="582">
        <v>2.5748996421300259</v>
      </c>
      <c r="T411" s="582">
        <v>2.9090996421300259</v>
      </c>
      <c r="U411" s="582">
        <v>2.7644996421300245</v>
      </c>
    </row>
    <row r="412" spans="10:21">
      <c r="J412" s="580">
        <v>41625</v>
      </c>
      <c r="K412" s="581">
        <v>6.9444444444444441E-3</v>
      </c>
      <c r="L412" s="582">
        <v>11.5909</v>
      </c>
      <c r="M412" s="582">
        <v>12.0212</v>
      </c>
      <c r="N412" s="582">
        <v>12.8086</v>
      </c>
      <c r="O412" s="582">
        <v>12.5823</v>
      </c>
      <c r="P412" s="582">
        <v>98.952100000000002</v>
      </c>
      <c r="Q412" s="582">
        <v>10.11779688124801</v>
      </c>
      <c r="R412" s="582">
        <v>1.2881031187519896</v>
      </c>
      <c r="S412" s="582">
        <v>2.5534031187519908</v>
      </c>
      <c r="T412" s="582">
        <v>2.8808031187519907</v>
      </c>
      <c r="U412" s="582">
        <v>2.7345031187519897</v>
      </c>
    </row>
    <row r="413" spans="10:21">
      <c r="J413" s="580">
        <v>41626</v>
      </c>
      <c r="K413" s="581">
        <v>6.9444444444444441E-3</v>
      </c>
      <c r="L413" s="582">
        <v>11.5504</v>
      </c>
      <c r="M413" s="582">
        <v>11.982799999999999</v>
      </c>
      <c r="N413" s="582">
        <v>12.760199999999999</v>
      </c>
      <c r="O413" s="582">
        <v>12.5318</v>
      </c>
      <c r="P413" s="582">
        <v>98.832499999999996</v>
      </c>
      <c r="Q413" s="582">
        <v>10.105567848140099</v>
      </c>
      <c r="R413" s="582">
        <v>1.2598321518599005</v>
      </c>
      <c r="S413" s="582">
        <v>2.5272321518599004</v>
      </c>
      <c r="T413" s="582">
        <v>2.8446321518599005</v>
      </c>
      <c r="U413" s="582">
        <v>2.6962321518599013</v>
      </c>
    </row>
    <row r="414" spans="10:21">
      <c r="J414" s="580">
        <v>41627</v>
      </c>
      <c r="K414" s="581">
        <v>6.9444444444444441E-3</v>
      </c>
      <c r="L414" s="582">
        <v>11.5212</v>
      </c>
      <c r="M414" s="582">
        <v>11.948399999999999</v>
      </c>
      <c r="N414" s="582">
        <v>12.720499999999999</v>
      </c>
      <c r="O414" s="582">
        <v>12.4946</v>
      </c>
      <c r="P414" s="582">
        <v>98.826599999999999</v>
      </c>
      <c r="Q414" s="582">
        <v>10.10496457643996</v>
      </c>
      <c r="R414" s="582">
        <v>1.2312354235600407</v>
      </c>
      <c r="S414" s="582">
        <v>2.4934354235600402</v>
      </c>
      <c r="T414" s="582">
        <v>2.8055354235600403</v>
      </c>
      <c r="U414" s="582">
        <v>2.6596354235600406</v>
      </c>
    </row>
    <row r="415" spans="10:21">
      <c r="J415" s="580">
        <v>41628</v>
      </c>
      <c r="K415" s="581">
        <v>6.9444444444444441E-3</v>
      </c>
      <c r="L415" s="582">
        <v>11.4999</v>
      </c>
      <c r="M415" s="582">
        <v>11.9162</v>
      </c>
      <c r="N415" s="582">
        <v>12.6853</v>
      </c>
      <c r="O415" s="582">
        <v>12.443899999999999</v>
      </c>
      <c r="P415" s="582">
        <v>98.868399999999994</v>
      </c>
      <c r="Q415" s="582">
        <v>10.109238603061286</v>
      </c>
      <c r="R415" s="582">
        <v>1.2056613969387144</v>
      </c>
      <c r="S415" s="582">
        <v>2.4569613969387145</v>
      </c>
      <c r="T415" s="582">
        <v>2.7660613969387144</v>
      </c>
      <c r="U415" s="582">
        <v>2.6046613969387136</v>
      </c>
    </row>
    <row r="416" spans="10:21">
      <c r="J416" s="580">
        <v>41629</v>
      </c>
      <c r="K416" s="581">
        <v>6.9444444444444441E-3</v>
      </c>
      <c r="L416" s="582">
        <v>11.4917</v>
      </c>
      <c r="M416" s="582">
        <v>11.901899999999999</v>
      </c>
      <c r="N416" s="582">
        <v>12.657299999999999</v>
      </c>
      <c r="O416" s="582">
        <v>12.3744</v>
      </c>
      <c r="P416" s="582">
        <v>99.026600000000002</v>
      </c>
      <c r="Q416" s="582">
        <v>10.125414464580279</v>
      </c>
      <c r="R416" s="582">
        <v>1.1812855354197205</v>
      </c>
      <c r="S416" s="582">
        <v>2.4264855354197206</v>
      </c>
      <c r="T416" s="582">
        <v>2.7218855354197204</v>
      </c>
      <c r="U416" s="582">
        <v>2.5189855354197204</v>
      </c>
    </row>
    <row r="417" spans="10:21">
      <c r="J417" s="580">
        <v>41630</v>
      </c>
      <c r="K417" s="581">
        <v>6.9444444444444441E-3</v>
      </c>
      <c r="L417" s="582">
        <v>11.4741</v>
      </c>
      <c r="M417" s="582">
        <v>11.877700000000001</v>
      </c>
      <c r="N417" s="582">
        <v>12.622</v>
      </c>
      <c r="O417" s="582">
        <v>12.298299999999999</v>
      </c>
      <c r="P417" s="582">
        <v>99.1083</v>
      </c>
      <c r="Q417" s="582">
        <v>10.1337682438856</v>
      </c>
      <c r="R417" s="582">
        <v>1.1553317561144003</v>
      </c>
      <c r="S417" s="582">
        <v>2.3939317561144016</v>
      </c>
      <c r="T417" s="582">
        <v>2.6782317561144007</v>
      </c>
      <c r="U417" s="582">
        <v>2.4345317561143998</v>
      </c>
    </row>
    <row r="418" spans="10:21">
      <c r="J418" s="580">
        <v>41631</v>
      </c>
      <c r="K418" s="581">
        <v>6.9444444444444441E-3</v>
      </c>
      <c r="L418" s="582">
        <v>11.4526</v>
      </c>
      <c r="M418" s="582">
        <v>11.838800000000001</v>
      </c>
      <c r="N418" s="582">
        <v>12.592499999999999</v>
      </c>
      <c r="O418" s="582">
        <v>12.234500000000001</v>
      </c>
      <c r="P418" s="582">
        <v>99.153099999999995</v>
      </c>
      <c r="Q418" s="582">
        <v>10.138349018829029</v>
      </c>
      <c r="R418" s="582">
        <v>1.1292509811709714</v>
      </c>
      <c r="S418" s="582">
        <v>2.3504509811709724</v>
      </c>
      <c r="T418" s="582">
        <v>2.6441509811709709</v>
      </c>
      <c r="U418" s="582">
        <v>2.3661509811709718</v>
      </c>
    </row>
    <row r="419" spans="10:21">
      <c r="J419" s="580">
        <v>41632</v>
      </c>
      <c r="K419" s="581">
        <v>6.9444444444444441E-3</v>
      </c>
      <c r="L419" s="582">
        <v>11.4292</v>
      </c>
      <c r="M419" s="582">
        <v>11.8034</v>
      </c>
      <c r="N419" s="582">
        <v>12.5646</v>
      </c>
      <c r="O419" s="582">
        <v>12.1844</v>
      </c>
      <c r="P419" s="582">
        <v>99.191000000000003</v>
      </c>
      <c r="Q419" s="582">
        <v>10.142224272631621</v>
      </c>
      <c r="R419" s="582">
        <v>1.1019757273683788</v>
      </c>
      <c r="S419" s="582">
        <v>2.3111757273683793</v>
      </c>
      <c r="T419" s="582">
        <v>2.6123757273683799</v>
      </c>
      <c r="U419" s="582">
        <v>2.3121757273683792</v>
      </c>
    </row>
    <row r="420" spans="10:21">
      <c r="J420" s="580">
        <v>41633</v>
      </c>
      <c r="K420" s="581">
        <v>6.9444444444444441E-3</v>
      </c>
      <c r="L420" s="582">
        <v>11.4122</v>
      </c>
      <c r="M420" s="582">
        <v>11.775700000000001</v>
      </c>
      <c r="N420" s="582">
        <v>12.5372</v>
      </c>
      <c r="O420" s="582">
        <v>12.1462</v>
      </c>
      <c r="P420" s="582">
        <v>99.258700000000005</v>
      </c>
      <c r="Q420" s="582">
        <v>10.149146559767118</v>
      </c>
      <c r="R420" s="582">
        <v>1.0780534402328823</v>
      </c>
      <c r="S420" s="582">
        <v>2.2765534402328829</v>
      </c>
      <c r="T420" s="582">
        <v>2.5780534402328827</v>
      </c>
      <c r="U420" s="582">
        <v>2.2670534402328824</v>
      </c>
    </row>
    <row r="421" spans="10:21">
      <c r="J421" s="580">
        <v>41634</v>
      </c>
      <c r="K421" s="581">
        <v>6.9444444444444441E-3</v>
      </c>
      <c r="L421" s="582">
        <v>11.389900000000001</v>
      </c>
      <c r="M421" s="582">
        <v>11.7454</v>
      </c>
      <c r="N421" s="582">
        <v>12.508699999999999</v>
      </c>
      <c r="O421" s="582">
        <v>12.119199999999999</v>
      </c>
      <c r="P421" s="582">
        <v>99.303799999999995</v>
      </c>
      <c r="Q421" s="582">
        <v>10.153758009542759</v>
      </c>
      <c r="R421" s="582">
        <v>1.0511419904572414</v>
      </c>
      <c r="S421" s="582">
        <v>2.2416419904572411</v>
      </c>
      <c r="T421" s="582">
        <v>2.5449419904572403</v>
      </c>
      <c r="U421" s="582">
        <v>2.23544199045724</v>
      </c>
    </row>
    <row r="422" spans="10:21">
      <c r="J422" s="580">
        <v>41635</v>
      </c>
      <c r="K422" s="581">
        <v>6.9444444444444441E-3</v>
      </c>
      <c r="L422" s="582">
        <v>11.3447</v>
      </c>
      <c r="M422" s="582">
        <v>11.6942</v>
      </c>
      <c r="N422" s="582">
        <v>12.456300000000001</v>
      </c>
      <c r="O422" s="582">
        <v>12.0845</v>
      </c>
      <c r="P422" s="582">
        <v>99.156999999999996</v>
      </c>
      <c r="Q422" s="582">
        <v>10.138747791647766</v>
      </c>
      <c r="R422" s="582">
        <v>1.0209522083522331</v>
      </c>
      <c r="S422" s="582">
        <v>2.2054522083522343</v>
      </c>
      <c r="T422" s="582">
        <v>2.5075522083522346</v>
      </c>
      <c r="U422" s="582">
        <v>2.2157522083522339</v>
      </c>
    </row>
    <row r="423" spans="10:21">
      <c r="J423" s="580">
        <v>41636</v>
      </c>
      <c r="K423" s="581">
        <v>6.9444444444444441E-3</v>
      </c>
      <c r="L423" s="582">
        <v>11.3118</v>
      </c>
      <c r="M423" s="582">
        <v>11.6546</v>
      </c>
      <c r="N423" s="582">
        <v>12.413500000000001</v>
      </c>
      <c r="O423" s="582">
        <v>12.061999999999999</v>
      </c>
      <c r="P423" s="582">
        <v>99.115399999999994</v>
      </c>
      <c r="Q423" s="582">
        <v>10.134494214914579</v>
      </c>
      <c r="R423" s="582">
        <v>0.99230578508542122</v>
      </c>
      <c r="S423" s="582">
        <v>2.170105785085422</v>
      </c>
      <c r="T423" s="582">
        <v>2.4690057850854226</v>
      </c>
      <c r="U423" s="582">
        <v>2.1975057850854207</v>
      </c>
    </row>
    <row r="424" spans="10:21">
      <c r="J424" s="580">
        <v>41637</v>
      </c>
      <c r="K424" s="581">
        <v>6.9444444444444441E-3</v>
      </c>
      <c r="L424" s="582">
        <v>11.2814</v>
      </c>
      <c r="M424" s="582">
        <v>11.607699999999999</v>
      </c>
      <c r="N424" s="582">
        <v>12.3712</v>
      </c>
      <c r="O424" s="582">
        <v>12.039300000000001</v>
      </c>
      <c r="P424" s="582">
        <v>99.067700000000002</v>
      </c>
      <c r="Q424" s="582">
        <v>10.129616916593115</v>
      </c>
      <c r="R424" s="582">
        <v>0.96678308340688501</v>
      </c>
      <c r="S424" s="582">
        <v>2.1280830834068851</v>
      </c>
      <c r="T424" s="582">
        <v>2.4315830834068857</v>
      </c>
      <c r="U424" s="582">
        <v>2.1796830834068861</v>
      </c>
    </row>
    <row r="425" spans="10:21">
      <c r="J425" s="580">
        <v>41638</v>
      </c>
      <c r="K425" s="581">
        <v>6.9444444444444441E-3</v>
      </c>
      <c r="L425" s="582">
        <v>11.263199999999999</v>
      </c>
      <c r="M425" s="582">
        <v>11.5708</v>
      </c>
      <c r="N425" s="582">
        <v>12.3345</v>
      </c>
      <c r="O425" s="582">
        <v>12.006399999999999</v>
      </c>
      <c r="P425" s="582">
        <v>99.086299999999994</v>
      </c>
      <c r="Q425" s="582">
        <v>10.131518756190163</v>
      </c>
      <c r="R425" s="582">
        <v>0.94668124380983676</v>
      </c>
      <c r="S425" s="582">
        <v>2.0892812438098378</v>
      </c>
      <c r="T425" s="582">
        <v>2.3929812438098379</v>
      </c>
      <c r="U425" s="582">
        <v>2.1448812438098366</v>
      </c>
    </row>
    <row r="426" spans="10:21">
      <c r="J426" s="580">
        <v>41639</v>
      </c>
      <c r="K426" s="581">
        <v>6.9444444444444441E-3</v>
      </c>
      <c r="L426" s="582">
        <v>11.248100000000001</v>
      </c>
      <c r="M426" s="582">
        <v>11.5343</v>
      </c>
      <c r="N426" s="582">
        <v>12.2958</v>
      </c>
      <c r="O426" s="582">
        <v>11.972200000000001</v>
      </c>
      <c r="P426" s="582">
        <v>99.129300000000001</v>
      </c>
      <c r="Q426" s="582">
        <v>10.135915482140332</v>
      </c>
      <c r="R426" s="582">
        <v>0.92718451785966904</v>
      </c>
      <c r="S426" s="582">
        <v>2.0483845178596685</v>
      </c>
      <c r="T426" s="582">
        <v>2.3498845178596683</v>
      </c>
      <c r="U426" s="582">
        <v>2.106284517859669</v>
      </c>
    </row>
    <row r="427" spans="10:21">
      <c r="J427" s="580">
        <v>41640</v>
      </c>
      <c r="K427" s="581">
        <v>6.9444444444444441E-3</v>
      </c>
      <c r="L427" s="582">
        <v>11.222200000000001</v>
      </c>
      <c r="M427" s="582">
        <v>11.484400000000001</v>
      </c>
      <c r="N427" s="582">
        <v>12.2425</v>
      </c>
      <c r="O427" s="582">
        <v>11.929</v>
      </c>
      <c r="P427" s="582">
        <v>99.072000000000003</v>
      </c>
      <c r="Q427" s="582">
        <v>10.130056589188131</v>
      </c>
      <c r="R427" s="582">
        <v>0.90714341081187</v>
      </c>
      <c r="S427" s="582">
        <v>2.0043434108118703</v>
      </c>
      <c r="T427" s="582">
        <v>2.3024434108118692</v>
      </c>
      <c r="U427" s="582">
        <v>2.0689434108118694</v>
      </c>
    </row>
    <row r="428" spans="10:21">
      <c r="J428" s="580">
        <v>41641</v>
      </c>
      <c r="K428" s="581">
        <v>6.9444444444444441E-3</v>
      </c>
      <c r="L428" s="582">
        <v>11.200200000000001</v>
      </c>
      <c r="M428" s="582">
        <v>11.460100000000001</v>
      </c>
      <c r="N428" s="582">
        <v>12.2082</v>
      </c>
      <c r="O428" s="582">
        <v>11.8942</v>
      </c>
      <c r="P428" s="582">
        <v>99.0608</v>
      </c>
      <c r="Q428" s="582">
        <v>10.128911395452274</v>
      </c>
      <c r="R428" s="582">
        <v>0.88628860454772662</v>
      </c>
      <c r="S428" s="582">
        <v>1.9811886045477267</v>
      </c>
      <c r="T428" s="582">
        <v>2.2692886045477261</v>
      </c>
      <c r="U428" s="582">
        <v>2.0352886045477256</v>
      </c>
    </row>
    <row r="429" spans="10:21">
      <c r="J429" s="580">
        <v>41642</v>
      </c>
      <c r="K429" s="581">
        <v>6.9444444444444441E-3</v>
      </c>
      <c r="L429" s="582">
        <v>11.1716</v>
      </c>
      <c r="M429" s="582">
        <v>11.438499999999999</v>
      </c>
      <c r="N429" s="582">
        <v>12.180300000000001</v>
      </c>
      <c r="O429" s="582">
        <v>11.868</v>
      </c>
      <c r="P429" s="582">
        <v>99.075999999999993</v>
      </c>
      <c r="Q429" s="582">
        <v>10.130465586950937</v>
      </c>
      <c r="R429" s="582">
        <v>0.85613441304906301</v>
      </c>
      <c r="S429" s="582">
        <v>1.9580344130490628</v>
      </c>
      <c r="T429" s="582">
        <v>2.2398344130490644</v>
      </c>
      <c r="U429" s="582">
        <v>2.0075344130490635</v>
      </c>
    </row>
    <row r="430" spans="10:21">
      <c r="J430" s="580">
        <v>41643</v>
      </c>
      <c r="K430" s="581">
        <v>6.9444444444444441E-3</v>
      </c>
      <c r="L430" s="582">
        <v>11.137600000000001</v>
      </c>
      <c r="M430" s="582">
        <v>11.4107</v>
      </c>
      <c r="N430" s="582">
        <v>12.146000000000001</v>
      </c>
      <c r="O430" s="582">
        <v>11.837199999999999</v>
      </c>
      <c r="P430" s="582">
        <v>99.014899999999997</v>
      </c>
      <c r="Q430" s="582">
        <v>10.12421814612407</v>
      </c>
      <c r="R430" s="582">
        <v>0.82838185387593077</v>
      </c>
      <c r="S430" s="582">
        <v>1.9364818538759303</v>
      </c>
      <c r="T430" s="582">
        <v>2.2117818538759311</v>
      </c>
      <c r="U430" s="582">
        <v>1.9829818538759292</v>
      </c>
    </row>
    <row r="431" spans="10:21">
      <c r="J431" s="580">
        <v>41644</v>
      </c>
      <c r="K431" s="581">
        <v>6.9444444444444441E-3</v>
      </c>
      <c r="L431" s="582">
        <v>11.092700000000001</v>
      </c>
      <c r="M431" s="582">
        <v>11.374599999999999</v>
      </c>
      <c r="N431" s="582">
        <v>12.1066</v>
      </c>
      <c r="O431" s="582">
        <v>11.8063</v>
      </c>
      <c r="P431" s="582">
        <v>98.903400000000005</v>
      </c>
      <c r="Q431" s="582">
        <v>10.112817333485843</v>
      </c>
      <c r="R431" s="582">
        <v>0.79488266651415762</v>
      </c>
      <c r="S431" s="582">
        <v>1.9117826665141562</v>
      </c>
      <c r="T431" s="582">
        <v>2.1837826665141575</v>
      </c>
      <c r="U431" s="582">
        <v>1.9634826665141571</v>
      </c>
    </row>
    <row r="432" spans="10:21">
      <c r="J432" s="580">
        <v>41645</v>
      </c>
      <c r="K432" s="581">
        <v>6.9444444444444441E-3</v>
      </c>
      <c r="L432" s="582">
        <v>11.0443</v>
      </c>
      <c r="M432" s="582">
        <v>11.3315</v>
      </c>
      <c r="N432" s="582">
        <v>12.0565</v>
      </c>
      <c r="O432" s="582">
        <v>11.7677</v>
      </c>
      <c r="P432" s="582">
        <v>98.721000000000004</v>
      </c>
      <c r="Q432" s="582">
        <v>10.094167035501872</v>
      </c>
      <c r="R432" s="582">
        <v>0.76513296449812762</v>
      </c>
      <c r="S432" s="582">
        <v>1.887332964498128</v>
      </c>
      <c r="T432" s="582">
        <v>2.1523329644981279</v>
      </c>
      <c r="U432" s="582">
        <v>1.9435329644981274</v>
      </c>
    </row>
    <row r="433" spans="10:21">
      <c r="J433" s="580">
        <v>41646</v>
      </c>
      <c r="K433" s="581">
        <v>6.9444444444444441E-3</v>
      </c>
      <c r="L433" s="582">
        <v>11.0303</v>
      </c>
      <c r="M433" s="582">
        <v>11.322100000000001</v>
      </c>
      <c r="N433" s="582">
        <v>12.0336</v>
      </c>
      <c r="O433" s="582">
        <v>11.7562</v>
      </c>
      <c r="P433" s="582">
        <v>98.796199999999999</v>
      </c>
      <c r="Q433" s="582">
        <v>10.101856193442632</v>
      </c>
      <c r="R433" s="582">
        <v>0.74344380655736808</v>
      </c>
      <c r="S433" s="582">
        <v>1.8702438065573685</v>
      </c>
      <c r="T433" s="582">
        <v>2.1217438065573679</v>
      </c>
      <c r="U433" s="582">
        <v>1.9243438065573675</v>
      </c>
    </row>
    <row r="434" spans="10:21">
      <c r="J434" s="580">
        <v>41647</v>
      </c>
      <c r="K434" s="581">
        <v>6.9444444444444441E-3</v>
      </c>
      <c r="L434" s="582">
        <v>11.0289</v>
      </c>
      <c r="M434" s="582">
        <v>11.1187</v>
      </c>
      <c r="N434" s="582">
        <v>12.0265</v>
      </c>
      <c r="O434" s="582">
        <v>11.7563</v>
      </c>
      <c r="P434" s="582">
        <v>98.9495</v>
      </c>
      <c r="Q434" s="582">
        <v>10.117531032702185</v>
      </c>
      <c r="R434" s="582">
        <v>0.72636896729781464</v>
      </c>
      <c r="S434" s="582">
        <v>1.6511689672978151</v>
      </c>
      <c r="T434" s="582">
        <v>2.0989689672978153</v>
      </c>
      <c r="U434" s="582">
        <v>1.9087689672978141</v>
      </c>
    </row>
    <row r="435" spans="10:21">
      <c r="J435" s="580">
        <v>41648</v>
      </c>
      <c r="K435" s="581">
        <v>6.9444444444444441E-3</v>
      </c>
      <c r="L435" s="582">
        <v>11.031499999999999</v>
      </c>
      <c r="M435" s="582">
        <v>11.2829</v>
      </c>
      <c r="N435" s="582">
        <v>12.0167</v>
      </c>
      <c r="O435" s="582">
        <v>11.759</v>
      </c>
      <c r="P435" s="582">
        <v>99.025999999999996</v>
      </c>
      <c r="Q435" s="582">
        <v>10.125353114915857</v>
      </c>
      <c r="R435" s="582">
        <v>0.72114688508414249</v>
      </c>
      <c r="S435" s="582">
        <v>1.807546885084143</v>
      </c>
      <c r="T435" s="582">
        <v>2.0813468850841437</v>
      </c>
      <c r="U435" s="582">
        <v>1.9036468850841435</v>
      </c>
    </row>
    <row r="436" spans="10:21">
      <c r="J436" s="580">
        <v>41649</v>
      </c>
      <c r="K436" s="581">
        <v>6.9444444444444441E-3</v>
      </c>
      <c r="L436" s="582">
        <v>11.014699999999999</v>
      </c>
      <c r="M436" s="582">
        <v>11.275700000000001</v>
      </c>
      <c r="N436" s="582">
        <v>11.991</v>
      </c>
      <c r="O436" s="582">
        <v>11.742800000000001</v>
      </c>
      <c r="P436" s="582">
        <v>99.028700000000001</v>
      </c>
      <c r="Q436" s="582">
        <v>10.125629188405751</v>
      </c>
      <c r="R436" s="582">
        <v>0.704070811594248</v>
      </c>
      <c r="S436" s="582">
        <v>1.8000708115942492</v>
      </c>
      <c r="T436" s="582">
        <v>2.0553708115942486</v>
      </c>
      <c r="U436" s="582">
        <v>1.8871708115942494</v>
      </c>
    </row>
    <row r="437" spans="10:21">
      <c r="J437" s="580">
        <v>41650</v>
      </c>
      <c r="K437" s="581">
        <v>6.9444444444444441E-3</v>
      </c>
      <c r="L437" s="582">
        <v>10.9984</v>
      </c>
      <c r="M437" s="582">
        <v>11.2546</v>
      </c>
      <c r="N437" s="582">
        <v>11.9702</v>
      </c>
      <c r="O437" s="582">
        <v>11.7319</v>
      </c>
      <c r="P437" s="582">
        <v>99.092200000000005</v>
      </c>
      <c r="Q437" s="582">
        <v>10.132122027890304</v>
      </c>
      <c r="R437" s="582">
        <v>0.68127797210969598</v>
      </c>
      <c r="S437" s="582">
        <v>1.7724779721096959</v>
      </c>
      <c r="T437" s="582">
        <v>2.0280779721096964</v>
      </c>
      <c r="U437" s="582">
        <v>1.8697779721096954</v>
      </c>
    </row>
    <row r="438" spans="10:21">
      <c r="J438" s="580">
        <v>41651</v>
      </c>
      <c r="K438" s="581">
        <v>6.9444444444444441E-3</v>
      </c>
      <c r="L438" s="582">
        <v>10.978300000000001</v>
      </c>
      <c r="M438" s="582">
        <v>10.6503</v>
      </c>
      <c r="N438" s="582">
        <v>11.9451</v>
      </c>
      <c r="O438" s="582">
        <v>11.72</v>
      </c>
      <c r="P438" s="582">
        <v>99.123699999999999</v>
      </c>
      <c r="Q438" s="582">
        <v>10.135342885272403</v>
      </c>
      <c r="R438" s="582">
        <v>0.65795711472759821</v>
      </c>
      <c r="S438" s="582">
        <v>1.1649571147275972</v>
      </c>
      <c r="T438" s="582">
        <v>1.9997571147275977</v>
      </c>
      <c r="U438" s="582">
        <v>1.8546571147275981</v>
      </c>
    </row>
    <row r="439" spans="10:21">
      <c r="J439" s="580">
        <v>41652</v>
      </c>
      <c r="K439" s="581">
        <v>6.9444444444444441E-3</v>
      </c>
      <c r="L439" s="582">
        <v>10.932399999999999</v>
      </c>
      <c r="M439" s="582">
        <v>10.603</v>
      </c>
      <c r="N439" s="582">
        <v>11.9154</v>
      </c>
      <c r="O439" s="582">
        <v>11.7018</v>
      </c>
      <c r="P439" s="582">
        <v>99.115499999999997</v>
      </c>
      <c r="Q439" s="582">
        <v>10.134504439858651</v>
      </c>
      <c r="R439" s="582">
        <v>0.61289556014134883</v>
      </c>
      <c r="S439" s="582">
        <v>1.1184955601413493</v>
      </c>
      <c r="T439" s="582">
        <v>1.9708955601413496</v>
      </c>
      <c r="U439" s="582">
        <v>1.8372955601413499</v>
      </c>
    </row>
    <row r="440" spans="10:21">
      <c r="J440" s="580">
        <v>41653</v>
      </c>
      <c r="K440" s="581">
        <v>6.9444444444444441E-3</v>
      </c>
      <c r="L440" s="582">
        <v>10.8553</v>
      </c>
      <c r="M440" s="582">
        <v>10.574999999999999</v>
      </c>
      <c r="N440" s="582">
        <v>11.889799999999999</v>
      </c>
      <c r="O440" s="582">
        <v>11.683</v>
      </c>
      <c r="P440" s="582">
        <v>99.114999999999995</v>
      </c>
      <c r="Q440" s="582">
        <v>10.134453315138298</v>
      </c>
      <c r="R440" s="582">
        <v>0.53584668486170139</v>
      </c>
      <c r="S440" s="582">
        <v>1.0905466848617011</v>
      </c>
      <c r="T440" s="582">
        <v>1.9453466848617011</v>
      </c>
      <c r="U440" s="582">
        <v>1.8185466848617016</v>
      </c>
    </row>
    <row r="441" spans="10:21">
      <c r="J441" s="580">
        <v>41654</v>
      </c>
      <c r="K441" s="581">
        <v>6.9444444444444441E-3</v>
      </c>
      <c r="L441" s="582">
        <v>10.7743</v>
      </c>
      <c r="M441" s="582">
        <v>10.5778</v>
      </c>
      <c r="N441" s="582">
        <v>11.863799999999999</v>
      </c>
      <c r="O441" s="582">
        <v>11.6654</v>
      </c>
      <c r="P441" s="582">
        <v>99.113299999999995</v>
      </c>
      <c r="Q441" s="582">
        <v>10.134279491089107</v>
      </c>
      <c r="R441" s="582">
        <v>0.45502050891089368</v>
      </c>
      <c r="S441" s="582">
        <v>1.0935205089108935</v>
      </c>
      <c r="T441" s="582">
        <v>1.9195205089108931</v>
      </c>
      <c r="U441" s="582">
        <v>1.8011205089108935</v>
      </c>
    </row>
    <row r="442" spans="10:21">
      <c r="J442" s="580">
        <v>41655</v>
      </c>
      <c r="K442" s="581">
        <v>6.9444444444444441E-3</v>
      </c>
      <c r="L442" s="582">
        <v>10.7323</v>
      </c>
      <c r="M442" s="582">
        <v>10.5883</v>
      </c>
      <c r="N442" s="582">
        <v>11.8415</v>
      </c>
      <c r="O442" s="582">
        <v>11.653</v>
      </c>
      <c r="P442" s="582">
        <v>99.180599999999998</v>
      </c>
      <c r="Q442" s="582">
        <v>10.141160878448323</v>
      </c>
      <c r="R442" s="582">
        <v>0.40613912155167725</v>
      </c>
      <c r="S442" s="582">
        <v>1.0971391215516773</v>
      </c>
      <c r="T442" s="582">
        <v>1.8903391215516769</v>
      </c>
      <c r="U442" s="582">
        <v>1.7818391215516773</v>
      </c>
    </row>
    <row r="443" spans="10:21">
      <c r="J443" s="580">
        <v>41656</v>
      </c>
      <c r="K443" s="581">
        <v>6.9444444444444441E-3</v>
      </c>
      <c r="L443" s="582">
        <v>10.635400000000001</v>
      </c>
      <c r="M443" s="582">
        <v>10.5886</v>
      </c>
      <c r="N443" s="582">
        <v>11.816800000000001</v>
      </c>
      <c r="O443" s="582">
        <v>11.635300000000001</v>
      </c>
      <c r="P443" s="582">
        <v>99.185000000000002</v>
      </c>
      <c r="Q443" s="582">
        <v>10.141610775987411</v>
      </c>
      <c r="R443" s="582">
        <v>0.3087892240125894</v>
      </c>
      <c r="S443" s="582">
        <v>1.0969892240125885</v>
      </c>
      <c r="T443" s="582">
        <v>1.8651892240125896</v>
      </c>
      <c r="U443" s="582">
        <v>1.7636892240125897</v>
      </c>
    </row>
    <row r="444" spans="10:21">
      <c r="J444" s="580">
        <v>41657</v>
      </c>
      <c r="K444" s="581">
        <v>6.9444444444444441E-3</v>
      </c>
      <c r="L444" s="582">
        <v>10.531499999999999</v>
      </c>
      <c r="M444" s="582">
        <v>10.5748</v>
      </c>
      <c r="N444" s="582">
        <v>11.786300000000001</v>
      </c>
      <c r="O444" s="582">
        <v>11.607900000000001</v>
      </c>
      <c r="P444" s="582">
        <v>99.104500000000002</v>
      </c>
      <c r="Q444" s="582">
        <v>10.133379696010932</v>
      </c>
      <c r="R444" s="582">
        <v>0.21312030398906728</v>
      </c>
      <c r="S444" s="582">
        <v>1.0914203039890678</v>
      </c>
      <c r="T444" s="582">
        <v>1.8429203039890687</v>
      </c>
      <c r="U444" s="582">
        <v>1.7445203039890687</v>
      </c>
    </row>
    <row r="445" spans="10:21">
      <c r="J445" s="580">
        <v>41658</v>
      </c>
      <c r="K445" s="581">
        <v>6.9444444444444441E-3</v>
      </c>
      <c r="L445" s="582">
        <v>10.5505</v>
      </c>
      <c r="M445" s="582">
        <v>10.5968</v>
      </c>
      <c r="N445" s="582">
        <v>11.783099999999999</v>
      </c>
      <c r="O445" s="582">
        <v>11.608499999999999</v>
      </c>
      <c r="P445" s="582">
        <v>99.305199999999999</v>
      </c>
      <c r="Q445" s="582">
        <v>10.153901158759743</v>
      </c>
      <c r="R445" s="582">
        <v>0.21159884124025702</v>
      </c>
      <c r="S445" s="582">
        <v>1.0928988412402576</v>
      </c>
      <c r="T445" s="582">
        <v>1.8191988412402569</v>
      </c>
      <c r="U445" s="582">
        <v>1.7245988412402569</v>
      </c>
    </row>
    <row r="446" spans="10:21">
      <c r="J446" s="580">
        <v>41659</v>
      </c>
      <c r="K446" s="581">
        <v>6.9444444444444441E-3</v>
      </c>
      <c r="L446" s="582">
        <v>10.5503</v>
      </c>
      <c r="M446" s="582">
        <v>10.5952</v>
      </c>
      <c r="N446" s="582">
        <v>11.766</v>
      </c>
      <c r="O446" s="582">
        <v>11.593400000000001</v>
      </c>
      <c r="P446" s="582">
        <v>99.353700000000003</v>
      </c>
      <c r="Q446" s="582">
        <v>10.158860256633769</v>
      </c>
      <c r="R446" s="582">
        <v>0.20643974336623089</v>
      </c>
      <c r="S446" s="582">
        <v>1.0863397433662312</v>
      </c>
      <c r="T446" s="582">
        <v>1.7971397433662311</v>
      </c>
      <c r="U446" s="582">
        <v>1.7045397433662317</v>
      </c>
    </row>
    <row r="447" spans="10:21">
      <c r="J447" s="580">
        <v>41660</v>
      </c>
      <c r="K447" s="581">
        <v>6.9444444444444441E-3</v>
      </c>
      <c r="L447" s="582">
        <v>10.1945</v>
      </c>
      <c r="M447" s="582">
        <v>10.1904</v>
      </c>
      <c r="N447" s="582">
        <v>11.7416</v>
      </c>
      <c r="O447" s="582">
        <v>11.5707</v>
      </c>
      <c r="P447" s="582">
        <v>99.343299999999999</v>
      </c>
      <c r="Q447" s="582">
        <v>10.157796862450473</v>
      </c>
      <c r="R447" s="582">
        <v>0</v>
      </c>
      <c r="S447" s="582">
        <v>0.68260313754952739</v>
      </c>
      <c r="T447" s="582">
        <v>1.7738031375495271</v>
      </c>
      <c r="U447" s="582">
        <v>1.6829031375495274</v>
      </c>
    </row>
    <row r="448" spans="10:21">
      <c r="J448" s="580">
        <v>41661</v>
      </c>
      <c r="K448" s="581">
        <v>6.9444444444444441E-3</v>
      </c>
      <c r="L448" s="582">
        <v>10.1782</v>
      </c>
      <c r="M448" s="582">
        <v>10.174799999999999</v>
      </c>
      <c r="N448" s="582">
        <v>11.701700000000001</v>
      </c>
      <c r="O448" s="582">
        <v>11.532</v>
      </c>
      <c r="P448" s="582">
        <v>99.175299999999993</v>
      </c>
      <c r="Q448" s="582">
        <v>10.140618956412604</v>
      </c>
      <c r="R448" s="582">
        <v>0</v>
      </c>
      <c r="S448" s="582">
        <v>0.6841810435873954</v>
      </c>
      <c r="T448" s="582">
        <v>1.7510810435873967</v>
      </c>
      <c r="U448" s="582">
        <v>1.6613810435873959</v>
      </c>
    </row>
    <row r="449" spans="10:21">
      <c r="J449" s="580">
        <v>41662</v>
      </c>
      <c r="K449" s="581">
        <v>6.9444444444444441E-3</v>
      </c>
      <c r="L449" s="582">
        <v>10.1884</v>
      </c>
      <c r="M449" s="582">
        <v>10.1759</v>
      </c>
      <c r="N449" s="582">
        <v>11.6822</v>
      </c>
      <c r="O449" s="582">
        <v>11.514799999999999</v>
      </c>
      <c r="P449" s="582">
        <v>99.218400000000003</v>
      </c>
      <c r="Q449" s="582">
        <v>10.145025907306845</v>
      </c>
      <c r="R449" s="582">
        <v>0</v>
      </c>
      <c r="S449" s="582">
        <v>0.68087409269315535</v>
      </c>
      <c r="T449" s="582">
        <v>1.7271740926931549</v>
      </c>
      <c r="U449" s="582">
        <v>1.6397740926931541</v>
      </c>
    </row>
    <row r="450" spans="10:21">
      <c r="J450" s="580">
        <v>41663</v>
      </c>
      <c r="K450" s="581">
        <v>6.9444444444444441E-3</v>
      </c>
      <c r="L450" s="582">
        <v>10.186500000000001</v>
      </c>
      <c r="M450" s="582">
        <v>10.1738</v>
      </c>
      <c r="N450" s="582">
        <v>11.6599</v>
      </c>
      <c r="O450" s="582">
        <v>11.4918</v>
      </c>
      <c r="P450" s="582">
        <v>99.210599999999999</v>
      </c>
      <c r="Q450" s="582">
        <v>10.144228361669372</v>
      </c>
      <c r="R450" s="582">
        <v>0</v>
      </c>
      <c r="S450" s="582">
        <v>0.67957163833062828</v>
      </c>
      <c r="T450" s="582">
        <v>1.7056716383306287</v>
      </c>
      <c r="U450" s="582">
        <v>1.6175716383306278</v>
      </c>
    </row>
    <row r="451" spans="10:21">
      <c r="J451" s="580">
        <v>41664</v>
      </c>
      <c r="K451" s="581">
        <v>6.9444444444444441E-3</v>
      </c>
      <c r="L451" s="582">
        <v>10.169</v>
      </c>
      <c r="M451" s="582">
        <v>10.1557</v>
      </c>
      <c r="N451" s="582">
        <v>11.6213</v>
      </c>
      <c r="O451" s="582">
        <v>11.451700000000001</v>
      </c>
      <c r="P451" s="582">
        <v>99.036600000000007</v>
      </c>
      <c r="Q451" s="582">
        <v>10.126436958987295</v>
      </c>
      <c r="R451" s="582">
        <v>0</v>
      </c>
      <c r="S451" s="582">
        <v>0.67926304101270474</v>
      </c>
      <c r="T451" s="582">
        <v>1.684863041012705</v>
      </c>
      <c r="U451" s="582">
        <v>1.5952630410127058</v>
      </c>
    </row>
    <row r="452" spans="10:21">
      <c r="J452" s="580">
        <v>41665</v>
      </c>
      <c r="K452" s="581">
        <v>6.9444444444444441E-3</v>
      </c>
      <c r="L452" s="582">
        <v>10.173299999999999</v>
      </c>
      <c r="M452" s="582">
        <v>10.159000000000001</v>
      </c>
      <c r="N452" s="582">
        <v>11.6008</v>
      </c>
      <c r="O452" s="582">
        <v>11.4298</v>
      </c>
      <c r="P452" s="582">
        <v>99.040800000000004</v>
      </c>
      <c r="Q452" s="582">
        <v>10.126866406638241</v>
      </c>
      <c r="R452" s="582">
        <v>0</v>
      </c>
      <c r="S452" s="582">
        <v>0.68213359336175983</v>
      </c>
      <c r="T452" s="582">
        <v>1.6639335933617587</v>
      </c>
      <c r="U452" s="582">
        <v>1.5729335933617592</v>
      </c>
    </row>
    <row r="453" spans="10:21">
      <c r="J453" s="580">
        <v>41666</v>
      </c>
      <c r="K453" s="581">
        <v>6.9444444444444441E-3</v>
      </c>
      <c r="L453" s="582">
        <v>10.173999999999999</v>
      </c>
      <c r="M453" s="582">
        <v>10.1601</v>
      </c>
      <c r="N453" s="582">
        <v>11.579499999999999</v>
      </c>
      <c r="O453" s="582">
        <v>11.4072</v>
      </c>
      <c r="P453" s="582">
        <v>99.055999999999997</v>
      </c>
      <c r="Q453" s="582">
        <v>10.128420598136906</v>
      </c>
      <c r="R453" s="582">
        <v>0</v>
      </c>
      <c r="S453" s="582">
        <v>0.6816794018630945</v>
      </c>
      <c r="T453" s="582">
        <v>1.6410794018630941</v>
      </c>
      <c r="U453" s="582">
        <v>1.548779401863094</v>
      </c>
    </row>
    <row r="454" spans="10:21">
      <c r="J454" s="580">
        <v>41667</v>
      </c>
      <c r="K454" s="581">
        <v>6.9444444444444441E-3</v>
      </c>
      <c r="L454" s="582">
        <v>10.1693</v>
      </c>
      <c r="M454" s="582">
        <v>10.1572</v>
      </c>
      <c r="N454" s="582">
        <v>11.557</v>
      </c>
      <c r="O454" s="582">
        <v>11.3826</v>
      </c>
      <c r="P454" s="582">
        <v>99.038300000000007</v>
      </c>
      <c r="Q454" s="582">
        <v>10.126610783036488</v>
      </c>
      <c r="R454" s="582">
        <v>0</v>
      </c>
      <c r="S454" s="582">
        <v>0.68058921696351127</v>
      </c>
      <c r="T454" s="582">
        <v>1.6203892169635121</v>
      </c>
      <c r="U454" s="582">
        <v>1.5259892169635116</v>
      </c>
    </row>
    <row r="455" spans="10:21">
      <c r="J455" s="580">
        <v>41668</v>
      </c>
      <c r="K455" s="581">
        <v>6.9444444444444441E-3</v>
      </c>
      <c r="L455" s="582">
        <v>10.1721</v>
      </c>
      <c r="M455" s="582">
        <v>10.1594</v>
      </c>
      <c r="N455" s="582">
        <v>11.537699999999999</v>
      </c>
      <c r="O455" s="582">
        <v>11.3612</v>
      </c>
      <c r="P455" s="582">
        <v>99.057199999999995</v>
      </c>
      <c r="Q455" s="582">
        <v>10.128543297465747</v>
      </c>
      <c r="R455" s="582">
        <v>0</v>
      </c>
      <c r="S455" s="582">
        <v>0.68085670253425312</v>
      </c>
      <c r="T455" s="582">
        <v>1.5991567025342526</v>
      </c>
      <c r="U455" s="582">
        <v>1.5026567025342534</v>
      </c>
    </row>
    <row r="456" spans="10:21">
      <c r="J456" s="580">
        <v>41669</v>
      </c>
      <c r="K456" s="581">
        <v>6.9444444444444441E-3</v>
      </c>
      <c r="L456" s="582">
        <v>10.180999999999999</v>
      </c>
      <c r="M456" s="582">
        <v>10.167299999999999</v>
      </c>
      <c r="N456" s="582">
        <v>11.525</v>
      </c>
      <c r="O456" s="582">
        <v>11.3454</v>
      </c>
      <c r="P456" s="582">
        <v>99.142200000000003</v>
      </c>
      <c r="Q456" s="582">
        <v>10.137234499925382</v>
      </c>
      <c r="R456" s="582">
        <v>0</v>
      </c>
      <c r="S456" s="582">
        <v>0.68006550007461697</v>
      </c>
      <c r="T456" s="582">
        <v>1.5777655000746182</v>
      </c>
      <c r="U456" s="582">
        <v>1.4781655000746174</v>
      </c>
    </row>
    <row r="457" spans="10:21">
      <c r="J457" s="580">
        <v>41670</v>
      </c>
      <c r="K457" s="581">
        <v>6.9444444444444441E-3</v>
      </c>
      <c r="L457" s="582">
        <v>10.180199999999999</v>
      </c>
      <c r="M457" s="582">
        <v>10.166499999999999</v>
      </c>
      <c r="N457" s="582">
        <v>11.5017</v>
      </c>
      <c r="O457" s="582">
        <v>11.318899999999999</v>
      </c>
      <c r="P457" s="582">
        <v>99.129400000000004</v>
      </c>
      <c r="Q457" s="582">
        <v>10.135925707084402</v>
      </c>
      <c r="R457" s="582">
        <v>0</v>
      </c>
      <c r="S457" s="582">
        <v>0.68057429291559735</v>
      </c>
      <c r="T457" s="582">
        <v>1.5557742929155978</v>
      </c>
      <c r="U457" s="582">
        <v>1.4529742929155973</v>
      </c>
    </row>
    <row r="458" spans="10:21">
      <c r="J458" s="580">
        <v>41671</v>
      </c>
      <c r="K458" s="581">
        <v>6.9444444444444441E-3</v>
      </c>
      <c r="L458" s="582">
        <v>10.163</v>
      </c>
      <c r="M458" s="582">
        <v>10.1493</v>
      </c>
      <c r="N458" s="582">
        <v>11.465</v>
      </c>
      <c r="O458" s="582">
        <v>11.2774</v>
      </c>
      <c r="P458" s="582">
        <v>98.970799999999997</v>
      </c>
      <c r="Q458" s="582">
        <v>10.11970894578913</v>
      </c>
      <c r="R458" s="582">
        <v>0</v>
      </c>
      <c r="S458" s="582">
        <v>0.67959105421087052</v>
      </c>
      <c r="T458" s="582">
        <v>1.53529105421087</v>
      </c>
      <c r="U458" s="582">
        <v>1.4276910542108703</v>
      </c>
    </row>
    <row r="459" spans="10:21">
      <c r="J459" s="580">
        <v>41672</v>
      </c>
      <c r="K459" s="581">
        <v>6.9444444444444441E-3</v>
      </c>
      <c r="L459" s="582">
        <v>10.1767</v>
      </c>
      <c r="M459" s="582">
        <v>10.1623</v>
      </c>
      <c r="N459" s="582">
        <v>11.457800000000001</v>
      </c>
      <c r="O459" s="582">
        <v>11.2651</v>
      </c>
      <c r="P459" s="582">
        <v>99.096299999999999</v>
      </c>
      <c r="Q459" s="582">
        <v>10.13254125059718</v>
      </c>
      <c r="R459" s="582">
        <v>0</v>
      </c>
      <c r="S459" s="582">
        <v>0.67975874940282011</v>
      </c>
      <c r="T459" s="582">
        <v>1.5152587494028205</v>
      </c>
      <c r="U459" s="582">
        <v>1.4025587494028202</v>
      </c>
    </row>
    <row r="460" spans="10:21">
      <c r="J460" s="580">
        <v>41673</v>
      </c>
      <c r="K460" s="581">
        <v>6.9444444444444441E-3</v>
      </c>
      <c r="L460" s="582">
        <v>10.1586</v>
      </c>
      <c r="M460" s="582">
        <v>10.1454</v>
      </c>
      <c r="N460" s="582">
        <v>11.420400000000001</v>
      </c>
      <c r="O460" s="582">
        <v>11.2239</v>
      </c>
      <c r="P460" s="582">
        <v>98.922899999999998</v>
      </c>
      <c r="Q460" s="582">
        <v>10.114811197579524</v>
      </c>
      <c r="R460" s="582">
        <v>0</v>
      </c>
      <c r="S460" s="582">
        <v>0.6805888024204767</v>
      </c>
      <c r="T460" s="582">
        <v>1.4955888024204769</v>
      </c>
      <c r="U460" s="582">
        <v>1.3790888024204766</v>
      </c>
    </row>
    <row r="461" spans="10:21">
      <c r="J461" s="580">
        <v>41674</v>
      </c>
      <c r="K461" s="581">
        <v>6.9444444444444441E-3</v>
      </c>
      <c r="L461" s="582">
        <v>10.148</v>
      </c>
      <c r="M461" s="582">
        <v>10.135999999999999</v>
      </c>
      <c r="N461" s="582">
        <v>11.388</v>
      </c>
      <c r="O461" s="582">
        <v>11.1899</v>
      </c>
      <c r="P461" s="582">
        <v>98.823300000000003</v>
      </c>
      <c r="Q461" s="582">
        <v>10.104627153285646</v>
      </c>
      <c r="R461" s="582">
        <v>0</v>
      </c>
      <c r="S461" s="582">
        <v>0.68137284671435316</v>
      </c>
      <c r="T461" s="582">
        <v>1.4733728467143536</v>
      </c>
      <c r="U461" s="582">
        <v>1.3552728467143536</v>
      </c>
    </row>
    <row r="462" spans="10:21">
      <c r="J462" s="580">
        <v>41675</v>
      </c>
      <c r="K462" s="581">
        <v>6.9444444444444441E-3</v>
      </c>
      <c r="L462" s="582">
        <v>10.1373</v>
      </c>
      <c r="M462" s="582">
        <v>10.124700000000001</v>
      </c>
      <c r="N462" s="582">
        <v>11.3543</v>
      </c>
      <c r="O462" s="582">
        <v>11.151400000000001</v>
      </c>
      <c r="P462" s="582">
        <v>98.698499999999996</v>
      </c>
      <c r="Q462" s="582">
        <v>10.091866423086087</v>
      </c>
      <c r="R462" s="582">
        <v>0</v>
      </c>
      <c r="S462" s="582">
        <v>0.68283357691391422</v>
      </c>
      <c r="T462" s="582">
        <v>1.4524335769139136</v>
      </c>
      <c r="U462" s="582">
        <v>1.3295335769139141</v>
      </c>
    </row>
    <row r="463" spans="10:21">
      <c r="J463" s="580">
        <v>41676</v>
      </c>
      <c r="K463" s="581">
        <v>6.9444444444444441E-3</v>
      </c>
      <c r="L463" s="582">
        <v>10.146599999999999</v>
      </c>
      <c r="M463" s="582">
        <v>10.1333</v>
      </c>
      <c r="N463" s="582">
        <v>11.3432</v>
      </c>
      <c r="O463" s="582">
        <v>11.138199999999999</v>
      </c>
      <c r="P463" s="582">
        <v>98.793099999999995</v>
      </c>
      <c r="Q463" s="582">
        <v>10.101539220176457</v>
      </c>
      <c r="R463" s="582">
        <v>0</v>
      </c>
      <c r="S463" s="582">
        <v>0.681760779823543</v>
      </c>
      <c r="T463" s="582">
        <v>1.4316607798235421</v>
      </c>
      <c r="U463" s="582">
        <v>1.3066607798235421</v>
      </c>
    </row>
    <row r="464" spans="10:21">
      <c r="J464" s="580">
        <v>41677</v>
      </c>
      <c r="K464" s="581">
        <v>6.9444444444444441E-3</v>
      </c>
      <c r="L464" s="582">
        <v>10.1402</v>
      </c>
      <c r="M464" s="582">
        <v>10.127599999999999</v>
      </c>
      <c r="N464" s="582">
        <v>11.314</v>
      </c>
      <c r="O464" s="582">
        <v>11.109</v>
      </c>
      <c r="P464" s="582">
        <v>98.724900000000005</v>
      </c>
      <c r="Q464" s="582">
        <v>10.09456580832061</v>
      </c>
      <c r="R464" s="582">
        <v>0</v>
      </c>
      <c r="S464" s="582">
        <v>0.68303419167938961</v>
      </c>
      <c r="T464" s="582">
        <v>1.4094341916793902</v>
      </c>
      <c r="U464" s="582">
        <v>1.2844341916793902</v>
      </c>
    </row>
    <row r="465" spans="10:21">
      <c r="J465" s="580">
        <v>41678</v>
      </c>
      <c r="K465" s="581">
        <v>6.9444444444444441E-3</v>
      </c>
      <c r="L465" s="582">
        <v>10.148400000000001</v>
      </c>
      <c r="M465" s="582">
        <v>10.1366</v>
      </c>
      <c r="N465" s="582">
        <v>11.3019</v>
      </c>
      <c r="O465" s="582">
        <v>11.094099999999999</v>
      </c>
      <c r="P465" s="582">
        <v>98.805800000000005</v>
      </c>
      <c r="Q465" s="582">
        <v>10.102837788073368</v>
      </c>
      <c r="R465" s="582">
        <v>0</v>
      </c>
      <c r="S465" s="582">
        <v>0.68376221192663222</v>
      </c>
      <c r="T465" s="582">
        <v>1.3890622119266323</v>
      </c>
      <c r="U465" s="582">
        <v>1.2612622119266317</v>
      </c>
    </row>
    <row r="466" spans="10:21">
      <c r="J466" s="580">
        <v>41679</v>
      </c>
      <c r="K466" s="581">
        <v>6.9444444444444441E-3</v>
      </c>
      <c r="L466" s="582">
        <v>10.1374</v>
      </c>
      <c r="M466" s="582">
        <v>10.124599999999999</v>
      </c>
      <c r="N466" s="582">
        <v>11.2697</v>
      </c>
      <c r="O466" s="582">
        <v>11.058</v>
      </c>
      <c r="P466" s="582">
        <v>98.7042</v>
      </c>
      <c r="Q466" s="582">
        <v>10.092449244898086</v>
      </c>
      <c r="R466" s="582">
        <v>0</v>
      </c>
      <c r="S466" s="582">
        <v>0.68215075510191325</v>
      </c>
      <c r="T466" s="582">
        <v>1.3672507551019142</v>
      </c>
      <c r="U466" s="582">
        <v>1.2355507551019138</v>
      </c>
    </row>
    <row r="467" spans="10:21">
      <c r="J467" s="580">
        <v>41680</v>
      </c>
      <c r="K467" s="581">
        <v>6.9444444444444441E-3</v>
      </c>
      <c r="L467" s="582">
        <v>10.142899999999999</v>
      </c>
      <c r="M467" s="582">
        <v>10.130800000000001</v>
      </c>
      <c r="N467" s="582">
        <v>11.2532</v>
      </c>
      <c r="O467" s="582">
        <v>11.0374</v>
      </c>
      <c r="P467" s="582">
        <v>98.741200000000006</v>
      </c>
      <c r="Q467" s="582">
        <v>10.096232474204045</v>
      </c>
      <c r="R467" s="582">
        <v>0</v>
      </c>
      <c r="S467" s="582">
        <v>0.68456752579595537</v>
      </c>
      <c r="T467" s="582">
        <v>1.3469675257959541</v>
      </c>
      <c r="U467" s="582">
        <v>1.2111675257959544</v>
      </c>
    </row>
    <row r="468" spans="10:21">
      <c r="J468" s="580">
        <v>41681</v>
      </c>
      <c r="K468" s="581">
        <v>6.9444444444444441E-3</v>
      </c>
      <c r="L468" s="582">
        <v>10.1417</v>
      </c>
      <c r="M468" s="582">
        <v>10.128500000000001</v>
      </c>
      <c r="N468" s="582">
        <v>11.230499999999999</v>
      </c>
      <c r="O468" s="582">
        <v>11.0078</v>
      </c>
      <c r="P468" s="582">
        <v>98.726100000000002</v>
      </c>
      <c r="Q468" s="582">
        <v>10.094688507649451</v>
      </c>
      <c r="R468" s="582">
        <v>0</v>
      </c>
      <c r="S468" s="582">
        <v>0.68381149235054983</v>
      </c>
      <c r="T468" s="582">
        <v>1.3258114923505482</v>
      </c>
      <c r="U468" s="582">
        <v>1.1831114923505486</v>
      </c>
    </row>
    <row r="469" spans="10:21">
      <c r="J469" s="580">
        <v>41682</v>
      </c>
      <c r="K469" s="581">
        <v>6.9444444444444441E-3</v>
      </c>
      <c r="L469" s="582">
        <v>10.1251</v>
      </c>
      <c r="M469" s="582">
        <v>10.110300000000001</v>
      </c>
      <c r="N469" s="582">
        <v>11.1951</v>
      </c>
      <c r="O469" s="582">
        <v>10.9682</v>
      </c>
      <c r="P469" s="582">
        <v>98.584999999999994</v>
      </c>
      <c r="Q469" s="582">
        <v>10.080261111566456</v>
      </c>
      <c r="R469" s="582">
        <v>0</v>
      </c>
      <c r="S469" s="582">
        <v>0.68003888843354487</v>
      </c>
      <c r="T469" s="582">
        <v>1.3048388884335442</v>
      </c>
      <c r="U469" s="582">
        <v>1.1579388884335438</v>
      </c>
    </row>
    <row r="470" spans="10:21">
      <c r="J470" s="580">
        <v>41683</v>
      </c>
      <c r="K470" s="581">
        <v>6.9444444444444441E-3</v>
      </c>
      <c r="L470" s="582">
        <v>10.144399999999999</v>
      </c>
      <c r="M470" s="582">
        <v>10.1302</v>
      </c>
      <c r="N470" s="582">
        <v>11.1928</v>
      </c>
      <c r="O470" s="582">
        <v>10.9619</v>
      </c>
      <c r="P470" s="582">
        <v>98.757900000000006</v>
      </c>
      <c r="Q470" s="582">
        <v>10.097940039863762</v>
      </c>
      <c r="R470" s="582">
        <v>0</v>
      </c>
      <c r="S470" s="582">
        <v>0.68225996013623891</v>
      </c>
      <c r="T470" s="582">
        <v>1.2848599601362385</v>
      </c>
      <c r="U470" s="582">
        <v>1.1339599601362385</v>
      </c>
    </row>
    <row r="471" spans="10:21">
      <c r="J471" s="580">
        <v>41684</v>
      </c>
      <c r="K471" s="581">
        <v>6.9444444444444441E-3</v>
      </c>
      <c r="L471" s="582">
        <v>10.1638</v>
      </c>
      <c r="M471" s="582">
        <v>10.1501</v>
      </c>
      <c r="N471" s="582">
        <v>11.189399999999999</v>
      </c>
      <c r="O471" s="582">
        <v>10.952299999999999</v>
      </c>
      <c r="P471" s="582">
        <v>98.942300000000003</v>
      </c>
      <c r="Q471" s="582">
        <v>10.116794836729134</v>
      </c>
      <c r="R471" s="582">
        <v>0</v>
      </c>
      <c r="S471" s="582">
        <v>0.68330516327086577</v>
      </c>
      <c r="T471" s="582">
        <v>1.2626051632708646</v>
      </c>
      <c r="U471" s="582">
        <v>1.1055051632708648</v>
      </c>
    </row>
    <row r="472" spans="10:21">
      <c r="J472" s="580">
        <v>41685</v>
      </c>
      <c r="K472" s="581">
        <v>6.9444444444444441E-3</v>
      </c>
      <c r="L472" s="582">
        <v>10.1547</v>
      </c>
      <c r="M472" s="582">
        <v>10.139799999999999</v>
      </c>
      <c r="N472" s="582">
        <v>11.1608</v>
      </c>
      <c r="O472" s="582">
        <v>10.9184</v>
      </c>
      <c r="P472" s="582">
        <v>98.867500000000007</v>
      </c>
      <c r="Q472" s="582">
        <v>10.109146578564657</v>
      </c>
      <c r="R472" s="582">
        <v>0</v>
      </c>
      <c r="S472" s="582">
        <v>0.6806534214353428</v>
      </c>
      <c r="T472" s="582">
        <v>1.2416534214353434</v>
      </c>
      <c r="U472" s="582">
        <v>1.0792534214353435</v>
      </c>
    </row>
    <row r="473" spans="10:21">
      <c r="J473" s="580">
        <v>41686</v>
      </c>
      <c r="K473" s="581">
        <v>6.9444444444444441E-3</v>
      </c>
      <c r="L473" s="582">
        <v>10.138</v>
      </c>
      <c r="M473" s="582">
        <v>10.1206</v>
      </c>
      <c r="N473" s="582">
        <v>11.1243</v>
      </c>
      <c r="O473" s="582">
        <v>10.877700000000001</v>
      </c>
      <c r="P473" s="582">
        <v>98.706100000000006</v>
      </c>
      <c r="Q473" s="582">
        <v>10.09264351883542</v>
      </c>
      <c r="R473" s="582">
        <v>0</v>
      </c>
      <c r="S473" s="582">
        <v>0.67795648116457996</v>
      </c>
      <c r="T473" s="582">
        <v>1.22165648116458</v>
      </c>
      <c r="U473" s="582">
        <v>1.0550564811645811</v>
      </c>
    </row>
    <row r="474" spans="10:21">
      <c r="J474" s="580">
        <v>41687</v>
      </c>
      <c r="K474" s="581">
        <v>6.9444444444444441E-3</v>
      </c>
      <c r="L474" s="582">
        <v>10.1524</v>
      </c>
      <c r="M474" s="582">
        <v>10.134499999999999</v>
      </c>
      <c r="N474" s="582">
        <v>11.119300000000001</v>
      </c>
      <c r="O474" s="582">
        <v>10.8689</v>
      </c>
      <c r="P474" s="582">
        <v>98.854799999999997</v>
      </c>
      <c r="Q474" s="582">
        <v>10.107848010667745</v>
      </c>
      <c r="R474" s="582">
        <v>0</v>
      </c>
      <c r="S474" s="582">
        <v>0.67665198933225468</v>
      </c>
      <c r="T474" s="582">
        <v>1.2014519893322562</v>
      </c>
      <c r="U474" s="582">
        <v>1.0310519893322554</v>
      </c>
    </row>
    <row r="475" spans="10:21">
      <c r="J475" s="580">
        <v>41688</v>
      </c>
      <c r="K475" s="581">
        <v>6.9444444444444441E-3</v>
      </c>
      <c r="L475" s="582">
        <v>10.1723</v>
      </c>
      <c r="M475" s="582">
        <v>10.1549</v>
      </c>
      <c r="N475" s="582">
        <v>11.118499999999999</v>
      </c>
      <c r="O475" s="582">
        <v>10.863300000000001</v>
      </c>
      <c r="P475" s="582">
        <v>99.054900000000004</v>
      </c>
      <c r="Q475" s="582">
        <v>10.128308123752134</v>
      </c>
      <c r="R475" s="582">
        <v>0</v>
      </c>
      <c r="S475" s="582">
        <v>0.67659187624786532</v>
      </c>
      <c r="T475" s="582">
        <v>1.1801918762478647</v>
      </c>
      <c r="U475" s="582">
        <v>1.0049918762478662</v>
      </c>
    </row>
    <row r="476" spans="10:21">
      <c r="J476" s="580">
        <v>41689</v>
      </c>
      <c r="K476" s="581">
        <v>6.9444444444444441E-3</v>
      </c>
      <c r="L476" s="582">
        <v>10.176600000000001</v>
      </c>
      <c r="M476" s="582">
        <v>10.159000000000001</v>
      </c>
      <c r="N476" s="582">
        <v>11.109500000000001</v>
      </c>
      <c r="O476" s="582">
        <v>10.8505</v>
      </c>
      <c r="P476" s="582">
        <v>99.109499999999997</v>
      </c>
      <c r="Q476" s="582">
        <v>10.133890943214441</v>
      </c>
      <c r="R476" s="582">
        <v>0</v>
      </c>
      <c r="S476" s="582">
        <v>0.67510905678555999</v>
      </c>
      <c r="T476" s="582">
        <v>1.1656090567855597</v>
      </c>
      <c r="U476" s="582">
        <v>0.98660905678555944</v>
      </c>
    </row>
    <row r="477" spans="10:21">
      <c r="J477" s="580">
        <v>41690</v>
      </c>
      <c r="K477" s="581">
        <v>6.9444444444444441E-3</v>
      </c>
      <c r="L477" s="582">
        <v>10.1616</v>
      </c>
      <c r="M477" s="582">
        <v>10.145300000000001</v>
      </c>
      <c r="N477" s="582">
        <v>11.0738</v>
      </c>
      <c r="O477" s="582">
        <v>10.8126</v>
      </c>
      <c r="P477" s="582">
        <v>98.975999999999999</v>
      </c>
      <c r="Q477" s="582">
        <v>10.120240642880779</v>
      </c>
      <c r="R477" s="582">
        <v>0</v>
      </c>
      <c r="S477" s="582">
        <v>0.67505935711922205</v>
      </c>
      <c r="T477" s="582">
        <v>1.1435593571192215</v>
      </c>
      <c r="U477" s="582">
        <v>0.96235935711922105</v>
      </c>
    </row>
    <row r="478" spans="10:21">
      <c r="J478" s="580">
        <v>41691</v>
      </c>
      <c r="K478" s="581">
        <v>6.9444444444444441E-3</v>
      </c>
      <c r="L478" s="582">
        <v>10.179399999999999</v>
      </c>
      <c r="M478" s="582">
        <v>10.161799999999999</v>
      </c>
      <c r="N478" s="582">
        <v>11.069599999999999</v>
      </c>
      <c r="O478" s="582">
        <v>10.6852</v>
      </c>
      <c r="P478" s="582">
        <v>99.128</v>
      </c>
      <c r="Q478" s="582">
        <v>10.135782557867421</v>
      </c>
      <c r="R478" s="582">
        <v>0</v>
      </c>
      <c r="S478" s="582">
        <v>0.67601744213257908</v>
      </c>
      <c r="T478" s="582">
        <v>1.1238174421325788</v>
      </c>
      <c r="U478" s="582">
        <v>0.8194174421325795</v>
      </c>
    </row>
    <row r="479" spans="10:21">
      <c r="J479" s="580">
        <v>41692</v>
      </c>
      <c r="K479" s="581">
        <v>6.9444444444444441E-3</v>
      </c>
      <c r="L479" s="582">
        <v>10.1792</v>
      </c>
      <c r="M479" s="582">
        <v>10.162100000000001</v>
      </c>
      <c r="N479" s="582">
        <v>11.0479</v>
      </c>
      <c r="O479" s="582">
        <v>10.616400000000001</v>
      </c>
      <c r="P479" s="582">
        <v>99.128399999999999</v>
      </c>
      <c r="Q479" s="582">
        <v>10.135823457643701</v>
      </c>
      <c r="R479" s="582">
        <v>0</v>
      </c>
      <c r="S479" s="582">
        <v>0.67627654235629975</v>
      </c>
      <c r="T479" s="582">
        <v>1.1020765423562993</v>
      </c>
      <c r="U479" s="582">
        <v>0.75057654235629956</v>
      </c>
    </row>
    <row r="480" spans="10:21">
      <c r="J480" s="580">
        <v>41693</v>
      </c>
      <c r="K480" s="581">
        <v>6.9444444444444441E-3</v>
      </c>
      <c r="L480" s="582">
        <v>10.1744</v>
      </c>
      <c r="M480" s="582">
        <v>10.1557</v>
      </c>
      <c r="N480" s="582">
        <v>11.023400000000001</v>
      </c>
      <c r="O480" s="582">
        <v>10.5387</v>
      </c>
      <c r="P480" s="582">
        <v>99.0732</v>
      </c>
      <c r="Q480" s="582">
        <v>10.130179288516972</v>
      </c>
      <c r="R480" s="582">
        <v>0</v>
      </c>
      <c r="S480" s="582">
        <v>0.6755207114830275</v>
      </c>
      <c r="T480" s="582">
        <v>1.0832207114830283</v>
      </c>
      <c r="U480" s="582">
        <v>0.67852071148302828</v>
      </c>
    </row>
    <row r="481" spans="10:21">
      <c r="J481" s="580">
        <v>41694</v>
      </c>
      <c r="K481" s="581">
        <v>6.9444444444444441E-3</v>
      </c>
      <c r="L481" s="582">
        <v>10.1724</v>
      </c>
      <c r="M481" s="582">
        <v>10.1562</v>
      </c>
      <c r="N481" s="582">
        <v>11.0037</v>
      </c>
      <c r="O481" s="582">
        <v>10.539099999999999</v>
      </c>
      <c r="P481" s="582">
        <v>99.071899999999999</v>
      </c>
      <c r="Q481" s="582">
        <v>10.130046364244061</v>
      </c>
      <c r="R481" s="582">
        <v>0</v>
      </c>
      <c r="S481" s="582">
        <v>0.67615363575593945</v>
      </c>
      <c r="T481" s="582">
        <v>1.0636536357559394</v>
      </c>
      <c r="U481" s="582">
        <v>0.67905363575593869</v>
      </c>
    </row>
    <row r="482" spans="10:21">
      <c r="J482" s="580">
        <v>41695</v>
      </c>
      <c r="K482" s="581">
        <v>6.9444444444444441E-3</v>
      </c>
      <c r="L482" s="582">
        <v>10.178100000000001</v>
      </c>
      <c r="M482" s="582">
        <v>10.164300000000001</v>
      </c>
      <c r="N482" s="582">
        <v>10.996</v>
      </c>
      <c r="O482" s="582">
        <v>10.551500000000001</v>
      </c>
      <c r="P482" s="582">
        <v>99.127499999999998</v>
      </c>
      <c r="Q482" s="582">
        <v>10.135731433147068</v>
      </c>
      <c r="R482" s="582">
        <v>0</v>
      </c>
      <c r="S482" s="582">
        <v>0.67856856685293265</v>
      </c>
      <c r="T482" s="582">
        <v>1.0502685668529321</v>
      </c>
      <c r="U482" s="582">
        <v>0.68576856685293253</v>
      </c>
    </row>
    <row r="483" spans="10:21">
      <c r="J483" s="580">
        <v>41696</v>
      </c>
      <c r="K483" s="581">
        <v>6.9444444444444441E-3</v>
      </c>
      <c r="L483" s="582">
        <v>10.1791</v>
      </c>
      <c r="M483" s="582">
        <v>10.1656</v>
      </c>
      <c r="N483" s="582">
        <v>10.974299999999999</v>
      </c>
      <c r="O483" s="582">
        <v>10.544600000000001</v>
      </c>
      <c r="P483" s="582">
        <v>99.156000000000006</v>
      </c>
      <c r="Q483" s="582">
        <v>10.138645542207065</v>
      </c>
      <c r="R483" s="582">
        <v>0</v>
      </c>
      <c r="S483" s="582">
        <v>0.67695445779293428</v>
      </c>
      <c r="T483" s="582">
        <v>1.0256544577929341</v>
      </c>
      <c r="U483" s="582">
        <v>0.6759544577929355</v>
      </c>
    </row>
    <row r="484" spans="10:21">
      <c r="J484" s="580">
        <v>41697</v>
      </c>
      <c r="K484" s="581">
        <v>6.9444444444444441E-3</v>
      </c>
      <c r="L484" s="582">
        <v>10.1738</v>
      </c>
      <c r="M484" s="582">
        <v>10.159800000000001</v>
      </c>
      <c r="N484" s="582">
        <v>10.944900000000001</v>
      </c>
      <c r="O484" s="582">
        <v>10.537699999999999</v>
      </c>
      <c r="P484" s="582">
        <v>99.082700000000003</v>
      </c>
      <c r="Q484" s="582">
        <v>10.131150658203639</v>
      </c>
      <c r="R484" s="582">
        <v>0</v>
      </c>
      <c r="S484" s="582">
        <v>0.67864934179636172</v>
      </c>
      <c r="T484" s="582">
        <v>1.0037493417963614</v>
      </c>
      <c r="U484" s="582">
        <v>0.67654934179636017</v>
      </c>
    </row>
    <row r="485" spans="10:21">
      <c r="J485" s="580">
        <v>41698</v>
      </c>
      <c r="K485" s="581">
        <v>6.9444444444444441E-3</v>
      </c>
      <c r="L485" s="582">
        <v>10.170400000000001</v>
      </c>
      <c r="M485" s="582">
        <v>10.1555</v>
      </c>
      <c r="N485" s="582">
        <v>10.9184</v>
      </c>
      <c r="O485" s="582">
        <v>10.5305</v>
      </c>
      <c r="P485" s="582">
        <v>99.042699999999996</v>
      </c>
      <c r="Q485" s="582">
        <v>10.127060680575575</v>
      </c>
      <c r="R485" s="582">
        <v>0</v>
      </c>
      <c r="S485" s="582">
        <v>0.67843931942442537</v>
      </c>
      <c r="T485" s="582">
        <v>0.98133931942442543</v>
      </c>
      <c r="U485" s="582">
        <v>0.67343931942442525</v>
      </c>
    </row>
    <row r="486" spans="10:21">
      <c r="J486" s="580">
        <v>41699</v>
      </c>
      <c r="K486" s="581">
        <v>6.9444444444444441E-3</v>
      </c>
      <c r="L486" s="582">
        <v>10.1599</v>
      </c>
      <c r="M486" s="582">
        <v>10.144299999999999</v>
      </c>
      <c r="N486" s="582">
        <v>10.8855</v>
      </c>
      <c r="O486" s="582">
        <v>10.5204</v>
      </c>
      <c r="P486" s="582">
        <v>98.944500000000005</v>
      </c>
      <c r="Q486" s="582">
        <v>10.117019785498679</v>
      </c>
      <c r="R486" s="582">
        <v>0</v>
      </c>
      <c r="S486" s="582">
        <v>0.67728021450132103</v>
      </c>
      <c r="T486" s="582">
        <v>0.95848021450132193</v>
      </c>
      <c r="U486" s="582">
        <v>0.67338021450132191</v>
      </c>
    </row>
    <row r="487" spans="10:21">
      <c r="J487" s="580">
        <v>41700</v>
      </c>
      <c r="K487" s="581">
        <v>6.9444444444444441E-3</v>
      </c>
      <c r="L487" s="582">
        <v>10.164099999999999</v>
      </c>
      <c r="M487" s="582">
        <v>10.1496</v>
      </c>
      <c r="N487" s="582">
        <v>10.934799999999999</v>
      </c>
      <c r="O487" s="582">
        <v>10.5982</v>
      </c>
      <c r="P487" s="582">
        <v>98.997600000000006</v>
      </c>
      <c r="Q487" s="582">
        <v>10.122449230799933</v>
      </c>
      <c r="R487" s="582">
        <v>0</v>
      </c>
      <c r="S487" s="582">
        <v>0.67715076920006623</v>
      </c>
      <c r="T487" s="582">
        <v>1.0023507692000657</v>
      </c>
      <c r="U487" s="582">
        <v>0.74575076920006689</v>
      </c>
    </row>
    <row r="488" spans="10:21">
      <c r="J488" s="580">
        <v>41701</v>
      </c>
      <c r="K488" s="581">
        <v>6.9444444444444441E-3</v>
      </c>
      <c r="L488" s="582">
        <v>10.158099999999999</v>
      </c>
      <c r="M488" s="582">
        <v>10.142799999999999</v>
      </c>
      <c r="N488" s="582">
        <v>10.9108</v>
      </c>
      <c r="O488" s="582">
        <v>10.625999999999999</v>
      </c>
      <c r="P488" s="582">
        <v>98.911799999999999</v>
      </c>
      <c r="Q488" s="582">
        <v>10.113676228787735</v>
      </c>
      <c r="R488" s="582">
        <v>0</v>
      </c>
      <c r="S488" s="582">
        <v>0.67912377121226419</v>
      </c>
      <c r="T488" s="582">
        <v>0.9871237712122648</v>
      </c>
      <c r="U488" s="582">
        <v>0.78232377121226415</v>
      </c>
    </row>
    <row r="489" spans="10:21">
      <c r="J489" s="580">
        <v>41702</v>
      </c>
      <c r="K489" s="581">
        <v>6.9444444444444441E-3</v>
      </c>
      <c r="L489" s="582">
        <v>10.1624</v>
      </c>
      <c r="M489" s="582">
        <v>10.144399999999999</v>
      </c>
      <c r="N489" s="582">
        <v>10.8969</v>
      </c>
      <c r="O489" s="582">
        <v>10.533099999999999</v>
      </c>
      <c r="P489" s="582">
        <v>98.9602</v>
      </c>
      <c r="Q489" s="582">
        <v>10.118625101717694</v>
      </c>
      <c r="R489" s="582">
        <v>0</v>
      </c>
      <c r="S489" s="582">
        <v>0.67577489828230575</v>
      </c>
      <c r="T489" s="582">
        <v>0.96827489828230695</v>
      </c>
      <c r="U489" s="582">
        <v>0.68447489828230568</v>
      </c>
    </row>
    <row r="490" spans="10:21">
      <c r="J490" s="580">
        <v>41703</v>
      </c>
      <c r="K490" s="581">
        <v>6.9444444444444441E-3</v>
      </c>
      <c r="L490" s="582">
        <v>10.1723</v>
      </c>
      <c r="M490" s="582">
        <v>10.152799999999999</v>
      </c>
      <c r="N490" s="582">
        <v>10.9267</v>
      </c>
      <c r="O490" s="582">
        <v>10.5388</v>
      </c>
      <c r="P490" s="582">
        <v>99.041899999999998</v>
      </c>
      <c r="Q490" s="582">
        <v>10.126978881023012</v>
      </c>
      <c r="R490" s="582">
        <v>0</v>
      </c>
      <c r="S490" s="582">
        <v>0.67582111897698716</v>
      </c>
      <c r="T490" s="582">
        <v>0.98972111897698822</v>
      </c>
      <c r="U490" s="582">
        <v>0.68182111897698805</v>
      </c>
    </row>
    <row r="491" spans="10:21">
      <c r="J491" s="580">
        <v>41704</v>
      </c>
      <c r="K491" s="581">
        <v>6.9444444444444441E-3</v>
      </c>
      <c r="L491" s="582">
        <v>10.1691</v>
      </c>
      <c r="M491" s="582">
        <v>10.150499999999999</v>
      </c>
      <c r="N491" s="582">
        <v>10.825200000000001</v>
      </c>
      <c r="O491" s="582">
        <v>10.536300000000001</v>
      </c>
      <c r="P491" s="582">
        <v>99.020200000000003</v>
      </c>
      <c r="Q491" s="582">
        <v>10.124760068159789</v>
      </c>
      <c r="R491" s="582">
        <v>0</v>
      </c>
      <c r="S491" s="582">
        <v>0.6757399318402102</v>
      </c>
      <c r="T491" s="582">
        <v>0.89043993184021153</v>
      </c>
      <c r="U491" s="582">
        <v>0.68153993184021155</v>
      </c>
    </row>
    <row r="492" spans="10:21">
      <c r="J492" s="580">
        <v>41705</v>
      </c>
      <c r="K492" s="581">
        <v>6.9444444444444441E-3</v>
      </c>
      <c r="L492" s="582">
        <v>10.1648</v>
      </c>
      <c r="M492" s="582">
        <v>10.1462</v>
      </c>
      <c r="N492" s="582">
        <v>10.559900000000001</v>
      </c>
      <c r="O492" s="582">
        <v>10.5344</v>
      </c>
      <c r="P492" s="582">
        <v>99.003</v>
      </c>
      <c r="Q492" s="582">
        <v>10.123001377779721</v>
      </c>
      <c r="R492" s="582">
        <v>0</v>
      </c>
      <c r="S492" s="582">
        <v>0.67319862222027971</v>
      </c>
      <c r="T492" s="582">
        <v>0.62689862222028003</v>
      </c>
      <c r="U492" s="582">
        <v>0.68139862222027903</v>
      </c>
    </row>
    <row r="493" spans="10:21">
      <c r="J493" s="580">
        <v>41544</v>
      </c>
      <c r="K493" s="581">
        <v>1.0416666666666666E-2</v>
      </c>
      <c r="L493" s="582">
        <v>10.053800000000001</v>
      </c>
      <c r="M493" s="582">
        <v>10.0684</v>
      </c>
      <c r="N493" s="582">
        <v>10.0779</v>
      </c>
      <c r="O493" s="582">
        <v>10.088900000000001</v>
      </c>
      <c r="P493" s="582">
        <v>98.773200000000003</v>
      </c>
      <c r="Q493" s="582">
        <v>10.099504456306496</v>
      </c>
      <c r="R493" s="582">
        <v>0</v>
      </c>
      <c r="S493" s="582">
        <v>0.61889554369350441</v>
      </c>
      <c r="T493" s="582">
        <v>0.16839554369350351</v>
      </c>
      <c r="U493" s="582">
        <v>0.25939554369350443</v>
      </c>
    </row>
    <row r="494" spans="10:21">
      <c r="J494" s="580">
        <v>41545</v>
      </c>
      <c r="K494" s="581">
        <v>1.0416666666666666E-2</v>
      </c>
      <c r="L494" s="582">
        <v>10.050800000000001</v>
      </c>
      <c r="M494" s="582">
        <v>10.066000000000001</v>
      </c>
      <c r="N494" s="582">
        <v>10.0741</v>
      </c>
      <c r="O494" s="582">
        <v>10.086499999999999</v>
      </c>
      <c r="P494" s="582">
        <v>98.742199999999997</v>
      </c>
      <c r="Q494" s="582">
        <v>10.096334723644746</v>
      </c>
      <c r="R494" s="582">
        <v>0</v>
      </c>
      <c r="S494" s="582">
        <v>0.61966527635525437</v>
      </c>
      <c r="T494" s="582">
        <v>0.16776527635525318</v>
      </c>
      <c r="U494" s="582">
        <v>0.26016527635525261</v>
      </c>
    </row>
    <row r="495" spans="10:21">
      <c r="J495" s="580">
        <v>41546</v>
      </c>
      <c r="K495" s="581">
        <v>1.0416666666666666E-2</v>
      </c>
      <c r="L495" s="582">
        <v>10.0336</v>
      </c>
      <c r="M495" s="582">
        <v>10.047599999999999</v>
      </c>
      <c r="N495" s="582">
        <v>10.055199999999999</v>
      </c>
      <c r="O495" s="582">
        <v>10.0677</v>
      </c>
      <c r="P495" s="582">
        <v>98.549800000000005</v>
      </c>
      <c r="Q495" s="582">
        <v>10.07666193125376</v>
      </c>
      <c r="R495" s="582">
        <v>0</v>
      </c>
      <c r="S495" s="582">
        <v>0.62093806874623936</v>
      </c>
      <c r="T495" s="582">
        <v>0.16853806874623933</v>
      </c>
      <c r="U495" s="582">
        <v>0.2610380687462403</v>
      </c>
    </row>
    <row r="496" spans="10:21">
      <c r="J496" s="580">
        <v>41547</v>
      </c>
      <c r="K496" s="581">
        <v>1.0416666666666666E-2</v>
      </c>
      <c r="L496" s="582">
        <v>10.0106</v>
      </c>
      <c r="M496" s="582">
        <v>10.024699999999999</v>
      </c>
      <c r="N496" s="582">
        <v>10.032299999999999</v>
      </c>
      <c r="O496" s="582">
        <v>10.0448</v>
      </c>
      <c r="P496" s="582">
        <v>98.341200000000001</v>
      </c>
      <c r="Q496" s="582">
        <v>10.055332697923408</v>
      </c>
      <c r="R496" s="582">
        <v>0</v>
      </c>
      <c r="S496" s="582">
        <v>0.61936730207659152</v>
      </c>
      <c r="T496" s="582">
        <v>0.1669673020765915</v>
      </c>
      <c r="U496" s="582">
        <v>0.25946730207659247</v>
      </c>
    </row>
    <row r="497" spans="10:21">
      <c r="J497" s="580">
        <v>41548</v>
      </c>
      <c r="K497" s="581">
        <v>1.0416666666666666E-2</v>
      </c>
      <c r="L497" s="582">
        <v>10.01</v>
      </c>
      <c r="M497" s="582">
        <v>10.024100000000001</v>
      </c>
      <c r="N497" s="582">
        <v>10.031700000000001</v>
      </c>
      <c r="O497" s="582">
        <v>10.044600000000001</v>
      </c>
      <c r="P497" s="582">
        <v>98.334100000000007</v>
      </c>
      <c r="Q497" s="582">
        <v>10.054606726894427</v>
      </c>
      <c r="R497" s="582">
        <v>0</v>
      </c>
      <c r="S497" s="582">
        <v>0.61949327310557378</v>
      </c>
      <c r="T497" s="582">
        <v>0.16709327310557376</v>
      </c>
      <c r="U497" s="582">
        <v>0.2599932731055738</v>
      </c>
    </row>
    <row r="498" spans="10:21">
      <c r="J498" s="580">
        <v>41549</v>
      </c>
      <c r="K498" s="581">
        <v>1.0416666666666666E-2</v>
      </c>
      <c r="L498" s="582">
        <v>10.0176</v>
      </c>
      <c r="M498" s="582">
        <v>10.030799999999999</v>
      </c>
      <c r="N498" s="582">
        <v>10.039400000000001</v>
      </c>
      <c r="O498" s="582">
        <v>10.0528</v>
      </c>
      <c r="P498" s="582">
        <v>98.389200000000002</v>
      </c>
      <c r="Q498" s="582">
        <v>10.060240671077084</v>
      </c>
      <c r="R498" s="582">
        <v>0</v>
      </c>
      <c r="S498" s="582">
        <v>0.62055932892291543</v>
      </c>
      <c r="T498" s="582">
        <v>0.16915932892291663</v>
      </c>
      <c r="U498" s="582">
        <v>0.2625593289229155</v>
      </c>
    </row>
    <row r="499" spans="10:21">
      <c r="J499" s="580">
        <v>41550</v>
      </c>
      <c r="K499" s="581">
        <v>1.0416666666666666E-2</v>
      </c>
      <c r="L499" s="582">
        <v>10.032999999999999</v>
      </c>
      <c r="M499" s="582">
        <v>10.0443</v>
      </c>
      <c r="N499" s="582">
        <v>10.052300000000001</v>
      </c>
      <c r="O499" s="582">
        <v>10.0641</v>
      </c>
      <c r="P499" s="582">
        <v>98.5351</v>
      </c>
      <c r="Q499" s="582">
        <v>10.075158864475446</v>
      </c>
      <c r="R499" s="582">
        <v>0</v>
      </c>
      <c r="S499" s="582">
        <v>0.61914113552455396</v>
      </c>
      <c r="T499" s="582">
        <v>0.16714113552455478</v>
      </c>
      <c r="U499" s="582">
        <v>0.25894113552455383</v>
      </c>
    </row>
    <row r="500" spans="10:21">
      <c r="J500" s="580">
        <v>41551</v>
      </c>
      <c r="K500" s="581">
        <v>1.0416666666666666E-2</v>
      </c>
      <c r="L500" s="582">
        <v>10.040800000000001</v>
      </c>
      <c r="M500" s="582">
        <v>10.0527</v>
      </c>
      <c r="N500" s="582">
        <v>10.0594</v>
      </c>
      <c r="O500" s="582">
        <v>10.0716</v>
      </c>
      <c r="P500" s="582">
        <v>98.5959</v>
      </c>
      <c r="Q500" s="582">
        <v>10.081375630470102</v>
      </c>
      <c r="R500" s="582">
        <v>0</v>
      </c>
      <c r="S500" s="582">
        <v>0.62132436952989756</v>
      </c>
      <c r="T500" s="582">
        <v>0.16802436952989785</v>
      </c>
      <c r="U500" s="582">
        <v>0.26022436952989775</v>
      </c>
    </row>
    <row r="501" spans="10:21">
      <c r="J501" s="580">
        <v>41552</v>
      </c>
      <c r="K501" s="581">
        <v>1.0416666666666666E-2</v>
      </c>
      <c r="L501" s="582">
        <v>10.0502</v>
      </c>
      <c r="M501" s="582">
        <v>10.060700000000001</v>
      </c>
      <c r="N501" s="582">
        <v>10.069100000000001</v>
      </c>
      <c r="O501" s="582">
        <v>10.082100000000001</v>
      </c>
      <c r="P501" s="582">
        <v>98.708699999999993</v>
      </c>
      <c r="Q501" s="582">
        <v>10.092909367381242</v>
      </c>
      <c r="R501" s="582">
        <v>0</v>
      </c>
      <c r="S501" s="582">
        <v>0.61779063261875833</v>
      </c>
      <c r="T501" s="582">
        <v>0.16619063261875822</v>
      </c>
      <c r="U501" s="582">
        <v>0.25919063261875802</v>
      </c>
    </row>
    <row r="502" spans="10:21">
      <c r="J502" s="580">
        <v>41553</v>
      </c>
      <c r="K502" s="581">
        <v>1.0416666666666666E-2</v>
      </c>
      <c r="L502" s="582">
        <v>10.040900000000001</v>
      </c>
      <c r="M502" s="582">
        <v>10.050800000000001</v>
      </c>
      <c r="N502" s="582">
        <v>10.0593</v>
      </c>
      <c r="O502" s="582">
        <v>10.073399999999999</v>
      </c>
      <c r="P502" s="582">
        <v>98.608400000000003</v>
      </c>
      <c r="Q502" s="582">
        <v>10.082653748478874</v>
      </c>
      <c r="R502" s="582">
        <v>0</v>
      </c>
      <c r="S502" s="582">
        <v>0.61814625152112668</v>
      </c>
      <c r="T502" s="582">
        <v>0.16664625152112633</v>
      </c>
      <c r="U502" s="582">
        <v>0.26074625152112535</v>
      </c>
    </row>
    <row r="503" spans="10:21">
      <c r="J503" s="580">
        <v>41554</v>
      </c>
      <c r="K503" s="581">
        <v>1.0416666666666666E-2</v>
      </c>
      <c r="L503" s="582">
        <v>10.040699999999999</v>
      </c>
      <c r="M503" s="582">
        <v>10.0518</v>
      </c>
      <c r="N503" s="582">
        <v>10.059900000000001</v>
      </c>
      <c r="O503" s="582">
        <v>10.073700000000001</v>
      </c>
      <c r="P503" s="582">
        <v>98.618399999999994</v>
      </c>
      <c r="Q503" s="582">
        <v>10.083676242885888</v>
      </c>
      <c r="R503" s="582">
        <v>0</v>
      </c>
      <c r="S503" s="582">
        <v>0.61812375711411227</v>
      </c>
      <c r="T503" s="582">
        <v>0.16622375711411286</v>
      </c>
      <c r="U503" s="582">
        <v>0.26002375711411257</v>
      </c>
    </row>
    <row r="504" spans="10:21">
      <c r="J504" s="580">
        <v>41555</v>
      </c>
      <c r="K504" s="581">
        <v>1.0416666666666666E-2</v>
      </c>
      <c r="L504" s="582">
        <v>10.043100000000001</v>
      </c>
      <c r="M504" s="582">
        <v>10.055</v>
      </c>
      <c r="N504" s="582">
        <v>10.0641</v>
      </c>
      <c r="O504" s="582">
        <v>10.0794</v>
      </c>
      <c r="P504" s="582">
        <v>98.663899999999998</v>
      </c>
      <c r="Q504" s="582">
        <v>10.088328592437811</v>
      </c>
      <c r="R504" s="582">
        <v>0</v>
      </c>
      <c r="S504" s="582">
        <v>0.61667140756218841</v>
      </c>
      <c r="T504" s="582">
        <v>0.16577140756218844</v>
      </c>
      <c r="U504" s="582">
        <v>0.26107140756218822</v>
      </c>
    </row>
    <row r="505" spans="10:21">
      <c r="J505" s="580">
        <v>41556</v>
      </c>
      <c r="K505" s="581">
        <v>1.0416666666666666E-2</v>
      </c>
      <c r="L505" s="582">
        <v>10.0532</v>
      </c>
      <c r="M505" s="582">
        <v>10.0672</v>
      </c>
      <c r="N505" s="582">
        <v>10.0733</v>
      </c>
      <c r="O505" s="582">
        <v>10.0878</v>
      </c>
      <c r="P505" s="582">
        <v>98.779399999999995</v>
      </c>
      <c r="Q505" s="582">
        <v>10.100138402838844</v>
      </c>
      <c r="R505" s="582">
        <v>0</v>
      </c>
      <c r="S505" s="582">
        <v>0.6170615971611555</v>
      </c>
      <c r="T505" s="582">
        <v>0.16316159716115541</v>
      </c>
      <c r="U505" s="582">
        <v>0.25766159716115528</v>
      </c>
    </row>
    <row r="506" spans="10:21">
      <c r="J506" s="580">
        <v>41557</v>
      </c>
      <c r="K506" s="581">
        <v>1.0416666666666666E-2</v>
      </c>
      <c r="L506" s="582">
        <v>10.0449</v>
      </c>
      <c r="M506" s="582">
        <v>10.057700000000001</v>
      </c>
      <c r="N506" s="582">
        <v>10.0654</v>
      </c>
      <c r="O506" s="582">
        <v>10.077999999999999</v>
      </c>
      <c r="P506" s="582">
        <v>98.679299999999998</v>
      </c>
      <c r="Q506" s="582">
        <v>10.089903233824616</v>
      </c>
      <c r="R506" s="582">
        <v>0</v>
      </c>
      <c r="S506" s="582">
        <v>0.61779676617538448</v>
      </c>
      <c r="T506" s="582">
        <v>0.16549676617538422</v>
      </c>
      <c r="U506" s="582">
        <v>0.25809676617538319</v>
      </c>
    </row>
    <row r="507" spans="10:21">
      <c r="J507" s="580">
        <v>41558</v>
      </c>
      <c r="K507" s="581">
        <v>1.0416666666666666E-2</v>
      </c>
      <c r="L507" s="582">
        <v>10.049899999999999</v>
      </c>
      <c r="M507" s="582">
        <v>10.063800000000001</v>
      </c>
      <c r="N507" s="582">
        <v>10.069599999999999</v>
      </c>
      <c r="O507" s="582">
        <v>10.082599999999999</v>
      </c>
      <c r="P507" s="582">
        <v>98.720699999999994</v>
      </c>
      <c r="Q507" s="582">
        <v>10.094136360669662</v>
      </c>
      <c r="R507" s="582">
        <v>0</v>
      </c>
      <c r="S507" s="582">
        <v>0.61966363933033874</v>
      </c>
      <c r="T507" s="582">
        <v>0.16546363933033759</v>
      </c>
      <c r="U507" s="582">
        <v>0.25846363933033739</v>
      </c>
    </row>
    <row r="508" spans="10:21">
      <c r="J508" s="580">
        <v>41559</v>
      </c>
      <c r="K508" s="581">
        <v>1.0416666666666666E-2</v>
      </c>
      <c r="L508" s="582">
        <v>10.0261</v>
      </c>
      <c r="M508" s="582">
        <v>10.039899999999999</v>
      </c>
      <c r="N508" s="582">
        <v>10.0463</v>
      </c>
      <c r="O508" s="582">
        <v>10.0586</v>
      </c>
      <c r="P508" s="582">
        <v>98.496300000000005</v>
      </c>
      <c r="Q508" s="582">
        <v>10.071191586176225</v>
      </c>
      <c r="R508" s="582">
        <v>0</v>
      </c>
      <c r="S508" s="582">
        <v>0.61870841382377484</v>
      </c>
      <c r="T508" s="582">
        <v>0.16510841382377583</v>
      </c>
      <c r="U508" s="582">
        <v>0.25740841382377549</v>
      </c>
    </row>
    <row r="509" spans="10:21">
      <c r="J509" s="580">
        <v>41560</v>
      </c>
      <c r="K509" s="581">
        <v>1.0416666666666666E-2</v>
      </c>
      <c r="L509" s="582">
        <v>10.0181</v>
      </c>
      <c r="M509" s="582">
        <v>10.029299999999999</v>
      </c>
      <c r="N509" s="582">
        <v>10.0373</v>
      </c>
      <c r="O509" s="582">
        <v>10.0497</v>
      </c>
      <c r="P509" s="582">
        <v>98.374099999999999</v>
      </c>
      <c r="Q509" s="582">
        <v>10.05869670452249</v>
      </c>
      <c r="R509" s="582">
        <v>0</v>
      </c>
      <c r="S509" s="582">
        <v>0.62060329547750981</v>
      </c>
      <c r="T509" s="582">
        <v>0.16860329547751063</v>
      </c>
      <c r="U509" s="582">
        <v>0.26100329547751006</v>
      </c>
    </row>
    <row r="510" spans="10:21">
      <c r="J510" s="580">
        <v>41561</v>
      </c>
      <c r="K510" s="581">
        <v>1.0416666666666666E-2</v>
      </c>
      <c r="L510" s="582">
        <v>10.028</v>
      </c>
      <c r="M510" s="582">
        <v>10.039899999999999</v>
      </c>
      <c r="N510" s="582">
        <v>10.047599999999999</v>
      </c>
      <c r="O510" s="582">
        <v>10.0608</v>
      </c>
      <c r="P510" s="582">
        <v>98.487499999999997</v>
      </c>
      <c r="Q510" s="582">
        <v>10.07029179109805</v>
      </c>
      <c r="R510" s="582">
        <v>0</v>
      </c>
      <c r="S510" s="582">
        <v>0.61960820890194923</v>
      </c>
      <c r="T510" s="582">
        <v>0.16730820890194897</v>
      </c>
      <c r="U510" s="582">
        <v>0.26050820890195009</v>
      </c>
    </row>
    <row r="511" spans="10:21">
      <c r="J511" s="580">
        <v>41562</v>
      </c>
      <c r="K511" s="581">
        <v>1.0416666666666666E-2</v>
      </c>
      <c r="L511" s="582">
        <v>10.043699999999999</v>
      </c>
      <c r="M511" s="582">
        <v>10.055300000000001</v>
      </c>
      <c r="N511" s="582">
        <v>10.0639</v>
      </c>
      <c r="O511" s="582">
        <v>10.076000000000001</v>
      </c>
      <c r="P511" s="582">
        <v>98.646799999999999</v>
      </c>
      <c r="Q511" s="582">
        <v>10.086580127001813</v>
      </c>
      <c r="R511" s="582">
        <v>0</v>
      </c>
      <c r="S511" s="582">
        <v>0.61871987299818776</v>
      </c>
      <c r="T511" s="582">
        <v>0.16731987299818718</v>
      </c>
      <c r="U511" s="582">
        <v>0.25941987299818731</v>
      </c>
    </row>
    <row r="512" spans="10:21">
      <c r="J512" s="580">
        <v>41563</v>
      </c>
      <c r="K512" s="581">
        <v>1.0416666666666666E-2</v>
      </c>
      <c r="L512" s="582">
        <v>12.623900000000001</v>
      </c>
      <c r="M512" s="582">
        <v>12.417199999999999</v>
      </c>
      <c r="N512" s="582">
        <v>13.0586</v>
      </c>
      <c r="O512" s="582">
        <v>12.992599999999999</v>
      </c>
      <c r="P512" s="582">
        <v>98.707400000000007</v>
      </c>
      <c r="Q512" s="582">
        <v>10.092776443108331</v>
      </c>
      <c r="R512" s="582">
        <v>2.3461235568916696</v>
      </c>
      <c r="S512" s="582">
        <v>2.9744235568916686</v>
      </c>
      <c r="T512" s="582">
        <v>3.1558235568916695</v>
      </c>
      <c r="U512" s="582">
        <v>3.1698235568916679</v>
      </c>
    </row>
    <row r="513" spans="10:21">
      <c r="J513" s="580">
        <v>41564</v>
      </c>
      <c r="K513" s="581">
        <v>1.0416666666666666E-2</v>
      </c>
      <c r="L513" s="582">
        <v>13.2918</v>
      </c>
      <c r="M513" s="582">
        <v>12.626799999999999</v>
      </c>
      <c r="N513" s="582">
        <v>13.3125</v>
      </c>
      <c r="O513" s="582">
        <v>13.2653</v>
      </c>
      <c r="P513" s="582">
        <v>98.733500000000006</v>
      </c>
      <c r="Q513" s="582">
        <v>10.095445153510642</v>
      </c>
      <c r="R513" s="582">
        <v>3.011354846489358</v>
      </c>
      <c r="S513" s="582">
        <v>3.1813548464893575</v>
      </c>
      <c r="T513" s="582">
        <v>3.4070548464893582</v>
      </c>
      <c r="U513" s="582">
        <v>3.4398548464893572</v>
      </c>
    </row>
    <row r="514" spans="10:21">
      <c r="J514" s="580">
        <v>41565</v>
      </c>
      <c r="K514" s="581">
        <v>1.0416666666666666E-2</v>
      </c>
      <c r="L514" s="582">
        <v>13.310600000000001</v>
      </c>
      <c r="M514" s="582">
        <v>12.723800000000001</v>
      </c>
      <c r="N514" s="582">
        <v>13.5038</v>
      </c>
      <c r="O514" s="582">
        <v>13.3225</v>
      </c>
      <c r="P514" s="582">
        <v>98.762100000000004</v>
      </c>
      <c r="Q514" s="582">
        <v>10.098369487514708</v>
      </c>
      <c r="R514" s="582">
        <v>3.0272305124852932</v>
      </c>
      <c r="S514" s="582">
        <v>3.2754305124852934</v>
      </c>
      <c r="T514" s="582">
        <v>3.5954305124852928</v>
      </c>
      <c r="U514" s="582">
        <v>3.4941305124852917</v>
      </c>
    </row>
    <row r="515" spans="10:21">
      <c r="J515" s="580">
        <v>41566</v>
      </c>
      <c r="K515" s="581">
        <v>1.0416666666666666E-2</v>
      </c>
      <c r="L515" s="582">
        <v>13.474399999999999</v>
      </c>
      <c r="M515" s="582">
        <v>12.788500000000001</v>
      </c>
      <c r="N515" s="582">
        <v>13.630699999999999</v>
      </c>
      <c r="O515" s="582">
        <v>13.3964</v>
      </c>
      <c r="P515" s="582">
        <v>98.812100000000001</v>
      </c>
      <c r="Q515" s="582">
        <v>10.103481959549788</v>
      </c>
      <c r="R515" s="582">
        <v>3.1859180404502117</v>
      </c>
      <c r="S515" s="582">
        <v>3.3350180404502137</v>
      </c>
      <c r="T515" s="582">
        <v>3.717218040450212</v>
      </c>
      <c r="U515" s="582">
        <v>3.5629180404502119</v>
      </c>
    </row>
    <row r="516" spans="10:21">
      <c r="J516" s="580">
        <v>41567</v>
      </c>
      <c r="K516" s="581">
        <v>1.0416666666666666E-2</v>
      </c>
      <c r="L516" s="582">
        <v>13.467000000000001</v>
      </c>
      <c r="M516" s="582">
        <v>12.8643</v>
      </c>
      <c r="N516" s="582">
        <v>13.9109</v>
      </c>
      <c r="O516" s="582">
        <v>13.5318</v>
      </c>
      <c r="P516" s="582">
        <v>98.862899999999996</v>
      </c>
      <c r="Q516" s="582">
        <v>10.108676231137428</v>
      </c>
      <c r="R516" s="582">
        <v>3.1733237688625722</v>
      </c>
      <c r="S516" s="582">
        <v>3.4056237688625721</v>
      </c>
      <c r="T516" s="582">
        <v>3.9922237688625719</v>
      </c>
      <c r="U516" s="582">
        <v>3.6931237688625718</v>
      </c>
    </row>
    <row r="517" spans="10:21">
      <c r="J517" s="580">
        <v>41568</v>
      </c>
      <c r="K517" s="581">
        <v>1.0416666666666666E-2</v>
      </c>
      <c r="L517" s="582">
        <v>13.389099999999999</v>
      </c>
      <c r="M517" s="582">
        <v>12.845599999999999</v>
      </c>
      <c r="N517" s="582">
        <v>13.9514</v>
      </c>
      <c r="O517" s="582">
        <v>13.2963</v>
      </c>
      <c r="P517" s="582">
        <v>98.496799999999993</v>
      </c>
      <c r="Q517" s="582">
        <v>10.071242710896575</v>
      </c>
      <c r="R517" s="582">
        <v>3.1328572891034239</v>
      </c>
      <c r="S517" s="582">
        <v>3.4243572891034244</v>
      </c>
      <c r="T517" s="582">
        <v>4.0701572891034248</v>
      </c>
      <c r="U517" s="582">
        <v>3.4950572891034248</v>
      </c>
    </row>
    <row r="518" spans="10:21">
      <c r="J518" s="580">
        <v>41569</v>
      </c>
      <c r="K518" s="581">
        <v>1.0416666666666666E-2</v>
      </c>
      <c r="L518" s="582">
        <v>13.326700000000001</v>
      </c>
      <c r="M518" s="582">
        <v>12.813599999999999</v>
      </c>
      <c r="N518" s="582">
        <v>13.901</v>
      </c>
      <c r="O518" s="582">
        <v>13.2883</v>
      </c>
      <c r="P518" s="582">
        <v>98.334299999999999</v>
      </c>
      <c r="Q518" s="582">
        <v>10.054627176782567</v>
      </c>
      <c r="R518" s="582">
        <v>3.0870728232174334</v>
      </c>
      <c r="S518" s="582">
        <v>3.4089728232174323</v>
      </c>
      <c r="T518" s="582">
        <v>4.036372823217433</v>
      </c>
      <c r="U518" s="582">
        <v>3.5036728232174319</v>
      </c>
    </row>
    <row r="519" spans="10:21">
      <c r="J519" s="580">
        <v>41570</v>
      </c>
      <c r="K519" s="581">
        <v>1.0416666666666666E-2</v>
      </c>
      <c r="L519" s="582">
        <v>13.279400000000001</v>
      </c>
      <c r="M519" s="582">
        <v>12.7957</v>
      </c>
      <c r="N519" s="582">
        <v>13.8497</v>
      </c>
      <c r="O519" s="582">
        <v>13.2544</v>
      </c>
      <c r="P519" s="582">
        <v>98.322299999999998</v>
      </c>
      <c r="Q519" s="582">
        <v>10.053400183494148</v>
      </c>
      <c r="R519" s="582">
        <v>3.0409998165058529</v>
      </c>
      <c r="S519" s="582">
        <v>3.3922998165058527</v>
      </c>
      <c r="T519" s="582">
        <v>3.986299816505853</v>
      </c>
      <c r="U519" s="582">
        <v>3.4709998165058522</v>
      </c>
    </row>
    <row r="520" spans="10:21">
      <c r="J520" s="580">
        <v>41571</v>
      </c>
      <c r="K520" s="581">
        <v>1.0416666666666666E-2</v>
      </c>
      <c r="L520" s="582">
        <v>13.245100000000001</v>
      </c>
      <c r="M520" s="582">
        <v>12.7828</v>
      </c>
      <c r="N520" s="582">
        <v>13.8065</v>
      </c>
      <c r="O520" s="582">
        <v>13.229699999999999</v>
      </c>
      <c r="P520" s="582">
        <v>98.392399999999995</v>
      </c>
      <c r="Q520" s="582">
        <v>10.060567869287329</v>
      </c>
      <c r="R520" s="582">
        <v>2.9995321307126717</v>
      </c>
      <c r="S520" s="582">
        <v>3.3722321307126712</v>
      </c>
      <c r="T520" s="582">
        <v>3.9359321307126711</v>
      </c>
      <c r="U520" s="582">
        <v>3.4391321307126699</v>
      </c>
    </row>
    <row r="521" spans="10:21">
      <c r="J521" s="580">
        <v>41572</v>
      </c>
      <c r="K521" s="581">
        <v>1.0416666666666666E-2</v>
      </c>
      <c r="L521" s="582">
        <v>13.203900000000001</v>
      </c>
      <c r="M521" s="582">
        <v>12.7598</v>
      </c>
      <c r="N521" s="582">
        <v>13.7508</v>
      </c>
      <c r="O521" s="582">
        <v>13.208299999999999</v>
      </c>
      <c r="P521" s="582">
        <v>98.366399999999999</v>
      </c>
      <c r="Q521" s="582">
        <v>10.057909383829088</v>
      </c>
      <c r="R521" s="582">
        <v>2.9609906161709127</v>
      </c>
      <c r="S521" s="582">
        <v>3.3518906161709126</v>
      </c>
      <c r="T521" s="582">
        <v>3.8828906161709122</v>
      </c>
      <c r="U521" s="582">
        <v>3.420390616170911</v>
      </c>
    </row>
    <row r="522" spans="10:21">
      <c r="J522" s="580">
        <v>41573</v>
      </c>
      <c r="K522" s="581">
        <v>1.0416666666666666E-2</v>
      </c>
      <c r="L522" s="582">
        <v>13.162800000000001</v>
      </c>
      <c r="M522" s="582">
        <v>12.745699999999999</v>
      </c>
      <c r="N522" s="582">
        <v>13.701599999999999</v>
      </c>
      <c r="O522" s="582">
        <v>13.2027</v>
      </c>
      <c r="P522" s="582">
        <v>98.421700000000001</v>
      </c>
      <c r="Q522" s="582">
        <v>10.063563777899885</v>
      </c>
      <c r="R522" s="582">
        <v>2.9142362221001155</v>
      </c>
      <c r="S522" s="582">
        <v>3.3321362221001145</v>
      </c>
      <c r="T522" s="582">
        <v>3.8280362221001143</v>
      </c>
      <c r="U522" s="582">
        <v>3.4091362221001145</v>
      </c>
    </row>
    <row r="523" spans="10:21">
      <c r="J523" s="580">
        <v>41574</v>
      </c>
      <c r="K523" s="581">
        <v>1.0416666666666666E-2</v>
      </c>
      <c r="L523" s="582">
        <v>13.1515</v>
      </c>
      <c r="M523" s="582">
        <v>12.751899999999999</v>
      </c>
      <c r="N523" s="582">
        <v>13.686400000000001</v>
      </c>
      <c r="O523" s="582">
        <v>13.206300000000001</v>
      </c>
      <c r="P523" s="582">
        <v>98.664299999999997</v>
      </c>
      <c r="Q523" s="582">
        <v>10.088369492214092</v>
      </c>
      <c r="R523" s="582">
        <v>2.8781305077859085</v>
      </c>
      <c r="S523" s="582">
        <v>3.3135305077859076</v>
      </c>
      <c r="T523" s="582">
        <v>3.7880305077859093</v>
      </c>
      <c r="U523" s="582">
        <v>3.3879305077859083</v>
      </c>
    </row>
    <row r="524" spans="10:21">
      <c r="J524" s="580">
        <v>41575</v>
      </c>
      <c r="K524" s="581">
        <v>1.0416666666666666E-2</v>
      </c>
      <c r="L524" s="582">
        <v>13.120799999999999</v>
      </c>
      <c r="M524" s="582">
        <v>12.7384</v>
      </c>
      <c r="N524" s="582">
        <v>13.6408</v>
      </c>
      <c r="O524" s="582">
        <v>13.1905</v>
      </c>
      <c r="P524" s="582">
        <v>98.734899999999996</v>
      </c>
      <c r="Q524" s="582">
        <v>10.095588302727624</v>
      </c>
      <c r="R524" s="582">
        <v>2.8402116972723754</v>
      </c>
      <c r="S524" s="582">
        <v>3.2928116972723771</v>
      </c>
      <c r="T524" s="582">
        <v>3.7352116972723772</v>
      </c>
      <c r="U524" s="582">
        <v>3.364911697272376</v>
      </c>
    </row>
    <row r="525" spans="10:21">
      <c r="J525" s="580">
        <v>41576</v>
      </c>
      <c r="K525" s="581">
        <v>1.0416666666666666E-2</v>
      </c>
      <c r="L525" s="582">
        <v>13.0915</v>
      </c>
      <c r="M525" s="582">
        <v>12.729900000000001</v>
      </c>
      <c r="N525" s="582">
        <v>13.6053</v>
      </c>
      <c r="O525" s="582">
        <v>13.1752</v>
      </c>
      <c r="P525" s="582">
        <v>98.843500000000006</v>
      </c>
      <c r="Q525" s="582">
        <v>10.106692591987818</v>
      </c>
      <c r="R525" s="582">
        <v>2.7998074080121822</v>
      </c>
      <c r="S525" s="582">
        <v>3.2732074080121834</v>
      </c>
      <c r="T525" s="582">
        <v>3.6886074080121825</v>
      </c>
      <c r="U525" s="582">
        <v>3.3385074080121822</v>
      </c>
    </row>
    <row r="526" spans="10:21">
      <c r="J526" s="580">
        <v>41577</v>
      </c>
      <c r="K526" s="581">
        <v>1.0416666666666666E-2</v>
      </c>
      <c r="L526" s="582">
        <v>13.063499999999999</v>
      </c>
      <c r="M526" s="582">
        <v>12.721399999999999</v>
      </c>
      <c r="N526" s="582">
        <v>13.588900000000001</v>
      </c>
      <c r="O526" s="582">
        <v>13.167999999999999</v>
      </c>
      <c r="P526" s="582">
        <v>98.9529</v>
      </c>
      <c r="Q526" s="582">
        <v>10.117878680800571</v>
      </c>
      <c r="R526" s="582">
        <v>2.7606213191994287</v>
      </c>
      <c r="S526" s="582">
        <v>3.2535213191994288</v>
      </c>
      <c r="T526" s="582">
        <v>3.6610213191994303</v>
      </c>
      <c r="U526" s="582">
        <v>3.3201213191994281</v>
      </c>
    </row>
    <row r="527" spans="10:21">
      <c r="J527" s="580">
        <v>41578</v>
      </c>
      <c r="K527" s="581">
        <v>1.0416666666666666E-2</v>
      </c>
      <c r="L527" s="582">
        <v>13.025600000000001</v>
      </c>
      <c r="M527" s="582">
        <v>12.7013</v>
      </c>
      <c r="N527" s="582">
        <v>13.5435</v>
      </c>
      <c r="O527" s="582">
        <v>13.149699999999999</v>
      </c>
      <c r="P527" s="582">
        <v>98.951499999999996</v>
      </c>
      <c r="Q527" s="582">
        <v>10.117735531583589</v>
      </c>
      <c r="R527" s="582">
        <v>2.7228644684164114</v>
      </c>
      <c r="S527" s="582">
        <v>3.2335644684164109</v>
      </c>
      <c r="T527" s="582">
        <v>3.615764468416411</v>
      </c>
      <c r="U527" s="582">
        <v>3.3019644684164096</v>
      </c>
    </row>
    <row r="528" spans="10:21">
      <c r="J528" s="580">
        <v>41579</v>
      </c>
      <c r="K528" s="581">
        <v>1.0416666666666666E-2</v>
      </c>
      <c r="L528" s="582">
        <v>12.999599999999999</v>
      </c>
      <c r="M528" s="582">
        <v>12.682</v>
      </c>
      <c r="N528" s="582">
        <v>13.4924</v>
      </c>
      <c r="O528" s="582">
        <v>13.132199999999999</v>
      </c>
      <c r="P528" s="582">
        <v>98.953500000000005</v>
      </c>
      <c r="Q528" s="582">
        <v>10.117940030464993</v>
      </c>
      <c r="R528" s="582">
        <v>2.696659969535006</v>
      </c>
      <c r="S528" s="582">
        <v>3.2140599695350076</v>
      </c>
      <c r="T528" s="582">
        <v>3.5644599695350072</v>
      </c>
      <c r="U528" s="582">
        <v>3.2842599695350057</v>
      </c>
    </row>
    <row r="529" spans="10:21">
      <c r="J529" s="580">
        <v>41580</v>
      </c>
      <c r="K529" s="581">
        <v>1.0416666666666666E-2</v>
      </c>
      <c r="L529" s="582">
        <v>12.953900000000001</v>
      </c>
      <c r="M529" s="582">
        <v>12.654400000000001</v>
      </c>
      <c r="N529" s="582">
        <v>13.433999999999999</v>
      </c>
      <c r="O529" s="582">
        <v>13.103199999999999</v>
      </c>
      <c r="P529" s="582">
        <v>98.879000000000005</v>
      </c>
      <c r="Q529" s="582">
        <v>10.110322447132724</v>
      </c>
      <c r="R529" s="582">
        <v>2.658577552867277</v>
      </c>
      <c r="S529" s="582">
        <v>3.1940775528672773</v>
      </c>
      <c r="T529" s="582">
        <v>3.5136775528672759</v>
      </c>
      <c r="U529" s="582">
        <v>3.2628775528672751</v>
      </c>
    </row>
    <row r="530" spans="10:21">
      <c r="J530" s="580">
        <v>41581</v>
      </c>
      <c r="K530" s="581">
        <v>1.0416666666666666E-2</v>
      </c>
      <c r="L530" s="582">
        <v>12.9199</v>
      </c>
      <c r="M530" s="582">
        <v>12.638500000000001</v>
      </c>
      <c r="N530" s="582">
        <v>13.4018</v>
      </c>
      <c r="O530" s="582">
        <v>13.085699999999999</v>
      </c>
      <c r="P530" s="582">
        <v>98.877700000000004</v>
      </c>
      <c r="Q530" s="582">
        <v>10.110189522859812</v>
      </c>
      <c r="R530" s="582">
        <v>2.6247104771401877</v>
      </c>
      <c r="S530" s="582">
        <v>3.1783104771401884</v>
      </c>
      <c r="T530" s="582">
        <v>3.4816104771401877</v>
      </c>
      <c r="U530" s="582">
        <v>3.2455104771401864</v>
      </c>
    </row>
    <row r="531" spans="10:21">
      <c r="J531" s="580">
        <v>41582</v>
      </c>
      <c r="K531" s="581">
        <v>1.0416666666666666E-2</v>
      </c>
      <c r="L531" s="582">
        <v>12.891999999999999</v>
      </c>
      <c r="M531" s="582">
        <v>12.6271</v>
      </c>
      <c r="N531" s="582">
        <v>13.374700000000001</v>
      </c>
      <c r="O531" s="582">
        <v>13.0745</v>
      </c>
      <c r="P531" s="582">
        <v>98.949399999999997</v>
      </c>
      <c r="Q531" s="582">
        <v>10.117520807758115</v>
      </c>
      <c r="R531" s="582">
        <v>2.5894791922418841</v>
      </c>
      <c r="S531" s="582">
        <v>3.1595791922418854</v>
      </c>
      <c r="T531" s="582">
        <v>3.4471791922418857</v>
      </c>
      <c r="U531" s="582">
        <v>3.2269791922418847</v>
      </c>
    </row>
    <row r="532" spans="10:21">
      <c r="J532" s="580">
        <v>41583</v>
      </c>
      <c r="K532" s="581">
        <v>1.0416666666666666E-2</v>
      </c>
      <c r="L532" s="582">
        <v>12.9238</v>
      </c>
      <c r="M532" s="582">
        <v>12.646800000000001</v>
      </c>
      <c r="N532" s="582">
        <v>13.3832</v>
      </c>
      <c r="O532" s="582">
        <v>13.0982</v>
      </c>
      <c r="P532" s="582">
        <v>99.0625</v>
      </c>
      <c r="Q532" s="582">
        <v>10.129085219501466</v>
      </c>
      <c r="R532" s="582">
        <v>2.6097147804985341</v>
      </c>
      <c r="S532" s="582">
        <v>3.1677147804985353</v>
      </c>
      <c r="T532" s="582">
        <v>3.444114780498535</v>
      </c>
      <c r="U532" s="582">
        <v>3.2391147804985341</v>
      </c>
    </row>
    <row r="533" spans="10:21">
      <c r="J533" s="580">
        <v>41584</v>
      </c>
      <c r="K533" s="581">
        <v>1.0416666666666666E-2</v>
      </c>
      <c r="L533" s="582">
        <v>12.9116</v>
      </c>
      <c r="M533" s="582">
        <v>12.645099999999999</v>
      </c>
      <c r="N533" s="582">
        <v>13.3561</v>
      </c>
      <c r="O533" s="582">
        <v>13.086499999999999</v>
      </c>
      <c r="P533" s="582">
        <v>99.0304</v>
      </c>
      <c r="Q533" s="582">
        <v>10.125803012454945</v>
      </c>
      <c r="R533" s="582">
        <v>2.600796987545055</v>
      </c>
      <c r="S533" s="582">
        <v>3.1692969875450547</v>
      </c>
      <c r="T533" s="582">
        <v>3.4202969875450551</v>
      </c>
      <c r="U533" s="582">
        <v>3.2306969875450537</v>
      </c>
    </row>
    <row r="534" spans="10:21">
      <c r="J534" s="580">
        <v>41585</v>
      </c>
      <c r="K534" s="581">
        <v>1.0416666666666666E-2</v>
      </c>
      <c r="L534" s="582">
        <v>12.872999999999999</v>
      </c>
      <c r="M534" s="582">
        <v>12.619199999999999</v>
      </c>
      <c r="N534" s="582">
        <v>13.316700000000001</v>
      </c>
      <c r="O534" s="582">
        <v>13.059900000000001</v>
      </c>
      <c r="P534" s="582">
        <v>98.980900000000005</v>
      </c>
      <c r="Q534" s="582">
        <v>10.120741665140217</v>
      </c>
      <c r="R534" s="582">
        <v>2.5672583348597819</v>
      </c>
      <c r="S534" s="582">
        <v>3.1484583348597823</v>
      </c>
      <c r="T534" s="582">
        <v>3.3859583348597839</v>
      </c>
      <c r="U534" s="582">
        <v>3.209158334859783</v>
      </c>
    </row>
    <row r="535" spans="10:21">
      <c r="J535" s="580">
        <v>41586</v>
      </c>
      <c r="K535" s="581">
        <v>1.0416666666666666E-2</v>
      </c>
      <c r="L535" s="582">
        <v>12.8292</v>
      </c>
      <c r="M535" s="582">
        <v>12.5931</v>
      </c>
      <c r="N535" s="582">
        <v>13.2705</v>
      </c>
      <c r="O535" s="582">
        <v>13.029299999999999</v>
      </c>
      <c r="P535" s="582">
        <v>98.899900000000002</v>
      </c>
      <c r="Q535" s="582">
        <v>10.112459460443388</v>
      </c>
      <c r="R535" s="582">
        <v>2.5317405395566124</v>
      </c>
      <c r="S535" s="582">
        <v>3.1306405395566124</v>
      </c>
      <c r="T535" s="582">
        <v>3.3480405395566128</v>
      </c>
      <c r="U535" s="582">
        <v>3.1868405395566111</v>
      </c>
    </row>
    <row r="536" spans="10:21">
      <c r="J536" s="580">
        <v>41587</v>
      </c>
      <c r="K536" s="581">
        <v>1.0416666666666666E-2</v>
      </c>
      <c r="L536" s="582">
        <v>12.787599999999999</v>
      </c>
      <c r="M536" s="582">
        <v>12.5634</v>
      </c>
      <c r="N536" s="582">
        <v>13.2203</v>
      </c>
      <c r="O536" s="582">
        <v>12.9954</v>
      </c>
      <c r="P536" s="582">
        <v>98.806899999999999</v>
      </c>
      <c r="Q536" s="582">
        <v>10.102950262458139</v>
      </c>
      <c r="R536" s="582">
        <v>2.4996497375418607</v>
      </c>
      <c r="S536" s="582">
        <v>3.1104497375418614</v>
      </c>
      <c r="T536" s="582">
        <v>3.3073497375418617</v>
      </c>
      <c r="U536" s="582">
        <v>3.162449737541861</v>
      </c>
    </row>
    <row r="537" spans="10:21">
      <c r="J537" s="580">
        <v>41588</v>
      </c>
      <c r="K537" s="581">
        <v>1.0416666666666666E-2</v>
      </c>
      <c r="L537" s="582">
        <v>12.7422</v>
      </c>
      <c r="M537" s="582">
        <v>12.536799999999999</v>
      </c>
      <c r="N537" s="582">
        <v>13.172700000000001</v>
      </c>
      <c r="O537" s="582">
        <v>12.964</v>
      </c>
      <c r="P537" s="582">
        <v>98.724100000000007</v>
      </c>
      <c r="Q537" s="582">
        <v>10.094484008768047</v>
      </c>
      <c r="R537" s="582">
        <v>2.4627159912319532</v>
      </c>
      <c r="S537" s="582">
        <v>3.0923159912319527</v>
      </c>
      <c r="T537" s="582">
        <v>3.2682159912319539</v>
      </c>
      <c r="U537" s="582">
        <v>3.1395159912319528</v>
      </c>
    </row>
    <row r="538" spans="10:21">
      <c r="J538" s="580">
        <v>41589</v>
      </c>
      <c r="K538" s="581">
        <v>1.0416666666666666E-2</v>
      </c>
      <c r="L538" s="582">
        <v>12.7098</v>
      </c>
      <c r="M538" s="582">
        <v>12.520899999999999</v>
      </c>
      <c r="N538" s="582">
        <v>13.1371</v>
      </c>
      <c r="O538" s="582">
        <v>12.9412</v>
      </c>
      <c r="P538" s="582">
        <v>98.774699999999996</v>
      </c>
      <c r="Q538" s="582">
        <v>10.099657830467548</v>
      </c>
      <c r="R538" s="582">
        <v>2.4251421695324518</v>
      </c>
      <c r="S538" s="582">
        <v>3.0712421695324519</v>
      </c>
      <c r="T538" s="582">
        <v>3.2274421695324529</v>
      </c>
      <c r="U538" s="582">
        <v>3.1115421695324521</v>
      </c>
    </row>
    <row r="539" spans="10:21">
      <c r="J539" s="580">
        <v>41590</v>
      </c>
      <c r="K539" s="581">
        <v>1.0416666666666666E-2</v>
      </c>
      <c r="L539" s="582">
        <v>12.66</v>
      </c>
      <c r="M539" s="582">
        <v>12.4885</v>
      </c>
      <c r="N539" s="582">
        <v>13.0838</v>
      </c>
      <c r="O539" s="582">
        <v>12.891500000000001</v>
      </c>
      <c r="P539" s="582">
        <v>98.657200000000003</v>
      </c>
      <c r="Q539" s="582">
        <v>10.087643521185111</v>
      </c>
      <c r="R539" s="582">
        <v>2.3873564788148891</v>
      </c>
      <c r="S539" s="582">
        <v>3.0508564788148895</v>
      </c>
      <c r="T539" s="582">
        <v>3.1861564788148895</v>
      </c>
      <c r="U539" s="582">
        <v>3.0738564788148892</v>
      </c>
    </row>
    <row r="540" spans="10:21">
      <c r="J540" s="580">
        <v>41591</v>
      </c>
      <c r="K540" s="581">
        <v>1.0416666666666666E-2</v>
      </c>
      <c r="L540" s="582">
        <v>12.6305</v>
      </c>
      <c r="M540" s="582">
        <v>12.4702</v>
      </c>
      <c r="N540" s="582">
        <v>13.0541</v>
      </c>
      <c r="O540" s="582">
        <v>12.8725</v>
      </c>
      <c r="P540" s="582">
        <v>98.708299999999994</v>
      </c>
      <c r="Q540" s="582">
        <v>10.092868467604962</v>
      </c>
      <c r="R540" s="582">
        <v>2.3526315323950375</v>
      </c>
      <c r="S540" s="582">
        <v>3.0273315323950385</v>
      </c>
      <c r="T540" s="582">
        <v>3.1512315323950384</v>
      </c>
      <c r="U540" s="582">
        <v>3.049631532395038</v>
      </c>
    </row>
    <row r="541" spans="10:21">
      <c r="J541" s="580">
        <v>41592</v>
      </c>
      <c r="K541" s="581">
        <v>1.0416666666666666E-2</v>
      </c>
      <c r="L541" s="582">
        <v>12.608700000000001</v>
      </c>
      <c r="M541" s="582">
        <v>12.4582</v>
      </c>
      <c r="N541" s="582">
        <v>13.0318</v>
      </c>
      <c r="O541" s="582">
        <v>12.8629</v>
      </c>
      <c r="P541" s="582">
        <v>98.796599999999998</v>
      </c>
      <c r="Q541" s="582">
        <v>10.101897093218913</v>
      </c>
      <c r="R541" s="582">
        <v>2.3218029067810879</v>
      </c>
      <c r="S541" s="582">
        <v>3.0063029067810874</v>
      </c>
      <c r="T541" s="582">
        <v>3.1199029067810882</v>
      </c>
      <c r="U541" s="582">
        <v>3.0310029067810866</v>
      </c>
    </row>
    <row r="542" spans="10:21">
      <c r="J542" s="580">
        <v>41593</v>
      </c>
      <c r="K542" s="581">
        <v>1.0416666666666666E-2</v>
      </c>
      <c r="L542" s="582">
        <v>12.5722</v>
      </c>
      <c r="M542" s="582">
        <v>12.436999999999999</v>
      </c>
      <c r="N542" s="582">
        <v>13.0006</v>
      </c>
      <c r="O542" s="582">
        <v>12.844200000000001</v>
      </c>
      <c r="P542" s="582">
        <v>98.844700000000003</v>
      </c>
      <c r="Q542" s="582">
        <v>10.106815291316659</v>
      </c>
      <c r="R542" s="582">
        <v>2.2803847086833415</v>
      </c>
      <c r="S542" s="582">
        <v>2.9801847086833408</v>
      </c>
      <c r="T542" s="582">
        <v>3.0837847086833419</v>
      </c>
      <c r="U542" s="582">
        <v>3.0073847086833414</v>
      </c>
    </row>
    <row r="543" spans="10:21">
      <c r="J543" s="580">
        <v>41594</v>
      </c>
      <c r="K543" s="581">
        <v>1.0416666666666666E-2</v>
      </c>
      <c r="L543" s="582">
        <v>12.5122</v>
      </c>
      <c r="M543" s="582">
        <v>12.396699999999999</v>
      </c>
      <c r="N543" s="582">
        <v>12.942</v>
      </c>
      <c r="O543" s="582">
        <v>12.7905</v>
      </c>
      <c r="P543" s="582">
        <v>98.683300000000003</v>
      </c>
      <c r="Q543" s="582">
        <v>10.090312231587422</v>
      </c>
      <c r="R543" s="582">
        <v>2.2368877684125779</v>
      </c>
      <c r="S543" s="582">
        <v>2.9563877684125774</v>
      </c>
      <c r="T543" s="582">
        <v>3.0416877684125785</v>
      </c>
      <c r="U543" s="582">
        <v>2.9701877684125773</v>
      </c>
    </row>
    <row r="544" spans="10:21">
      <c r="J544" s="580">
        <v>41595</v>
      </c>
      <c r="K544" s="581">
        <v>1.0416666666666666E-2</v>
      </c>
      <c r="L544" s="582">
        <v>12.459</v>
      </c>
      <c r="M544" s="582">
        <v>12.361800000000001</v>
      </c>
      <c r="N544" s="582">
        <v>12.894</v>
      </c>
      <c r="O544" s="582">
        <v>12.7456</v>
      </c>
      <c r="P544" s="582">
        <v>98.6126</v>
      </c>
      <c r="Q544" s="582">
        <v>10.08308319612982</v>
      </c>
      <c r="R544" s="582">
        <v>2.1909168038701794</v>
      </c>
      <c r="S544" s="582">
        <v>2.9287168038701807</v>
      </c>
      <c r="T544" s="582">
        <v>3.0009168038701803</v>
      </c>
      <c r="U544" s="582">
        <v>2.932516803870179</v>
      </c>
    </row>
    <row r="545" spans="10:21">
      <c r="J545" s="580">
        <v>41596</v>
      </c>
      <c r="K545" s="581">
        <v>1.0416666666666666E-2</v>
      </c>
      <c r="L545" s="582">
        <v>12.544</v>
      </c>
      <c r="M545" s="582">
        <v>12.684900000000001</v>
      </c>
      <c r="N545" s="582">
        <v>13.700200000000001</v>
      </c>
      <c r="O545" s="582">
        <v>13.2835</v>
      </c>
      <c r="P545" s="582">
        <v>98.819800000000001</v>
      </c>
      <c r="Q545" s="582">
        <v>10.104269280243189</v>
      </c>
      <c r="R545" s="582">
        <v>2.2547307197568114</v>
      </c>
      <c r="S545" s="582">
        <v>3.230630719756812</v>
      </c>
      <c r="T545" s="582">
        <v>3.7859307197568119</v>
      </c>
      <c r="U545" s="582">
        <v>3.4492307197568106</v>
      </c>
    </row>
    <row r="546" spans="10:21">
      <c r="J546" s="580">
        <v>41597</v>
      </c>
      <c r="K546" s="581">
        <v>1.0416666666666666E-2</v>
      </c>
      <c r="L546" s="582">
        <v>12.518800000000001</v>
      </c>
      <c r="M546" s="582">
        <v>12.6831</v>
      </c>
      <c r="N546" s="582">
        <v>13.709300000000001</v>
      </c>
      <c r="O546" s="582">
        <v>13.282500000000001</v>
      </c>
      <c r="P546" s="582">
        <v>98.984300000000005</v>
      </c>
      <c r="Q546" s="582">
        <v>10.121089313238603</v>
      </c>
      <c r="R546" s="582">
        <v>2.2127106867613979</v>
      </c>
      <c r="S546" s="582">
        <v>3.2120106867613973</v>
      </c>
      <c r="T546" s="582">
        <v>3.7782106867613985</v>
      </c>
      <c r="U546" s="582">
        <v>3.4314106867613976</v>
      </c>
    </row>
    <row r="547" spans="10:21">
      <c r="J547" s="580">
        <v>41598</v>
      </c>
      <c r="K547" s="581">
        <v>1.0416666666666666E-2</v>
      </c>
      <c r="L547" s="582">
        <v>12.4626</v>
      </c>
      <c r="M547" s="582">
        <v>12.651899999999999</v>
      </c>
      <c r="N547" s="582">
        <v>13.659700000000001</v>
      </c>
      <c r="O547" s="582">
        <v>13.247299999999999</v>
      </c>
      <c r="P547" s="582">
        <v>98.869900000000001</v>
      </c>
      <c r="Q547" s="582">
        <v>10.109391977222339</v>
      </c>
      <c r="R547" s="582">
        <v>2.168208022777661</v>
      </c>
      <c r="S547" s="582">
        <v>3.1925080227776608</v>
      </c>
      <c r="T547" s="582">
        <v>3.7403080227776622</v>
      </c>
      <c r="U547" s="582">
        <v>3.4079080227776597</v>
      </c>
    </row>
    <row r="548" spans="10:21">
      <c r="J548" s="580">
        <v>41599</v>
      </c>
      <c r="K548" s="581">
        <v>1.0416666666666666E-2</v>
      </c>
      <c r="L548" s="582">
        <v>12.388199999999999</v>
      </c>
      <c r="M548" s="582">
        <v>12.599399999999999</v>
      </c>
      <c r="N548" s="582">
        <v>13.5886</v>
      </c>
      <c r="O548" s="582">
        <v>13.1922</v>
      </c>
      <c r="P548" s="582">
        <v>98.5715</v>
      </c>
      <c r="Q548" s="582">
        <v>10.078880744116985</v>
      </c>
      <c r="R548" s="582">
        <v>2.1243192558830146</v>
      </c>
      <c r="S548" s="582">
        <v>3.1705192558830149</v>
      </c>
      <c r="T548" s="582">
        <v>3.6997192558830152</v>
      </c>
      <c r="U548" s="582">
        <v>3.3833192558830145</v>
      </c>
    </row>
    <row r="549" spans="10:21">
      <c r="J549" s="580">
        <v>41600</v>
      </c>
      <c r="K549" s="581">
        <v>1.0416666666666666E-2</v>
      </c>
      <c r="L549" s="582">
        <v>12.3384</v>
      </c>
      <c r="M549" s="582">
        <v>12.581799999999999</v>
      </c>
      <c r="N549" s="582">
        <v>13.553800000000001</v>
      </c>
      <c r="O549" s="582">
        <v>13.170999999999999</v>
      </c>
      <c r="P549" s="582">
        <v>98.623800000000003</v>
      </c>
      <c r="Q549" s="582">
        <v>10.084228389865677</v>
      </c>
      <c r="R549" s="582">
        <v>2.0691716101343229</v>
      </c>
      <c r="S549" s="582">
        <v>3.1475716101343227</v>
      </c>
      <c r="T549" s="582">
        <v>3.6595716101343241</v>
      </c>
      <c r="U549" s="582">
        <v>3.3567716101343219</v>
      </c>
    </row>
    <row r="550" spans="10:21">
      <c r="J550" s="580">
        <v>41601</v>
      </c>
      <c r="K550" s="581">
        <v>1.0416666666666666E-2</v>
      </c>
      <c r="L550" s="582">
        <v>12.295400000000001</v>
      </c>
      <c r="M550" s="582">
        <v>12.5707</v>
      </c>
      <c r="N550" s="582">
        <v>13.527100000000001</v>
      </c>
      <c r="O550" s="582">
        <v>13.156700000000001</v>
      </c>
      <c r="P550" s="582">
        <v>98.735299999999995</v>
      </c>
      <c r="Q550" s="582">
        <v>10.095629202503904</v>
      </c>
      <c r="R550" s="582">
        <v>2.0147707974960967</v>
      </c>
      <c r="S550" s="582">
        <v>3.1250707974960967</v>
      </c>
      <c r="T550" s="582">
        <v>3.6214707974960971</v>
      </c>
      <c r="U550" s="582">
        <v>3.3310707974960962</v>
      </c>
    </row>
    <row r="551" spans="10:21">
      <c r="J551" s="580">
        <v>41602</v>
      </c>
      <c r="K551" s="581">
        <v>1.0416666666666666E-2</v>
      </c>
      <c r="L551" s="582">
        <v>12.254899999999999</v>
      </c>
      <c r="M551" s="582">
        <v>12.558299999999999</v>
      </c>
      <c r="N551" s="582">
        <v>13.494300000000001</v>
      </c>
      <c r="O551" s="582">
        <v>13.1393</v>
      </c>
      <c r="P551" s="582">
        <v>98.818200000000004</v>
      </c>
      <c r="Q551" s="582">
        <v>10.104105681138067</v>
      </c>
      <c r="R551" s="582">
        <v>1.9657943188619318</v>
      </c>
      <c r="S551" s="582">
        <v>3.1041943188619321</v>
      </c>
      <c r="T551" s="582">
        <v>3.5801943188619338</v>
      </c>
      <c r="U551" s="582">
        <v>3.3051943188619326</v>
      </c>
    </row>
    <row r="552" spans="10:21">
      <c r="J552" s="580">
        <v>41603</v>
      </c>
      <c r="K552" s="581">
        <v>1.0416666666666666E-2</v>
      </c>
      <c r="L552" s="582">
        <v>12.213200000000001</v>
      </c>
      <c r="M552" s="582">
        <v>12.540900000000001</v>
      </c>
      <c r="N552" s="582">
        <v>13.458500000000001</v>
      </c>
      <c r="O552" s="582">
        <v>13.1197</v>
      </c>
      <c r="P552" s="582">
        <v>98.864800000000002</v>
      </c>
      <c r="Q552" s="582">
        <v>10.108870505074762</v>
      </c>
      <c r="R552" s="582">
        <v>1.9193294949252384</v>
      </c>
      <c r="S552" s="582">
        <v>3.0820294949252389</v>
      </c>
      <c r="T552" s="582">
        <v>3.5396294949252392</v>
      </c>
      <c r="U552" s="582">
        <v>3.2808294949252375</v>
      </c>
    </row>
    <row r="553" spans="10:21">
      <c r="J553" s="580">
        <v>41604</v>
      </c>
      <c r="K553" s="581">
        <v>1.0416666666666666E-2</v>
      </c>
      <c r="L553" s="582">
        <v>12.1547</v>
      </c>
      <c r="M553" s="582">
        <v>12.499700000000001</v>
      </c>
      <c r="N553" s="582">
        <v>13.406700000000001</v>
      </c>
      <c r="O553" s="582">
        <v>13.0829</v>
      </c>
      <c r="P553" s="582">
        <v>98.744299999999996</v>
      </c>
      <c r="Q553" s="582">
        <v>10.096549447470219</v>
      </c>
      <c r="R553" s="582">
        <v>1.8731505525297814</v>
      </c>
      <c r="S553" s="582">
        <v>3.0531505525297824</v>
      </c>
      <c r="T553" s="582">
        <v>3.5001505525297825</v>
      </c>
      <c r="U553" s="582">
        <v>3.2563505525297813</v>
      </c>
    </row>
    <row r="554" spans="10:21">
      <c r="J554" s="580">
        <v>41605</v>
      </c>
      <c r="K554" s="581">
        <v>1.0416666666666666E-2</v>
      </c>
      <c r="L554" s="582">
        <v>12.111800000000001</v>
      </c>
      <c r="M554" s="582">
        <v>12.465400000000001</v>
      </c>
      <c r="N554" s="582">
        <v>13.3645</v>
      </c>
      <c r="O554" s="582">
        <v>13.0509</v>
      </c>
      <c r="P554" s="582">
        <v>98.683199999999999</v>
      </c>
      <c r="Q554" s="582">
        <v>10.090302006643352</v>
      </c>
      <c r="R554" s="582">
        <v>1.8364979933566485</v>
      </c>
      <c r="S554" s="582">
        <v>3.0250979933566491</v>
      </c>
      <c r="T554" s="582">
        <v>3.464197993356648</v>
      </c>
      <c r="U554" s="582">
        <v>3.230597993356648</v>
      </c>
    </row>
    <row r="555" spans="10:21">
      <c r="J555" s="580">
        <v>41606</v>
      </c>
      <c r="K555" s="581">
        <v>1.0416666666666666E-2</v>
      </c>
      <c r="L555" s="582">
        <v>12.0862</v>
      </c>
      <c r="M555" s="582">
        <v>12.448499999999999</v>
      </c>
      <c r="N555" s="582">
        <v>13.330299999999999</v>
      </c>
      <c r="O555" s="582">
        <v>13.0357</v>
      </c>
      <c r="P555" s="582">
        <v>98.798699999999997</v>
      </c>
      <c r="Q555" s="582">
        <v>10.102111817044385</v>
      </c>
      <c r="R555" s="582">
        <v>1.7990881829556149</v>
      </c>
      <c r="S555" s="582">
        <v>2.9963881829556147</v>
      </c>
      <c r="T555" s="582">
        <v>3.4181881829556149</v>
      </c>
      <c r="U555" s="582">
        <v>3.203588182955615</v>
      </c>
    </row>
    <row r="556" spans="10:21">
      <c r="J556" s="580">
        <v>41607</v>
      </c>
      <c r="K556" s="581">
        <v>1.0416666666666666E-2</v>
      </c>
      <c r="L556" s="582">
        <v>12.065099999999999</v>
      </c>
      <c r="M556" s="582">
        <v>12.44</v>
      </c>
      <c r="N556" s="582">
        <v>13.3009</v>
      </c>
      <c r="O556" s="582">
        <v>13.0237</v>
      </c>
      <c r="P556" s="582">
        <v>98.945099999999996</v>
      </c>
      <c r="Q556" s="582">
        <v>10.117081135163099</v>
      </c>
      <c r="R556" s="582">
        <v>1.7630188648369001</v>
      </c>
      <c r="S556" s="582">
        <v>2.9729188648369007</v>
      </c>
      <c r="T556" s="582">
        <v>3.3738188648369016</v>
      </c>
      <c r="U556" s="582">
        <v>3.1766188648369003</v>
      </c>
    </row>
    <row r="557" spans="10:21">
      <c r="J557" s="580">
        <v>41608</v>
      </c>
      <c r="K557" s="581">
        <v>1.0416666666666666E-2</v>
      </c>
      <c r="L557" s="582">
        <v>12.021800000000001</v>
      </c>
      <c r="M557" s="582">
        <v>12.4222</v>
      </c>
      <c r="N557" s="582">
        <v>13.2714</v>
      </c>
      <c r="O557" s="582">
        <v>13.0023</v>
      </c>
      <c r="P557" s="582">
        <v>98.993899999999996</v>
      </c>
      <c r="Q557" s="582">
        <v>10.122070907869336</v>
      </c>
      <c r="R557" s="582">
        <v>1.7147290921306646</v>
      </c>
      <c r="S557" s="582">
        <v>2.9501290921306644</v>
      </c>
      <c r="T557" s="582">
        <v>3.3393290921306642</v>
      </c>
      <c r="U557" s="582">
        <v>3.1502290921306635</v>
      </c>
    </row>
    <row r="558" spans="10:21">
      <c r="J558" s="580">
        <v>41609</v>
      </c>
      <c r="K558" s="581">
        <v>1.0416666666666666E-2</v>
      </c>
      <c r="L558" s="582">
        <v>11.976599999999999</v>
      </c>
      <c r="M558" s="582">
        <v>12.3931</v>
      </c>
      <c r="N558" s="582">
        <v>13.2415</v>
      </c>
      <c r="O558" s="582">
        <v>12.9733</v>
      </c>
      <c r="P558" s="582">
        <v>98.961600000000004</v>
      </c>
      <c r="Q558" s="582">
        <v>10.118768250934675</v>
      </c>
      <c r="R558" s="582">
        <v>1.6728317490653244</v>
      </c>
      <c r="S558" s="582">
        <v>2.9243317490653258</v>
      </c>
      <c r="T558" s="582">
        <v>3.3127317490653256</v>
      </c>
      <c r="U558" s="582">
        <v>3.1245317490653246</v>
      </c>
    </row>
    <row r="559" spans="10:21">
      <c r="J559" s="580">
        <v>41610</v>
      </c>
      <c r="K559" s="581">
        <v>1.0416666666666666E-2</v>
      </c>
      <c r="L559" s="582">
        <v>11.9436</v>
      </c>
      <c r="M559" s="582">
        <v>12.3714</v>
      </c>
      <c r="N559" s="582">
        <v>13.205399999999999</v>
      </c>
      <c r="O559" s="582">
        <v>12.947699999999999</v>
      </c>
      <c r="P559" s="582">
        <v>98.973699999999994</v>
      </c>
      <c r="Q559" s="582">
        <v>10.120005469167165</v>
      </c>
      <c r="R559" s="582">
        <v>1.6385945308328353</v>
      </c>
      <c r="S559" s="582">
        <v>2.9013945308328353</v>
      </c>
      <c r="T559" s="582">
        <v>3.2753945308328349</v>
      </c>
      <c r="U559" s="582">
        <v>3.0976945308328343</v>
      </c>
    </row>
    <row r="560" spans="10:21">
      <c r="J560" s="580">
        <v>41611</v>
      </c>
      <c r="K560" s="581">
        <v>1.0416666666666666E-2</v>
      </c>
      <c r="L560" s="582">
        <v>11.943300000000001</v>
      </c>
      <c r="M560" s="582">
        <v>12.3748</v>
      </c>
      <c r="N560" s="582">
        <v>13.200100000000001</v>
      </c>
      <c r="O560" s="582">
        <v>12.946300000000001</v>
      </c>
      <c r="P560" s="582">
        <v>99.048699999999997</v>
      </c>
      <c r="Q560" s="582">
        <v>10.127674177219783</v>
      </c>
      <c r="R560" s="582">
        <v>1.6306258227802179</v>
      </c>
      <c r="S560" s="582">
        <v>2.8971258227802181</v>
      </c>
      <c r="T560" s="582">
        <v>3.2624258227802185</v>
      </c>
      <c r="U560" s="582">
        <v>3.0886258227802177</v>
      </c>
    </row>
    <row r="561" spans="10:21">
      <c r="J561" s="580">
        <v>41612</v>
      </c>
      <c r="K561" s="581">
        <v>1.0416666666666666E-2</v>
      </c>
      <c r="L561" s="582">
        <v>11.8879</v>
      </c>
      <c r="M561" s="582">
        <v>12.331</v>
      </c>
      <c r="N561" s="582">
        <v>13.1494</v>
      </c>
      <c r="O561" s="582">
        <v>12.9017</v>
      </c>
      <c r="P561" s="582">
        <v>98.833500000000001</v>
      </c>
      <c r="Q561" s="582">
        <v>10.105670097580802</v>
      </c>
      <c r="R561" s="582">
        <v>1.597229902419198</v>
      </c>
      <c r="S561" s="582">
        <v>2.8753299024191978</v>
      </c>
      <c r="T561" s="582">
        <v>3.2337299024191983</v>
      </c>
      <c r="U561" s="582">
        <v>3.0660299024191975</v>
      </c>
    </row>
    <row r="562" spans="10:21">
      <c r="J562" s="580">
        <v>41613</v>
      </c>
      <c r="K562" s="581">
        <v>1.0416666666666666E-2</v>
      </c>
      <c r="L562" s="582">
        <v>11.8492</v>
      </c>
      <c r="M562" s="582">
        <v>12.2949</v>
      </c>
      <c r="N562" s="582">
        <v>13.1096</v>
      </c>
      <c r="O562" s="582">
        <v>12.867699999999999</v>
      </c>
      <c r="P562" s="582">
        <v>98.753399999999999</v>
      </c>
      <c r="Q562" s="582">
        <v>10.097479917380603</v>
      </c>
      <c r="R562" s="582">
        <v>1.5667200826193963</v>
      </c>
      <c r="S562" s="582">
        <v>2.8474200826193972</v>
      </c>
      <c r="T562" s="582">
        <v>3.2021200826193974</v>
      </c>
      <c r="U562" s="582">
        <v>3.0402200826193955</v>
      </c>
    </row>
    <row r="563" spans="10:21">
      <c r="J563" s="580">
        <v>41614</v>
      </c>
      <c r="K563" s="581">
        <v>1.0416666666666666E-2</v>
      </c>
      <c r="L563" s="582">
        <v>11.799799999999999</v>
      </c>
      <c r="M563" s="582">
        <v>12.2478</v>
      </c>
      <c r="N563" s="582">
        <v>13.055999999999999</v>
      </c>
      <c r="O563" s="582">
        <v>12.8207</v>
      </c>
      <c r="P563" s="582">
        <v>98.582599999999999</v>
      </c>
      <c r="Q563" s="582">
        <v>10.080015712908772</v>
      </c>
      <c r="R563" s="582">
        <v>1.5347842870912278</v>
      </c>
      <c r="S563" s="582">
        <v>2.8177842870912286</v>
      </c>
      <c r="T563" s="582">
        <v>3.165984287091228</v>
      </c>
      <c r="U563" s="582">
        <v>3.0106842870912285</v>
      </c>
    </row>
    <row r="564" spans="10:21">
      <c r="J564" s="580">
        <v>41615</v>
      </c>
      <c r="K564" s="581">
        <v>1.0416666666666666E-2</v>
      </c>
      <c r="L564" s="582">
        <v>11.765499999999999</v>
      </c>
      <c r="M564" s="582">
        <v>12.207000000000001</v>
      </c>
      <c r="N564" s="582">
        <v>13.012499999999999</v>
      </c>
      <c r="O564" s="582">
        <v>12.7798</v>
      </c>
      <c r="P564" s="582">
        <v>98.548500000000004</v>
      </c>
      <c r="Q564" s="582">
        <v>10.076529006980849</v>
      </c>
      <c r="R564" s="582">
        <v>1.5039709930191507</v>
      </c>
      <c r="S564" s="582">
        <v>2.7804709930191525</v>
      </c>
      <c r="T564" s="582">
        <v>3.125970993019151</v>
      </c>
      <c r="U564" s="582">
        <v>2.9732709930191508</v>
      </c>
    </row>
    <row r="565" spans="10:21">
      <c r="J565" s="580">
        <v>41616</v>
      </c>
      <c r="K565" s="581">
        <v>1.0416666666666666E-2</v>
      </c>
      <c r="L565" s="582">
        <v>11.743399999999999</v>
      </c>
      <c r="M565" s="582">
        <v>12.1776</v>
      </c>
      <c r="N565" s="582">
        <v>12.9886</v>
      </c>
      <c r="O565" s="582">
        <v>12.749599999999999</v>
      </c>
      <c r="P565" s="582">
        <v>98.605500000000006</v>
      </c>
      <c r="Q565" s="582">
        <v>10.082357225100839</v>
      </c>
      <c r="R565" s="582">
        <v>1.47604277489916</v>
      </c>
      <c r="S565" s="582">
        <v>2.745242774899161</v>
      </c>
      <c r="T565" s="582">
        <v>3.096242774899161</v>
      </c>
      <c r="U565" s="582">
        <v>2.9372427748991594</v>
      </c>
    </row>
    <row r="566" spans="10:21">
      <c r="J566" s="580">
        <v>41617</v>
      </c>
      <c r="K566" s="581">
        <v>1.0416666666666666E-2</v>
      </c>
      <c r="L566" s="582">
        <v>11.721500000000001</v>
      </c>
      <c r="M566" s="582">
        <v>12.148099999999999</v>
      </c>
      <c r="N566" s="582">
        <v>12.966699999999999</v>
      </c>
      <c r="O566" s="582">
        <v>12.719200000000001</v>
      </c>
      <c r="P566" s="582">
        <v>98.659199999999998</v>
      </c>
      <c r="Q566" s="582">
        <v>10.087848020066513</v>
      </c>
      <c r="R566" s="582">
        <v>1.4486519799334876</v>
      </c>
      <c r="S566" s="582">
        <v>2.7102519799334868</v>
      </c>
      <c r="T566" s="582">
        <v>3.0688519799334868</v>
      </c>
      <c r="U566" s="582">
        <v>2.9013519799334873</v>
      </c>
    </row>
    <row r="567" spans="10:21">
      <c r="J567" s="580">
        <v>41618</v>
      </c>
      <c r="K567" s="581">
        <v>1.0416666666666666E-2</v>
      </c>
      <c r="L567" s="582">
        <v>11.683299999999999</v>
      </c>
      <c r="M567" s="582">
        <v>12.1008</v>
      </c>
      <c r="N567" s="582">
        <v>12.917</v>
      </c>
      <c r="O567" s="582">
        <v>12.672700000000001</v>
      </c>
      <c r="P567" s="582">
        <v>98.547700000000006</v>
      </c>
      <c r="Q567" s="582">
        <v>10.076447207428286</v>
      </c>
      <c r="R567" s="582">
        <v>1.421852792571713</v>
      </c>
      <c r="S567" s="582">
        <v>2.6741527925717143</v>
      </c>
      <c r="T567" s="582">
        <v>3.0305527925717142</v>
      </c>
      <c r="U567" s="582">
        <v>2.8662527925717143</v>
      </c>
    </row>
    <row r="568" spans="10:21">
      <c r="J568" s="580">
        <v>41619</v>
      </c>
      <c r="K568" s="581">
        <v>1.0416666666666666E-2</v>
      </c>
      <c r="L568" s="582">
        <v>11.6653</v>
      </c>
      <c r="M568" s="582">
        <v>12.0702</v>
      </c>
      <c r="N568" s="582">
        <v>12.8901</v>
      </c>
      <c r="O568" s="582">
        <v>12.6449</v>
      </c>
      <c r="P568" s="582">
        <v>98.6327</v>
      </c>
      <c r="Q568" s="582">
        <v>10.085138409887922</v>
      </c>
      <c r="R568" s="582">
        <v>1.3951615901120786</v>
      </c>
      <c r="S568" s="582">
        <v>2.6350615901120786</v>
      </c>
      <c r="T568" s="582">
        <v>2.9949615901120792</v>
      </c>
      <c r="U568" s="582">
        <v>2.8297615901120778</v>
      </c>
    </row>
    <row r="569" spans="10:21">
      <c r="J569" s="580">
        <v>41620</v>
      </c>
      <c r="K569" s="581">
        <v>1.0416666666666666E-2</v>
      </c>
      <c r="L569" s="582">
        <v>11.6219</v>
      </c>
      <c r="M569" s="582">
        <v>12.0078</v>
      </c>
      <c r="N569" s="582">
        <v>12.829499999999999</v>
      </c>
      <c r="O569" s="582">
        <v>12.5884</v>
      </c>
      <c r="P569" s="582">
        <v>98.452500000000001</v>
      </c>
      <c r="Q569" s="582">
        <v>10.066713060673495</v>
      </c>
      <c r="R569" s="582">
        <v>1.3701869393265054</v>
      </c>
      <c r="S569" s="582">
        <v>2.5910869393265052</v>
      </c>
      <c r="T569" s="582">
        <v>2.9527869393265052</v>
      </c>
      <c r="U569" s="582">
        <v>2.7916869393265049</v>
      </c>
    </row>
    <row r="570" spans="10:21">
      <c r="J570" s="580">
        <v>41621</v>
      </c>
      <c r="K570" s="581">
        <v>1.0416666666666666E-2</v>
      </c>
      <c r="L570" s="582">
        <v>11.6076</v>
      </c>
      <c r="M570" s="582">
        <v>11.995100000000001</v>
      </c>
      <c r="N570" s="582">
        <v>12.8131</v>
      </c>
      <c r="O570" s="582">
        <v>12.5749</v>
      </c>
      <c r="P570" s="582">
        <v>98.342600000000004</v>
      </c>
      <c r="Q570" s="582">
        <v>10.055475847140389</v>
      </c>
      <c r="R570" s="582">
        <v>1.3671241528596103</v>
      </c>
      <c r="S570" s="582">
        <v>2.5896241528596118</v>
      </c>
      <c r="T570" s="582">
        <v>2.9476241528596114</v>
      </c>
      <c r="U570" s="582">
        <v>2.7894241528596098</v>
      </c>
    </row>
    <row r="571" spans="10:21">
      <c r="J571" s="580">
        <v>41622</v>
      </c>
      <c r="K571" s="581">
        <v>1.0416666666666666E-2</v>
      </c>
      <c r="L571" s="582">
        <v>11.6616</v>
      </c>
      <c r="M571" s="582">
        <v>12.074999999999999</v>
      </c>
      <c r="N571" s="582">
        <v>12.872</v>
      </c>
      <c r="O571" s="582">
        <v>12.645099999999999</v>
      </c>
      <c r="P571" s="582">
        <v>98.806600000000003</v>
      </c>
      <c r="Q571" s="582">
        <v>10.102919587625928</v>
      </c>
      <c r="R571" s="582">
        <v>1.3736804123740716</v>
      </c>
      <c r="S571" s="582">
        <v>2.6220804123740713</v>
      </c>
      <c r="T571" s="582">
        <v>2.9590804123740719</v>
      </c>
      <c r="U571" s="582">
        <v>2.8121804123740706</v>
      </c>
    </row>
    <row r="572" spans="10:21">
      <c r="J572" s="580">
        <v>41623</v>
      </c>
      <c r="K572" s="581">
        <v>1.0416666666666666E-2</v>
      </c>
      <c r="L572" s="582">
        <v>11.6396</v>
      </c>
      <c r="M572" s="582">
        <v>12.0562</v>
      </c>
      <c r="N572" s="582">
        <v>12.8584</v>
      </c>
      <c r="O572" s="582">
        <v>12.6286</v>
      </c>
      <c r="P572" s="582">
        <v>98.8643</v>
      </c>
      <c r="Q572" s="582">
        <v>10.10881938035441</v>
      </c>
      <c r="R572" s="582">
        <v>1.3457806196455899</v>
      </c>
      <c r="S572" s="582">
        <v>2.5973806196455911</v>
      </c>
      <c r="T572" s="582">
        <v>2.9395806196455903</v>
      </c>
      <c r="U572" s="582">
        <v>2.7897806196455903</v>
      </c>
    </row>
    <row r="573" spans="10:21">
      <c r="J573" s="580">
        <v>41624</v>
      </c>
      <c r="K573" s="581">
        <v>1.0416666666666666E-2</v>
      </c>
      <c r="L573" s="582">
        <v>11.6188</v>
      </c>
      <c r="M573" s="582">
        <v>12.0421</v>
      </c>
      <c r="N573" s="582">
        <v>12.835000000000001</v>
      </c>
      <c r="O573" s="582">
        <v>12.6111</v>
      </c>
      <c r="P573" s="582">
        <v>98.944699999999997</v>
      </c>
      <c r="Q573" s="582">
        <v>10.117040235386819</v>
      </c>
      <c r="R573" s="582">
        <v>1.3167597646131814</v>
      </c>
      <c r="S573" s="582">
        <v>2.5750597646131812</v>
      </c>
      <c r="T573" s="582">
        <v>2.9079597646131825</v>
      </c>
      <c r="U573" s="582">
        <v>2.7640597646131813</v>
      </c>
    </row>
    <row r="574" spans="10:21">
      <c r="J574" s="580">
        <v>41625</v>
      </c>
      <c r="K574" s="581">
        <v>1.0416666666666666E-2</v>
      </c>
      <c r="L574" s="582">
        <v>11.589499999999999</v>
      </c>
      <c r="M574" s="582">
        <v>12.020200000000001</v>
      </c>
      <c r="N574" s="582">
        <v>12.808199999999999</v>
      </c>
      <c r="O574" s="582">
        <v>12.581300000000001</v>
      </c>
      <c r="P574" s="582">
        <v>98.944900000000004</v>
      </c>
      <c r="Q574" s="582">
        <v>10.117060685274959</v>
      </c>
      <c r="R574" s="582">
        <v>1.2874393147250403</v>
      </c>
      <c r="S574" s="582">
        <v>2.5531393147250423</v>
      </c>
      <c r="T574" s="582">
        <v>2.8811393147250408</v>
      </c>
      <c r="U574" s="582">
        <v>2.7342393147250412</v>
      </c>
    </row>
    <row r="575" spans="10:21">
      <c r="J575" s="580">
        <v>41626</v>
      </c>
      <c r="K575" s="581">
        <v>1.0416666666666666E-2</v>
      </c>
      <c r="L575" s="582">
        <v>11.5497</v>
      </c>
      <c r="M575" s="582">
        <v>11.982100000000001</v>
      </c>
      <c r="N575" s="582">
        <v>12.7593</v>
      </c>
      <c r="O575" s="582">
        <v>12.5313</v>
      </c>
      <c r="P575" s="582">
        <v>98.826400000000007</v>
      </c>
      <c r="Q575" s="582">
        <v>10.104944126551821</v>
      </c>
      <c r="R575" s="582">
        <v>1.2597558734481784</v>
      </c>
      <c r="S575" s="582">
        <v>2.52715587344818</v>
      </c>
      <c r="T575" s="582">
        <v>2.8443558734481789</v>
      </c>
      <c r="U575" s="582">
        <v>2.6963558734481787</v>
      </c>
    </row>
    <row r="576" spans="10:21">
      <c r="J576" s="580">
        <v>41627</v>
      </c>
      <c r="K576" s="581">
        <v>1.0416666666666666E-2</v>
      </c>
      <c r="L576" s="582">
        <v>11.52</v>
      </c>
      <c r="M576" s="582">
        <v>11.948</v>
      </c>
      <c r="N576" s="582">
        <v>12.7197</v>
      </c>
      <c r="O576" s="582">
        <v>12.4938</v>
      </c>
      <c r="P576" s="582">
        <v>98.8185</v>
      </c>
      <c r="Q576" s="582">
        <v>10.104136355970278</v>
      </c>
      <c r="R576" s="582">
        <v>1.2308636440297218</v>
      </c>
      <c r="S576" s="582">
        <v>2.493863644029723</v>
      </c>
      <c r="T576" s="582">
        <v>2.8055636440297222</v>
      </c>
      <c r="U576" s="582">
        <v>2.6596636440297226</v>
      </c>
    </row>
    <row r="577" spans="10:21">
      <c r="J577" s="580">
        <v>41628</v>
      </c>
      <c r="K577" s="581">
        <v>1.0416666666666666E-2</v>
      </c>
      <c r="L577" s="582">
        <v>11.500299999999999</v>
      </c>
      <c r="M577" s="582">
        <v>11.9162</v>
      </c>
      <c r="N577" s="582">
        <v>12.685499999999999</v>
      </c>
      <c r="O577" s="582">
        <v>12.4437</v>
      </c>
      <c r="P577" s="582">
        <v>98.871099999999998</v>
      </c>
      <c r="Q577" s="582">
        <v>10.10951467655118</v>
      </c>
      <c r="R577" s="582">
        <v>1.2057853234488189</v>
      </c>
      <c r="S577" s="582">
        <v>2.45668532344882</v>
      </c>
      <c r="T577" s="582">
        <v>2.7659853234488194</v>
      </c>
      <c r="U577" s="582">
        <v>2.6041853234488195</v>
      </c>
    </row>
    <row r="578" spans="10:21">
      <c r="J578" s="580">
        <v>41629</v>
      </c>
      <c r="K578" s="581">
        <v>1.0416666666666666E-2</v>
      </c>
      <c r="L578" s="582">
        <v>11.491099999999999</v>
      </c>
      <c r="M578" s="582">
        <v>11.901300000000001</v>
      </c>
      <c r="N578" s="582">
        <v>12.6568</v>
      </c>
      <c r="O578" s="582">
        <v>12.373699999999999</v>
      </c>
      <c r="P578" s="582">
        <v>99.02</v>
      </c>
      <c r="Q578" s="582">
        <v>10.124739618271647</v>
      </c>
      <c r="R578" s="582">
        <v>1.1813603817283522</v>
      </c>
      <c r="S578" s="582">
        <v>2.4265603817283541</v>
      </c>
      <c r="T578" s="582">
        <v>2.7220603817283537</v>
      </c>
      <c r="U578" s="582">
        <v>2.5189603817283523</v>
      </c>
    </row>
    <row r="579" spans="10:21">
      <c r="J579" s="580">
        <v>41630</v>
      </c>
      <c r="K579" s="581">
        <v>1.0416666666666666E-2</v>
      </c>
      <c r="L579" s="582">
        <v>11.473599999999999</v>
      </c>
      <c r="M579" s="582">
        <v>11.8774</v>
      </c>
      <c r="N579" s="582">
        <v>12.621600000000001</v>
      </c>
      <c r="O579" s="582">
        <v>12.297499999999999</v>
      </c>
      <c r="P579" s="582">
        <v>99.114900000000006</v>
      </c>
      <c r="Q579" s="582">
        <v>10.13444309019423</v>
      </c>
      <c r="R579" s="582">
        <v>1.1541569098057693</v>
      </c>
      <c r="S579" s="582">
        <v>2.3929569098057701</v>
      </c>
      <c r="T579" s="582">
        <v>2.6771569098057713</v>
      </c>
      <c r="U579" s="582">
        <v>2.4330569098057695</v>
      </c>
    </row>
    <row r="580" spans="10:21">
      <c r="J580" s="580">
        <v>41631</v>
      </c>
      <c r="K580" s="581">
        <v>1.0416666666666666E-2</v>
      </c>
      <c r="L580" s="582">
        <v>11.452199999999999</v>
      </c>
      <c r="M580" s="582">
        <v>11.8386</v>
      </c>
      <c r="N580" s="582">
        <v>12.5922</v>
      </c>
      <c r="O580" s="582">
        <v>12.2339</v>
      </c>
      <c r="P580" s="582">
        <v>99.148799999999994</v>
      </c>
      <c r="Q580" s="582">
        <v>10.137909346234013</v>
      </c>
      <c r="R580" s="582">
        <v>1.1292906537659868</v>
      </c>
      <c r="S580" s="582">
        <v>2.3506906537659873</v>
      </c>
      <c r="T580" s="582">
        <v>2.6442906537659878</v>
      </c>
      <c r="U580" s="582">
        <v>2.3659906537659876</v>
      </c>
    </row>
    <row r="581" spans="10:21">
      <c r="J581" s="580">
        <v>41632</v>
      </c>
      <c r="K581" s="581">
        <v>1.0416666666666666E-2</v>
      </c>
      <c r="L581" s="582">
        <v>11.428900000000001</v>
      </c>
      <c r="M581" s="582">
        <v>11.802899999999999</v>
      </c>
      <c r="N581" s="582">
        <v>12.5641</v>
      </c>
      <c r="O581" s="582">
        <v>12.184100000000001</v>
      </c>
      <c r="P581" s="582">
        <v>99.191999999999993</v>
      </c>
      <c r="Q581" s="582">
        <v>10.142326522072322</v>
      </c>
      <c r="R581" s="582">
        <v>1.1015734779276785</v>
      </c>
      <c r="S581" s="582">
        <v>2.3105734779276776</v>
      </c>
      <c r="T581" s="582">
        <v>2.6117734779276782</v>
      </c>
      <c r="U581" s="582">
        <v>2.3117734779276788</v>
      </c>
    </row>
    <row r="582" spans="10:21">
      <c r="J582" s="580">
        <v>41633</v>
      </c>
      <c r="K582" s="581">
        <v>1.0416666666666666E-2</v>
      </c>
      <c r="L582" s="582">
        <v>11.4117</v>
      </c>
      <c r="M582" s="582">
        <v>11.775399999999999</v>
      </c>
      <c r="N582" s="582">
        <v>12.536099999999999</v>
      </c>
      <c r="O582" s="582">
        <v>12.145200000000001</v>
      </c>
      <c r="P582" s="582">
        <v>99.255200000000002</v>
      </c>
      <c r="Q582" s="582">
        <v>10.148788686724663</v>
      </c>
      <c r="R582" s="582">
        <v>1.0779113132753371</v>
      </c>
      <c r="S582" s="582">
        <v>2.2766113132753372</v>
      </c>
      <c r="T582" s="582">
        <v>2.5773113132753371</v>
      </c>
      <c r="U582" s="582">
        <v>2.2664113132753383</v>
      </c>
    </row>
    <row r="583" spans="10:21">
      <c r="J583" s="580">
        <v>41634</v>
      </c>
      <c r="K583" s="581">
        <v>1.0416666666666666E-2</v>
      </c>
      <c r="L583" s="582">
        <v>11.3894</v>
      </c>
      <c r="M583" s="582">
        <v>11.744999999999999</v>
      </c>
      <c r="N583" s="582">
        <v>12.507899999999999</v>
      </c>
      <c r="O583" s="582">
        <v>12.118600000000001</v>
      </c>
      <c r="P583" s="582">
        <v>99.3001</v>
      </c>
      <c r="Q583" s="582">
        <v>10.153379686612164</v>
      </c>
      <c r="R583" s="582">
        <v>1.0510203133878364</v>
      </c>
      <c r="S583" s="582">
        <v>2.2416203133878358</v>
      </c>
      <c r="T583" s="582">
        <v>2.544520313387836</v>
      </c>
      <c r="U583" s="582">
        <v>2.235220313387837</v>
      </c>
    </row>
    <row r="584" spans="10:21">
      <c r="J584" s="580">
        <v>41635</v>
      </c>
      <c r="K584" s="581">
        <v>1.0416666666666666E-2</v>
      </c>
      <c r="L584" s="582">
        <v>11.343999999999999</v>
      </c>
      <c r="M584" s="582">
        <v>11.6942</v>
      </c>
      <c r="N584" s="582">
        <v>12.4559</v>
      </c>
      <c r="O584" s="582">
        <v>12.083399999999999</v>
      </c>
      <c r="P584" s="582">
        <v>99.148399999999995</v>
      </c>
      <c r="Q584" s="582">
        <v>10.137868446457732</v>
      </c>
      <c r="R584" s="582">
        <v>1.0211315535422671</v>
      </c>
      <c r="S584" s="582">
        <v>2.2063315535422685</v>
      </c>
      <c r="T584" s="582">
        <v>2.5080315535422679</v>
      </c>
      <c r="U584" s="582">
        <v>2.2155315535422671</v>
      </c>
    </row>
    <row r="585" spans="10:21">
      <c r="J585" s="580">
        <v>41636</v>
      </c>
      <c r="K585" s="581">
        <v>1.0416666666666666E-2</v>
      </c>
      <c r="L585" s="582">
        <v>11.3108</v>
      </c>
      <c r="M585" s="582">
        <v>11.653499999999999</v>
      </c>
      <c r="N585" s="582">
        <v>12.4132</v>
      </c>
      <c r="O585" s="582">
        <v>12.061299999999999</v>
      </c>
      <c r="P585" s="582">
        <v>99.114099999999993</v>
      </c>
      <c r="Q585" s="582">
        <v>10.134361290641667</v>
      </c>
      <c r="R585" s="582">
        <v>0.99143870935833311</v>
      </c>
      <c r="S585" s="582">
        <v>2.1691387093583323</v>
      </c>
      <c r="T585" s="582">
        <v>2.4688387093583328</v>
      </c>
      <c r="U585" s="582">
        <v>2.1969387093583319</v>
      </c>
    </row>
    <row r="586" spans="10:21">
      <c r="J586" s="580">
        <v>41637</v>
      </c>
      <c r="K586" s="581">
        <v>1.0416666666666666E-2</v>
      </c>
      <c r="L586" s="582">
        <v>11.2811</v>
      </c>
      <c r="M586" s="582">
        <v>11.6075</v>
      </c>
      <c r="N586" s="582">
        <v>12.3705</v>
      </c>
      <c r="O586" s="582">
        <v>12.0387</v>
      </c>
      <c r="P586" s="582">
        <v>99.065700000000007</v>
      </c>
      <c r="Q586" s="582">
        <v>10.129412417711711</v>
      </c>
      <c r="R586" s="582">
        <v>0.96668758228828955</v>
      </c>
      <c r="S586" s="582">
        <v>2.1280875822882894</v>
      </c>
      <c r="T586" s="582">
        <v>2.4310875822882894</v>
      </c>
      <c r="U586" s="582">
        <v>2.1792875822882896</v>
      </c>
    </row>
    <row r="587" spans="10:21">
      <c r="J587" s="580">
        <v>41638</v>
      </c>
      <c r="K587" s="581">
        <v>1.0416666666666666E-2</v>
      </c>
      <c r="L587" s="582">
        <v>11.2628</v>
      </c>
      <c r="M587" s="582">
        <v>11.5701</v>
      </c>
      <c r="N587" s="582">
        <v>12.3344</v>
      </c>
      <c r="O587" s="582">
        <v>12.0059</v>
      </c>
      <c r="P587" s="582">
        <v>99.079300000000003</v>
      </c>
      <c r="Q587" s="582">
        <v>10.130803010105254</v>
      </c>
      <c r="R587" s="582">
        <v>0.94699698989474668</v>
      </c>
      <c r="S587" s="582">
        <v>2.0892969898947467</v>
      </c>
      <c r="T587" s="582">
        <v>2.3935969898947471</v>
      </c>
      <c r="U587" s="582">
        <v>2.1450969898947467</v>
      </c>
    </row>
    <row r="588" spans="10:21">
      <c r="J588" s="580">
        <v>41639</v>
      </c>
      <c r="K588" s="581">
        <v>1.0416666666666666E-2</v>
      </c>
      <c r="L588" s="582">
        <v>11.2477</v>
      </c>
      <c r="M588" s="582">
        <v>11.533799999999999</v>
      </c>
      <c r="N588" s="582">
        <v>12.295400000000001</v>
      </c>
      <c r="O588" s="582">
        <v>11.9717</v>
      </c>
      <c r="P588" s="582">
        <v>99.126300000000001</v>
      </c>
      <c r="Q588" s="582">
        <v>10.135608733818227</v>
      </c>
      <c r="R588" s="582">
        <v>0.92709126618177307</v>
      </c>
      <c r="S588" s="582">
        <v>2.0481912661817727</v>
      </c>
      <c r="T588" s="582">
        <v>2.3497912661817741</v>
      </c>
      <c r="U588" s="582">
        <v>2.1060912661817732</v>
      </c>
    </row>
    <row r="589" spans="10:21">
      <c r="J589" s="580">
        <v>41640</v>
      </c>
      <c r="K589" s="581">
        <v>1.0416666666666666E-2</v>
      </c>
      <c r="L589" s="582">
        <v>11.222200000000001</v>
      </c>
      <c r="M589" s="582">
        <v>11.484500000000001</v>
      </c>
      <c r="N589" s="582">
        <v>12.2424</v>
      </c>
      <c r="O589" s="582">
        <v>11.929</v>
      </c>
      <c r="P589" s="582">
        <v>99.074100000000001</v>
      </c>
      <c r="Q589" s="582">
        <v>10.130271313013605</v>
      </c>
      <c r="R589" s="582">
        <v>0.90692868698639606</v>
      </c>
      <c r="S589" s="582">
        <v>2.0042286869863961</v>
      </c>
      <c r="T589" s="582">
        <v>2.3021286869863955</v>
      </c>
      <c r="U589" s="582">
        <v>2.0687286869863954</v>
      </c>
    </row>
    <row r="590" spans="10:21">
      <c r="J590" s="580">
        <v>41641</v>
      </c>
      <c r="K590" s="581">
        <v>1.0416666666666666E-2</v>
      </c>
      <c r="L590" s="582">
        <v>11.199400000000001</v>
      </c>
      <c r="M590" s="582">
        <v>11.4597</v>
      </c>
      <c r="N590" s="582">
        <v>12.207700000000001</v>
      </c>
      <c r="O590" s="582">
        <v>11.893599999999999</v>
      </c>
      <c r="P590" s="582">
        <v>99.057100000000005</v>
      </c>
      <c r="Q590" s="582">
        <v>10.128533072521678</v>
      </c>
      <c r="R590" s="582">
        <v>0.8858669274783223</v>
      </c>
      <c r="S590" s="582">
        <v>1.9811669274783215</v>
      </c>
      <c r="T590" s="582">
        <v>2.2691669274783228</v>
      </c>
      <c r="U590" s="582">
        <v>2.0350669274783209</v>
      </c>
    </row>
    <row r="591" spans="10:21">
      <c r="J591" s="580">
        <v>41642</v>
      </c>
      <c r="K591" s="581">
        <v>1.0416666666666666E-2</v>
      </c>
      <c r="L591" s="582">
        <v>11.171799999999999</v>
      </c>
      <c r="M591" s="582">
        <v>11.4382</v>
      </c>
      <c r="N591" s="582">
        <v>12.1799</v>
      </c>
      <c r="O591" s="582">
        <v>11.8672</v>
      </c>
      <c r="P591" s="582">
        <v>99.072299999999998</v>
      </c>
      <c r="Q591" s="582">
        <v>10.130087264020341</v>
      </c>
      <c r="R591" s="582">
        <v>0.85671273597965814</v>
      </c>
      <c r="S591" s="582">
        <v>1.9581127359796591</v>
      </c>
      <c r="T591" s="582">
        <v>2.2398127359796591</v>
      </c>
      <c r="U591" s="582">
        <v>2.0071127359796592</v>
      </c>
    </row>
    <row r="592" spans="10:21">
      <c r="J592" s="580">
        <v>41643</v>
      </c>
      <c r="K592" s="581">
        <v>1.0416666666666666E-2</v>
      </c>
      <c r="L592" s="582">
        <v>11.1374</v>
      </c>
      <c r="M592" s="582">
        <v>11.410399999999999</v>
      </c>
      <c r="N592" s="582">
        <v>12.145</v>
      </c>
      <c r="O592" s="582">
        <v>11.837</v>
      </c>
      <c r="P592" s="582">
        <v>99.017799999999994</v>
      </c>
      <c r="Q592" s="582">
        <v>10.124514669502105</v>
      </c>
      <c r="R592" s="582">
        <v>0.8278853304978947</v>
      </c>
      <c r="S592" s="582">
        <v>1.9358853304978945</v>
      </c>
      <c r="T592" s="582">
        <v>2.2104853304978951</v>
      </c>
      <c r="U592" s="582">
        <v>1.9824853304978949</v>
      </c>
    </row>
    <row r="593" spans="10:21">
      <c r="J593" s="580">
        <v>41644</v>
      </c>
      <c r="K593" s="581">
        <v>1.0416666666666666E-2</v>
      </c>
      <c r="L593" s="582">
        <v>11.091799999999999</v>
      </c>
      <c r="M593" s="582">
        <v>11.3735</v>
      </c>
      <c r="N593" s="582">
        <v>12.105700000000001</v>
      </c>
      <c r="O593" s="582">
        <v>11.805999999999999</v>
      </c>
      <c r="P593" s="582">
        <v>98.8947</v>
      </c>
      <c r="Q593" s="582">
        <v>10.111927763351739</v>
      </c>
      <c r="R593" s="582">
        <v>0.79487223664826046</v>
      </c>
      <c r="S593" s="582">
        <v>1.9115722366482613</v>
      </c>
      <c r="T593" s="582">
        <v>2.1837722366482621</v>
      </c>
      <c r="U593" s="582">
        <v>1.9640722366482604</v>
      </c>
    </row>
    <row r="594" spans="10:21">
      <c r="J594" s="580">
        <v>41645</v>
      </c>
      <c r="K594" s="581">
        <v>1.0416666666666666E-2</v>
      </c>
      <c r="L594" s="582">
        <v>11.0436</v>
      </c>
      <c r="M594" s="582">
        <v>11.331099999999999</v>
      </c>
      <c r="N594" s="582">
        <v>12.0565</v>
      </c>
      <c r="O594" s="582">
        <v>11.7676</v>
      </c>
      <c r="P594" s="582">
        <v>98.718400000000003</v>
      </c>
      <c r="Q594" s="582">
        <v>10.093901186956048</v>
      </c>
      <c r="R594" s="582">
        <v>0.76469881304395193</v>
      </c>
      <c r="S594" s="582">
        <v>1.8871988130439517</v>
      </c>
      <c r="T594" s="582">
        <v>2.1525988130439524</v>
      </c>
      <c r="U594" s="582">
        <v>1.9436988130439521</v>
      </c>
    </row>
    <row r="595" spans="10:21">
      <c r="J595" s="580">
        <v>41646</v>
      </c>
      <c r="K595" s="581">
        <v>1.0416666666666666E-2</v>
      </c>
      <c r="L595" s="582">
        <v>11.03</v>
      </c>
      <c r="M595" s="582">
        <v>11.3218</v>
      </c>
      <c r="N595" s="582">
        <v>12.0335</v>
      </c>
      <c r="O595" s="582">
        <v>11.755699999999999</v>
      </c>
      <c r="P595" s="582">
        <v>98.794200000000004</v>
      </c>
      <c r="Q595" s="582">
        <v>10.101651694561228</v>
      </c>
      <c r="R595" s="582">
        <v>0.74334830543877084</v>
      </c>
      <c r="S595" s="582">
        <v>1.8701483054387713</v>
      </c>
      <c r="T595" s="582">
        <v>2.121848305438772</v>
      </c>
      <c r="U595" s="582">
        <v>1.9240483054387707</v>
      </c>
    </row>
    <row r="596" spans="10:21">
      <c r="J596" s="580">
        <v>41647</v>
      </c>
      <c r="K596" s="581">
        <v>1.0416666666666666E-2</v>
      </c>
      <c r="L596" s="582">
        <v>11.028600000000001</v>
      </c>
      <c r="M596" s="582">
        <v>11.12</v>
      </c>
      <c r="N596" s="582">
        <v>12.025399999999999</v>
      </c>
      <c r="O596" s="582">
        <v>11.755800000000001</v>
      </c>
      <c r="P596" s="582">
        <v>98.951999999999998</v>
      </c>
      <c r="Q596" s="582">
        <v>10.11778665630394</v>
      </c>
      <c r="R596" s="582">
        <v>0.72581334369606099</v>
      </c>
      <c r="S596" s="582">
        <v>1.6522133436960595</v>
      </c>
      <c r="T596" s="582">
        <v>2.09761334369606</v>
      </c>
      <c r="U596" s="582">
        <v>1.9080133436960609</v>
      </c>
    </row>
    <row r="597" spans="10:21">
      <c r="J597" s="580">
        <v>41648</v>
      </c>
      <c r="K597" s="581">
        <v>1.0416666666666666E-2</v>
      </c>
      <c r="L597" s="582">
        <v>11.0311</v>
      </c>
      <c r="M597" s="582">
        <v>11.282299999999999</v>
      </c>
      <c r="N597" s="582">
        <v>12.016299999999999</v>
      </c>
      <c r="O597" s="582">
        <v>11.7583</v>
      </c>
      <c r="P597" s="582">
        <v>99.021699999999996</v>
      </c>
      <c r="Q597" s="582">
        <v>10.124913442320841</v>
      </c>
      <c r="R597" s="582">
        <v>0.72118655767915962</v>
      </c>
      <c r="S597" s="582">
        <v>1.8073865576791588</v>
      </c>
      <c r="T597" s="582">
        <v>2.081386557679159</v>
      </c>
      <c r="U597" s="582">
        <v>1.9033865576791595</v>
      </c>
    </row>
    <row r="598" spans="10:21">
      <c r="J598" s="580">
        <v>41649</v>
      </c>
      <c r="K598" s="581">
        <v>1.0416666666666666E-2</v>
      </c>
      <c r="L598" s="582">
        <v>11.014200000000001</v>
      </c>
      <c r="M598" s="582">
        <v>11.275</v>
      </c>
      <c r="N598" s="582">
        <v>11.991099999999999</v>
      </c>
      <c r="O598" s="582">
        <v>11.742000000000001</v>
      </c>
      <c r="P598" s="582">
        <v>99.0244</v>
      </c>
      <c r="Q598" s="582">
        <v>10.125189515810735</v>
      </c>
      <c r="R598" s="582">
        <v>0.70401048418926537</v>
      </c>
      <c r="S598" s="582">
        <v>1.7998104841892653</v>
      </c>
      <c r="T598" s="582">
        <v>2.0559104841892646</v>
      </c>
      <c r="U598" s="582">
        <v>1.8868104841892657</v>
      </c>
    </row>
    <row r="599" spans="10:21">
      <c r="J599" s="580">
        <v>41650</v>
      </c>
      <c r="K599" s="581">
        <v>1.0416666666666666E-2</v>
      </c>
      <c r="L599" s="582">
        <v>10.9984</v>
      </c>
      <c r="M599" s="582">
        <v>11.2545</v>
      </c>
      <c r="N599" s="582">
        <v>11.969200000000001</v>
      </c>
      <c r="O599" s="582">
        <v>11.731299999999999</v>
      </c>
      <c r="P599" s="582">
        <v>99.087699999999998</v>
      </c>
      <c r="Q599" s="582">
        <v>10.131661905407146</v>
      </c>
      <c r="R599" s="582">
        <v>0.68173809459285417</v>
      </c>
      <c r="S599" s="582">
        <v>1.7728380945928544</v>
      </c>
      <c r="T599" s="582">
        <v>2.0275380945928552</v>
      </c>
      <c r="U599" s="582">
        <v>1.8696380945928532</v>
      </c>
    </row>
    <row r="600" spans="10:21">
      <c r="J600" s="580">
        <v>41651</v>
      </c>
      <c r="K600" s="581">
        <v>1.0416666666666666E-2</v>
      </c>
      <c r="L600" s="582">
        <v>10.9779</v>
      </c>
      <c r="M600" s="582">
        <v>10.6494</v>
      </c>
      <c r="N600" s="582">
        <v>11.9444</v>
      </c>
      <c r="O600" s="582">
        <v>11.719200000000001</v>
      </c>
      <c r="P600" s="582">
        <v>99.119799999999998</v>
      </c>
      <c r="Q600" s="582">
        <v>10.134944112453667</v>
      </c>
      <c r="R600" s="582">
        <v>0.65795588754633316</v>
      </c>
      <c r="S600" s="582">
        <v>1.1644558875463333</v>
      </c>
      <c r="T600" s="582">
        <v>1.9994558875463333</v>
      </c>
      <c r="U600" s="582">
        <v>1.854255887546334</v>
      </c>
    </row>
    <row r="601" spans="10:21">
      <c r="J601" s="580">
        <v>41652</v>
      </c>
      <c r="K601" s="581">
        <v>1.0416666666666666E-2</v>
      </c>
      <c r="L601" s="582">
        <v>10.9314</v>
      </c>
      <c r="M601" s="582">
        <v>10.601599999999999</v>
      </c>
      <c r="N601" s="582">
        <v>11.914899999999999</v>
      </c>
      <c r="O601" s="582">
        <v>11.7004</v>
      </c>
      <c r="P601" s="582">
        <v>99.101299999999995</v>
      </c>
      <c r="Q601" s="582">
        <v>10.133052497800687</v>
      </c>
      <c r="R601" s="582">
        <v>0.61334750219931289</v>
      </c>
      <c r="S601" s="582">
        <v>1.1185475021993125</v>
      </c>
      <c r="T601" s="582">
        <v>1.9718475021993125</v>
      </c>
      <c r="U601" s="582">
        <v>1.8373475021993131</v>
      </c>
    </row>
    <row r="602" spans="10:21">
      <c r="J602" s="580">
        <v>41653</v>
      </c>
      <c r="K602" s="581">
        <v>1.0416666666666666E-2</v>
      </c>
      <c r="L602" s="582">
        <v>10.8544</v>
      </c>
      <c r="M602" s="582">
        <v>10.5747</v>
      </c>
      <c r="N602" s="582">
        <v>11.8896</v>
      </c>
      <c r="O602" s="582">
        <v>11.683</v>
      </c>
      <c r="P602" s="582">
        <v>99.110299999999995</v>
      </c>
      <c r="Q602" s="582">
        <v>10.133972742767002</v>
      </c>
      <c r="R602" s="582">
        <v>0.53542725723299833</v>
      </c>
      <c r="S602" s="582">
        <v>1.0907272572329985</v>
      </c>
      <c r="T602" s="582">
        <v>1.9456272572329982</v>
      </c>
      <c r="U602" s="582">
        <v>1.8190272572329982</v>
      </c>
    </row>
    <row r="603" spans="10:21">
      <c r="J603" s="580">
        <v>41654</v>
      </c>
      <c r="K603" s="581">
        <v>1.0416666666666666E-2</v>
      </c>
      <c r="L603" s="582">
        <v>10.7736</v>
      </c>
      <c r="M603" s="582">
        <v>10.5776</v>
      </c>
      <c r="N603" s="582">
        <v>11.863300000000001</v>
      </c>
      <c r="O603" s="582">
        <v>11.6646</v>
      </c>
      <c r="P603" s="582">
        <v>99.111400000000003</v>
      </c>
      <c r="Q603" s="582">
        <v>10.134085217151775</v>
      </c>
      <c r="R603" s="582">
        <v>0.4545147828482255</v>
      </c>
      <c r="S603" s="582">
        <v>1.0935147828482259</v>
      </c>
      <c r="T603" s="582">
        <v>1.9192147828482262</v>
      </c>
      <c r="U603" s="582">
        <v>1.8005147828482255</v>
      </c>
    </row>
    <row r="604" spans="10:21">
      <c r="J604" s="580">
        <v>41655</v>
      </c>
      <c r="K604" s="581">
        <v>1.0416666666666666E-2</v>
      </c>
      <c r="L604" s="582">
        <v>10.7315</v>
      </c>
      <c r="M604" s="582">
        <v>10.5877</v>
      </c>
      <c r="N604" s="582">
        <v>11.8413</v>
      </c>
      <c r="O604" s="582">
        <v>11.6523</v>
      </c>
      <c r="P604" s="582">
        <v>99.171199999999999</v>
      </c>
      <c r="Q604" s="582">
        <v>10.140199733705728</v>
      </c>
      <c r="R604" s="582">
        <v>0.40630026629427235</v>
      </c>
      <c r="S604" s="582">
        <v>1.0975002662942719</v>
      </c>
      <c r="T604" s="582">
        <v>1.8911002662942724</v>
      </c>
      <c r="U604" s="582">
        <v>1.7821002662942722</v>
      </c>
    </row>
    <row r="605" spans="10:21">
      <c r="J605" s="580">
        <v>41656</v>
      </c>
      <c r="K605" s="581">
        <v>1.0416666666666666E-2</v>
      </c>
      <c r="L605" s="582">
        <v>10.6349</v>
      </c>
      <c r="M605" s="582">
        <v>10.588100000000001</v>
      </c>
      <c r="N605" s="582">
        <v>11.816599999999999</v>
      </c>
      <c r="O605" s="582">
        <v>11.634600000000001</v>
      </c>
      <c r="P605" s="582">
        <v>99.180599999999998</v>
      </c>
      <c r="Q605" s="582">
        <v>10.141160878448323</v>
      </c>
      <c r="R605" s="582">
        <v>0.30873912155167688</v>
      </c>
      <c r="S605" s="582">
        <v>1.0969391215516777</v>
      </c>
      <c r="T605" s="582">
        <v>1.8654391215516763</v>
      </c>
      <c r="U605" s="582">
        <v>1.7634391215516776</v>
      </c>
    </row>
    <row r="606" spans="10:21">
      <c r="J606" s="580">
        <v>41657</v>
      </c>
      <c r="K606" s="581">
        <v>1.0416666666666666E-2</v>
      </c>
      <c r="L606" s="582">
        <v>10.5313</v>
      </c>
      <c r="M606" s="582">
        <v>10.5748</v>
      </c>
      <c r="N606" s="582">
        <v>11.785600000000001</v>
      </c>
      <c r="O606" s="582">
        <v>11.6076</v>
      </c>
      <c r="P606" s="582">
        <v>99.099299999999999</v>
      </c>
      <c r="Q606" s="582">
        <v>10.132847998919285</v>
      </c>
      <c r="R606" s="582">
        <v>0.21345200108071488</v>
      </c>
      <c r="S606" s="582">
        <v>1.0919520010807149</v>
      </c>
      <c r="T606" s="582">
        <v>1.8427520010807157</v>
      </c>
      <c r="U606" s="582">
        <v>1.7447520010807147</v>
      </c>
    </row>
    <row r="607" spans="10:21">
      <c r="J607" s="580">
        <v>41658</v>
      </c>
      <c r="K607" s="581">
        <v>1.0416666666666666E-2</v>
      </c>
      <c r="L607" s="582">
        <v>10.5497</v>
      </c>
      <c r="M607" s="582">
        <v>10.596399999999999</v>
      </c>
      <c r="N607" s="582">
        <v>11.782999999999999</v>
      </c>
      <c r="O607" s="582">
        <v>11.608000000000001</v>
      </c>
      <c r="P607" s="582">
        <v>99.303799999999995</v>
      </c>
      <c r="Q607" s="582">
        <v>10.153758009542759</v>
      </c>
      <c r="R607" s="582">
        <v>0.21094199045724032</v>
      </c>
      <c r="S607" s="582">
        <v>1.09264199045724</v>
      </c>
      <c r="T607" s="582">
        <v>1.8192419904572403</v>
      </c>
      <c r="U607" s="582">
        <v>1.7242419904572412</v>
      </c>
    </row>
    <row r="608" spans="10:21">
      <c r="J608" s="580">
        <v>41659</v>
      </c>
      <c r="K608" s="581">
        <v>1.0416666666666666E-2</v>
      </c>
      <c r="L608" s="582">
        <v>10.5501</v>
      </c>
      <c r="M608" s="582">
        <v>10.594799999999999</v>
      </c>
      <c r="N608" s="582">
        <v>11.765599999999999</v>
      </c>
      <c r="O608" s="582">
        <v>11.593</v>
      </c>
      <c r="P608" s="582">
        <v>99.352199999999996</v>
      </c>
      <c r="Q608" s="582">
        <v>10.158706882472718</v>
      </c>
      <c r="R608" s="582">
        <v>0.2063931175272829</v>
      </c>
      <c r="S608" s="582">
        <v>1.0860931175272819</v>
      </c>
      <c r="T608" s="582">
        <v>1.7968931175272818</v>
      </c>
      <c r="U608" s="582">
        <v>1.7042931175272824</v>
      </c>
    </row>
    <row r="609" spans="10:21">
      <c r="J609" s="580">
        <v>41660</v>
      </c>
      <c r="K609" s="581">
        <v>1.0416666666666666E-2</v>
      </c>
      <c r="L609" s="582">
        <v>10.1945</v>
      </c>
      <c r="M609" s="582">
        <v>10.190200000000001</v>
      </c>
      <c r="N609" s="582">
        <v>11.741899999999999</v>
      </c>
      <c r="O609" s="582">
        <v>11.570499999999999</v>
      </c>
      <c r="P609" s="582">
        <v>99.339799999999997</v>
      </c>
      <c r="Q609" s="582">
        <v>10.157438989408018</v>
      </c>
      <c r="R609" s="582">
        <v>0</v>
      </c>
      <c r="S609" s="582">
        <v>0.68276101059198324</v>
      </c>
      <c r="T609" s="582">
        <v>1.7744610105919818</v>
      </c>
      <c r="U609" s="582">
        <v>1.6830610105919814</v>
      </c>
    </row>
    <row r="610" spans="10:21">
      <c r="J610" s="580">
        <v>41661</v>
      </c>
      <c r="K610" s="581">
        <v>1.0416666666666666E-2</v>
      </c>
      <c r="L610" s="582">
        <v>10.184200000000001</v>
      </c>
      <c r="M610" s="582">
        <v>10.174899999999999</v>
      </c>
      <c r="N610" s="582">
        <v>11.702199999999999</v>
      </c>
      <c r="O610" s="582">
        <v>11.532500000000001</v>
      </c>
      <c r="P610" s="582">
        <v>99.173599999999993</v>
      </c>
      <c r="Q610" s="582">
        <v>10.140445132363412</v>
      </c>
      <c r="R610" s="582">
        <v>0</v>
      </c>
      <c r="S610" s="582">
        <v>0.68445486763658692</v>
      </c>
      <c r="T610" s="582">
        <v>1.7517548676365873</v>
      </c>
      <c r="U610" s="582">
        <v>1.6620548676365883</v>
      </c>
    </row>
    <row r="611" spans="10:21">
      <c r="J611" s="580">
        <v>41662</v>
      </c>
      <c r="K611" s="581">
        <v>1.0416666666666666E-2</v>
      </c>
      <c r="L611" s="582">
        <v>10.1883</v>
      </c>
      <c r="M611" s="582">
        <v>10.176</v>
      </c>
      <c r="N611" s="582">
        <v>11.6828</v>
      </c>
      <c r="O611" s="582">
        <v>11.5145</v>
      </c>
      <c r="P611" s="582">
        <v>99.210999999999999</v>
      </c>
      <c r="Q611" s="582">
        <v>10.144269261445652</v>
      </c>
      <c r="R611" s="582">
        <v>0</v>
      </c>
      <c r="S611" s="582">
        <v>0.68173073855434807</v>
      </c>
      <c r="T611" s="582">
        <v>1.7285307385543482</v>
      </c>
      <c r="U611" s="582">
        <v>1.6402307385543478</v>
      </c>
    </row>
    <row r="612" spans="10:21">
      <c r="J612" s="580">
        <v>41663</v>
      </c>
      <c r="K612" s="581">
        <v>1.0416666666666666E-2</v>
      </c>
      <c r="L612" s="582">
        <v>10.185700000000001</v>
      </c>
      <c r="M612" s="582">
        <v>10.173400000000001</v>
      </c>
      <c r="N612" s="582">
        <v>11.6585</v>
      </c>
      <c r="O612" s="582">
        <v>11.491300000000001</v>
      </c>
      <c r="P612" s="582">
        <v>99.200199999999995</v>
      </c>
      <c r="Q612" s="582">
        <v>10.143164967486074</v>
      </c>
      <c r="R612" s="582">
        <v>0</v>
      </c>
      <c r="S612" s="582">
        <v>0.68023503251392703</v>
      </c>
      <c r="T612" s="582">
        <v>1.7053350325139263</v>
      </c>
      <c r="U612" s="582">
        <v>1.6181350325139268</v>
      </c>
    </row>
    <row r="613" spans="10:21">
      <c r="J613" s="580">
        <v>41664</v>
      </c>
      <c r="K613" s="581">
        <v>1.0416666666666666E-2</v>
      </c>
      <c r="L613" s="582">
        <v>10.168799999999999</v>
      </c>
      <c r="M613" s="582">
        <v>10.155200000000001</v>
      </c>
      <c r="N613" s="582">
        <v>11.6211</v>
      </c>
      <c r="O613" s="582">
        <v>11.4521</v>
      </c>
      <c r="P613" s="582">
        <v>99.038899999999998</v>
      </c>
      <c r="Q613" s="582">
        <v>10.126672132700907</v>
      </c>
      <c r="R613" s="582">
        <v>0</v>
      </c>
      <c r="S613" s="582">
        <v>0.67852786729909353</v>
      </c>
      <c r="T613" s="582">
        <v>1.6844278672990931</v>
      </c>
      <c r="U613" s="582">
        <v>1.5954278672990925</v>
      </c>
    </row>
    <row r="614" spans="10:21">
      <c r="J614" s="580">
        <v>41665</v>
      </c>
      <c r="K614" s="581">
        <v>1.0416666666666666E-2</v>
      </c>
      <c r="L614" s="582">
        <v>10.172700000000001</v>
      </c>
      <c r="M614" s="582">
        <v>10.1593</v>
      </c>
      <c r="N614" s="582">
        <v>11.600199999999999</v>
      </c>
      <c r="O614" s="582">
        <v>11.429600000000001</v>
      </c>
      <c r="P614" s="582">
        <v>99.040999999999997</v>
      </c>
      <c r="Q614" s="582">
        <v>10.126886856526381</v>
      </c>
      <c r="R614" s="582">
        <v>0</v>
      </c>
      <c r="S614" s="582">
        <v>0.68241314347361892</v>
      </c>
      <c r="T614" s="582">
        <v>1.6633131434736181</v>
      </c>
      <c r="U614" s="582">
        <v>1.5727131434736195</v>
      </c>
    </row>
    <row r="615" spans="10:21">
      <c r="J615" s="580">
        <v>41666</v>
      </c>
      <c r="K615" s="581">
        <v>1.0416666666666666E-2</v>
      </c>
      <c r="L615" s="582">
        <v>10.173999999999999</v>
      </c>
      <c r="M615" s="582">
        <v>10.1602</v>
      </c>
      <c r="N615" s="582">
        <v>11.5792</v>
      </c>
      <c r="O615" s="582">
        <v>11.4071</v>
      </c>
      <c r="P615" s="582">
        <v>99.050200000000004</v>
      </c>
      <c r="Q615" s="582">
        <v>10.127827551380836</v>
      </c>
      <c r="R615" s="582">
        <v>0</v>
      </c>
      <c r="S615" s="582">
        <v>0.6823724486191638</v>
      </c>
      <c r="T615" s="582">
        <v>1.6413724486191643</v>
      </c>
      <c r="U615" s="582">
        <v>1.5492724486191638</v>
      </c>
    </row>
    <row r="616" spans="10:21">
      <c r="J616" s="580">
        <v>41667</v>
      </c>
      <c r="K616" s="581">
        <v>1.0416666666666666E-2</v>
      </c>
      <c r="L616" s="582">
        <v>10.169700000000001</v>
      </c>
      <c r="M616" s="582">
        <v>10.157500000000001</v>
      </c>
      <c r="N616" s="582">
        <v>11.557399999999999</v>
      </c>
      <c r="O616" s="582">
        <v>11.382999999999999</v>
      </c>
      <c r="P616" s="582">
        <v>99.038200000000003</v>
      </c>
      <c r="Q616" s="582">
        <v>10.126600558092418</v>
      </c>
      <c r="R616" s="582">
        <v>0</v>
      </c>
      <c r="S616" s="582">
        <v>0.68089944190758245</v>
      </c>
      <c r="T616" s="582">
        <v>1.6207994419075813</v>
      </c>
      <c r="U616" s="582">
        <v>1.5263994419075808</v>
      </c>
    </row>
    <row r="617" spans="10:21">
      <c r="J617" s="580">
        <v>41668</v>
      </c>
      <c r="K617" s="581">
        <v>1.0416666666666666E-2</v>
      </c>
      <c r="L617" s="582">
        <v>10.172000000000001</v>
      </c>
      <c r="M617" s="582">
        <v>10.1602</v>
      </c>
      <c r="N617" s="582">
        <v>11.5379</v>
      </c>
      <c r="O617" s="582">
        <v>11.361599999999999</v>
      </c>
      <c r="P617" s="582">
        <v>99.050200000000004</v>
      </c>
      <c r="Q617" s="582">
        <v>10.127827551380836</v>
      </c>
      <c r="R617" s="582">
        <v>0</v>
      </c>
      <c r="S617" s="582">
        <v>0.6823724486191638</v>
      </c>
      <c r="T617" s="582">
        <v>1.6000724486191646</v>
      </c>
      <c r="U617" s="582">
        <v>1.5037724486191633</v>
      </c>
    </row>
    <row r="618" spans="10:21">
      <c r="J618" s="580">
        <v>41669</v>
      </c>
      <c r="K618" s="581">
        <v>1.0416666666666666E-2</v>
      </c>
      <c r="L618" s="582">
        <v>10.180999999999999</v>
      </c>
      <c r="M618" s="582">
        <v>10.167899999999999</v>
      </c>
      <c r="N618" s="582">
        <v>11.5242</v>
      </c>
      <c r="O618" s="582">
        <v>11.344799999999999</v>
      </c>
      <c r="P618" s="582">
        <v>99.141999999999996</v>
      </c>
      <c r="Q618" s="582">
        <v>10.137214050037242</v>
      </c>
      <c r="R618" s="582">
        <v>0</v>
      </c>
      <c r="S618" s="582">
        <v>0.68068594996275755</v>
      </c>
      <c r="T618" s="582">
        <v>1.5769859499627585</v>
      </c>
      <c r="U618" s="582">
        <v>1.4775859499627573</v>
      </c>
    </row>
    <row r="619" spans="10:21">
      <c r="J619" s="580">
        <v>41670</v>
      </c>
      <c r="K619" s="581">
        <v>1.0416666666666666E-2</v>
      </c>
      <c r="L619" s="582">
        <v>10.179600000000001</v>
      </c>
      <c r="M619" s="582">
        <v>10.1661</v>
      </c>
      <c r="N619" s="582">
        <v>11.501300000000001</v>
      </c>
      <c r="O619" s="582">
        <v>11.318</v>
      </c>
      <c r="P619" s="582">
        <v>99.124600000000001</v>
      </c>
      <c r="Q619" s="582">
        <v>10.135434909769035</v>
      </c>
      <c r="R619" s="582">
        <v>0</v>
      </c>
      <c r="S619" s="582">
        <v>0.680665090230965</v>
      </c>
      <c r="T619" s="582">
        <v>1.5558650902309654</v>
      </c>
      <c r="U619" s="582">
        <v>1.4525650902309644</v>
      </c>
    </row>
    <row r="620" spans="10:21">
      <c r="J620" s="580">
        <v>41671</v>
      </c>
      <c r="K620" s="581">
        <v>1.0416666666666666E-2</v>
      </c>
      <c r="L620" s="582">
        <v>10.1624</v>
      </c>
      <c r="M620" s="582">
        <v>10.149100000000001</v>
      </c>
      <c r="N620" s="582">
        <v>11.4648</v>
      </c>
      <c r="O620" s="582">
        <v>11.2773</v>
      </c>
      <c r="P620" s="582">
        <v>98.973200000000006</v>
      </c>
      <c r="Q620" s="582">
        <v>10.119954344446814</v>
      </c>
      <c r="R620" s="582">
        <v>0</v>
      </c>
      <c r="S620" s="582">
        <v>0.67914565555318673</v>
      </c>
      <c r="T620" s="582">
        <v>1.5348456555531862</v>
      </c>
      <c r="U620" s="582">
        <v>1.4273456555531863</v>
      </c>
    </row>
    <row r="621" spans="10:21">
      <c r="J621" s="580">
        <v>41672</v>
      </c>
      <c r="K621" s="581">
        <v>1.0416666666666666E-2</v>
      </c>
      <c r="L621" s="582">
        <v>10.176</v>
      </c>
      <c r="M621" s="582">
        <v>10.1622</v>
      </c>
      <c r="N621" s="582">
        <v>11.4566</v>
      </c>
      <c r="O621" s="582">
        <v>11.264200000000001</v>
      </c>
      <c r="P621" s="582">
        <v>99.092399999999998</v>
      </c>
      <c r="Q621" s="582">
        <v>10.132142477778443</v>
      </c>
      <c r="R621" s="582">
        <v>0</v>
      </c>
      <c r="S621" s="582">
        <v>0.68005752222155791</v>
      </c>
      <c r="T621" s="582">
        <v>1.5144575222215573</v>
      </c>
      <c r="U621" s="582">
        <v>1.4020575222215581</v>
      </c>
    </row>
    <row r="622" spans="10:21">
      <c r="J622" s="580">
        <v>41673</v>
      </c>
      <c r="K622" s="581">
        <v>1.0416666666666666E-2</v>
      </c>
      <c r="L622" s="582">
        <v>10.158200000000001</v>
      </c>
      <c r="M622" s="582">
        <v>10.1447</v>
      </c>
      <c r="N622" s="582">
        <v>11.420199999999999</v>
      </c>
      <c r="O622" s="582">
        <v>11.223699999999999</v>
      </c>
      <c r="P622" s="582">
        <v>98.9208</v>
      </c>
      <c r="Q622" s="582">
        <v>10.11459647375405</v>
      </c>
      <c r="R622" s="582">
        <v>0</v>
      </c>
      <c r="S622" s="582">
        <v>0.6801035262459505</v>
      </c>
      <c r="T622" s="582">
        <v>1.4956035262459495</v>
      </c>
      <c r="U622" s="582">
        <v>1.3791035262459492</v>
      </c>
    </row>
    <row r="623" spans="10:21">
      <c r="J623" s="580">
        <v>41674</v>
      </c>
      <c r="K623" s="581">
        <v>1.0416666666666666E-2</v>
      </c>
      <c r="L623" s="582">
        <v>10.1477</v>
      </c>
      <c r="M623" s="582">
        <v>10.135199999999999</v>
      </c>
      <c r="N623" s="582">
        <v>11.386900000000001</v>
      </c>
      <c r="O623" s="582">
        <v>11.1891</v>
      </c>
      <c r="P623" s="582">
        <v>98.816699999999997</v>
      </c>
      <c r="Q623" s="582">
        <v>10.103952306977014</v>
      </c>
      <c r="R623" s="582">
        <v>0</v>
      </c>
      <c r="S623" s="582">
        <v>0.68124769302298538</v>
      </c>
      <c r="T623" s="582">
        <v>1.4729476930229866</v>
      </c>
      <c r="U623" s="582">
        <v>1.3551476930229858</v>
      </c>
    </row>
    <row r="624" spans="10:21">
      <c r="J624" s="580">
        <v>41675</v>
      </c>
      <c r="K624" s="581">
        <v>1.0416666666666666E-2</v>
      </c>
      <c r="L624" s="582">
        <v>10.136699999999999</v>
      </c>
      <c r="M624" s="582">
        <v>10.1244</v>
      </c>
      <c r="N624" s="582">
        <v>11.3543</v>
      </c>
      <c r="O624" s="582">
        <v>11.151400000000001</v>
      </c>
      <c r="P624" s="582">
        <v>98.690399999999997</v>
      </c>
      <c r="Q624" s="582">
        <v>10.091038202616403</v>
      </c>
      <c r="R624" s="582">
        <v>0</v>
      </c>
      <c r="S624" s="582">
        <v>0.68336179738359681</v>
      </c>
      <c r="T624" s="582">
        <v>1.4532617973835973</v>
      </c>
      <c r="U624" s="582">
        <v>1.3303617973835977</v>
      </c>
    </row>
    <row r="625" spans="10:21">
      <c r="J625" s="580">
        <v>41676</v>
      </c>
      <c r="K625" s="581">
        <v>1.0416666666666666E-2</v>
      </c>
      <c r="L625" s="582">
        <v>10.1469</v>
      </c>
      <c r="M625" s="582">
        <v>10.1332</v>
      </c>
      <c r="N625" s="582">
        <v>11.3424</v>
      </c>
      <c r="O625" s="582">
        <v>11.1379</v>
      </c>
      <c r="P625" s="582">
        <v>98.788799999999995</v>
      </c>
      <c r="Q625" s="582">
        <v>10.101099547581439</v>
      </c>
      <c r="R625" s="582">
        <v>0</v>
      </c>
      <c r="S625" s="582">
        <v>0.68210045241856121</v>
      </c>
      <c r="T625" s="582">
        <v>1.4313004524185602</v>
      </c>
      <c r="U625" s="582">
        <v>1.3068004524185608</v>
      </c>
    </row>
    <row r="626" spans="10:21">
      <c r="J626" s="580">
        <v>41677</v>
      </c>
      <c r="K626" s="581">
        <v>1.0416666666666666E-2</v>
      </c>
      <c r="L626" s="582">
        <v>10.1394</v>
      </c>
      <c r="M626" s="582">
        <v>10.126899999999999</v>
      </c>
      <c r="N626" s="582">
        <v>11.314</v>
      </c>
      <c r="O626" s="582">
        <v>11.108499999999999</v>
      </c>
      <c r="P626" s="582">
        <v>98.718199999999996</v>
      </c>
      <c r="Q626" s="582">
        <v>10.093880737067908</v>
      </c>
      <c r="R626" s="582">
        <v>0</v>
      </c>
      <c r="S626" s="582">
        <v>0.6830192629320917</v>
      </c>
      <c r="T626" s="582">
        <v>1.4101192629320924</v>
      </c>
      <c r="U626" s="582">
        <v>1.2846192629320918</v>
      </c>
    </row>
    <row r="627" spans="10:21">
      <c r="J627" s="580">
        <v>41678</v>
      </c>
      <c r="K627" s="581">
        <v>1.0416666666666666E-2</v>
      </c>
      <c r="L627" s="582">
        <v>10.148199999999999</v>
      </c>
      <c r="M627" s="582">
        <v>10.1366</v>
      </c>
      <c r="N627" s="582">
        <v>11.3017</v>
      </c>
      <c r="O627" s="582">
        <v>11.094200000000001</v>
      </c>
      <c r="P627" s="582">
        <v>98.799499999999995</v>
      </c>
      <c r="Q627" s="582">
        <v>10.102193616596947</v>
      </c>
      <c r="R627" s="582">
        <v>0</v>
      </c>
      <c r="S627" s="582">
        <v>0.68440638340305227</v>
      </c>
      <c r="T627" s="582">
        <v>1.3895063834030528</v>
      </c>
      <c r="U627" s="582">
        <v>1.2620063834030533</v>
      </c>
    </row>
    <row r="628" spans="10:21">
      <c r="J628" s="580">
        <v>41679</v>
      </c>
      <c r="K628" s="581">
        <v>1.0416666666666666E-2</v>
      </c>
      <c r="L628" s="582">
        <v>10.136799999999999</v>
      </c>
      <c r="M628" s="582">
        <v>10.1243</v>
      </c>
      <c r="N628" s="582">
        <v>11.2692</v>
      </c>
      <c r="O628" s="582">
        <v>11.0578</v>
      </c>
      <c r="P628" s="582">
        <v>98.697299999999998</v>
      </c>
      <c r="Q628" s="582">
        <v>10.091743723757244</v>
      </c>
      <c r="R628" s="582">
        <v>0</v>
      </c>
      <c r="S628" s="582">
        <v>0.68255627624275639</v>
      </c>
      <c r="T628" s="582">
        <v>1.367456276242756</v>
      </c>
      <c r="U628" s="582">
        <v>1.2360562762427567</v>
      </c>
    </row>
    <row r="629" spans="10:21">
      <c r="J629" s="580">
        <v>41680</v>
      </c>
      <c r="K629" s="581">
        <v>1.0416666666666666E-2</v>
      </c>
      <c r="L629" s="582">
        <v>10.142099999999999</v>
      </c>
      <c r="M629" s="582">
        <v>10.130100000000001</v>
      </c>
      <c r="N629" s="582">
        <v>11.252800000000001</v>
      </c>
      <c r="O629" s="582">
        <v>11.037100000000001</v>
      </c>
      <c r="P629" s="582">
        <v>98.742999999999995</v>
      </c>
      <c r="Q629" s="582">
        <v>10.096416523197307</v>
      </c>
      <c r="R629" s="582">
        <v>0</v>
      </c>
      <c r="S629" s="582">
        <v>0.68368347680269337</v>
      </c>
      <c r="T629" s="582">
        <v>1.3463834768026932</v>
      </c>
      <c r="U629" s="582">
        <v>1.2106834768026933</v>
      </c>
    </row>
    <row r="630" spans="10:21">
      <c r="J630" s="580">
        <v>41681</v>
      </c>
      <c r="K630" s="581">
        <v>1.0416666666666666E-2</v>
      </c>
      <c r="L630" s="582">
        <v>10.1416</v>
      </c>
      <c r="M630" s="582">
        <v>10.1286</v>
      </c>
      <c r="N630" s="582">
        <v>11.230399999999999</v>
      </c>
      <c r="O630" s="582">
        <v>11.0076</v>
      </c>
      <c r="P630" s="582">
        <v>98.723299999999995</v>
      </c>
      <c r="Q630" s="582">
        <v>10.094402209215485</v>
      </c>
      <c r="R630" s="582">
        <v>0</v>
      </c>
      <c r="S630" s="582">
        <v>0.68419779078451604</v>
      </c>
      <c r="T630" s="582">
        <v>1.3259977907845149</v>
      </c>
      <c r="U630" s="582">
        <v>1.1831977907845155</v>
      </c>
    </row>
    <row r="631" spans="10:21">
      <c r="J631" s="580">
        <v>41682</v>
      </c>
      <c r="K631" s="581">
        <v>1.0416666666666666E-2</v>
      </c>
      <c r="L631" s="582">
        <v>10.124599999999999</v>
      </c>
      <c r="M631" s="582">
        <v>10.1106</v>
      </c>
      <c r="N631" s="582">
        <v>11.194599999999999</v>
      </c>
      <c r="O631" s="582">
        <v>10.9682</v>
      </c>
      <c r="P631" s="582">
        <v>98.584599999999995</v>
      </c>
      <c r="Q631" s="582">
        <v>10.080220211790175</v>
      </c>
      <c r="R631" s="582">
        <v>0</v>
      </c>
      <c r="S631" s="582">
        <v>0.68037978820982459</v>
      </c>
      <c r="T631" s="582">
        <v>1.304379788209824</v>
      </c>
      <c r="U631" s="582">
        <v>1.1579797882098242</v>
      </c>
    </row>
    <row r="632" spans="10:21">
      <c r="J632" s="580">
        <v>41683</v>
      </c>
      <c r="K632" s="581">
        <v>1.0416666666666666E-2</v>
      </c>
      <c r="L632" s="582">
        <v>10.1441</v>
      </c>
      <c r="M632" s="582">
        <v>10.1294</v>
      </c>
      <c r="N632" s="582">
        <v>11.1922</v>
      </c>
      <c r="O632" s="582">
        <v>10.9618</v>
      </c>
      <c r="P632" s="582">
        <v>98.758899999999997</v>
      </c>
      <c r="Q632" s="582">
        <v>10.098042289304463</v>
      </c>
      <c r="R632" s="582">
        <v>0</v>
      </c>
      <c r="S632" s="582">
        <v>0.68135771069553797</v>
      </c>
      <c r="T632" s="582">
        <v>1.2841577106955371</v>
      </c>
      <c r="U632" s="582">
        <v>1.1337577106955377</v>
      </c>
    </row>
    <row r="633" spans="10:21">
      <c r="J633" s="580">
        <v>41684</v>
      </c>
      <c r="K633" s="581">
        <v>1.0416666666666666E-2</v>
      </c>
      <c r="L633" s="582">
        <v>10.1632</v>
      </c>
      <c r="M633" s="582">
        <v>10.1496</v>
      </c>
      <c r="N633" s="582">
        <v>11.188499999999999</v>
      </c>
      <c r="O633" s="582">
        <v>10.9521</v>
      </c>
      <c r="P633" s="582">
        <v>98.9435</v>
      </c>
      <c r="Q633" s="582">
        <v>10.116917536057976</v>
      </c>
      <c r="R633" s="582">
        <v>0</v>
      </c>
      <c r="S633" s="582">
        <v>0.68268246394202392</v>
      </c>
      <c r="T633" s="582">
        <v>1.2615824639420237</v>
      </c>
      <c r="U633" s="582">
        <v>1.105182463942024</v>
      </c>
    </row>
    <row r="634" spans="10:21">
      <c r="J634" s="580">
        <v>41685</v>
      </c>
      <c r="K634" s="581">
        <v>1.0416666666666666E-2</v>
      </c>
      <c r="L634" s="582">
        <v>10.154199999999999</v>
      </c>
      <c r="M634" s="582">
        <v>10.139799999999999</v>
      </c>
      <c r="N634" s="582">
        <v>11.1599</v>
      </c>
      <c r="O634" s="582">
        <v>10.917999999999999</v>
      </c>
      <c r="P634" s="582">
        <v>98.861800000000002</v>
      </c>
      <c r="Q634" s="582">
        <v>10.108563756752657</v>
      </c>
      <c r="R634" s="582">
        <v>0</v>
      </c>
      <c r="S634" s="582">
        <v>0.68123624324734222</v>
      </c>
      <c r="T634" s="582">
        <v>1.2413362432473432</v>
      </c>
      <c r="U634" s="582">
        <v>1.0794362432473421</v>
      </c>
    </row>
    <row r="635" spans="10:21">
      <c r="J635" s="580">
        <v>41686</v>
      </c>
      <c r="K635" s="581">
        <v>1.0416666666666666E-2</v>
      </c>
      <c r="L635" s="582">
        <v>10.1378</v>
      </c>
      <c r="M635" s="582">
        <v>10.120200000000001</v>
      </c>
      <c r="N635" s="582">
        <v>11.123900000000001</v>
      </c>
      <c r="O635" s="582">
        <v>10.8771</v>
      </c>
      <c r="P635" s="582">
        <v>98.696600000000004</v>
      </c>
      <c r="Q635" s="582">
        <v>10.091672149148753</v>
      </c>
      <c r="R635" s="582">
        <v>0</v>
      </c>
      <c r="S635" s="582">
        <v>0.67852785085124778</v>
      </c>
      <c r="T635" s="582">
        <v>1.2222278508512479</v>
      </c>
      <c r="U635" s="582">
        <v>1.0554278508512476</v>
      </c>
    </row>
    <row r="636" spans="10:21">
      <c r="J636" s="580">
        <v>41687</v>
      </c>
      <c r="K636" s="581">
        <v>1.0416666666666666E-2</v>
      </c>
      <c r="L636" s="582">
        <v>10.151899999999999</v>
      </c>
      <c r="M636" s="582">
        <v>10.134</v>
      </c>
      <c r="N636" s="582">
        <v>11.1191</v>
      </c>
      <c r="O636" s="582">
        <v>10.8688</v>
      </c>
      <c r="P636" s="582">
        <v>98.853200000000001</v>
      </c>
      <c r="Q636" s="582">
        <v>10.107684411562623</v>
      </c>
      <c r="R636" s="582">
        <v>0</v>
      </c>
      <c r="S636" s="582">
        <v>0.67631558843737749</v>
      </c>
      <c r="T636" s="582">
        <v>1.2014155884373765</v>
      </c>
      <c r="U636" s="582">
        <v>1.0311155884373773</v>
      </c>
    </row>
    <row r="637" spans="10:21">
      <c r="J637" s="580">
        <v>41688</v>
      </c>
      <c r="K637" s="581">
        <v>1.0416666666666666E-2</v>
      </c>
      <c r="L637" s="582">
        <v>10.172000000000001</v>
      </c>
      <c r="M637" s="582">
        <v>10.154199999999999</v>
      </c>
      <c r="N637" s="582">
        <v>11.117699999999999</v>
      </c>
      <c r="O637" s="582">
        <v>10.863099999999999</v>
      </c>
      <c r="P637" s="582">
        <v>99.050299999999993</v>
      </c>
      <c r="Q637" s="582">
        <v>10.127837776324906</v>
      </c>
      <c r="R637" s="582">
        <v>0</v>
      </c>
      <c r="S637" s="582">
        <v>0.67636222367509347</v>
      </c>
      <c r="T637" s="582">
        <v>1.1798622236750931</v>
      </c>
      <c r="U637" s="582">
        <v>1.0052622236750932</v>
      </c>
    </row>
    <row r="638" spans="10:21">
      <c r="J638" s="580">
        <v>41689</v>
      </c>
      <c r="K638" s="581">
        <v>1.0416666666666666E-2</v>
      </c>
      <c r="L638" s="582">
        <v>10.1761</v>
      </c>
      <c r="M638" s="582">
        <v>10.1584</v>
      </c>
      <c r="N638" s="582">
        <v>11.1091</v>
      </c>
      <c r="O638" s="582">
        <v>10.8499</v>
      </c>
      <c r="P638" s="582">
        <v>99.106499999999997</v>
      </c>
      <c r="Q638" s="582">
        <v>10.133584194892336</v>
      </c>
      <c r="R638" s="582">
        <v>0</v>
      </c>
      <c r="S638" s="582">
        <v>0.67481580510766448</v>
      </c>
      <c r="T638" s="582">
        <v>1.1655158051076637</v>
      </c>
      <c r="U638" s="582">
        <v>0.98631580510766392</v>
      </c>
    </row>
    <row r="639" spans="10:21">
      <c r="J639" s="580">
        <v>41690</v>
      </c>
      <c r="K639" s="581">
        <v>1.0416666666666666E-2</v>
      </c>
      <c r="L639" s="582">
        <v>10.161099999999999</v>
      </c>
      <c r="M639" s="582">
        <v>10.144299999999999</v>
      </c>
      <c r="N639" s="582">
        <v>11.0738</v>
      </c>
      <c r="O639" s="582">
        <v>10.811999999999999</v>
      </c>
      <c r="P639" s="582">
        <v>98.977900000000005</v>
      </c>
      <c r="Q639" s="582">
        <v>10.120434916818112</v>
      </c>
      <c r="R639" s="582">
        <v>0</v>
      </c>
      <c r="S639" s="582">
        <v>0.67386508318188709</v>
      </c>
      <c r="T639" s="582">
        <v>1.1433650831818878</v>
      </c>
      <c r="U639" s="582">
        <v>0.96156508318188694</v>
      </c>
    </row>
    <row r="640" spans="10:21">
      <c r="J640" s="580">
        <v>41691</v>
      </c>
      <c r="K640" s="581">
        <v>1.0416666666666666E-2</v>
      </c>
      <c r="L640" s="582">
        <v>10.1791</v>
      </c>
      <c r="M640" s="582">
        <v>10.1617</v>
      </c>
      <c r="N640" s="582">
        <v>11.0694</v>
      </c>
      <c r="O640" s="582">
        <v>10.684799999999999</v>
      </c>
      <c r="P640" s="582">
        <v>99.130399999999995</v>
      </c>
      <c r="Q640" s="582">
        <v>10.136027956525103</v>
      </c>
      <c r="R640" s="582">
        <v>0</v>
      </c>
      <c r="S640" s="582">
        <v>0.67567204347489684</v>
      </c>
      <c r="T640" s="582">
        <v>1.1233720434748968</v>
      </c>
      <c r="U640" s="582">
        <v>0.81877204347489618</v>
      </c>
    </row>
    <row r="641" spans="10:21">
      <c r="J641" s="580">
        <v>41692</v>
      </c>
      <c r="K641" s="581">
        <v>1.0416666666666666E-2</v>
      </c>
      <c r="L641" s="582">
        <v>10.1784</v>
      </c>
      <c r="M641" s="582">
        <v>10.1614</v>
      </c>
      <c r="N641" s="582">
        <v>11.0471</v>
      </c>
      <c r="O641" s="582">
        <v>10.6158</v>
      </c>
      <c r="P641" s="582">
        <v>99.122299999999996</v>
      </c>
      <c r="Q641" s="582">
        <v>10.135199736055421</v>
      </c>
      <c r="R641" s="582">
        <v>0</v>
      </c>
      <c r="S641" s="582">
        <v>0.67620026394457944</v>
      </c>
      <c r="T641" s="582">
        <v>1.1019002639445792</v>
      </c>
      <c r="U641" s="582">
        <v>0.75060026394457902</v>
      </c>
    </row>
    <row r="642" spans="10:21">
      <c r="J642" s="580">
        <v>41693</v>
      </c>
      <c r="K642" s="581">
        <v>1.0416666666666666E-2</v>
      </c>
      <c r="L642" s="582">
        <v>10.1737</v>
      </c>
      <c r="M642" s="582">
        <v>10.154999999999999</v>
      </c>
      <c r="N642" s="582">
        <v>11.022600000000001</v>
      </c>
      <c r="O642" s="582">
        <v>10.538500000000001</v>
      </c>
      <c r="P642" s="582">
        <v>99.070599999999999</v>
      </c>
      <c r="Q642" s="582">
        <v>10.129913439971149</v>
      </c>
      <c r="R642" s="582">
        <v>0</v>
      </c>
      <c r="S642" s="582">
        <v>0.67508656002885004</v>
      </c>
      <c r="T642" s="582">
        <v>1.0826865600288511</v>
      </c>
      <c r="U642" s="582">
        <v>0.67858656002885143</v>
      </c>
    </row>
    <row r="643" spans="10:21">
      <c r="J643" s="580">
        <v>41694</v>
      </c>
      <c r="K643" s="581">
        <v>1.0416666666666666E-2</v>
      </c>
      <c r="L643" s="582">
        <v>10.171900000000001</v>
      </c>
      <c r="M643" s="582">
        <v>10.1561</v>
      </c>
      <c r="N643" s="582">
        <v>11.0031</v>
      </c>
      <c r="O643" s="582">
        <v>10.539</v>
      </c>
      <c r="P643" s="582">
        <v>99.070700000000002</v>
      </c>
      <c r="Q643" s="582">
        <v>10.12992366491522</v>
      </c>
      <c r="R643" s="582">
        <v>0</v>
      </c>
      <c r="S643" s="582">
        <v>0.67617633508478092</v>
      </c>
      <c r="T643" s="582">
        <v>1.0631763350847803</v>
      </c>
      <c r="U643" s="582">
        <v>0.67907633508478016</v>
      </c>
    </row>
    <row r="644" spans="10:21">
      <c r="J644" s="580">
        <v>41695</v>
      </c>
      <c r="K644" s="581">
        <v>1.0416666666666666E-2</v>
      </c>
      <c r="L644" s="582">
        <v>10.177199999999999</v>
      </c>
      <c r="M644" s="582">
        <v>10.1637</v>
      </c>
      <c r="N644" s="582">
        <v>10.9955</v>
      </c>
      <c r="O644" s="582">
        <v>10.551500000000001</v>
      </c>
      <c r="P644" s="582">
        <v>99.120800000000003</v>
      </c>
      <c r="Q644" s="582">
        <v>10.13504636189437</v>
      </c>
      <c r="R644" s="582">
        <v>0</v>
      </c>
      <c r="S644" s="582">
        <v>0.67865363810563095</v>
      </c>
      <c r="T644" s="582">
        <v>1.0504536381056302</v>
      </c>
      <c r="U644" s="582">
        <v>0.6864536381056312</v>
      </c>
    </row>
    <row r="645" spans="10:21">
      <c r="J645" s="580">
        <v>41696</v>
      </c>
      <c r="K645" s="581">
        <v>1.0416666666666666E-2</v>
      </c>
      <c r="L645" s="582">
        <v>10.1791</v>
      </c>
      <c r="M645" s="582">
        <v>10.1655</v>
      </c>
      <c r="N645" s="582">
        <v>10.974</v>
      </c>
      <c r="O645" s="582">
        <v>10.544499999999999</v>
      </c>
      <c r="P645" s="582">
        <v>99.147099999999995</v>
      </c>
      <c r="Q645" s="582">
        <v>10.137735522184821</v>
      </c>
      <c r="R645" s="582">
        <v>0</v>
      </c>
      <c r="S645" s="582">
        <v>0.67776447781517901</v>
      </c>
      <c r="T645" s="582">
        <v>1.0262644778151793</v>
      </c>
      <c r="U645" s="582">
        <v>0.67676447781517846</v>
      </c>
    </row>
    <row r="646" spans="10:21">
      <c r="J646" s="580">
        <v>41697</v>
      </c>
      <c r="K646" s="581">
        <v>1.0416666666666666E-2</v>
      </c>
      <c r="L646" s="582">
        <v>10.173</v>
      </c>
      <c r="M646" s="582">
        <v>10.1592</v>
      </c>
      <c r="N646" s="582">
        <v>10.944599999999999</v>
      </c>
      <c r="O646" s="582">
        <v>10.537000000000001</v>
      </c>
      <c r="P646" s="582">
        <v>99.077399999999997</v>
      </c>
      <c r="Q646" s="582">
        <v>10.13060873616792</v>
      </c>
      <c r="R646" s="582">
        <v>0</v>
      </c>
      <c r="S646" s="582">
        <v>0.67859126383208035</v>
      </c>
      <c r="T646" s="582">
        <v>1.0039912638320794</v>
      </c>
      <c r="U646" s="582">
        <v>0.67639126383208081</v>
      </c>
    </row>
    <row r="647" spans="10:21">
      <c r="J647" s="580">
        <v>41698</v>
      </c>
      <c r="K647" s="581">
        <v>1.0416666666666666E-2</v>
      </c>
      <c r="L647" s="582">
        <v>10.170199999999999</v>
      </c>
      <c r="M647" s="582">
        <v>10.155099999999999</v>
      </c>
      <c r="N647" s="582">
        <v>10.9185</v>
      </c>
      <c r="O647" s="582">
        <v>10.5289</v>
      </c>
      <c r="P647" s="582">
        <v>99.0274</v>
      </c>
      <c r="Q647" s="582">
        <v>10.12549626413284</v>
      </c>
      <c r="R647" s="582">
        <v>0</v>
      </c>
      <c r="S647" s="582">
        <v>0.67960373586715916</v>
      </c>
      <c r="T647" s="582">
        <v>0.98300373586715983</v>
      </c>
      <c r="U647" s="582">
        <v>0.67340373586716007</v>
      </c>
    </row>
    <row r="648" spans="10:21">
      <c r="J648" s="580">
        <v>41699</v>
      </c>
      <c r="K648" s="581">
        <v>1.0416666666666666E-2</v>
      </c>
      <c r="L648" s="582">
        <v>10.1591</v>
      </c>
      <c r="M648" s="582">
        <v>10.143800000000001</v>
      </c>
      <c r="N648" s="582">
        <v>10.885199999999999</v>
      </c>
      <c r="O648" s="582">
        <v>10.5191</v>
      </c>
      <c r="P648" s="582">
        <v>98.929199999999994</v>
      </c>
      <c r="Q648" s="582">
        <v>10.115455369055944</v>
      </c>
      <c r="R648" s="582">
        <v>0</v>
      </c>
      <c r="S648" s="582">
        <v>0.67834463094405684</v>
      </c>
      <c r="T648" s="582">
        <v>0.95974463094405549</v>
      </c>
      <c r="U648" s="582">
        <v>0.67364463094405602</v>
      </c>
    </row>
    <row r="649" spans="10:21">
      <c r="J649" s="580">
        <v>41700</v>
      </c>
      <c r="K649" s="581">
        <v>1.0416666666666666E-2</v>
      </c>
      <c r="L649" s="582">
        <v>10.1637</v>
      </c>
      <c r="M649" s="582">
        <v>10.148899999999999</v>
      </c>
      <c r="N649" s="582">
        <v>10.9346</v>
      </c>
      <c r="O649" s="582">
        <v>10.5977</v>
      </c>
      <c r="P649" s="582">
        <v>98.992400000000004</v>
      </c>
      <c r="Q649" s="582">
        <v>10.121917533708285</v>
      </c>
      <c r="R649" s="582">
        <v>0</v>
      </c>
      <c r="S649" s="582">
        <v>0.67698246629171499</v>
      </c>
      <c r="T649" s="582">
        <v>1.0026824662917151</v>
      </c>
      <c r="U649" s="582">
        <v>0.74578246629171518</v>
      </c>
    </row>
    <row r="650" spans="10:21">
      <c r="J650" s="580">
        <v>41701</v>
      </c>
      <c r="K650" s="581">
        <v>1.0416666666666666E-2</v>
      </c>
      <c r="L650" s="582">
        <v>10.157999999999999</v>
      </c>
      <c r="M650" s="582">
        <v>10.1432</v>
      </c>
      <c r="N650" s="582">
        <v>10.909800000000001</v>
      </c>
      <c r="O650" s="582">
        <v>10.625400000000001</v>
      </c>
      <c r="P650" s="582">
        <v>98.905699999999996</v>
      </c>
      <c r="Q650" s="582">
        <v>10.113052507199455</v>
      </c>
      <c r="R650" s="582">
        <v>0</v>
      </c>
      <c r="S650" s="582">
        <v>0.68014749280054487</v>
      </c>
      <c r="T650" s="582">
        <v>0.98674749280054519</v>
      </c>
      <c r="U650" s="582">
        <v>0.78234749280054539</v>
      </c>
    </row>
    <row r="651" spans="10:21">
      <c r="J651" s="580">
        <v>41702</v>
      </c>
      <c r="K651" s="581">
        <v>1.0416666666666666E-2</v>
      </c>
      <c r="L651" s="582">
        <v>10.1622</v>
      </c>
      <c r="M651" s="582">
        <v>10.1442</v>
      </c>
      <c r="N651" s="582">
        <v>10.8969</v>
      </c>
      <c r="O651" s="582">
        <v>10.532999999999999</v>
      </c>
      <c r="P651" s="582">
        <v>98.956299999999999</v>
      </c>
      <c r="Q651" s="582">
        <v>10.118226328898956</v>
      </c>
      <c r="R651" s="582">
        <v>0</v>
      </c>
      <c r="S651" s="582">
        <v>0.67597367110104378</v>
      </c>
      <c r="T651" s="582">
        <v>0.96867367110104452</v>
      </c>
      <c r="U651" s="582">
        <v>0.68477367110104348</v>
      </c>
    </row>
    <row r="652" spans="10:21">
      <c r="J652" s="580">
        <v>41703</v>
      </c>
      <c r="K652" s="581">
        <v>1.0416666666666666E-2</v>
      </c>
      <c r="L652" s="582">
        <v>10.1715</v>
      </c>
      <c r="M652" s="582">
        <v>10.152900000000001</v>
      </c>
      <c r="N652" s="582">
        <v>10.9268</v>
      </c>
      <c r="O652" s="582">
        <v>10.537800000000001</v>
      </c>
      <c r="P652" s="582">
        <v>99.033900000000003</v>
      </c>
      <c r="Q652" s="582">
        <v>10.1261608854974</v>
      </c>
      <c r="R652" s="582">
        <v>0</v>
      </c>
      <c r="S652" s="582">
        <v>0.67673911450260049</v>
      </c>
      <c r="T652" s="582">
        <v>0.99063911450259978</v>
      </c>
      <c r="U652" s="582">
        <v>0.6816391145026004</v>
      </c>
    </row>
    <row r="653" spans="10:21">
      <c r="J653" s="580">
        <v>41704</v>
      </c>
      <c r="K653" s="581">
        <v>1.0416666666666666E-2</v>
      </c>
      <c r="L653" s="582">
        <v>10.1692</v>
      </c>
      <c r="M653" s="582">
        <v>10.1502</v>
      </c>
      <c r="N653" s="582">
        <v>10.824199999999999</v>
      </c>
      <c r="O653" s="582">
        <v>10.536300000000001</v>
      </c>
      <c r="P653" s="582">
        <v>99.019000000000005</v>
      </c>
      <c r="Q653" s="582">
        <v>10.124637368830948</v>
      </c>
      <c r="R653" s="582">
        <v>0</v>
      </c>
      <c r="S653" s="582">
        <v>0.67556263116905213</v>
      </c>
      <c r="T653" s="582">
        <v>0.88956263116905154</v>
      </c>
      <c r="U653" s="582">
        <v>0.68166263116905279</v>
      </c>
    </row>
    <row r="654" spans="10:21">
      <c r="J654" s="580">
        <v>41705</v>
      </c>
      <c r="K654" s="581">
        <v>1.0416666666666666E-2</v>
      </c>
      <c r="L654" s="582">
        <v>10.164400000000001</v>
      </c>
      <c r="M654" s="582">
        <v>10.145799999999999</v>
      </c>
      <c r="N654" s="582">
        <v>10.559799999999999</v>
      </c>
      <c r="O654" s="582">
        <v>10.533799999999999</v>
      </c>
      <c r="P654" s="582">
        <v>99.000600000000006</v>
      </c>
      <c r="Q654" s="582">
        <v>10.122755979122038</v>
      </c>
      <c r="R654" s="582">
        <v>0</v>
      </c>
      <c r="S654" s="582">
        <v>0.67304402087796134</v>
      </c>
      <c r="T654" s="582">
        <v>0.62704402087796096</v>
      </c>
      <c r="U654" s="582">
        <v>0.68104402087796112</v>
      </c>
    </row>
    <row r="655" spans="10:21">
      <c r="J655" s="580">
        <v>41544</v>
      </c>
      <c r="K655" s="581">
        <v>1.3888888888888888E-2</v>
      </c>
      <c r="L655" s="582">
        <v>10.0541</v>
      </c>
      <c r="M655" s="582">
        <v>10.068300000000001</v>
      </c>
      <c r="N655" s="582">
        <v>10.077299999999999</v>
      </c>
      <c r="O655" s="582">
        <v>10.088900000000001</v>
      </c>
      <c r="P655" s="582">
        <v>98.771699999999996</v>
      </c>
      <c r="Q655" s="582">
        <v>10.099351082145443</v>
      </c>
      <c r="R655" s="582">
        <v>0</v>
      </c>
      <c r="S655" s="582">
        <v>0.61894891785455797</v>
      </c>
      <c r="T655" s="582">
        <v>0.16794891785455646</v>
      </c>
      <c r="U655" s="582">
        <v>0.25954891785455775</v>
      </c>
    </row>
    <row r="656" spans="10:21">
      <c r="J656" s="580">
        <v>41545</v>
      </c>
      <c r="K656" s="581">
        <v>1.3888888888888888E-2</v>
      </c>
      <c r="L656" s="582">
        <v>10.0502</v>
      </c>
      <c r="M656" s="582">
        <v>10.065799999999999</v>
      </c>
      <c r="N656" s="582">
        <v>10.0738</v>
      </c>
      <c r="O656" s="582">
        <v>10.0863</v>
      </c>
      <c r="P656" s="582">
        <v>98.738799999999998</v>
      </c>
      <c r="Q656" s="582">
        <v>10.095987075546359</v>
      </c>
      <c r="R656" s="582">
        <v>0</v>
      </c>
      <c r="S656" s="582">
        <v>0.61981292445364011</v>
      </c>
      <c r="T656" s="582">
        <v>0.16781292445364093</v>
      </c>
      <c r="U656" s="582">
        <v>0.26031292445364013</v>
      </c>
    </row>
    <row r="657" spans="10:21">
      <c r="J657" s="580">
        <v>41546</v>
      </c>
      <c r="K657" s="581">
        <v>1.3888888888888888E-2</v>
      </c>
      <c r="L657" s="582">
        <v>10.0328</v>
      </c>
      <c r="M657" s="582">
        <v>10.048400000000001</v>
      </c>
      <c r="N657" s="582">
        <v>10.055400000000001</v>
      </c>
      <c r="O657" s="582">
        <v>10.068199999999999</v>
      </c>
      <c r="P657" s="582">
        <v>98.551500000000004</v>
      </c>
      <c r="Q657" s="582">
        <v>10.076835755302954</v>
      </c>
      <c r="R657" s="582">
        <v>0</v>
      </c>
      <c r="S657" s="582">
        <v>0.62156424469704752</v>
      </c>
      <c r="T657" s="582">
        <v>0.16856424469704712</v>
      </c>
      <c r="U657" s="582">
        <v>0.26136424469704561</v>
      </c>
    </row>
    <row r="658" spans="10:21">
      <c r="J658" s="580">
        <v>41547</v>
      </c>
      <c r="K658" s="581">
        <v>1.3888888888888888E-2</v>
      </c>
      <c r="L658" s="582">
        <v>10.009499999999999</v>
      </c>
      <c r="M658" s="582">
        <v>10.023300000000001</v>
      </c>
      <c r="N658" s="582">
        <v>10.0319</v>
      </c>
      <c r="O658" s="582">
        <v>10.0443</v>
      </c>
      <c r="P658" s="582">
        <v>98.333600000000004</v>
      </c>
      <c r="Q658" s="582">
        <v>10.054555602174077</v>
      </c>
      <c r="R658" s="582">
        <v>0</v>
      </c>
      <c r="S658" s="582">
        <v>0.61874439782592439</v>
      </c>
      <c r="T658" s="582">
        <v>0.16734439782592381</v>
      </c>
      <c r="U658" s="582">
        <v>0.25974439782592323</v>
      </c>
    </row>
    <row r="659" spans="10:21">
      <c r="J659" s="580">
        <v>41548</v>
      </c>
      <c r="K659" s="581">
        <v>1.3888888888888888E-2</v>
      </c>
      <c r="L659" s="582">
        <v>10.009</v>
      </c>
      <c r="M659" s="582">
        <v>10.0235</v>
      </c>
      <c r="N659" s="582">
        <v>10.0313</v>
      </c>
      <c r="O659" s="582">
        <v>10.043799999999999</v>
      </c>
      <c r="P659" s="582">
        <v>98.333399999999997</v>
      </c>
      <c r="Q659" s="582">
        <v>10.054535152285935</v>
      </c>
      <c r="R659" s="582">
        <v>0</v>
      </c>
      <c r="S659" s="582">
        <v>0.6189648477140659</v>
      </c>
      <c r="T659" s="582">
        <v>0.16676484771406541</v>
      </c>
      <c r="U659" s="582">
        <v>0.25926484771406461</v>
      </c>
    </row>
    <row r="660" spans="10:21">
      <c r="J660" s="580">
        <v>41549</v>
      </c>
      <c r="K660" s="581">
        <v>1.3888888888888888E-2</v>
      </c>
      <c r="L660" s="582">
        <v>10.017099999999999</v>
      </c>
      <c r="M660" s="582">
        <v>10.0303</v>
      </c>
      <c r="N660" s="582">
        <v>10.0388</v>
      </c>
      <c r="O660" s="582">
        <v>10.052199999999999</v>
      </c>
      <c r="P660" s="582">
        <v>98.396299999999997</v>
      </c>
      <c r="Q660" s="582">
        <v>10.060966642106065</v>
      </c>
      <c r="R660" s="582">
        <v>0</v>
      </c>
      <c r="S660" s="582">
        <v>0.61933335789393573</v>
      </c>
      <c r="T660" s="582">
        <v>0.16783335789393539</v>
      </c>
      <c r="U660" s="582">
        <v>0.26123335789393426</v>
      </c>
    </row>
    <row r="661" spans="10:21">
      <c r="J661" s="580">
        <v>41550</v>
      </c>
      <c r="K661" s="581">
        <v>1.3888888888888888E-2</v>
      </c>
      <c r="L661" s="582">
        <v>10.032299999999999</v>
      </c>
      <c r="M661" s="582">
        <v>10.0436</v>
      </c>
      <c r="N661" s="582">
        <v>10.052300000000001</v>
      </c>
      <c r="O661" s="582">
        <v>10.063800000000001</v>
      </c>
      <c r="P661" s="582">
        <v>98.534300000000002</v>
      </c>
      <c r="Q661" s="582">
        <v>10.075077064922885</v>
      </c>
      <c r="R661" s="582">
        <v>0</v>
      </c>
      <c r="S661" s="582">
        <v>0.61852293507711464</v>
      </c>
      <c r="T661" s="582">
        <v>0.16722293507711561</v>
      </c>
      <c r="U661" s="582">
        <v>0.25872293507711536</v>
      </c>
    </row>
    <row r="662" spans="10:21">
      <c r="J662" s="580">
        <v>41551</v>
      </c>
      <c r="K662" s="581">
        <v>1.3888888888888888E-2</v>
      </c>
      <c r="L662" s="582">
        <v>10.0397</v>
      </c>
      <c r="M662" s="582">
        <v>10.051399999999999</v>
      </c>
      <c r="N662" s="582">
        <v>10.059699999999999</v>
      </c>
      <c r="O662" s="582">
        <v>10.0716</v>
      </c>
      <c r="P662" s="582">
        <v>98.609899999999996</v>
      </c>
      <c r="Q662" s="582">
        <v>10.082807122639926</v>
      </c>
      <c r="R662" s="582">
        <v>0</v>
      </c>
      <c r="S662" s="582">
        <v>0.61859287736007373</v>
      </c>
      <c r="T662" s="582">
        <v>0.16689287736007385</v>
      </c>
      <c r="U662" s="582">
        <v>0.25879287736007445</v>
      </c>
    </row>
    <row r="663" spans="10:21">
      <c r="J663" s="580">
        <v>41552</v>
      </c>
      <c r="K663" s="581">
        <v>1.3888888888888888E-2</v>
      </c>
      <c r="L663" s="582">
        <v>10.049300000000001</v>
      </c>
      <c r="M663" s="582">
        <v>10.06</v>
      </c>
      <c r="N663" s="582">
        <v>10.0684</v>
      </c>
      <c r="O663" s="582">
        <v>10.081899999999999</v>
      </c>
      <c r="P663" s="582">
        <v>98.702799999999996</v>
      </c>
      <c r="Q663" s="582">
        <v>10.092306095681103</v>
      </c>
      <c r="R663" s="582">
        <v>0</v>
      </c>
      <c r="S663" s="582">
        <v>0.61769390431889781</v>
      </c>
      <c r="T663" s="582">
        <v>0.1660939043188977</v>
      </c>
      <c r="U663" s="582">
        <v>0.25959390431889634</v>
      </c>
    </row>
    <row r="664" spans="10:21">
      <c r="J664" s="580">
        <v>41553</v>
      </c>
      <c r="K664" s="581">
        <v>1.3888888888888888E-2</v>
      </c>
      <c r="L664" s="582">
        <v>10.039999999999999</v>
      </c>
      <c r="M664" s="582">
        <v>10.0502</v>
      </c>
      <c r="N664" s="582">
        <v>10.0587</v>
      </c>
      <c r="O664" s="582">
        <v>10.0716</v>
      </c>
      <c r="P664" s="582">
        <v>98.607600000000005</v>
      </c>
      <c r="Q664" s="582">
        <v>10.082571948926311</v>
      </c>
      <c r="R664" s="582">
        <v>0</v>
      </c>
      <c r="S664" s="582">
        <v>0.6176280510736889</v>
      </c>
      <c r="T664" s="582">
        <v>0.16612805107368855</v>
      </c>
      <c r="U664" s="582">
        <v>0.25902805107368859</v>
      </c>
    </row>
    <row r="665" spans="10:21">
      <c r="J665" s="580">
        <v>41554</v>
      </c>
      <c r="K665" s="581">
        <v>1.3888888888888888E-2</v>
      </c>
      <c r="L665" s="582">
        <v>10.040900000000001</v>
      </c>
      <c r="M665" s="582">
        <v>10.0517</v>
      </c>
      <c r="N665" s="582">
        <v>10.0596</v>
      </c>
      <c r="O665" s="582">
        <v>10.0739</v>
      </c>
      <c r="P665" s="582">
        <v>98.618700000000004</v>
      </c>
      <c r="Q665" s="582">
        <v>10.0837069177181</v>
      </c>
      <c r="R665" s="582">
        <v>0</v>
      </c>
      <c r="S665" s="582">
        <v>0.61799308228190042</v>
      </c>
      <c r="T665" s="582">
        <v>0.1658930822818997</v>
      </c>
      <c r="U665" s="582">
        <v>0.26019308228190002</v>
      </c>
    </row>
    <row r="666" spans="10:21">
      <c r="J666" s="580">
        <v>41555</v>
      </c>
      <c r="K666" s="581">
        <v>1.3888888888888888E-2</v>
      </c>
      <c r="L666" s="582">
        <v>10.0441</v>
      </c>
      <c r="M666" s="582">
        <v>10.054600000000001</v>
      </c>
      <c r="N666" s="582">
        <v>10.0631</v>
      </c>
      <c r="O666" s="582">
        <v>10.0785</v>
      </c>
      <c r="P666" s="582">
        <v>98.654399999999995</v>
      </c>
      <c r="Q666" s="582">
        <v>10.087357222751146</v>
      </c>
      <c r="R666" s="582">
        <v>0</v>
      </c>
      <c r="S666" s="582">
        <v>0.61724277724885446</v>
      </c>
      <c r="T666" s="582">
        <v>0.16574277724885411</v>
      </c>
      <c r="U666" s="582">
        <v>0.26114277724885365</v>
      </c>
    </row>
    <row r="667" spans="10:21">
      <c r="J667" s="580">
        <v>41556</v>
      </c>
      <c r="K667" s="581">
        <v>1.3888888888888888E-2</v>
      </c>
      <c r="L667" s="582">
        <v>10.052899999999999</v>
      </c>
      <c r="M667" s="582">
        <v>10.0669</v>
      </c>
      <c r="N667" s="582">
        <v>10.0723</v>
      </c>
      <c r="O667" s="582">
        <v>10.087400000000001</v>
      </c>
      <c r="P667" s="582">
        <v>98.770700000000005</v>
      </c>
      <c r="Q667" s="582">
        <v>10.099248832704742</v>
      </c>
      <c r="R667" s="582">
        <v>0</v>
      </c>
      <c r="S667" s="582">
        <v>0.61765116729525871</v>
      </c>
      <c r="T667" s="582">
        <v>0.16305116729525848</v>
      </c>
      <c r="U667" s="582">
        <v>0.25815116729525872</v>
      </c>
    </row>
    <row r="668" spans="10:21">
      <c r="J668" s="580">
        <v>41557</v>
      </c>
      <c r="K668" s="581">
        <v>1.3888888888888888E-2</v>
      </c>
      <c r="L668" s="582">
        <v>10.045</v>
      </c>
      <c r="M668" s="582">
        <v>10.0579</v>
      </c>
      <c r="N668" s="582">
        <v>10.0649</v>
      </c>
      <c r="O668" s="582">
        <v>10.0777</v>
      </c>
      <c r="P668" s="582">
        <v>98.674400000000006</v>
      </c>
      <c r="Q668" s="582">
        <v>10.089402211565179</v>
      </c>
      <c r="R668" s="582">
        <v>0</v>
      </c>
      <c r="S668" s="582">
        <v>0.61849778843482084</v>
      </c>
      <c r="T668" s="582">
        <v>0.16549778843482044</v>
      </c>
      <c r="U668" s="582">
        <v>0.25829778843482071</v>
      </c>
    </row>
    <row r="669" spans="10:21">
      <c r="J669" s="580">
        <v>41558</v>
      </c>
      <c r="K669" s="581">
        <v>1.3888888888888888E-2</v>
      </c>
      <c r="L669" s="582">
        <v>10.049099999999999</v>
      </c>
      <c r="M669" s="582">
        <v>10.0632</v>
      </c>
      <c r="N669" s="582">
        <v>10.069000000000001</v>
      </c>
      <c r="O669" s="582">
        <v>10.0815</v>
      </c>
      <c r="P669" s="582">
        <v>98.710599999999999</v>
      </c>
      <c r="Q669" s="582">
        <v>10.093103641318576</v>
      </c>
      <c r="R669" s="582">
        <v>0</v>
      </c>
      <c r="S669" s="582">
        <v>0.6200963586814241</v>
      </c>
      <c r="T669" s="582">
        <v>0.16589635868142472</v>
      </c>
      <c r="U669" s="582">
        <v>0.25839635868142391</v>
      </c>
    </row>
    <row r="670" spans="10:21">
      <c r="J670" s="580">
        <v>41559</v>
      </c>
      <c r="K670" s="581">
        <v>1.3888888888888888E-2</v>
      </c>
      <c r="L670" s="582">
        <v>10.024900000000001</v>
      </c>
      <c r="M670" s="582">
        <v>10.039300000000001</v>
      </c>
      <c r="N670" s="582">
        <v>10.0448</v>
      </c>
      <c r="O670" s="582">
        <v>10.057399999999999</v>
      </c>
      <c r="P670" s="582">
        <v>98.490099999999998</v>
      </c>
      <c r="Q670" s="582">
        <v>10.070557639643875</v>
      </c>
      <c r="R670" s="582">
        <v>0</v>
      </c>
      <c r="S670" s="582">
        <v>0.61874236035612618</v>
      </c>
      <c r="T670" s="582">
        <v>0.16424236035612572</v>
      </c>
      <c r="U670" s="582">
        <v>0.25684236035612468</v>
      </c>
    </row>
    <row r="671" spans="10:21">
      <c r="J671" s="580">
        <v>41560</v>
      </c>
      <c r="K671" s="581">
        <v>1.3888888888888888E-2</v>
      </c>
      <c r="L671" s="582">
        <v>10.016500000000001</v>
      </c>
      <c r="M671" s="582">
        <v>10.029400000000001</v>
      </c>
      <c r="N671" s="582">
        <v>10.0365</v>
      </c>
      <c r="O671" s="582">
        <v>10.0496</v>
      </c>
      <c r="P671" s="582">
        <v>98.368399999999994</v>
      </c>
      <c r="Q671" s="582">
        <v>10.05811388271049</v>
      </c>
      <c r="R671" s="582">
        <v>0</v>
      </c>
      <c r="S671" s="582">
        <v>0.62128611728951078</v>
      </c>
      <c r="T671" s="582">
        <v>0.16838611728951014</v>
      </c>
      <c r="U671" s="582">
        <v>0.26148611728950971</v>
      </c>
    </row>
    <row r="672" spans="10:21">
      <c r="J672" s="580">
        <v>41561</v>
      </c>
      <c r="K672" s="581">
        <v>1.3888888888888888E-2</v>
      </c>
      <c r="L672" s="582">
        <v>10.029</v>
      </c>
      <c r="M672" s="582">
        <v>10.0404</v>
      </c>
      <c r="N672" s="582">
        <v>10.0481</v>
      </c>
      <c r="O672" s="582">
        <v>10.0608</v>
      </c>
      <c r="P672" s="582">
        <v>98.484999999999999</v>
      </c>
      <c r="Q672" s="582">
        <v>10.070036167496296</v>
      </c>
      <c r="R672" s="582">
        <v>0</v>
      </c>
      <c r="S672" s="582">
        <v>0.62036383250370419</v>
      </c>
      <c r="T672" s="582">
        <v>0.16806383250370394</v>
      </c>
      <c r="U672" s="582">
        <v>0.26076383250370444</v>
      </c>
    </row>
    <row r="673" spans="10:21">
      <c r="J673" s="580">
        <v>41562</v>
      </c>
      <c r="K673" s="581">
        <v>1.3888888888888888E-2</v>
      </c>
      <c r="L673" s="582">
        <v>10.042899999999999</v>
      </c>
      <c r="M673" s="582">
        <v>10.054399999999999</v>
      </c>
      <c r="N673" s="582">
        <v>10.062200000000001</v>
      </c>
      <c r="O673" s="582">
        <v>10.0747</v>
      </c>
      <c r="P673" s="582">
        <v>98.6327</v>
      </c>
      <c r="Q673" s="582">
        <v>10.085138409887922</v>
      </c>
      <c r="R673" s="582">
        <v>0</v>
      </c>
      <c r="S673" s="582">
        <v>0.61926159011207793</v>
      </c>
      <c r="T673" s="582">
        <v>0.16706159011207922</v>
      </c>
      <c r="U673" s="582">
        <v>0.25956159011207841</v>
      </c>
    </row>
    <row r="674" spans="10:21">
      <c r="J674" s="580">
        <v>41563</v>
      </c>
      <c r="K674" s="581">
        <v>1.3888888888888888E-2</v>
      </c>
      <c r="L674" s="582">
        <v>12.6241</v>
      </c>
      <c r="M674" s="582">
        <v>12.4192</v>
      </c>
      <c r="N674" s="582">
        <v>13.058299999999999</v>
      </c>
      <c r="O674" s="582">
        <v>12.992800000000001</v>
      </c>
      <c r="P674" s="582">
        <v>98.694699999999997</v>
      </c>
      <c r="Q674" s="582">
        <v>10.091477875211421</v>
      </c>
      <c r="R674" s="582">
        <v>2.3476221247885793</v>
      </c>
      <c r="S674" s="582">
        <v>2.9777221247885794</v>
      </c>
      <c r="T674" s="582">
        <v>3.1568221247885786</v>
      </c>
      <c r="U674" s="582">
        <v>3.1713221247885794</v>
      </c>
    </row>
    <row r="675" spans="10:21">
      <c r="J675" s="580">
        <v>41564</v>
      </c>
      <c r="K675" s="581">
        <v>1.3888888888888888E-2</v>
      </c>
      <c r="L675" s="582">
        <v>13.2936</v>
      </c>
      <c r="M675" s="582">
        <v>12.6282</v>
      </c>
      <c r="N675" s="582">
        <v>13.3141</v>
      </c>
      <c r="O675" s="582">
        <v>13.2674</v>
      </c>
      <c r="P675" s="582">
        <v>98.737399999999994</v>
      </c>
      <c r="Q675" s="582">
        <v>10.095843926329378</v>
      </c>
      <c r="R675" s="582">
        <v>3.0127560736706216</v>
      </c>
      <c r="S675" s="582">
        <v>3.182356073670622</v>
      </c>
      <c r="T675" s="582">
        <v>3.4082560736706222</v>
      </c>
      <c r="U675" s="582">
        <v>3.4415560736706219</v>
      </c>
    </row>
    <row r="676" spans="10:21">
      <c r="J676" s="580">
        <v>41565</v>
      </c>
      <c r="K676" s="581">
        <v>1.3888888888888888E-2</v>
      </c>
      <c r="L676" s="582">
        <v>13.3104</v>
      </c>
      <c r="M676" s="582">
        <v>12.724</v>
      </c>
      <c r="N676" s="582">
        <v>13.5037</v>
      </c>
      <c r="O676" s="582">
        <v>13.321999999999999</v>
      </c>
      <c r="P676" s="582">
        <v>98.761600000000001</v>
      </c>
      <c r="Q676" s="582">
        <v>10.098318362794357</v>
      </c>
      <c r="R676" s="582">
        <v>3.0270816372056424</v>
      </c>
      <c r="S676" s="582">
        <v>3.2756816372056434</v>
      </c>
      <c r="T676" s="582">
        <v>3.5953816372056435</v>
      </c>
      <c r="U676" s="582">
        <v>3.4936816372056416</v>
      </c>
    </row>
    <row r="677" spans="10:21">
      <c r="J677" s="580">
        <v>41566</v>
      </c>
      <c r="K677" s="581">
        <v>1.3888888888888888E-2</v>
      </c>
      <c r="L677" s="582">
        <v>13.4741</v>
      </c>
      <c r="M677" s="582">
        <v>12.787100000000001</v>
      </c>
      <c r="N677" s="582">
        <v>13.6297</v>
      </c>
      <c r="O677" s="582">
        <v>13.3949</v>
      </c>
      <c r="P677" s="582">
        <v>98.801599999999993</v>
      </c>
      <c r="Q677" s="582">
        <v>10.10240834042242</v>
      </c>
      <c r="R677" s="582">
        <v>3.1866916595775803</v>
      </c>
      <c r="S677" s="582">
        <v>3.3346916595775813</v>
      </c>
      <c r="T677" s="582">
        <v>3.7172916595775805</v>
      </c>
      <c r="U677" s="582">
        <v>3.5624916595775797</v>
      </c>
    </row>
    <row r="678" spans="10:21">
      <c r="J678" s="580">
        <v>41567</v>
      </c>
      <c r="K678" s="581">
        <v>1.3888888888888888E-2</v>
      </c>
      <c r="L678" s="582">
        <v>13.4664</v>
      </c>
      <c r="M678" s="582">
        <v>12.864000000000001</v>
      </c>
      <c r="N678" s="582">
        <v>13.9155</v>
      </c>
      <c r="O678" s="582">
        <v>13.5306</v>
      </c>
      <c r="P678" s="582">
        <v>98.849500000000006</v>
      </c>
      <c r="Q678" s="582">
        <v>10.107306088632027</v>
      </c>
      <c r="R678" s="582">
        <v>3.1740939113679727</v>
      </c>
      <c r="S678" s="582">
        <v>3.4066939113679737</v>
      </c>
      <c r="T678" s="582">
        <v>3.9981939113679728</v>
      </c>
      <c r="U678" s="582">
        <v>3.6932939113679719</v>
      </c>
    </row>
    <row r="679" spans="10:21">
      <c r="J679" s="580">
        <v>41568</v>
      </c>
      <c r="K679" s="581">
        <v>1.3888888888888888E-2</v>
      </c>
      <c r="L679" s="582">
        <v>13.387600000000001</v>
      </c>
      <c r="M679" s="582">
        <v>12.843999999999999</v>
      </c>
      <c r="N679" s="582">
        <v>13.9498</v>
      </c>
      <c r="O679" s="582">
        <v>13.294700000000001</v>
      </c>
      <c r="P679" s="582">
        <v>98.4773</v>
      </c>
      <c r="Q679" s="582">
        <v>10.069248846802894</v>
      </c>
      <c r="R679" s="582">
        <v>3.1333511531971063</v>
      </c>
      <c r="S679" s="582">
        <v>3.4247511531971053</v>
      </c>
      <c r="T679" s="582">
        <v>4.0705511531971057</v>
      </c>
      <c r="U679" s="582">
        <v>3.4954511531971058</v>
      </c>
    </row>
    <row r="680" spans="10:21">
      <c r="J680" s="580">
        <v>41569</v>
      </c>
      <c r="K680" s="581">
        <v>1.3888888888888888E-2</v>
      </c>
      <c r="L680" s="582">
        <v>13.3253</v>
      </c>
      <c r="M680" s="582">
        <v>12.813800000000001</v>
      </c>
      <c r="N680" s="582">
        <v>13.900499999999999</v>
      </c>
      <c r="O680" s="582">
        <v>13.2883</v>
      </c>
      <c r="P680" s="582">
        <v>98.331100000000006</v>
      </c>
      <c r="Q680" s="582">
        <v>10.054299978572322</v>
      </c>
      <c r="R680" s="582">
        <v>3.0860000214276782</v>
      </c>
      <c r="S680" s="582">
        <v>3.4095000214276787</v>
      </c>
      <c r="T680" s="582">
        <v>4.0362000214276774</v>
      </c>
      <c r="U680" s="582">
        <v>3.504000021427677</v>
      </c>
    </row>
    <row r="681" spans="10:21">
      <c r="J681" s="580">
        <v>41570</v>
      </c>
      <c r="K681" s="581">
        <v>1.3888888888888888E-2</v>
      </c>
      <c r="L681" s="582">
        <v>13.278600000000001</v>
      </c>
      <c r="M681" s="582">
        <v>12.794700000000001</v>
      </c>
      <c r="N681" s="582">
        <v>13.8491</v>
      </c>
      <c r="O681" s="582">
        <v>13.253</v>
      </c>
      <c r="P681" s="582">
        <v>98.305700000000002</v>
      </c>
      <c r="Q681" s="582">
        <v>10.051702842778502</v>
      </c>
      <c r="R681" s="582">
        <v>3.041897157221499</v>
      </c>
      <c r="S681" s="582">
        <v>3.3929971572214992</v>
      </c>
      <c r="T681" s="582">
        <v>3.9873971572214986</v>
      </c>
      <c r="U681" s="582">
        <v>3.4712971572214979</v>
      </c>
    </row>
    <row r="682" spans="10:21">
      <c r="J682" s="580">
        <v>41571</v>
      </c>
      <c r="K682" s="581">
        <v>1.3888888888888888E-2</v>
      </c>
      <c r="L682" s="582">
        <v>13.244400000000001</v>
      </c>
      <c r="M682" s="582">
        <v>12.782299999999999</v>
      </c>
      <c r="N682" s="582">
        <v>13.805300000000001</v>
      </c>
      <c r="O682" s="582">
        <v>13.228899999999999</v>
      </c>
      <c r="P682" s="582">
        <v>98.382599999999996</v>
      </c>
      <c r="Q682" s="582">
        <v>10.059565824768454</v>
      </c>
      <c r="R682" s="582">
        <v>2.9998341752315469</v>
      </c>
      <c r="S682" s="582">
        <v>3.3727341752315461</v>
      </c>
      <c r="T682" s="582">
        <v>3.9357341752315476</v>
      </c>
      <c r="U682" s="582">
        <v>3.4393341752315454</v>
      </c>
    </row>
    <row r="683" spans="10:21">
      <c r="J683" s="580">
        <v>41572</v>
      </c>
      <c r="K683" s="581">
        <v>1.3888888888888888E-2</v>
      </c>
      <c r="L683" s="582">
        <v>13.203900000000001</v>
      </c>
      <c r="M683" s="582">
        <v>12.7598</v>
      </c>
      <c r="N683" s="582">
        <v>13.7502</v>
      </c>
      <c r="O683" s="582">
        <v>13.208299999999999</v>
      </c>
      <c r="P683" s="582">
        <v>98.365899999999996</v>
      </c>
      <c r="Q683" s="582">
        <v>10.057858259108736</v>
      </c>
      <c r="R683" s="582">
        <v>2.961041740891265</v>
      </c>
      <c r="S683" s="582">
        <v>3.3519417408912648</v>
      </c>
      <c r="T683" s="582">
        <v>3.8823417408912642</v>
      </c>
      <c r="U683" s="582">
        <v>3.4204417408912633</v>
      </c>
    </row>
    <row r="684" spans="10:21">
      <c r="J684" s="580">
        <v>41573</v>
      </c>
      <c r="K684" s="581">
        <v>1.3888888888888888E-2</v>
      </c>
      <c r="L684" s="582">
        <v>13.163600000000001</v>
      </c>
      <c r="M684" s="582">
        <v>12.7455</v>
      </c>
      <c r="N684" s="582">
        <v>13.7005</v>
      </c>
      <c r="O684" s="582">
        <v>13.2026</v>
      </c>
      <c r="P684" s="582">
        <v>98.415300000000002</v>
      </c>
      <c r="Q684" s="582">
        <v>10.062909381479395</v>
      </c>
      <c r="R684" s="582">
        <v>2.9156906185206055</v>
      </c>
      <c r="S684" s="582">
        <v>3.3325906185206051</v>
      </c>
      <c r="T684" s="582">
        <v>3.8275906185206052</v>
      </c>
      <c r="U684" s="582">
        <v>3.4096906185206048</v>
      </c>
    </row>
    <row r="685" spans="10:21">
      <c r="J685" s="580">
        <v>41574</v>
      </c>
      <c r="K685" s="581">
        <v>1.3888888888888888E-2</v>
      </c>
      <c r="L685" s="582">
        <v>13.15</v>
      </c>
      <c r="M685" s="582">
        <v>12.751099999999999</v>
      </c>
      <c r="N685" s="582">
        <v>13.685700000000001</v>
      </c>
      <c r="O685" s="582">
        <v>13.2059</v>
      </c>
      <c r="P685" s="582">
        <v>98.658500000000004</v>
      </c>
      <c r="Q685" s="582">
        <v>10.087776445458022</v>
      </c>
      <c r="R685" s="582">
        <v>2.877223554541978</v>
      </c>
      <c r="S685" s="582">
        <v>3.3133235545419772</v>
      </c>
      <c r="T685" s="582">
        <v>3.7879235545419787</v>
      </c>
      <c r="U685" s="582">
        <v>3.388123554541977</v>
      </c>
    </row>
    <row r="686" spans="10:21">
      <c r="J686" s="580">
        <v>41575</v>
      </c>
      <c r="K686" s="581">
        <v>1.3888888888888888E-2</v>
      </c>
      <c r="L686" s="582">
        <v>13.1203</v>
      </c>
      <c r="M686" s="582">
        <v>12.7377</v>
      </c>
      <c r="N686" s="582">
        <v>13.640599999999999</v>
      </c>
      <c r="O686" s="582">
        <v>13.190099999999999</v>
      </c>
      <c r="P686" s="582">
        <v>98.727400000000003</v>
      </c>
      <c r="Q686" s="582">
        <v>10.094821431922362</v>
      </c>
      <c r="R686" s="582">
        <v>2.8404785680776379</v>
      </c>
      <c r="S686" s="582">
        <v>3.2928785680776382</v>
      </c>
      <c r="T686" s="582">
        <v>3.7357785680776372</v>
      </c>
      <c r="U686" s="582">
        <v>3.3652785680776365</v>
      </c>
    </row>
    <row r="687" spans="10:21">
      <c r="J687" s="580">
        <v>41576</v>
      </c>
      <c r="K687" s="581">
        <v>1.3888888888888888E-2</v>
      </c>
      <c r="L687" s="582">
        <v>13.090199999999999</v>
      </c>
      <c r="M687" s="582">
        <v>12.728999999999999</v>
      </c>
      <c r="N687" s="582">
        <v>13.6043</v>
      </c>
      <c r="O687" s="582">
        <v>13.174099999999999</v>
      </c>
      <c r="P687" s="582">
        <v>98.832899999999995</v>
      </c>
      <c r="Q687" s="582">
        <v>10.10560874791638</v>
      </c>
      <c r="R687" s="582">
        <v>2.7995912520836197</v>
      </c>
      <c r="S687" s="582">
        <v>3.2733912520836199</v>
      </c>
      <c r="T687" s="582">
        <v>3.688691252083621</v>
      </c>
      <c r="U687" s="582">
        <v>3.3384912520836192</v>
      </c>
    </row>
    <row r="688" spans="10:21">
      <c r="J688" s="580">
        <v>41577</v>
      </c>
      <c r="K688" s="581">
        <v>1.3888888888888888E-2</v>
      </c>
      <c r="L688" s="582">
        <v>13.0631</v>
      </c>
      <c r="M688" s="582">
        <v>12.720800000000001</v>
      </c>
      <c r="N688" s="582">
        <v>13.5884</v>
      </c>
      <c r="O688" s="582">
        <v>13.1676</v>
      </c>
      <c r="P688" s="582">
        <v>98.946799999999996</v>
      </c>
      <c r="Q688" s="582">
        <v>10.117254959212291</v>
      </c>
      <c r="R688" s="582">
        <v>2.7608450407877094</v>
      </c>
      <c r="S688" s="582">
        <v>3.25354504078771</v>
      </c>
      <c r="T688" s="582">
        <v>3.6611450407877095</v>
      </c>
      <c r="U688" s="582">
        <v>3.3203450407877089</v>
      </c>
    </row>
    <row r="689" spans="10:21">
      <c r="J689" s="580">
        <v>41578</v>
      </c>
      <c r="K689" s="581">
        <v>1.3888888888888888E-2</v>
      </c>
      <c r="L689" s="582">
        <v>13.024900000000001</v>
      </c>
      <c r="M689" s="582">
        <v>12.7003</v>
      </c>
      <c r="N689" s="582">
        <v>13.542299999999999</v>
      </c>
      <c r="O689" s="582">
        <v>13.1487</v>
      </c>
      <c r="P689" s="582">
        <v>98.939899999999994</v>
      </c>
      <c r="Q689" s="582">
        <v>10.11654943807145</v>
      </c>
      <c r="R689" s="582">
        <v>2.7233505619285503</v>
      </c>
      <c r="S689" s="582">
        <v>3.2337505619285505</v>
      </c>
      <c r="T689" s="582">
        <v>3.6157505619285493</v>
      </c>
      <c r="U689" s="582">
        <v>3.3021505619285492</v>
      </c>
    </row>
    <row r="690" spans="10:21">
      <c r="J690" s="580">
        <v>41579</v>
      </c>
      <c r="K690" s="581">
        <v>1.3888888888888888E-2</v>
      </c>
      <c r="L690" s="582">
        <v>12.998900000000001</v>
      </c>
      <c r="M690" s="582">
        <v>12.6816</v>
      </c>
      <c r="N690" s="582">
        <v>13.4918</v>
      </c>
      <c r="O690" s="582">
        <v>13.132</v>
      </c>
      <c r="P690" s="582">
        <v>98.951499999999996</v>
      </c>
      <c r="Q690" s="582">
        <v>10.117735531583589</v>
      </c>
      <c r="R690" s="582">
        <v>2.6961644684164114</v>
      </c>
      <c r="S690" s="582">
        <v>3.2138644684164106</v>
      </c>
      <c r="T690" s="582">
        <v>3.5640644684164107</v>
      </c>
      <c r="U690" s="582">
        <v>3.28426446841641</v>
      </c>
    </row>
    <row r="691" spans="10:21">
      <c r="J691" s="580">
        <v>41580</v>
      </c>
      <c r="K691" s="581">
        <v>1.3888888888888888E-2</v>
      </c>
      <c r="L691" s="582">
        <v>12.952500000000001</v>
      </c>
      <c r="M691" s="582">
        <v>12.653499999999999</v>
      </c>
      <c r="N691" s="582">
        <v>13.433</v>
      </c>
      <c r="O691" s="582">
        <v>13.102499999999999</v>
      </c>
      <c r="P691" s="582">
        <v>98.865399999999994</v>
      </c>
      <c r="Q691" s="582">
        <v>10.108931854739181</v>
      </c>
      <c r="R691" s="582">
        <v>2.6585681452608196</v>
      </c>
      <c r="S691" s="582">
        <v>3.1945681452608188</v>
      </c>
      <c r="T691" s="582">
        <v>3.5140681452608193</v>
      </c>
      <c r="U691" s="582">
        <v>3.2635681452608178</v>
      </c>
    </row>
    <row r="692" spans="10:21">
      <c r="J692" s="580">
        <v>41581</v>
      </c>
      <c r="K692" s="581">
        <v>1.3888888888888888E-2</v>
      </c>
      <c r="L692" s="582">
        <v>12.919600000000001</v>
      </c>
      <c r="M692" s="582">
        <v>12.6371</v>
      </c>
      <c r="N692" s="582">
        <v>13.400499999999999</v>
      </c>
      <c r="O692" s="582">
        <v>13.084899999999999</v>
      </c>
      <c r="P692" s="582">
        <v>98.8626</v>
      </c>
      <c r="Q692" s="582">
        <v>10.108645556305218</v>
      </c>
      <c r="R692" s="582">
        <v>2.6259544436947828</v>
      </c>
      <c r="S692" s="582">
        <v>3.1784544436947826</v>
      </c>
      <c r="T692" s="582">
        <v>3.4818544436947816</v>
      </c>
      <c r="U692" s="582">
        <v>3.2462544436947809</v>
      </c>
    </row>
    <row r="693" spans="10:21">
      <c r="J693" s="580">
        <v>41582</v>
      </c>
      <c r="K693" s="581">
        <v>1.3888888888888888E-2</v>
      </c>
      <c r="L693" s="582">
        <v>12.891299999999999</v>
      </c>
      <c r="M693" s="582">
        <v>12.626300000000001</v>
      </c>
      <c r="N693" s="582">
        <v>13.374499999999999</v>
      </c>
      <c r="O693" s="582">
        <v>13.0741</v>
      </c>
      <c r="P693" s="582">
        <v>98.944699999999997</v>
      </c>
      <c r="Q693" s="582">
        <v>10.117040235386819</v>
      </c>
      <c r="R693" s="582">
        <v>2.5892597646131805</v>
      </c>
      <c r="S693" s="582">
        <v>3.1592597646131821</v>
      </c>
      <c r="T693" s="582">
        <v>3.447459764613181</v>
      </c>
      <c r="U693" s="582">
        <v>3.2270597646131804</v>
      </c>
    </row>
    <row r="694" spans="10:21">
      <c r="J694" s="580">
        <v>41583</v>
      </c>
      <c r="K694" s="581">
        <v>1.3888888888888888E-2</v>
      </c>
      <c r="L694" s="582">
        <v>12.924200000000001</v>
      </c>
      <c r="M694" s="582">
        <v>12.6469</v>
      </c>
      <c r="N694" s="582">
        <v>13.3835</v>
      </c>
      <c r="O694" s="582">
        <v>13.097899999999999</v>
      </c>
      <c r="P694" s="582">
        <v>99.059299999999993</v>
      </c>
      <c r="Q694" s="582">
        <v>10.128758021291221</v>
      </c>
      <c r="R694" s="582">
        <v>2.61044197870878</v>
      </c>
      <c r="S694" s="582">
        <v>3.1681419787087801</v>
      </c>
      <c r="T694" s="582">
        <v>3.4447419787087794</v>
      </c>
      <c r="U694" s="582">
        <v>3.2391419787087781</v>
      </c>
    </row>
    <row r="695" spans="10:21">
      <c r="J695" s="580">
        <v>41584</v>
      </c>
      <c r="K695" s="581">
        <v>1.3888888888888888E-2</v>
      </c>
      <c r="L695" s="582">
        <v>12.9108</v>
      </c>
      <c r="M695" s="582">
        <v>12.644600000000001</v>
      </c>
      <c r="N695" s="582">
        <v>13.3558</v>
      </c>
      <c r="O695" s="582">
        <v>13.086</v>
      </c>
      <c r="P695" s="582">
        <v>99.027199999999993</v>
      </c>
      <c r="Q695" s="582">
        <v>10.1254758142447</v>
      </c>
      <c r="R695" s="582">
        <v>2.6003241857553001</v>
      </c>
      <c r="S695" s="582">
        <v>3.169124185755301</v>
      </c>
      <c r="T695" s="582">
        <v>3.4203241857553008</v>
      </c>
      <c r="U695" s="582">
        <v>3.2305241857553</v>
      </c>
    </row>
    <row r="696" spans="10:21">
      <c r="J696" s="580">
        <v>41585</v>
      </c>
      <c r="K696" s="581">
        <v>1.3888888888888888E-2</v>
      </c>
      <c r="L696" s="582">
        <v>12.871600000000001</v>
      </c>
      <c r="M696" s="582">
        <v>12.618399999999999</v>
      </c>
      <c r="N696" s="582">
        <v>13.3165</v>
      </c>
      <c r="O696" s="582">
        <v>13.0603</v>
      </c>
      <c r="P696" s="582">
        <v>98.981399999999994</v>
      </c>
      <c r="Q696" s="582">
        <v>10.120792789860566</v>
      </c>
      <c r="R696" s="582">
        <v>2.5658072101394347</v>
      </c>
      <c r="S696" s="582">
        <v>3.1476072101394337</v>
      </c>
      <c r="T696" s="582">
        <v>3.3857072101394339</v>
      </c>
      <c r="U696" s="582">
        <v>3.2095072101394333</v>
      </c>
    </row>
    <row r="697" spans="10:21">
      <c r="J697" s="580">
        <v>41586</v>
      </c>
      <c r="K697" s="581">
        <v>1.3888888888888888E-2</v>
      </c>
      <c r="L697" s="582">
        <v>12.8285</v>
      </c>
      <c r="M697" s="582">
        <v>12.592599999999999</v>
      </c>
      <c r="N697" s="582">
        <v>13.2699</v>
      </c>
      <c r="O697" s="582">
        <v>13.0291</v>
      </c>
      <c r="P697" s="582">
        <v>98.895300000000006</v>
      </c>
      <c r="Q697" s="582">
        <v>10.111989113016159</v>
      </c>
      <c r="R697" s="582">
        <v>2.5315108869838405</v>
      </c>
      <c r="S697" s="582">
        <v>3.13061088698384</v>
      </c>
      <c r="T697" s="582">
        <v>3.3479108869838408</v>
      </c>
      <c r="U697" s="582">
        <v>3.1871108869838398</v>
      </c>
    </row>
    <row r="698" spans="10:21">
      <c r="J698" s="580">
        <v>41587</v>
      </c>
      <c r="K698" s="581">
        <v>1.3888888888888888E-2</v>
      </c>
      <c r="L698" s="582">
        <v>12.7872</v>
      </c>
      <c r="M698" s="582">
        <v>12.5632</v>
      </c>
      <c r="N698" s="582">
        <v>13.220499999999999</v>
      </c>
      <c r="O698" s="582">
        <v>12.994999999999999</v>
      </c>
      <c r="P698" s="582">
        <v>98.808999999999997</v>
      </c>
      <c r="Q698" s="582">
        <v>10.103164986283613</v>
      </c>
      <c r="R698" s="582">
        <v>2.4990350137163877</v>
      </c>
      <c r="S698" s="582">
        <v>3.1100350137163879</v>
      </c>
      <c r="T698" s="582">
        <v>3.3073350137163873</v>
      </c>
      <c r="U698" s="582">
        <v>3.1618350137163862</v>
      </c>
    </row>
    <row r="699" spans="10:21">
      <c r="J699" s="580">
        <v>41588</v>
      </c>
      <c r="K699" s="581">
        <v>1.3888888888888888E-2</v>
      </c>
      <c r="L699" s="582">
        <v>12.742100000000001</v>
      </c>
      <c r="M699" s="582">
        <v>12.537000000000001</v>
      </c>
      <c r="N699" s="582">
        <v>13.1729</v>
      </c>
      <c r="O699" s="582">
        <v>12.9636</v>
      </c>
      <c r="P699" s="582">
        <v>98.726500000000001</v>
      </c>
      <c r="Q699" s="582">
        <v>10.094729407425731</v>
      </c>
      <c r="R699" s="582">
        <v>2.4623705925742692</v>
      </c>
      <c r="S699" s="582">
        <v>3.0922705925742697</v>
      </c>
      <c r="T699" s="582">
        <v>3.2681705925742692</v>
      </c>
      <c r="U699" s="582">
        <v>3.1388705925742677</v>
      </c>
    </row>
    <row r="700" spans="10:21">
      <c r="J700" s="580">
        <v>41589</v>
      </c>
      <c r="K700" s="581">
        <v>1.3888888888888888E-2</v>
      </c>
      <c r="L700" s="582">
        <v>12.708600000000001</v>
      </c>
      <c r="M700" s="582">
        <v>12.520200000000001</v>
      </c>
      <c r="N700" s="582">
        <v>13.136200000000001</v>
      </c>
      <c r="O700" s="582">
        <v>12.9405</v>
      </c>
      <c r="P700" s="582">
        <v>98.767200000000003</v>
      </c>
      <c r="Q700" s="582">
        <v>10.098890959662286</v>
      </c>
      <c r="R700" s="582">
        <v>2.4247090403377141</v>
      </c>
      <c r="S700" s="582">
        <v>3.0713090403377148</v>
      </c>
      <c r="T700" s="582">
        <v>3.2273090403377145</v>
      </c>
      <c r="U700" s="582">
        <v>3.1116090403377132</v>
      </c>
    </row>
    <row r="701" spans="10:21">
      <c r="J701" s="580">
        <v>41590</v>
      </c>
      <c r="K701" s="581">
        <v>1.3888888888888888E-2</v>
      </c>
      <c r="L701" s="582">
        <v>12.6595</v>
      </c>
      <c r="M701" s="582">
        <v>12.4876</v>
      </c>
      <c r="N701" s="582">
        <v>13.082800000000001</v>
      </c>
      <c r="O701" s="582">
        <v>12.8903</v>
      </c>
      <c r="P701" s="582">
        <v>98.652100000000004</v>
      </c>
      <c r="Q701" s="582">
        <v>10.087122049037532</v>
      </c>
      <c r="R701" s="582">
        <v>2.3873779509624673</v>
      </c>
      <c r="S701" s="582">
        <v>3.0504779509624687</v>
      </c>
      <c r="T701" s="582">
        <v>3.1856779509624689</v>
      </c>
      <c r="U701" s="582">
        <v>3.0731779509624673</v>
      </c>
    </row>
    <row r="702" spans="10:21">
      <c r="J702" s="580">
        <v>41591</v>
      </c>
      <c r="K702" s="581">
        <v>1.3888888888888888E-2</v>
      </c>
      <c r="L702" s="582">
        <v>12.629799999999999</v>
      </c>
      <c r="M702" s="582">
        <v>12.4693</v>
      </c>
      <c r="N702" s="582">
        <v>13.0532</v>
      </c>
      <c r="O702" s="582">
        <v>12.8714</v>
      </c>
      <c r="P702" s="582">
        <v>98.701700000000002</v>
      </c>
      <c r="Q702" s="582">
        <v>10.092193621296332</v>
      </c>
      <c r="R702" s="582">
        <v>2.3526063787036677</v>
      </c>
      <c r="S702" s="582">
        <v>3.0271063787036692</v>
      </c>
      <c r="T702" s="582">
        <v>3.1510063787036691</v>
      </c>
      <c r="U702" s="582">
        <v>3.0492063787036674</v>
      </c>
    </row>
    <row r="703" spans="10:21">
      <c r="J703" s="580">
        <v>41592</v>
      </c>
      <c r="K703" s="581">
        <v>1.3888888888888888E-2</v>
      </c>
      <c r="L703" s="582">
        <v>12.608000000000001</v>
      </c>
      <c r="M703" s="582">
        <v>12.4574</v>
      </c>
      <c r="N703" s="582">
        <v>13.030900000000001</v>
      </c>
      <c r="O703" s="582">
        <v>12.8622</v>
      </c>
      <c r="P703" s="582">
        <v>98.789100000000005</v>
      </c>
      <c r="Q703" s="582">
        <v>10.101130222413651</v>
      </c>
      <c r="R703" s="582">
        <v>2.321869777586349</v>
      </c>
      <c r="S703" s="582">
        <v>3.0062697775863487</v>
      </c>
      <c r="T703" s="582">
        <v>3.1197697775863498</v>
      </c>
      <c r="U703" s="582">
        <v>3.0310697775863478</v>
      </c>
    </row>
    <row r="704" spans="10:21">
      <c r="J704" s="580">
        <v>41593</v>
      </c>
      <c r="K704" s="581">
        <v>1.3888888888888888E-2</v>
      </c>
      <c r="L704" s="582">
        <v>12.5715</v>
      </c>
      <c r="M704" s="582">
        <v>12.4367</v>
      </c>
      <c r="N704" s="582">
        <v>12.999700000000001</v>
      </c>
      <c r="O704" s="582">
        <v>12.8431</v>
      </c>
      <c r="P704" s="582">
        <v>98.840199999999996</v>
      </c>
      <c r="Q704" s="582">
        <v>10.106355168833501</v>
      </c>
      <c r="R704" s="582">
        <v>2.2801448311664996</v>
      </c>
      <c r="S704" s="582">
        <v>2.9803448311664997</v>
      </c>
      <c r="T704" s="582">
        <v>3.0833448311665004</v>
      </c>
      <c r="U704" s="582">
        <v>3.0067448311664986</v>
      </c>
    </row>
    <row r="705" spans="10:21">
      <c r="J705" s="580">
        <v>41594</v>
      </c>
      <c r="K705" s="581">
        <v>1.3888888888888888E-2</v>
      </c>
      <c r="L705" s="582">
        <v>12.511799999999999</v>
      </c>
      <c r="M705" s="582">
        <v>12.395899999999999</v>
      </c>
      <c r="N705" s="582">
        <v>12.940899999999999</v>
      </c>
      <c r="O705" s="582">
        <v>12.7902</v>
      </c>
      <c r="P705" s="582">
        <v>98.676100000000005</v>
      </c>
      <c r="Q705" s="582">
        <v>10.089576035614371</v>
      </c>
      <c r="R705" s="582">
        <v>2.237223964385628</v>
      </c>
      <c r="S705" s="582">
        <v>2.9563239643856285</v>
      </c>
      <c r="T705" s="582">
        <v>3.0413239643856285</v>
      </c>
      <c r="U705" s="582">
        <v>2.9706239643856289</v>
      </c>
    </row>
    <row r="706" spans="10:21">
      <c r="J706" s="580">
        <v>41595</v>
      </c>
      <c r="K706" s="581">
        <v>1.3888888888888888E-2</v>
      </c>
      <c r="L706" s="582">
        <v>12.458600000000001</v>
      </c>
      <c r="M706" s="582">
        <v>12.361700000000001</v>
      </c>
      <c r="N706" s="582">
        <v>12.8934</v>
      </c>
      <c r="O706" s="582">
        <v>12.745100000000001</v>
      </c>
      <c r="P706" s="582">
        <v>98.610399999999998</v>
      </c>
      <c r="Q706" s="582">
        <v>10.082858247360276</v>
      </c>
      <c r="R706" s="582">
        <v>2.1907417526397244</v>
      </c>
      <c r="S706" s="582">
        <v>2.928841752639725</v>
      </c>
      <c r="T706" s="582">
        <v>3.000541752639724</v>
      </c>
      <c r="U706" s="582">
        <v>2.9322417526397242</v>
      </c>
    </row>
    <row r="707" spans="10:21">
      <c r="J707" s="580">
        <v>41596</v>
      </c>
      <c r="K707" s="581">
        <v>1.3888888888888888E-2</v>
      </c>
      <c r="L707" s="582">
        <v>12.5435</v>
      </c>
      <c r="M707" s="582">
        <v>12.684100000000001</v>
      </c>
      <c r="N707" s="582">
        <v>13.700100000000001</v>
      </c>
      <c r="O707" s="582">
        <v>13.282999999999999</v>
      </c>
      <c r="P707" s="582">
        <v>98.811199999999999</v>
      </c>
      <c r="Q707" s="582">
        <v>10.103389935053155</v>
      </c>
      <c r="R707" s="582">
        <v>2.255110064946845</v>
      </c>
      <c r="S707" s="582">
        <v>3.2307100649468463</v>
      </c>
      <c r="T707" s="582">
        <v>3.7867100649468464</v>
      </c>
      <c r="U707" s="582">
        <v>3.4496100649468442</v>
      </c>
    </row>
    <row r="708" spans="10:21">
      <c r="J708" s="580">
        <v>41597</v>
      </c>
      <c r="K708" s="581">
        <v>1.3888888888888888E-2</v>
      </c>
      <c r="L708" s="582">
        <v>12.5176</v>
      </c>
      <c r="M708" s="582">
        <v>12.682499999999999</v>
      </c>
      <c r="N708" s="582">
        <v>13.7087</v>
      </c>
      <c r="O708" s="582">
        <v>13.2814</v>
      </c>
      <c r="P708" s="582">
        <v>98.976399999999998</v>
      </c>
      <c r="Q708" s="582">
        <v>10.120281542657059</v>
      </c>
      <c r="R708" s="582">
        <v>2.2123184573429406</v>
      </c>
      <c r="S708" s="582">
        <v>3.2122184573429404</v>
      </c>
      <c r="T708" s="582">
        <v>3.7784184573429416</v>
      </c>
      <c r="U708" s="582">
        <v>3.4311184573429401</v>
      </c>
    </row>
    <row r="709" spans="10:21">
      <c r="J709" s="580">
        <v>41598</v>
      </c>
      <c r="K709" s="581">
        <v>1.3888888888888888E-2</v>
      </c>
      <c r="L709" s="582">
        <v>12.4626</v>
      </c>
      <c r="M709" s="582">
        <v>12.651199999999999</v>
      </c>
      <c r="N709" s="582">
        <v>13.6592</v>
      </c>
      <c r="O709" s="582">
        <v>13.2469</v>
      </c>
      <c r="P709" s="582">
        <v>98.862499999999997</v>
      </c>
      <c r="Q709" s="582">
        <v>10.108635331361148</v>
      </c>
      <c r="R709" s="582">
        <v>2.1689646686388522</v>
      </c>
      <c r="S709" s="582">
        <v>3.1925646686388518</v>
      </c>
      <c r="T709" s="582">
        <v>3.7405646686388527</v>
      </c>
      <c r="U709" s="582">
        <v>3.4082646686388518</v>
      </c>
    </row>
    <row r="710" spans="10:21">
      <c r="J710" s="580">
        <v>41599</v>
      </c>
      <c r="K710" s="581">
        <v>1.3888888888888888E-2</v>
      </c>
      <c r="L710" s="582">
        <v>12.3873</v>
      </c>
      <c r="M710" s="582">
        <v>12.599</v>
      </c>
      <c r="N710" s="582">
        <v>13.5877</v>
      </c>
      <c r="O710" s="582">
        <v>13.1905</v>
      </c>
      <c r="P710" s="582">
        <v>98.563100000000006</v>
      </c>
      <c r="Q710" s="582">
        <v>10.078021848815091</v>
      </c>
      <c r="R710" s="582">
        <v>2.1242781511849089</v>
      </c>
      <c r="S710" s="582">
        <v>3.1709781511849098</v>
      </c>
      <c r="T710" s="582">
        <v>3.6996781511849095</v>
      </c>
      <c r="U710" s="582">
        <v>3.3824781511849089</v>
      </c>
    </row>
    <row r="711" spans="10:21">
      <c r="J711" s="580">
        <v>41600</v>
      </c>
      <c r="K711" s="581">
        <v>1.3888888888888888E-2</v>
      </c>
      <c r="L711" s="582">
        <v>12.3378</v>
      </c>
      <c r="M711" s="582">
        <v>12.581799999999999</v>
      </c>
      <c r="N711" s="582">
        <v>13.553900000000001</v>
      </c>
      <c r="O711" s="582">
        <v>13.1709</v>
      </c>
      <c r="P711" s="582">
        <v>98.622500000000002</v>
      </c>
      <c r="Q711" s="582">
        <v>10.084095465592766</v>
      </c>
      <c r="R711" s="582">
        <v>2.0687045344072339</v>
      </c>
      <c r="S711" s="582">
        <v>3.1477045344072341</v>
      </c>
      <c r="T711" s="582">
        <v>3.6598045344072352</v>
      </c>
      <c r="U711" s="582">
        <v>3.3568045344072335</v>
      </c>
    </row>
    <row r="712" spans="10:21">
      <c r="J712" s="580">
        <v>41601</v>
      </c>
      <c r="K712" s="581">
        <v>1.3888888888888888E-2</v>
      </c>
      <c r="L712" s="582">
        <v>12.295400000000001</v>
      </c>
      <c r="M712" s="582">
        <v>12.5707</v>
      </c>
      <c r="N712" s="582">
        <v>13.526899999999999</v>
      </c>
      <c r="O712" s="582">
        <v>13.1562</v>
      </c>
      <c r="P712" s="582">
        <v>98.730500000000006</v>
      </c>
      <c r="Q712" s="582">
        <v>10.095138405188537</v>
      </c>
      <c r="R712" s="582">
        <v>2.0152615948114634</v>
      </c>
      <c r="S712" s="582">
        <v>3.1255615948114635</v>
      </c>
      <c r="T712" s="582">
        <v>3.6217615948114625</v>
      </c>
      <c r="U712" s="582">
        <v>3.3310615948114624</v>
      </c>
    </row>
    <row r="713" spans="10:21">
      <c r="J713" s="580">
        <v>41602</v>
      </c>
      <c r="K713" s="581">
        <v>1.3888888888888888E-2</v>
      </c>
      <c r="L713" s="582">
        <v>12.254200000000001</v>
      </c>
      <c r="M713" s="582">
        <v>12.5572</v>
      </c>
      <c r="N713" s="582">
        <v>13.493399999999999</v>
      </c>
      <c r="O713" s="582">
        <v>13.1381</v>
      </c>
      <c r="P713" s="582">
        <v>98.807699999999997</v>
      </c>
      <c r="Q713" s="582">
        <v>10.103032062010699</v>
      </c>
      <c r="R713" s="582">
        <v>1.9661679379893013</v>
      </c>
      <c r="S713" s="582">
        <v>3.1041679379893008</v>
      </c>
      <c r="T713" s="582">
        <v>3.5803679379893003</v>
      </c>
      <c r="U713" s="582">
        <v>3.3050679379892998</v>
      </c>
    </row>
    <row r="714" spans="10:21">
      <c r="J714" s="580">
        <v>41603</v>
      </c>
      <c r="K714" s="581">
        <v>1.3888888888888888E-2</v>
      </c>
      <c r="L714" s="582">
        <v>12.2127</v>
      </c>
      <c r="M714" s="582">
        <v>12.5402</v>
      </c>
      <c r="N714" s="582">
        <v>13.4582</v>
      </c>
      <c r="O714" s="582">
        <v>13.119300000000001</v>
      </c>
      <c r="P714" s="582">
        <v>98.859899999999996</v>
      </c>
      <c r="Q714" s="582">
        <v>10.108369482815323</v>
      </c>
      <c r="R714" s="582">
        <v>1.9193305171846764</v>
      </c>
      <c r="S714" s="582">
        <v>3.0818305171846774</v>
      </c>
      <c r="T714" s="582">
        <v>3.5398305171846767</v>
      </c>
      <c r="U714" s="582">
        <v>3.280930517184677</v>
      </c>
    </row>
    <row r="715" spans="10:21">
      <c r="J715" s="580">
        <v>41604</v>
      </c>
      <c r="K715" s="581">
        <v>1.3888888888888888E-2</v>
      </c>
      <c r="L715" s="582">
        <v>12.154199999999999</v>
      </c>
      <c r="M715" s="582">
        <v>12.4993</v>
      </c>
      <c r="N715" s="582">
        <v>13.405900000000001</v>
      </c>
      <c r="O715" s="582">
        <v>13.081899999999999</v>
      </c>
      <c r="P715" s="582">
        <v>98.731700000000004</v>
      </c>
      <c r="Q715" s="582">
        <v>10.09526110451738</v>
      </c>
      <c r="R715" s="582">
        <v>1.873938895482619</v>
      </c>
      <c r="S715" s="582">
        <v>3.0540388954826199</v>
      </c>
      <c r="T715" s="582">
        <v>3.5006388954826209</v>
      </c>
      <c r="U715" s="582">
        <v>3.2566388954826184</v>
      </c>
    </row>
    <row r="716" spans="10:21">
      <c r="J716" s="580">
        <v>41605</v>
      </c>
      <c r="K716" s="581">
        <v>1.3888888888888888E-2</v>
      </c>
      <c r="L716" s="582">
        <v>12.1112</v>
      </c>
      <c r="M716" s="582">
        <v>12.464700000000001</v>
      </c>
      <c r="N716" s="582">
        <v>13.363899999999999</v>
      </c>
      <c r="O716" s="582">
        <v>13.0502</v>
      </c>
      <c r="P716" s="582">
        <v>98.679400000000001</v>
      </c>
      <c r="Q716" s="582">
        <v>10.089913458768686</v>
      </c>
      <c r="R716" s="582">
        <v>1.8362865412313139</v>
      </c>
      <c r="S716" s="582">
        <v>3.0247865412313146</v>
      </c>
      <c r="T716" s="582">
        <v>3.4639865412313133</v>
      </c>
      <c r="U716" s="582">
        <v>3.2302865412313135</v>
      </c>
    </row>
    <row r="717" spans="10:21">
      <c r="J717" s="580">
        <v>41606</v>
      </c>
      <c r="K717" s="581">
        <v>1.3888888888888888E-2</v>
      </c>
      <c r="L717" s="582">
        <v>12.0854</v>
      </c>
      <c r="M717" s="582">
        <v>12.448499999999999</v>
      </c>
      <c r="N717" s="582">
        <v>13.3301</v>
      </c>
      <c r="O717" s="582">
        <v>13.035</v>
      </c>
      <c r="P717" s="582">
        <v>98.798000000000002</v>
      </c>
      <c r="Q717" s="582">
        <v>10.102040242435894</v>
      </c>
      <c r="R717" s="582">
        <v>1.7983597575641057</v>
      </c>
      <c r="S717" s="582">
        <v>2.9964597575641054</v>
      </c>
      <c r="T717" s="582">
        <v>3.4180597575641061</v>
      </c>
      <c r="U717" s="582">
        <v>3.2029597575641056</v>
      </c>
    </row>
    <row r="718" spans="10:21">
      <c r="J718" s="580">
        <v>41607</v>
      </c>
      <c r="K718" s="581">
        <v>1.3888888888888888E-2</v>
      </c>
      <c r="L718" s="582">
        <v>12.0647</v>
      </c>
      <c r="M718" s="582">
        <v>12.439299999999999</v>
      </c>
      <c r="N718" s="582">
        <v>13.3005</v>
      </c>
      <c r="O718" s="582">
        <v>13.023300000000001</v>
      </c>
      <c r="P718" s="582">
        <v>98.939400000000006</v>
      </c>
      <c r="Q718" s="582">
        <v>10.1164983133511</v>
      </c>
      <c r="R718" s="582">
        <v>1.7632016866489004</v>
      </c>
      <c r="S718" s="582">
        <v>2.9728016866489</v>
      </c>
      <c r="T718" s="582">
        <v>3.3740016866489002</v>
      </c>
      <c r="U718" s="582">
        <v>3.1768016866489006</v>
      </c>
    </row>
    <row r="719" spans="10:21">
      <c r="J719" s="580">
        <v>41608</v>
      </c>
      <c r="K719" s="581">
        <v>1.3888888888888888E-2</v>
      </c>
      <c r="L719" s="582">
        <v>12.0206</v>
      </c>
      <c r="M719" s="582">
        <v>12.421099999999999</v>
      </c>
      <c r="N719" s="582">
        <v>13.2707</v>
      </c>
      <c r="O719" s="582">
        <v>13.0014</v>
      </c>
      <c r="P719" s="582">
        <v>98.986800000000002</v>
      </c>
      <c r="Q719" s="582">
        <v>10.121344936840355</v>
      </c>
      <c r="R719" s="582">
        <v>1.7142550631596447</v>
      </c>
      <c r="S719" s="582">
        <v>2.9497550631596443</v>
      </c>
      <c r="T719" s="582">
        <v>3.3393550631596449</v>
      </c>
      <c r="U719" s="582">
        <v>3.1500550631596447</v>
      </c>
    </row>
    <row r="720" spans="10:21">
      <c r="J720" s="580">
        <v>41609</v>
      </c>
      <c r="K720" s="581">
        <v>1.3888888888888888E-2</v>
      </c>
      <c r="L720" s="582">
        <v>11.975300000000001</v>
      </c>
      <c r="M720" s="582">
        <v>12.392799999999999</v>
      </c>
      <c r="N720" s="582">
        <v>13.2415</v>
      </c>
      <c r="O720" s="582">
        <v>12.9735</v>
      </c>
      <c r="P720" s="582">
        <v>98.962400000000002</v>
      </c>
      <c r="Q720" s="582">
        <v>10.118850050487238</v>
      </c>
      <c r="R720" s="582">
        <v>1.671449949512763</v>
      </c>
      <c r="S720" s="582">
        <v>2.9239499495127621</v>
      </c>
      <c r="T720" s="582">
        <v>3.312649949512763</v>
      </c>
      <c r="U720" s="582">
        <v>3.1246499495127615</v>
      </c>
    </row>
    <row r="721" spans="10:21">
      <c r="J721" s="580">
        <v>41610</v>
      </c>
      <c r="K721" s="581">
        <v>1.3888888888888888E-2</v>
      </c>
      <c r="L721" s="582">
        <v>11.942600000000001</v>
      </c>
      <c r="M721" s="582">
        <v>12.370100000000001</v>
      </c>
      <c r="N721" s="582">
        <v>13.204700000000001</v>
      </c>
      <c r="O721" s="582">
        <v>12.947100000000001</v>
      </c>
      <c r="P721" s="582">
        <v>98.967699999999994</v>
      </c>
      <c r="Q721" s="582">
        <v>10.119391972522955</v>
      </c>
      <c r="R721" s="582">
        <v>1.6382080274770456</v>
      </c>
      <c r="S721" s="582">
        <v>2.9007080274770463</v>
      </c>
      <c r="T721" s="582">
        <v>3.2753080274770463</v>
      </c>
      <c r="U721" s="582">
        <v>3.0977080274770454</v>
      </c>
    </row>
    <row r="722" spans="10:21">
      <c r="J722" s="580">
        <v>41611</v>
      </c>
      <c r="K722" s="581">
        <v>1.3888888888888888E-2</v>
      </c>
      <c r="L722" s="582">
        <v>11.9419</v>
      </c>
      <c r="M722" s="582">
        <v>12.374499999999999</v>
      </c>
      <c r="N722" s="582">
        <v>13.199299999999999</v>
      </c>
      <c r="O722" s="582">
        <v>12.9453</v>
      </c>
      <c r="P722" s="582">
        <v>99.040300000000002</v>
      </c>
      <c r="Q722" s="582">
        <v>10.12681528191789</v>
      </c>
      <c r="R722" s="582">
        <v>1.6300847180821099</v>
      </c>
      <c r="S722" s="582">
        <v>2.8976847180821093</v>
      </c>
      <c r="T722" s="582">
        <v>3.262484718082109</v>
      </c>
      <c r="U722" s="582">
        <v>3.0884847180821087</v>
      </c>
    </row>
    <row r="723" spans="10:21">
      <c r="J723" s="580">
        <v>41612</v>
      </c>
      <c r="K723" s="581">
        <v>1.3888888888888888E-2</v>
      </c>
      <c r="L723" s="582">
        <v>11.8871</v>
      </c>
      <c r="M723" s="582">
        <v>12.3307</v>
      </c>
      <c r="N723" s="582">
        <v>13.1488</v>
      </c>
      <c r="O723" s="582">
        <v>12.9015</v>
      </c>
      <c r="P723" s="582">
        <v>98.828299999999999</v>
      </c>
      <c r="Q723" s="582">
        <v>10.105138400489153</v>
      </c>
      <c r="R723" s="582">
        <v>1.596961599510847</v>
      </c>
      <c r="S723" s="582">
        <v>2.8755615995108474</v>
      </c>
      <c r="T723" s="582">
        <v>3.2336615995108469</v>
      </c>
      <c r="U723" s="582">
        <v>3.0663615995108469</v>
      </c>
    </row>
    <row r="724" spans="10:21">
      <c r="J724" s="580">
        <v>41613</v>
      </c>
      <c r="K724" s="581">
        <v>1.3888888888888888E-2</v>
      </c>
      <c r="L724" s="582">
        <v>11.8484</v>
      </c>
      <c r="M724" s="582">
        <v>12.2944</v>
      </c>
      <c r="N724" s="582">
        <v>13.1088</v>
      </c>
      <c r="O724" s="582">
        <v>12.8674</v>
      </c>
      <c r="P724" s="582">
        <v>98.747100000000003</v>
      </c>
      <c r="Q724" s="582">
        <v>10.096835745904183</v>
      </c>
      <c r="R724" s="582">
        <v>1.5665642540958165</v>
      </c>
      <c r="S724" s="582">
        <v>2.8475642540958166</v>
      </c>
      <c r="T724" s="582">
        <v>3.2019642540958175</v>
      </c>
      <c r="U724" s="582">
        <v>3.0405642540958162</v>
      </c>
    </row>
    <row r="725" spans="10:21">
      <c r="J725" s="580">
        <v>41614</v>
      </c>
      <c r="K725" s="581">
        <v>1.3888888888888888E-2</v>
      </c>
      <c r="L725" s="582">
        <v>11.799200000000001</v>
      </c>
      <c r="M725" s="582">
        <v>12.2476</v>
      </c>
      <c r="N725" s="582">
        <v>13.0558</v>
      </c>
      <c r="O725" s="582">
        <v>12.8201</v>
      </c>
      <c r="P725" s="582">
        <v>98.587699999999998</v>
      </c>
      <c r="Q725" s="582">
        <v>10.08053718505635</v>
      </c>
      <c r="R725" s="582">
        <v>1.5336628149436504</v>
      </c>
      <c r="S725" s="582">
        <v>2.8170628149436503</v>
      </c>
      <c r="T725" s="582">
        <v>3.1652628149436497</v>
      </c>
      <c r="U725" s="582">
        <v>3.0095628149436493</v>
      </c>
    </row>
    <row r="726" spans="10:21">
      <c r="J726" s="580">
        <v>41615</v>
      </c>
      <c r="K726" s="581">
        <v>1.3888888888888888E-2</v>
      </c>
      <c r="L726" s="582">
        <v>11.765599999999999</v>
      </c>
      <c r="M726" s="582">
        <v>12.207000000000001</v>
      </c>
      <c r="N726" s="582">
        <v>13.0121</v>
      </c>
      <c r="O726" s="582">
        <v>12.778600000000001</v>
      </c>
      <c r="P726" s="582">
        <v>98.547600000000003</v>
      </c>
      <c r="Q726" s="582">
        <v>10.076436982484216</v>
      </c>
      <c r="R726" s="582">
        <v>1.5041630175157832</v>
      </c>
      <c r="S726" s="582">
        <v>2.7805630175157852</v>
      </c>
      <c r="T726" s="582">
        <v>3.1256630175157847</v>
      </c>
      <c r="U726" s="582">
        <v>2.9721630175157845</v>
      </c>
    </row>
    <row r="727" spans="10:21">
      <c r="J727" s="580">
        <v>41616</v>
      </c>
      <c r="K727" s="581">
        <v>1.3888888888888888E-2</v>
      </c>
      <c r="L727" s="582">
        <v>11.742900000000001</v>
      </c>
      <c r="M727" s="582">
        <v>12.177</v>
      </c>
      <c r="N727" s="582">
        <v>12.9877</v>
      </c>
      <c r="O727" s="582">
        <v>12.7486</v>
      </c>
      <c r="P727" s="582">
        <v>98.595600000000005</v>
      </c>
      <c r="Q727" s="582">
        <v>10.081344955637894</v>
      </c>
      <c r="R727" s="582">
        <v>1.4765550443621067</v>
      </c>
      <c r="S727" s="582">
        <v>2.7456550443621062</v>
      </c>
      <c r="T727" s="582">
        <v>3.0963550443621068</v>
      </c>
      <c r="U727" s="582">
        <v>2.9372550443621055</v>
      </c>
    </row>
    <row r="728" spans="10:21">
      <c r="J728" s="580">
        <v>41617</v>
      </c>
      <c r="K728" s="581">
        <v>1.3888888888888888E-2</v>
      </c>
      <c r="L728" s="582">
        <v>11.7211</v>
      </c>
      <c r="M728" s="582">
        <v>12.1478</v>
      </c>
      <c r="N728" s="582">
        <v>12.967000000000001</v>
      </c>
      <c r="O728" s="582">
        <v>12.718999999999999</v>
      </c>
      <c r="P728" s="582">
        <v>98.656199999999998</v>
      </c>
      <c r="Q728" s="582">
        <v>10.087541271744408</v>
      </c>
      <c r="R728" s="582">
        <v>1.4485587282555916</v>
      </c>
      <c r="S728" s="582">
        <v>2.7102587282555923</v>
      </c>
      <c r="T728" s="582">
        <v>3.0694587282555927</v>
      </c>
      <c r="U728" s="582">
        <v>2.9014587282555908</v>
      </c>
    </row>
    <row r="729" spans="10:21">
      <c r="J729" s="580">
        <v>41618</v>
      </c>
      <c r="K729" s="581">
        <v>1.3888888888888888E-2</v>
      </c>
      <c r="L729" s="582">
        <v>11.682700000000001</v>
      </c>
      <c r="M729" s="582">
        <v>12.1007</v>
      </c>
      <c r="N729" s="582">
        <v>12.9168</v>
      </c>
      <c r="O729" s="582">
        <v>12.672499999999999</v>
      </c>
      <c r="P729" s="582">
        <v>98.5488</v>
      </c>
      <c r="Q729" s="582">
        <v>10.076559681813057</v>
      </c>
      <c r="R729" s="582">
        <v>1.4211403181869433</v>
      </c>
      <c r="S729" s="582">
        <v>2.6742403181869427</v>
      </c>
      <c r="T729" s="582">
        <v>3.0302403181869435</v>
      </c>
      <c r="U729" s="582">
        <v>2.8659403181869418</v>
      </c>
    </row>
    <row r="730" spans="10:21">
      <c r="J730" s="580">
        <v>41619</v>
      </c>
      <c r="K730" s="581">
        <v>1.3888888888888888E-2</v>
      </c>
      <c r="L730" s="582">
        <v>11.664</v>
      </c>
      <c r="M730" s="582">
        <v>12.0695</v>
      </c>
      <c r="N730" s="582">
        <v>12.8901</v>
      </c>
      <c r="O730" s="582">
        <v>12.6447</v>
      </c>
      <c r="P730" s="582">
        <v>98.627600000000001</v>
      </c>
      <c r="Q730" s="582">
        <v>10.084616937740343</v>
      </c>
      <c r="R730" s="582">
        <v>1.3943830622596569</v>
      </c>
      <c r="S730" s="582">
        <v>2.6348830622596573</v>
      </c>
      <c r="T730" s="582">
        <v>2.995483062259658</v>
      </c>
      <c r="U730" s="582">
        <v>2.8300830622596571</v>
      </c>
    </row>
    <row r="731" spans="10:21">
      <c r="J731" s="580">
        <v>41620</v>
      </c>
      <c r="K731" s="581">
        <v>1.3888888888888888E-2</v>
      </c>
      <c r="L731" s="582">
        <v>11.6214</v>
      </c>
      <c r="M731" s="582">
        <v>12.007400000000001</v>
      </c>
      <c r="N731" s="582">
        <v>12.829000000000001</v>
      </c>
      <c r="O731" s="582">
        <v>12.587899999999999</v>
      </c>
      <c r="P731" s="582">
        <v>98.448099999999997</v>
      </c>
      <c r="Q731" s="582">
        <v>10.066263163134407</v>
      </c>
      <c r="R731" s="582">
        <v>1.3701368368655928</v>
      </c>
      <c r="S731" s="582">
        <v>2.5911368368655943</v>
      </c>
      <c r="T731" s="582">
        <v>2.9527368368655944</v>
      </c>
      <c r="U731" s="582">
        <v>2.7916368368655924</v>
      </c>
    </row>
    <row r="732" spans="10:21">
      <c r="J732" s="580">
        <v>41621</v>
      </c>
      <c r="K732" s="581">
        <v>1.3888888888888888E-2</v>
      </c>
      <c r="L732" s="582">
        <v>11.606400000000001</v>
      </c>
      <c r="M732" s="582">
        <v>11.9948</v>
      </c>
      <c r="N732" s="582">
        <v>12.8127</v>
      </c>
      <c r="O732" s="582">
        <v>12.5741</v>
      </c>
      <c r="P732" s="582">
        <v>98.3369</v>
      </c>
      <c r="Q732" s="582">
        <v>10.05489302532839</v>
      </c>
      <c r="R732" s="582">
        <v>1.3665069746716108</v>
      </c>
      <c r="S732" s="582">
        <v>2.5899069746716101</v>
      </c>
      <c r="T732" s="582">
        <v>2.94780697467161</v>
      </c>
      <c r="U732" s="582">
        <v>2.7892069746716093</v>
      </c>
    </row>
    <row r="733" spans="10:21">
      <c r="J733" s="580">
        <v>41622</v>
      </c>
      <c r="K733" s="581">
        <v>1.3888888888888888E-2</v>
      </c>
      <c r="L733" s="582">
        <v>11.6614</v>
      </c>
      <c r="M733" s="582">
        <v>12.074400000000001</v>
      </c>
      <c r="N733" s="582">
        <v>12.8713</v>
      </c>
      <c r="O733" s="582">
        <v>12.644600000000001</v>
      </c>
      <c r="P733" s="582">
        <v>98.805499999999995</v>
      </c>
      <c r="Q733" s="582">
        <v>10.102807113241155</v>
      </c>
      <c r="R733" s="582">
        <v>1.3735928867588449</v>
      </c>
      <c r="S733" s="582">
        <v>2.6215928867588456</v>
      </c>
      <c r="T733" s="582">
        <v>2.9584928867588447</v>
      </c>
      <c r="U733" s="582">
        <v>2.8117928867588446</v>
      </c>
    </row>
    <row r="734" spans="10:21">
      <c r="J734" s="580">
        <v>41623</v>
      </c>
      <c r="K734" s="581">
        <v>1.3888888888888888E-2</v>
      </c>
      <c r="L734" s="582">
        <v>11.638199999999999</v>
      </c>
      <c r="M734" s="582">
        <v>12.055</v>
      </c>
      <c r="N734" s="582">
        <v>12.8575</v>
      </c>
      <c r="O734" s="582">
        <v>12.6274</v>
      </c>
      <c r="P734" s="582">
        <v>98.857299999999995</v>
      </c>
      <c r="Q734" s="582">
        <v>10.108103634269499</v>
      </c>
      <c r="R734" s="582">
        <v>1.3450963657305004</v>
      </c>
      <c r="S734" s="582">
        <v>2.5968963657305011</v>
      </c>
      <c r="T734" s="582">
        <v>2.9393963657305013</v>
      </c>
      <c r="U734" s="582">
        <v>2.7892963657305003</v>
      </c>
    </row>
    <row r="735" spans="10:21">
      <c r="J735" s="580">
        <v>41624</v>
      </c>
      <c r="K735" s="581">
        <v>1.3888888888888888E-2</v>
      </c>
      <c r="L735" s="582">
        <v>11.6175</v>
      </c>
      <c r="M735" s="582">
        <v>12.041</v>
      </c>
      <c r="N735" s="582">
        <v>12.8344</v>
      </c>
      <c r="O735" s="582">
        <v>12.6105</v>
      </c>
      <c r="P735" s="582">
        <v>98.934700000000007</v>
      </c>
      <c r="Q735" s="582">
        <v>10.116017740979803</v>
      </c>
      <c r="R735" s="582">
        <v>1.3164822590201966</v>
      </c>
      <c r="S735" s="582">
        <v>2.5749822590201976</v>
      </c>
      <c r="T735" s="582">
        <v>2.9083822590201978</v>
      </c>
      <c r="U735" s="582">
        <v>2.7644822590201965</v>
      </c>
    </row>
    <row r="736" spans="10:21">
      <c r="J736" s="580">
        <v>41625</v>
      </c>
      <c r="K736" s="581">
        <v>1.3888888888888888E-2</v>
      </c>
      <c r="L736" s="582">
        <v>11.588900000000001</v>
      </c>
      <c r="M736" s="582">
        <v>12.02</v>
      </c>
      <c r="N736" s="582">
        <v>12.807700000000001</v>
      </c>
      <c r="O736" s="582">
        <v>12.5809</v>
      </c>
      <c r="P736" s="582">
        <v>98.942300000000003</v>
      </c>
      <c r="Q736" s="582">
        <v>10.116794836729134</v>
      </c>
      <c r="R736" s="582">
        <v>1.2871051632708661</v>
      </c>
      <c r="S736" s="582">
        <v>2.5532051632708654</v>
      </c>
      <c r="T736" s="582">
        <v>2.8809051632708664</v>
      </c>
      <c r="U736" s="582">
        <v>2.7341051632708648</v>
      </c>
    </row>
    <row r="737" spans="10:21">
      <c r="J737" s="580">
        <v>41626</v>
      </c>
      <c r="K737" s="581">
        <v>1.3888888888888888E-2</v>
      </c>
      <c r="L737" s="582">
        <v>11.5489</v>
      </c>
      <c r="M737" s="582">
        <v>11.9817</v>
      </c>
      <c r="N737" s="582">
        <v>12.758800000000001</v>
      </c>
      <c r="O737" s="582">
        <v>12.530799999999999</v>
      </c>
      <c r="P737" s="582">
        <v>98.820499999999996</v>
      </c>
      <c r="Q737" s="582">
        <v>10.10434085485168</v>
      </c>
      <c r="R737" s="582">
        <v>1.2595591451483199</v>
      </c>
      <c r="S737" s="582">
        <v>2.5273591451483206</v>
      </c>
      <c r="T737" s="582">
        <v>2.8444591451483214</v>
      </c>
      <c r="U737" s="582">
        <v>2.6964591451483195</v>
      </c>
    </row>
    <row r="738" spans="10:21">
      <c r="J738" s="580">
        <v>41627</v>
      </c>
      <c r="K738" s="581">
        <v>1.3888888888888888E-2</v>
      </c>
      <c r="L738" s="582">
        <v>11.5199</v>
      </c>
      <c r="M738" s="582">
        <v>11.9475</v>
      </c>
      <c r="N738" s="582">
        <v>12.7194</v>
      </c>
      <c r="O738" s="582">
        <v>12.493399999999999</v>
      </c>
      <c r="P738" s="582">
        <v>98.814499999999995</v>
      </c>
      <c r="Q738" s="582">
        <v>10.10372735820747</v>
      </c>
      <c r="R738" s="582">
        <v>1.2311726417925297</v>
      </c>
      <c r="S738" s="582">
        <v>2.4937726417925301</v>
      </c>
      <c r="T738" s="582">
        <v>2.8056726417925306</v>
      </c>
      <c r="U738" s="582">
        <v>2.6596726417925294</v>
      </c>
    </row>
    <row r="739" spans="10:21">
      <c r="J739" s="580">
        <v>41628</v>
      </c>
      <c r="K739" s="581">
        <v>1.3888888888888888E-2</v>
      </c>
      <c r="L739" s="582">
        <v>11.5007</v>
      </c>
      <c r="M739" s="582">
        <v>11.917</v>
      </c>
      <c r="N739" s="582">
        <v>12.685</v>
      </c>
      <c r="O739" s="582">
        <v>12.4443</v>
      </c>
      <c r="P739" s="582">
        <v>98.875200000000007</v>
      </c>
      <c r="Q739" s="582">
        <v>10.109933899258058</v>
      </c>
      <c r="R739" s="582">
        <v>1.205766100741942</v>
      </c>
      <c r="S739" s="582">
        <v>2.4570661007419421</v>
      </c>
      <c r="T739" s="582">
        <v>2.7650661007419428</v>
      </c>
      <c r="U739" s="582">
        <v>2.6043661007419421</v>
      </c>
    </row>
    <row r="740" spans="10:21">
      <c r="J740" s="580">
        <v>41629</v>
      </c>
      <c r="K740" s="581">
        <v>1.3888888888888888E-2</v>
      </c>
      <c r="L740" s="582">
        <v>11.4916</v>
      </c>
      <c r="M740" s="582">
        <v>11.901199999999999</v>
      </c>
      <c r="N740" s="582">
        <v>12.6562</v>
      </c>
      <c r="O740" s="582">
        <v>12.373100000000001</v>
      </c>
      <c r="P740" s="582">
        <v>99.017099999999999</v>
      </c>
      <c r="Q740" s="582">
        <v>10.124443094893614</v>
      </c>
      <c r="R740" s="582">
        <v>1.1821569051063858</v>
      </c>
      <c r="S740" s="582">
        <v>2.4267569051063855</v>
      </c>
      <c r="T740" s="582">
        <v>2.7217569051063863</v>
      </c>
      <c r="U740" s="582">
        <v>2.5186569051063867</v>
      </c>
    </row>
    <row r="741" spans="10:21">
      <c r="J741" s="580">
        <v>41630</v>
      </c>
      <c r="K741" s="581">
        <v>1.3888888888888888E-2</v>
      </c>
      <c r="L741" s="582">
        <v>11.473699999999999</v>
      </c>
      <c r="M741" s="582">
        <v>11.8774</v>
      </c>
      <c r="N741" s="582">
        <v>12.621499999999999</v>
      </c>
      <c r="O741" s="582">
        <v>12.297499999999999</v>
      </c>
      <c r="P741" s="582">
        <v>99.110100000000003</v>
      </c>
      <c r="Q741" s="582">
        <v>10.133952292878861</v>
      </c>
      <c r="R741" s="582">
        <v>1.1547477071211376</v>
      </c>
      <c r="S741" s="582">
        <v>2.3934477071211386</v>
      </c>
      <c r="T741" s="582">
        <v>2.6775477071211382</v>
      </c>
      <c r="U741" s="582">
        <v>2.433547707121138</v>
      </c>
    </row>
    <row r="742" spans="10:21">
      <c r="J742" s="580">
        <v>41631</v>
      </c>
      <c r="K742" s="581">
        <v>1.3888888888888888E-2</v>
      </c>
      <c r="L742" s="582">
        <v>11.4518</v>
      </c>
      <c r="M742" s="582">
        <v>11.8378</v>
      </c>
      <c r="N742" s="582">
        <v>12.5916</v>
      </c>
      <c r="O742" s="582">
        <v>12.233599999999999</v>
      </c>
      <c r="P742" s="582">
        <v>99.143500000000003</v>
      </c>
      <c r="Q742" s="582">
        <v>10.137367424198295</v>
      </c>
      <c r="R742" s="582">
        <v>1.129432575801705</v>
      </c>
      <c r="S742" s="582">
        <v>2.3504325758017046</v>
      </c>
      <c r="T742" s="582">
        <v>2.6442325758017047</v>
      </c>
      <c r="U742" s="582">
        <v>2.3662325758017038</v>
      </c>
    </row>
    <row r="743" spans="10:21">
      <c r="J743" s="580">
        <v>41632</v>
      </c>
      <c r="K743" s="581">
        <v>1.3888888888888888E-2</v>
      </c>
      <c r="L743" s="582">
        <v>11.428699999999999</v>
      </c>
      <c r="M743" s="582">
        <v>11.8018</v>
      </c>
      <c r="N743" s="582">
        <v>12.563499999999999</v>
      </c>
      <c r="O743" s="582">
        <v>12.1836</v>
      </c>
      <c r="P743" s="582">
        <v>99.183199999999999</v>
      </c>
      <c r="Q743" s="582">
        <v>10.141426726994148</v>
      </c>
      <c r="R743" s="582">
        <v>1.1022732730058515</v>
      </c>
      <c r="S743" s="582">
        <v>2.3103732730058528</v>
      </c>
      <c r="T743" s="582">
        <v>2.6120732730058522</v>
      </c>
      <c r="U743" s="582">
        <v>2.3121732730058526</v>
      </c>
    </row>
    <row r="744" spans="10:21">
      <c r="J744" s="580">
        <v>41633</v>
      </c>
      <c r="K744" s="581">
        <v>1.3888888888888888E-2</v>
      </c>
      <c r="L744" s="582">
        <v>11.411300000000001</v>
      </c>
      <c r="M744" s="582">
        <v>11.7745</v>
      </c>
      <c r="N744" s="582">
        <v>12.535399999999999</v>
      </c>
      <c r="O744" s="582">
        <v>12.144600000000001</v>
      </c>
      <c r="P744" s="582">
        <v>99.247100000000003</v>
      </c>
      <c r="Q744" s="582">
        <v>10.147960466254981</v>
      </c>
      <c r="R744" s="582">
        <v>1.0783395337450199</v>
      </c>
      <c r="S744" s="582">
        <v>2.2765395337450194</v>
      </c>
      <c r="T744" s="582">
        <v>2.5774395337450189</v>
      </c>
      <c r="U744" s="582">
        <v>2.2666395337450198</v>
      </c>
    </row>
    <row r="745" spans="10:21">
      <c r="J745" s="580">
        <v>41634</v>
      </c>
      <c r="K745" s="581">
        <v>1.3888888888888888E-2</v>
      </c>
      <c r="L745" s="582">
        <v>11.3888</v>
      </c>
      <c r="M745" s="582">
        <v>11.744300000000001</v>
      </c>
      <c r="N745" s="582">
        <v>12.5075</v>
      </c>
      <c r="O745" s="582">
        <v>12.1182</v>
      </c>
      <c r="P745" s="582">
        <v>99.292299999999997</v>
      </c>
      <c r="Q745" s="582">
        <v>10.152582140974692</v>
      </c>
      <c r="R745" s="582">
        <v>1.0512178590253076</v>
      </c>
      <c r="S745" s="582">
        <v>2.2417178590253091</v>
      </c>
      <c r="T745" s="582">
        <v>2.5449178590253085</v>
      </c>
      <c r="U745" s="582">
        <v>2.2356178590253077</v>
      </c>
    </row>
    <row r="746" spans="10:21">
      <c r="J746" s="580">
        <v>41635</v>
      </c>
      <c r="K746" s="581">
        <v>1.3888888888888888E-2</v>
      </c>
      <c r="L746" s="582">
        <v>11.3439</v>
      </c>
      <c r="M746" s="582">
        <v>11.6934</v>
      </c>
      <c r="N746" s="582">
        <v>12.454800000000001</v>
      </c>
      <c r="O746" s="582">
        <v>12.0832</v>
      </c>
      <c r="P746" s="582">
        <v>99.146299999999997</v>
      </c>
      <c r="Q746" s="582">
        <v>10.137653722632258</v>
      </c>
      <c r="R746" s="582">
        <v>1.0212462773677413</v>
      </c>
      <c r="S746" s="582">
        <v>2.2057462773677425</v>
      </c>
      <c r="T746" s="582">
        <v>2.5071462773677426</v>
      </c>
      <c r="U746" s="582">
        <v>2.2155462773677415</v>
      </c>
    </row>
    <row r="747" spans="10:21">
      <c r="J747" s="580">
        <v>41636</v>
      </c>
      <c r="K747" s="581">
        <v>1.3888888888888888E-2</v>
      </c>
      <c r="L747" s="582">
        <v>11.310600000000001</v>
      </c>
      <c r="M747" s="582">
        <v>11.6531</v>
      </c>
      <c r="N747" s="582">
        <v>12.4124</v>
      </c>
      <c r="O747" s="582">
        <v>12.060700000000001</v>
      </c>
      <c r="P747" s="582">
        <v>99.108599999999996</v>
      </c>
      <c r="Q747" s="582">
        <v>10.133798918717808</v>
      </c>
      <c r="R747" s="582">
        <v>0.9918010812821928</v>
      </c>
      <c r="S747" s="582">
        <v>2.1693010812821925</v>
      </c>
      <c r="T747" s="582">
        <v>2.4686010812821921</v>
      </c>
      <c r="U747" s="582">
        <v>2.1969010812821925</v>
      </c>
    </row>
    <row r="748" spans="10:21">
      <c r="J748" s="580">
        <v>41637</v>
      </c>
      <c r="K748" s="581">
        <v>1.3888888888888888E-2</v>
      </c>
      <c r="L748" s="582">
        <v>11.2804</v>
      </c>
      <c r="M748" s="582">
        <v>11.6068</v>
      </c>
      <c r="N748" s="582">
        <v>12.3695</v>
      </c>
      <c r="O748" s="582">
        <v>12.0387</v>
      </c>
      <c r="P748" s="582">
        <v>99.061999999999998</v>
      </c>
      <c r="Q748" s="582">
        <v>10.129034094781115</v>
      </c>
      <c r="R748" s="582">
        <v>0.96636590521888499</v>
      </c>
      <c r="S748" s="582">
        <v>2.1277659052188849</v>
      </c>
      <c r="T748" s="582">
        <v>2.4304659052188855</v>
      </c>
      <c r="U748" s="582">
        <v>2.1796659052188851</v>
      </c>
    </row>
    <row r="749" spans="10:21">
      <c r="J749" s="580">
        <v>41638</v>
      </c>
      <c r="K749" s="581">
        <v>1.3888888888888888E-2</v>
      </c>
      <c r="L749" s="582">
        <v>11.2629</v>
      </c>
      <c r="M749" s="582">
        <v>11.5695</v>
      </c>
      <c r="N749" s="582">
        <v>12.333500000000001</v>
      </c>
      <c r="O749" s="582">
        <v>12.0053</v>
      </c>
      <c r="P749" s="582">
        <v>99.0779</v>
      </c>
      <c r="Q749" s="582">
        <v>10.130659860888271</v>
      </c>
      <c r="R749" s="582">
        <v>0.94724013911172966</v>
      </c>
      <c r="S749" s="582">
        <v>2.0888401391117295</v>
      </c>
      <c r="T749" s="582">
        <v>2.3928401391117307</v>
      </c>
      <c r="U749" s="582">
        <v>2.1446401391117296</v>
      </c>
    </row>
    <row r="750" spans="10:21">
      <c r="J750" s="580">
        <v>41639</v>
      </c>
      <c r="K750" s="581">
        <v>1.3888888888888888E-2</v>
      </c>
      <c r="L750" s="582">
        <v>11.2479</v>
      </c>
      <c r="M750" s="582">
        <v>11.5337</v>
      </c>
      <c r="N750" s="582">
        <v>12.295</v>
      </c>
      <c r="O750" s="582">
        <v>11.9716</v>
      </c>
      <c r="P750" s="582">
        <v>99.124899999999997</v>
      </c>
      <c r="Q750" s="582">
        <v>10.135465584601246</v>
      </c>
      <c r="R750" s="582">
        <v>0.92743441539875404</v>
      </c>
      <c r="S750" s="582">
        <v>2.0482344153987544</v>
      </c>
      <c r="T750" s="582">
        <v>2.3495344153987547</v>
      </c>
      <c r="U750" s="582">
        <v>2.1061344153987549</v>
      </c>
    </row>
    <row r="751" spans="10:21">
      <c r="J751" s="580">
        <v>41640</v>
      </c>
      <c r="K751" s="581">
        <v>1.3888888888888888E-2</v>
      </c>
      <c r="L751" s="582">
        <v>11.222200000000001</v>
      </c>
      <c r="M751" s="582">
        <v>11.484299999999999</v>
      </c>
      <c r="N751" s="582">
        <v>12.241400000000001</v>
      </c>
      <c r="O751" s="582">
        <v>11.9284</v>
      </c>
      <c r="P751" s="582">
        <v>99.075199999999995</v>
      </c>
      <c r="Q751" s="582">
        <v>10.130383787398376</v>
      </c>
      <c r="R751" s="582">
        <v>0.90681621260162493</v>
      </c>
      <c r="S751" s="582">
        <v>2.0039162126016237</v>
      </c>
      <c r="T751" s="582">
        <v>2.3010162126016249</v>
      </c>
      <c r="U751" s="582">
        <v>2.0680162126016239</v>
      </c>
    </row>
    <row r="752" spans="10:21">
      <c r="J752" s="580">
        <v>41641</v>
      </c>
      <c r="K752" s="581">
        <v>1.3888888888888888E-2</v>
      </c>
      <c r="L752" s="582">
        <v>11.199199999999999</v>
      </c>
      <c r="M752" s="582">
        <v>11.459300000000001</v>
      </c>
      <c r="N752" s="582">
        <v>12.206899999999999</v>
      </c>
      <c r="O752" s="582">
        <v>11.8926</v>
      </c>
      <c r="P752" s="582">
        <v>99.049499999999995</v>
      </c>
      <c r="Q752" s="582">
        <v>10.127755976772345</v>
      </c>
      <c r="R752" s="582">
        <v>0.88644402322765414</v>
      </c>
      <c r="S752" s="582">
        <v>1.9815440232276555</v>
      </c>
      <c r="T752" s="582">
        <v>2.2691440232276543</v>
      </c>
      <c r="U752" s="582">
        <v>2.0348440232276546</v>
      </c>
    </row>
    <row r="753" spans="10:21">
      <c r="J753" s="580">
        <v>41642</v>
      </c>
      <c r="K753" s="581">
        <v>1.3888888888888888E-2</v>
      </c>
      <c r="L753" s="582">
        <v>11.1713</v>
      </c>
      <c r="M753" s="582">
        <v>11.437799999999999</v>
      </c>
      <c r="N753" s="582">
        <v>12.1793</v>
      </c>
      <c r="O753" s="582">
        <v>11.866899999999999</v>
      </c>
      <c r="P753" s="582">
        <v>99.069800000000001</v>
      </c>
      <c r="Q753" s="582">
        <v>10.129831640418587</v>
      </c>
      <c r="R753" s="582">
        <v>0.85646835958141365</v>
      </c>
      <c r="S753" s="582">
        <v>1.9579683595814126</v>
      </c>
      <c r="T753" s="582">
        <v>2.2394683595814131</v>
      </c>
      <c r="U753" s="582">
        <v>2.0070683595814125</v>
      </c>
    </row>
    <row r="754" spans="10:21">
      <c r="J754" s="580">
        <v>41643</v>
      </c>
      <c r="K754" s="581">
        <v>1.3888888888888888E-2</v>
      </c>
      <c r="L754" s="582">
        <v>11.1372</v>
      </c>
      <c r="M754" s="582">
        <v>11.409800000000001</v>
      </c>
      <c r="N754" s="582">
        <v>12.1447</v>
      </c>
      <c r="O754" s="582">
        <v>11.835900000000001</v>
      </c>
      <c r="P754" s="582">
        <v>99.010099999999994</v>
      </c>
      <c r="Q754" s="582">
        <v>10.123727348808702</v>
      </c>
      <c r="R754" s="582">
        <v>0.82847265119129843</v>
      </c>
      <c r="S754" s="582">
        <v>1.9360726511912991</v>
      </c>
      <c r="T754" s="582">
        <v>2.210972651191299</v>
      </c>
      <c r="U754" s="582">
        <v>1.9821726511912989</v>
      </c>
    </row>
    <row r="755" spans="10:21">
      <c r="J755" s="580">
        <v>41644</v>
      </c>
      <c r="K755" s="581">
        <v>1.3888888888888888E-2</v>
      </c>
      <c r="L755" s="582">
        <v>11.092000000000001</v>
      </c>
      <c r="M755" s="582">
        <v>11.3734</v>
      </c>
      <c r="N755" s="582">
        <v>12.105499999999999</v>
      </c>
      <c r="O755" s="582">
        <v>11.805400000000001</v>
      </c>
      <c r="P755" s="582">
        <v>98.891599999999997</v>
      </c>
      <c r="Q755" s="582">
        <v>10.111610790085564</v>
      </c>
      <c r="R755" s="582">
        <v>0.79538920991443673</v>
      </c>
      <c r="S755" s="582">
        <v>1.9117892099144365</v>
      </c>
      <c r="T755" s="582">
        <v>2.1838892099144358</v>
      </c>
      <c r="U755" s="582">
        <v>1.9637892099144367</v>
      </c>
    </row>
    <row r="756" spans="10:21">
      <c r="J756" s="580">
        <v>41645</v>
      </c>
      <c r="K756" s="581">
        <v>1.3888888888888888E-2</v>
      </c>
      <c r="L756" s="582">
        <v>11.0435</v>
      </c>
      <c r="M756" s="582">
        <v>11.3309</v>
      </c>
      <c r="N756" s="582">
        <v>12.055899999999999</v>
      </c>
      <c r="O756" s="582">
        <v>11.767099999999999</v>
      </c>
      <c r="P756" s="582">
        <v>98.713099999999997</v>
      </c>
      <c r="Q756" s="582">
        <v>10.093359264920329</v>
      </c>
      <c r="R756" s="582">
        <v>0.76514073507967117</v>
      </c>
      <c r="S756" s="582">
        <v>1.8875407350796711</v>
      </c>
      <c r="T756" s="582">
        <v>2.152540735079671</v>
      </c>
      <c r="U756" s="582">
        <v>1.9437407350796705</v>
      </c>
    </row>
    <row r="757" spans="10:21">
      <c r="J757" s="580">
        <v>41646</v>
      </c>
      <c r="K757" s="581">
        <v>1.3888888888888888E-2</v>
      </c>
      <c r="L757" s="582">
        <v>11.029199999999999</v>
      </c>
      <c r="M757" s="582">
        <v>11.3215</v>
      </c>
      <c r="N757" s="582">
        <v>12.0327</v>
      </c>
      <c r="O757" s="582">
        <v>11.7553</v>
      </c>
      <c r="P757" s="582">
        <v>98.790300000000002</v>
      </c>
      <c r="Q757" s="582">
        <v>10.101252921742493</v>
      </c>
      <c r="R757" s="582">
        <v>0.74294707825750672</v>
      </c>
      <c r="S757" s="582">
        <v>1.8702470782575078</v>
      </c>
      <c r="T757" s="582">
        <v>2.1214470782575079</v>
      </c>
      <c r="U757" s="582">
        <v>1.9240470782575074</v>
      </c>
    </row>
    <row r="758" spans="10:21">
      <c r="J758" s="580">
        <v>41647</v>
      </c>
      <c r="K758" s="581">
        <v>1.3888888888888888E-2</v>
      </c>
      <c r="L758" s="582">
        <v>11.0284</v>
      </c>
      <c r="M758" s="582">
        <v>11.1205</v>
      </c>
      <c r="N758" s="582">
        <v>12.0251</v>
      </c>
      <c r="O758" s="582">
        <v>11.7547</v>
      </c>
      <c r="P758" s="582">
        <v>98.942999999999998</v>
      </c>
      <c r="Q758" s="582">
        <v>10.116866411337625</v>
      </c>
      <c r="R758" s="582">
        <v>0.72653358866237427</v>
      </c>
      <c r="S758" s="582">
        <v>1.6536335886623748</v>
      </c>
      <c r="T758" s="582">
        <v>2.0982335886623753</v>
      </c>
      <c r="U758" s="582">
        <v>1.9078335886623745</v>
      </c>
    </row>
    <row r="759" spans="10:21">
      <c r="J759" s="580">
        <v>41648</v>
      </c>
      <c r="K759" s="581">
        <v>1.3888888888888888E-2</v>
      </c>
      <c r="L759" s="582">
        <v>11.0307</v>
      </c>
      <c r="M759" s="582">
        <v>11.282500000000001</v>
      </c>
      <c r="N759" s="582">
        <v>12.0161</v>
      </c>
      <c r="O759" s="582">
        <v>11.7583</v>
      </c>
      <c r="P759" s="582">
        <v>99.020499999999998</v>
      </c>
      <c r="Q759" s="582">
        <v>10.124790742991999</v>
      </c>
      <c r="R759" s="582">
        <v>0.72090925700800002</v>
      </c>
      <c r="S759" s="582">
        <v>1.8077092570080013</v>
      </c>
      <c r="T759" s="582">
        <v>2.0813092570080007</v>
      </c>
      <c r="U759" s="582">
        <v>1.9035092570080008</v>
      </c>
    </row>
    <row r="760" spans="10:21">
      <c r="J760" s="580">
        <v>41649</v>
      </c>
      <c r="K760" s="581">
        <v>1.3888888888888888E-2</v>
      </c>
      <c r="L760" s="582">
        <v>11.014200000000001</v>
      </c>
      <c r="M760" s="582">
        <v>11.275</v>
      </c>
      <c r="N760" s="582">
        <v>11.991099999999999</v>
      </c>
      <c r="O760" s="582">
        <v>11.7423</v>
      </c>
      <c r="P760" s="582">
        <v>99.024799999999999</v>
      </c>
      <c r="Q760" s="582">
        <v>10.125230415587016</v>
      </c>
      <c r="R760" s="582">
        <v>0.70396958441298496</v>
      </c>
      <c r="S760" s="582">
        <v>1.7997695844129848</v>
      </c>
      <c r="T760" s="582">
        <v>2.0558695844129842</v>
      </c>
      <c r="U760" s="582">
        <v>1.8870695844129846</v>
      </c>
    </row>
    <row r="761" spans="10:21">
      <c r="J761" s="580">
        <v>41650</v>
      </c>
      <c r="K761" s="581">
        <v>1.3888888888888888E-2</v>
      </c>
      <c r="L761" s="582">
        <v>10.9978</v>
      </c>
      <c r="M761" s="582">
        <v>11.2539</v>
      </c>
      <c r="N761" s="582">
        <v>11.969099999999999</v>
      </c>
      <c r="O761" s="582">
        <v>11.731299999999999</v>
      </c>
      <c r="P761" s="582">
        <v>99.085099999999997</v>
      </c>
      <c r="Q761" s="582">
        <v>10.131396056861321</v>
      </c>
      <c r="R761" s="582">
        <v>0.68140394313867825</v>
      </c>
      <c r="S761" s="582">
        <v>1.7725039431386784</v>
      </c>
      <c r="T761" s="582">
        <v>2.0277039431386781</v>
      </c>
      <c r="U761" s="582">
        <v>1.8699039431386777</v>
      </c>
    </row>
    <row r="762" spans="10:21">
      <c r="J762" s="580">
        <v>41651</v>
      </c>
      <c r="K762" s="581">
        <v>1.3888888888888888E-2</v>
      </c>
      <c r="L762" s="582">
        <v>10.9771</v>
      </c>
      <c r="M762" s="582">
        <v>10.648899999999999</v>
      </c>
      <c r="N762" s="582">
        <v>11.943899999999999</v>
      </c>
      <c r="O762" s="582">
        <v>11.7189</v>
      </c>
      <c r="P762" s="582">
        <v>99.113500000000002</v>
      </c>
      <c r="Q762" s="582">
        <v>10.134299940977247</v>
      </c>
      <c r="R762" s="582">
        <v>0.65780005902275329</v>
      </c>
      <c r="S762" s="582">
        <v>1.1646000590227528</v>
      </c>
      <c r="T762" s="582">
        <v>1.9996000590227527</v>
      </c>
      <c r="U762" s="582">
        <v>1.8546000590227529</v>
      </c>
    </row>
    <row r="763" spans="10:21">
      <c r="J763" s="580">
        <v>41652</v>
      </c>
      <c r="K763" s="581">
        <v>1.3888888888888888E-2</v>
      </c>
      <c r="L763" s="582">
        <v>10.930099999999999</v>
      </c>
      <c r="M763" s="582">
        <v>10.600899999999999</v>
      </c>
      <c r="N763" s="582">
        <v>11.913399999999999</v>
      </c>
      <c r="O763" s="582">
        <v>11.6995</v>
      </c>
      <c r="P763" s="582">
        <v>99.094499999999996</v>
      </c>
      <c r="Q763" s="582">
        <v>10.132357201603917</v>
      </c>
      <c r="R763" s="582">
        <v>0.61274279839608292</v>
      </c>
      <c r="S763" s="582">
        <v>1.1185427983960829</v>
      </c>
      <c r="T763" s="582">
        <v>1.971042798396083</v>
      </c>
      <c r="U763" s="582">
        <v>1.837142798396084</v>
      </c>
    </row>
    <row r="764" spans="10:21">
      <c r="J764" s="580">
        <v>41653</v>
      </c>
      <c r="K764" s="581">
        <v>1.3888888888888888E-2</v>
      </c>
      <c r="L764" s="582">
        <v>10.8537</v>
      </c>
      <c r="M764" s="582">
        <v>10.5745</v>
      </c>
      <c r="N764" s="582">
        <v>11.8893</v>
      </c>
      <c r="O764" s="582">
        <v>11.6828</v>
      </c>
      <c r="P764" s="582">
        <v>99.110299999999995</v>
      </c>
      <c r="Q764" s="582">
        <v>10.133972742767002</v>
      </c>
      <c r="R764" s="582">
        <v>0.53472725723299819</v>
      </c>
      <c r="S764" s="582">
        <v>1.0905272572329989</v>
      </c>
      <c r="T764" s="582">
        <v>1.9453272572329989</v>
      </c>
      <c r="U764" s="582">
        <v>1.8188272572329987</v>
      </c>
    </row>
    <row r="765" spans="10:21">
      <c r="J765" s="580">
        <v>41654</v>
      </c>
      <c r="K765" s="581">
        <v>1.3888888888888888E-2</v>
      </c>
      <c r="L765" s="582">
        <v>10.7729</v>
      </c>
      <c r="M765" s="582">
        <v>10.577400000000001</v>
      </c>
      <c r="N765" s="582">
        <v>11.862299999999999</v>
      </c>
      <c r="O765" s="582">
        <v>11.664300000000001</v>
      </c>
      <c r="P765" s="582">
        <v>99.109300000000005</v>
      </c>
      <c r="Q765" s="582">
        <v>10.133870493326301</v>
      </c>
      <c r="R765" s="582">
        <v>0.45402950667369929</v>
      </c>
      <c r="S765" s="582">
        <v>1.0935295066737003</v>
      </c>
      <c r="T765" s="582">
        <v>1.9184295066736989</v>
      </c>
      <c r="U765" s="582">
        <v>1.8004295066737002</v>
      </c>
    </row>
    <row r="766" spans="10:21">
      <c r="J766" s="580">
        <v>41655</v>
      </c>
      <c r="K766" s="581">
        <v>1.3888888888888888E-2</v>
      </c>
      <c r="L766" s="582">
        <v>10.730399999999999</v>
      </c>
      <c r="M766" s="582">
        <v>10.587300000000001</v>
      </c>
      <c r="N766" s="582">
        <v>11.840299999999999</v>
      </c>
      <c r="O766" s="582">
        <v>11.652100000000001</v>
      </c>
      <c r="P766" s="582">
        <v>99.169300000000007</v>
      </c>
      <c r="Q766" s="582">
        <v>10.140005459768396</v>
      </c>
      <c r="R766" s="582">
        <v>0.40539454023160332</v>
      </c>
      <c r="S766" s="582">
        <v>1.0972945402316048</v>
      </c>
      <c r="T766" s="582">
        <v>1.8902945402316031</v>
      </c>
      <c r="U766" s="582">
        <v>1.7820945402316046</v>
      </c>
    </row>
    <row r="767" spans="10:21">
      <c r="J767" s="580">
        <v>41656</v>
      </c>
      <c r="K767" s="581">
        <v>1.3888888888888888E-2</v>
      </c>
      <c r="L767" s="582">
        <v>10.6348</v>
      </c>
      <c r="M767" s="582">
        <v>10.588100000000001</v>
      </c>
      <c r="N767" s="582">
        <v>11.815899999999999</v>
      </c>
      <c r="O767" s="582">
        <v>11.635</v>
      </c>
      <c r="P767" s="582">
        <v>99.183700000000002</v>
      </c>
      <c r="Q767" s="582">
        <v>10.1414778517145</v>
      </c>
      <c r="R767" s="582">
        <v>0.30832214828550036</v>
      </c>
      <c r="S767" s="582">
        <v>1.096622148285501</v>
      </c>
      <c r="T767" s="582">
        <v>1.8644221482854995</v>
      </c>
      <c r="U767" s="582">
        <v>1.7635221482854999</v>
      </c>
    </row>
    <row r="768" spans="10:21">
      <c r="J768" s="580">
        <v>41657</v>
      </c>
      <c r="K768" s="581">
        <v>1.3888888888888888E-2</v>
      </c>
      <c r="L768" s="582">
        <v>10.5305</v>
      </c>
      <c r="M768" s="582">
        <v>10.574299999999999</v>
      </c>
      <c r="N768" s="582">
        <v>11.7849</v>
      </c>
      <c r="O768" s="582">
        <v>11.6066</v>
      </c>
      <c r="P768" s="582">
        <v>99.0899</v>
      </c>
      <c r="Q768" s="582">
        <v>10.13188685417669</v>
      </c>
      <c r="R768" s="582">
        <v>0.21361314582330998</v>
      </c>
      <c r="S768" s="582">
        <v>1.0924131458233093</v>
      </c>
      <c r="T768" s="582">
        <v>1.8430131458233106</v>
      </c>
      <c r="U768" s="582">
        <v>1.7447131458233103</v>
      </c>
    </row>
    <row r="769" spans="10:21">
      <c r="J769" s="580">
        <v>41658</v>
      </c>
      <c r="K769" s="581">
        <v>1.3888888888888888E-2</v>
      </c>
      <c r="L769" s="582">
        <v>10.549899999999999</v>
      </c>
      <c r="M769" s="582">
        <v>10.5959</v>
      </c>
      <c r="N769" s="582">
        <v>11.7828</v>
      </c>
      <c r="O769" s="582">
        <v>11.6074</v>
      </c>
      <c r="P769" s="582">
        <v>99.297499999999999</v>
      </c>
      <c r="Q769" s="582">
        <v>10.153113838066339</v>
      </c>
      <c r="R769" s="582">
        <v>0.2117861619336599</v>
      </c>
      <c r="S769" s="582">
        <v>1.0927861619336612</v>
      </c>
      <c r="T769" s="582">
        <v>1.8196861619336608</v>
      </c>
      <c r="U769" s="582">
        <v>1.7242861619336609</v>
      </c>
    </row>
    <row r="770" spans="10:21">
      <c r="J770" s="580">
        <v>41659</v>
      </c>
      <c r="K770" s="581">
        <v>1.3888888888888888E-2</v>
      </c>
      <c r="L770" s="582">
        <v>10.549799999999999</v>
      </c>
      <c r="M770" s="582">
        <v>10.595000000000001</v>
      </c>
      <c r="N770" s="582">
        <v>11.765700000000001</v>
      </c>
      <c r="O770" s="582">
        <v>11.5931</v>
      </c>
      <c r="P770" s="582">
        <v>99.350999999999999</v>
      </c>
      <c r="Q770" s="582">
        <v>10.158584183143875</v>
      </c>
      <c r="R770" s="582">
        <v>0.20621581685612483</v>
      </c>
      <c r="S770" s="582">
        <v>1.0864158168561262</v>
      </c>
      <c r="T770" s="582">
        <v>1.7971158168561263</v>
      </c>
      <c r="U770" s="582">
        <v>1.7045158168561252</v>
      </c>
    </row>
    <row r="771" spans="10:21">
      <c r="J771" s="580">
        <v>41660</v>
      </c>
      <c r="K771" s="581">
        <v>1.3888888888888888E-2</v>
      </c>
      <c r="L771" s="582">
        <v>10.1953</v>
      </c>
      <c r="M771" s="582">
        <v>10.1907</v>
      </c>
      <c r="N771" s="582">
        <v>11.7415</v>
      </c>
      <c r="O771" s="582">
        <v>11.5703</v>
      </c>
      <c r="P771" s="582">
        <v>99.334699999999998</v>
      </c>
      <c r="Q771" s="582">
        <v>10.156917517260439</v>
      </c>
      <c r="R771" s="582">
        <v>0</v>
      </c>
      <c r="S771" s="582">
        <v>0.68378248273956088</v>
      </c>
      <c r="T771" s="582">
        <v>1.7745824827395615</v>
      </c>
      <c r="U771" s="582">
        <v>1.6833824827395607</v>
      </c>
    </row>
    <row r="772" spans="10:21">
      <c r="J772" s="580">
        <v>41661</v>
      </c>
      <c r="K772" s="581">
        <v>1.3888888888888888E-2</v>
      </c>
      <c r="L772" s="582">
        <v>10.1844</v>
      </c>
      <c r="M772" s="582">
        <v>10.174899999999999</v>
      </c>
      <c r="N772" s="582">
        <v>11.7018</v>
      </c>
      <c r="O772" s="582">
        <v>11.532500000000001</v>
      </c>
      <c r="P772" s="582">
        <v>99.1751</v>
      </c>
      <c r="Q772" s="582">
        <v>10.140598506524466</v>
      </c>
      <c r="R772" s="582">
        <v>0</v>
      </c>
      <c r="S772" s="582">
        <v>0.6843014934755336</v>
      </c>
      <c r="T772" s="582">
        <v>1.7512014934755349</v>
      </c>
      <c r="U772" s="582">
        <v>1.661901493475535</v>
      </c>
    </row>
    <row r="773" spans="10:21">
      <c r="J773" s="580">
        <v>41662</v>
      </c>
      <c r="K773" s="581">
        <v>1.3888888888888888E-2</v>
      </c>
      <c r="L773" s="582">
        <v>10.187799999999999</v>
      </c>
      <c r="M773" s="582">
        <v>10.176</v>
      </c>
      <c r="N773" s="582">
        <v>11.6831</v>
      </c>
      <c r="O773" s="582">
        <v>11.5146</v>
      </c>
      <c r="P773" s="582">
        <v>99.209900000000005</v>
      </c>
      <c r="Q773" s="582">
        <v>10.144156787060881</v>
      </c>
      <c r="R773" s="582">
        <v>0</v>
      </c>
      <c r="S773" s="582">
        <v>0.6818432129391192</v>
      </c>
      <c r="T773" s="582">
        <v>1.7289432129391187</v>
      </c>
      <c r="U773" s="582">
        <v>1.6404432129391187</v>
      </c>
    </row>
    <row r="774" spans="10:21">
      <c r="J774" s="580">
        <v>41663</v>
      </c>
      <c r="K774" s="581">
        <v>1.3888888888888888E-2</v>
      </c>
      <c r="L774" s="582">
        <v>10.1853</v>
      </c>
      <c r="M774" s="582">
        <v>10.172800000000001</v>
      </c>
      <c r="N774" s="582">
        <v>11.6577</v>
      </c>
      <c r="O774" s="582">
        <v>11.4903</v>
      </c>
      <c r="P774" s="582">
        <v>99.193899999999999</v>
      </c>
      <c r="Q774" s="582">
        <v>10.142520796009656</v>
      </c>
      <c r="R774" s="582">
        <v>0</v>
      </c>
      <c r="S774" s="582">
        <v>0.68027920399034492</v>
      </c>
      <c r="T774" s="582">
        <v>1.7051792039903446</v>
      </c>
      <c r="U774" s="582">
        <v>1.6177792039903438</v>
      </c>
    </row>
    <row r="775" spans="10:21">
      <c r="J775" s="580">
        <v>41664</v>
      </c>
      <c r="K775" s="581">
        <v>1.3888888888888888E-2</v>
      </c>
      <c r="L775" s="582">
        <v>10.1685</v>
      </c>
      <c r="M775" s="582">
        <v>10.154999999999999</v>
      </c>
      <c r="N775" s="582">
        <v>11.621</v>
      </c>
      <c r="O775" s="582">
        <v>11.4518</v>
      </c>
      <c r="P775" s="582">
        <v>99.036000000000001</v>
      </c>
      <c r="Q775" s="582">
        <v>10.126375609322874</v>
      </c>
      <c r="R775" s="582">
        <v>0</v>
      </c>
      <c r="S775" s="582">
        <v>0.67862439067712521</v>
      </c>
      <c r="T775" s="582">
        <v>1.6846243906771263</v>
      </c>
      <c r="U775" s="582">
        <v>1.5954243906771262</v>
      </c>
    </row>
    <row r="776" spans="10:21">
      <c r="J776" s="580">
        <v>41665</v>
      </c>
      <c r="K776" s="581">
        <v>1.3888888888888888E-2</v>
      </c>
      <c r="L776" s="582">
        <v>10.1722</v>
      </c>
      <c r="M776" s="582">
        <v>10.1578</v>
      </c>
      <c r="N776" s="582">
        <v>11.6004</v>
      </c>
      <c r="O776" s="582">
        <v>11.429500000000001</v>
      </c>
      <c r="P776" s="582">
        <v>99.035600000000002</v>
      </c>
      <c r="Q776" s="582">
        <v>10.126334709546594</v>
      </c>
      <c r="R776" s="582">
        <v>0</v>
      </c>
      <c r="S776" s="582">
        <v>0.6814652904534062</v>
      </c>
      <c r="T776" s="582">
        <v>1.6640652904534068</v>
      </c>
      <c r="U776" s="582">
        <v>1.573165290453407</v>
      </c>
    </row>
    <row r="777" spans="10:21">
      <c r="J777" s="580">
        <v>41666</v>
      </c>
      <c r="K777" s="581">
        <v>1.3888888888888888E-2</v>
      </c>
      <c r="L777" s="582">
        <v>10.174099999999999</v>
      </c>
      <c r="M777" s="582">
        <v>10.160399999999999</v>
      </c>
      <c r="N777" s="582">
        <v>11.579000000000001</v>
      </c>
      <c r="O777" s="582">
        <v>11.4068</v>
      </c>
      <c r="P777" s="582">
        <v>99.05</v>
      </c>
      <c r="Q777" s="582">
        <v>10.127807101492696</v>
      </c>
      <c r="R777" s="582">
        <v>0</v>
      </c>
      <c r="S777" s="582">
        <v>0.68259289850730354</v>
      </c>
      <c r="T777" s="582">
        <v>1.641192898507305</v>
      </c>
      <c r="U777" s="582">
        <v>1.5489928985073047</v>
      </c>
    </row>
    <row r="778" spans="10:21">
      <c r="J778" s="580">
        <v>41667</v>
      </c>
      <c r="K778" s="581">
        <v>1.3888888888888888E-2</v>
      </c>
      <c r="L778" s="582">
        <v>10.1693</v>
      </c>
      <c r="M778" s="582">
        <v>10.1572</v>
      </c>
      <c r="N778" s="582">
        <v>11.5566</v>
      </c>
      <c r="O778" s="582">
        <v>11.382199999999999</v>
      </c>
      <c r="P778" s="582">
        <v>99.035200000000003</v>
      </c>
      <c r="Q778" s="582">
        <v>10.126293809770313</v>
      </c>
      <c r="R778" s="582">
        <v>0</v>
      </c>
      <c r="S778" s="582">
        <v>0.68090619022968624</v>
      </c>
      <c r="T778" s="582">
        <v>1.6203061902296862</v>
      </c>
      <c r="U778" s="582">
        <v>1.5259061902296858</v>
      </c>
    </row>
    <row r="779" spans="10:21">
      <c r="J779" s="580">
        <v>41668</v>
      </c>
      <c r="K779" s="581">
        <v>1.3888888888888888E-2</v>
      </c>
      <c r="L779" s="582">
        <v>10.1724</v>
      </c>
      <c r="M779" s="582">
        <v>10.159599999999999</v>
      </c>
      <c r="N779" s="582">
        <v>11.537699999999999</v>
      </c>
      <c r="O779" s="582">
        <v>11.3612</v>
      </c>
      <c r="P779" s="582">
        <v>99.058499999999995</v>
      </c>
      <c r="Q779" s="582">
        <v>10.12867622173866</v>
      </c>
      <c r="R779" s="582">
        <v>0</v>
      </c>
      <c r="S779" s="582">
        <v>0.68092377826133954</v>
      </c>
      <c r="T779" s="582">
        <v>1.5990237782613395</v>
      </c>
      <c r="U779" s="582">
        <v>1.5025237782613403</v>
      </c>
    </row>
    <row r="780" spans="10:21">
      <c r="J780" s="580">
        <v>41669</v>
      </c>
      <c r="K780" s="581">
        <v>1.3888888888888888E-2</v>
      </c>
      <c r="L780" s="582">
        <v>10.181100000000001</v>
      </c>
      <c r="M780" s="582">
        <v>10.1676</v>
      </c>
      <c r="N780" s="582">
        <v>11.5238</v>
      </c>
      <c r="O780" s="582">
        <v>11.343500000000001</v>
      </c>
      <c r="P780" s="582">
        <v>99.131500000000003</v>
      </c>
      <c r="Q780" s="582">
        <v>10.136140430909876</v>
      </c>
      <c r="R780" s="582">
        <v>0</v>
      </c>
      <c r="S780" s="582">
        <v>0.6814595690901244</v>
      </c>
      <c r="T780" s="582">
        <v>1.5776595690901238</v>
      </c>
      <c r="U780" s="582">
        <v>1.4773595690901247</v>
      </c>
    </row>
    <row r="781" spans="10:21">
      <c r="J781" s="580">
        <v>41670</v>
      </c>
      <c r="K781" s="581">
        <v>1.3888888888888888E-2</v>
      </c>
      <c r="L781" s="582">
        <v>10.1797</v>
      </c>
      <c r="M781" s="582">
        <v>10.1662</v>
      </c>
      <c r="N781" s="582">
        <v>11.500299999999999</v>
      </c>
      <c r="O781" s="582">
        <v>11.317299999999999</v>
      </c>
      <c r="P781" s="582">
        <v>99.121399999999994</v>
      </c>
      <c r="Q781" s="582">
        <v>10.135107711558788</v>
      </c>
      <c r="R781" s="582">
        <v>0</v>
      </c>
      <c r="S781" s="582">
        <v>0.68109228844121161</v>
      </c>
      <c r="T781" s="582">
        <v>1.555192288441211</v>
      </c>
      <c r="U781" s="582">
        <v>1.4521922884412111</v>
      </c>
    </row>
    <row r="782" spans="10:21">
      <c r="J782" s="580">
        <v>41671</v>
      </c>
      <c r="K782" s="581">
        <v>1.3888888888888888E-2</v>
      </c>
      <c r="L782" s="582">
        <v>10.1625</v>
      </c>
      <c r="M782" s="582">
        <v>10.1488</v>
      </c>
      <c r="N782" s="582">
        <v>11.4649</v>
      </c>
      <c r="O782" s="582">
        <v>11.2768</v>
      </c>
      <c r="P782" s="582">
        <v>98.961200000000005</v>
      </c>
      <c r="Q782" s="582">
        <v>10.118727351158395</v>
      </c>
      <c r="R782" s="582">
        <v>0</v>
      </c>
      <c r="S782" s="582">
        <v>0.68007264884160512</v>
      </c>
      <c r="T782" s="582">
        <v>1.5361726488416054</v>
      </c>
      <c r="U782" s="582">
        <v>1.4280726488416051</v>
      </c>
    </row>
    <row r="783" spans="10:21">
      <c r="J783" s="580">
        <v>41672</v>
      </c>
      <c r="K783" s="581">
        <v>1.3888888888888888E-2</v>
      </c>
      <c r="L783" s="582">
        <v>10.1752</v>
      </c>
      <c r="M783" s="582">
        <v>10.161300000000001</v>
      </c>
      <c r="N783" s="582">
        <v>11.456099999999999</v>
      </c>
      <c r="O783" s="582">
        <v>11.263299999999999</v>
      </c>
      <c r="P783" s="582">
        <v>99.085099999999997</v>
      </c>
      <c r="Q783" s="582">
        <v>10.131396056861321</v>
      </c>
      <c r="R783" s="582">
        <v>0</v>
      </c>
      <c r="S783" s="582">
        <v>0.6799039431386793</v>
      </c>
      <c r="T783" s="582">
        <v>1.5147039431386777</v>
      </c>
      <c r="U783" s="582">
        <v>1.4019039431386777</v>
      </c>
    </row>
    <row r="784" spans="10:21">
      <c r="J784" s="580">
        <v>41673</v>
      </c>
      <c r="K784" s="581">
        <v>1.3888888888888888E-2</v>
      </c>
      <c r="L784" s="582">
        <v>10.157999999999999</v>
      </c>
      <c r="M784" s="582">
        <v>10.1442</v>
      </c>
      <c r="N784" s="582">
        <v>11.4199</v>
      </c>
      <c r="O784" s="582">
        <v>11.2232</v>
      </c>
      <c r="P784" s="582">
        <v>98.913899999999998</v>
      </c>
      <c r="Q784" s="582">
        <v>10.113890952613209</v>
      </c>
      <c r="R784" s="582">
        <v>0</v>
      </c>
      <c r="S784" s="582">
        <v>0.68030904738679054</v>
      </c>
      <c r="T784" s="582">
        <v>1.4960090473867909</v>
      </c>
      <c r="U784" s="582">
        <v>1.3793090473867911</v>
      </c>
    </row>
    <row r="785" spans="10:21">
      <c r="J785" s="580">
        <v>41674</v>
      </c>
      <c r="K785" s="581">
        <v>1.3888888888888888E-2</v>
      </c>
      <c r="L785" s="582">
        <v>10.146599999999999</v>
      </c>
      <c r="M785" s="582">
        <v>10.1342</v>
      </c>
      <c r="N785" s="582">
        <v>11.386699999999999</v>
      </c>
      <c r="O785" s="582">
        <v>11.1884</v>
      </c>
      <c r="P785" s="582">
        <v>98.812299999999993</v>
      </c>
      <c r="Q785" s="582">
        <v>10.103502409437926</v>
      </c>
      <c r="R785" s="582">
        <v>0</v>
      </c>
      <c r="S785" s="582">
        <v>0.68069759056207402</v>
      </c>
      <c r="T785" s="582">
        <v>1.4731975905620733</v>
      </c>
      <c r="U785" s="582">
        <v>1.3548975905620737</v>
      </c>
    </row>
    <row r="786" spans="10:21">
      <c r="J786" s="580">
        <v>41675</v>
      </c>
      <c r="K786" s="581">
        <v>1.3888888888888888E-2</v>
      </c>
      <c r="L786" s="582">
        <v>10.1372</v>
      </c>
      <c r="M786" s="582">
        <v>10.1244</v>
      </c>
      <c r="N786" s="582">
        <v>11.3544</v>
      </c>
      <c r="O786" s="582">
        <v>11.1515</v>
      </c>
      <c r="P786" s="582">
        <v>98.693100000000001</v>
      </c>
      <c r="Q786" s="582">
        <v>10.091314276106297</v>
      </c>
      <c r="R786" s="582">
        <v>0</v>
      </c>
      <c r="S786" s="582">
        <v>0.68308572389370226</v>
      </c>
      <c r="T786" s="582">
        <v>1.4530857238937025</v>
      </c>
      <c r="U786" s="582">
        <v>1.3301857238937029</v>
      </c>
    </row>
    <row r="787" spans="10:21">
      <c r="J787" s="580">
        <v>41676</v>
      </c>
      <c r="K787" s="581">
        <v>1.3888888888888888E-2</v>
      </c>
      <c r="L787" s="582">
        <v>10.146100000000001</v>
      </c>
      <c r="M787" s="582">
        <v>10.132899999999999</v>
      </c>
      <c r="N787" s="582">
        <v>11.3415</v>
      </c>
      <c r="O787" s="582">
        <v>11.136900000000001</v>
      </c>
      <c r="P787" s="582">
        <v>98.785399999999996</v>
      </c>
      <c r="Q787" s="582">
        <v>10.100751899483054</v>
      </c>
      <c r="R787" s="582">
        <v>0</v>
      </c>
      <c r="S787" s="582">
        <v>0.68214810051694541</v>
      </c>
      <c r="T787" s="582">
        <v>1.4307481005169458</v>
      </c>
      <c r="U787" s="582">
        <v>1.3061481005169466</v>
      </c>
    </row>
    <row r="788" spans="10:21">
      <c r="J788" s="580">
        <v>41677</v>
      </c>
      <c r="K788" s="581">
        <v>1.3888888888888888E-2</v>
      </c>
      <c r="L788" s="582">
        <v>10.1394</v>
      </c>
      <c r="M788" s="582">
        <v>10.126300000000001</v>
      </c>
      <c r="N788" s="582">
        <v>11.313700000000001</v>
      </c>
      <c r="O788" s="582">
        <v>11.1081</v>
      </c>
      <c r="P788" s="582">
        <v>98.710800000000006</v>
      </c>
      <c r="Q788" s="582">
        <v>10.093124091206716</v>
      </c>
      <c r="R788" s="582">
        <v>0</v>
      </c>
      <c r="S788" s="582">
        <v>0.68317590879328427</v>
      </c>
      <c r="T788" s="582">
        <v>1.4105759087932843</v>
      </c>
      <c r="U788" s="582">
        <v>1.2849759087932839</v>
      </c>
    </row>
    <row r="789" spans="10:21">
      <c r="J789" s="580">
        <v>41678</v>
      </c>
      <c r="K789" s="581">
        <v>1.3888888888888888E-2</v>
      </c>
      <c r="L789" s="582">
        <v>10.1478</v>
      </c>
      <c r="M789" s="582">
        <v>10.136100000000001</v>
      </c>
      <c r="N789" s="582">
        <v>11.301299999999999</v>
      </c>
      <c r="O789" s="582">
        <v>11.0936</v>
      </c>
      <c r="P789" s="582">
        <v>98.799199999999999</v>
      </c>
      <c r="Q789" s="582">
        <v>10.102162941764737</v>
      </c>
      <c r="R789" s="582">
        <v>0</v>
      </c>
      <c r="S789" s="582">
        <v>0.68393705823526374</v>
      </c>
      <c r="T789" s="582">
        <v>1.3891370582352622</v>
      </c>
      <c r="U789" s="582">
        <v>1.2614370582352632</v>
      </c>
    </row>
    <row r="790" spans="10:21">
      <c r="J790" s="580">
        <v>41679</v>
      </c>
      <c r="K790" s="581">
        <v>1.3888888888888888E-2</v>
      </c>
      <c r="L790" s="582">
        <v>10.136799999999999</v>
      </c>
      <c r="M790" s="582">
        <v>10.123900000000001</v>
      </c>
      <c r="N790" s="582">
        <v>11.267899999999999</v>
      </c>
      <c r="O790" s="582">
        <v>11.057399999999999</v>
      </c>
      <c r="P790" s="582">
        <v>98.691100000000006</v>
      </c>
      <c r="Q790" s="582">
        <v>10.091109777224895</v>
      </c>
      <c r="R790" s="582">
        <v>0</v>
      </c>
      <c r="S790" s="582">
        <v>0.68279022277510548</v>
      </c>
      <c r="T790" s="582">
        <v>1.3667902227751036</v>
      </c>
      <c r="U790" s="582">
        <v>1.236290222775104</v>
      </c>
    </row>
    <row r="791" spans="10:21">
      <c r="J791" s="580">
        <v>41680</v>
      </c>
      <c r="K791" s="581">
        <v>1.3888888888888888E-2</v>
      </c>
      <c r="L791" s="582">
        <v>10.1425</v>
      </c>
      <c r="M791" s="582">
        <v>10.129799999999999</v>
      </c>
      <c r="N791" s="582">
        <v>11.2524</v>
      </c>
      <c r="O791" s="582">
        <v>11.036799999999999</v>
      </c>
      <c r="P791" s="582">
        <v>98.733800000000002</v>
      </c>
      <c r="Q791" s="582">
        <v>10.095475828342853</v>
      </c>
      <c r="R791" s="582">
        <v>0</v>
      </c>
      <c r="S791" s="582">
        <v>0.6843241716571471</v>
      </c>
      <c r="T791" s="582">
        <v>1.3469241716571472</v>
      </c>
      <c r="U791" s="582">
        <v>1.211324171657147</v>
      </c>
    </row>
    <row r="792" spans="10:21">
      <c r="J792" s="580">
        <v>41681</v>
      </c>
      <c r="K792" s="581">
        <v>1.3888888888888888E-2</v>
      </c>
      <c r="L792" s="582">
        <v>10.141</v>
      </c>
      <c r="M792" s="582">
        <v>10.1281</v>
      </c>
      <c r="N792" s="582">
        <v>11.229699999999999</v>
      </c>
      <c r="O792" s="582">
        <v>11.0075</v>
      </c>
      <c r="P792" s="582">
        <v>98.721199999999996</v>
      </c>
      <c r="Q792" s="582">
        <v>10.094187485390012</v>
      </c>
      <c r="R792" s="582">
        <v>0</v>
      </c>
      <c r="S792" s="582">
        <v>0.68391251460998759</v>
      </c>
      <c r="T792" s="582">
        <v>1.3255125146099869</v>
      </c>
      <c r="U792" s="582">
        <v>1.1833125146099879</v>
      </c>
    </row>
    <row r="793" spans="10:21">
      <c r="J793" s="580">
        <v>41682</v>
      </c>
      <c r="K793" s="581">
        <v>1.3888888888888888E-2</v>
      </c>
      <c r="L793" s="582">
        <v>10.124599999999999</v>
      </c>
      <c r="M793" s="582">
        <v>10.1105</v>
      </c>
      <c r="N793" s="582">
        <v>11.194599999999999</v>
      </c>
      <c r="O793" s="582">
        <v>10.9678</v>
      </c>
      <c r="P793" s="582">
        <v>98.581500000000005</v>
      </c>
      <c r="Q793" s="582">
        <v>10.079903238524</v>
      </c>
      <c r="R793" s="582">
        <v>0</v>
      </c>
      <c r="S793" s="582">
        <v>0.68059676147599979</v>
      </c>
      <c r="T793" s="582">
        <v>1.304696761475999</v>
      </c>
      <c r="U793" s="582">
        <v>1.1578967614760001</v>
      </c>
    </row>
    <row r="794" spans="10:21">
      <c r="J794" s="580">
        <v>41683</v>
      </c>
      <c r="K794" s="581">
        <v>1.3888888888888888E-2</v>
      </c>
      <c r="L794" s="582">
        <v>10.1442</v>
      </c>
      <c r="M794" s="582">
        <v>10.130000000000001</v>
      </c>
      <c r="N794" s="582">
        <v>11.192600000000001</v>
      </c>
      <c r="O794" s="582">
        <v>10.960900000000001</v>
      </c>
      <c r="P794" s="582">
        <v>98.755899999999997</v>
      </c>
      <c r="Q794" s="582">
        <v>10.097735540982358</v>
      </c>
      <c r="R794" s="582">
        <v>0</v>
      </c>
      <c r="S794" s="582">
        <v>0.68226445901764321</v>
      </c>
      <c r="T794" s="582">
        <v>1.2848644590176428</v>
      </c>
      <c r="U794" s="582">
        <v>1.1331644590176428</v>
      </c>
    </row>
    <row r="795" spans="10:21">
      <c r="J795" s="580">
        <v>41684</v>
      </c>
      <c r="K795" s="581">
        <v>1.3888888888888888E-2</v>
      </c>
      <c r="L795" s="582">
        <v>10.163</v>
      </c>
      <c r="M795" s="582">
        <v>10.1495</v>
      </c>
      <c r="N795" s="582">
        <v>11.1882</v>
      </c>
      <c r="O795" s="582">
        <v>10.951599999999999</v>
      </c>
      <c r="P795" s="582">
        <v>98.943600000000004</v>
      </c>
      <c r="Q795" s="582">
        <v>10.116927761002048</v>
      </c>
      <c r="R795" s="582">
        <v>0</v>
      </c>
      <c r="S795" s="582">
        <v>0.68257223899795227</v>
      </c>
      <c r="T795" s="582">
        <v>1.2612722389979525</v>
      </c>
      <c r="U795" s="582">
        <v>1.1046722389979515</v>
      </c>
    </row>
    <row r="796" spans="10:21">
      <c r="J796" s="580">
        <v>41685</v>
      </c>
      <c r="K796" s="581">
        <v>1.3888888888888888E-2</v>
      </c>
      <c r="L796" s="582">
        <v>10.154299999999999</v>
      </c>
      <c r="M796" s="582">
        <v>10.1396</v>
      </c>
      <c r="N796" s="582">
        <v>11.1599</v>
      </c>
      <c r="O796" s="582">
        <v>10.9171</v>
      </c>
      <c r="P796" s="582">
        <v>98.855000000000004</v>
      </c>
      <c r="Q796" s="582">
        <v>10.107868460555887</v>
      </c>
      <c r="R796" s="582">
        <v>0</v>
      </c>
      <c r="S796" s="582">
        <v>0.68173153944411324</v>
      </c>
      <c r="T796" s="582">
        <v>1.2420315394441137</v>
      </c>
      <c r="U796" s="582">
        <v>1.079231539444113</v>
      </c>
    </row>
    <row r="797" spans="10:21">
      <c r="J797" s="580">
        <v>41686</v>
      </c>
      <c r="K797" s="581">
        <v>1.3888888888888888E-2</v>
      </c>
      <c r="L797" s="582">
        <v>10.1363</v>
      </c>
      <c r="M797" s="582">
        <v>10.1189</v>
      </c>
      <c r="N797" s="582">
        <v>11.123200000000001</v>
      </c>
      <c r="O797" s="582">
        <v>10.8765</v>
      </c>
      <c r="P797" s="582">
        <v>98.690299999999993</v>
      </c>
      <c r="Q797" s="582">
        <v>10.091027977672333</v>
      </c>
      <c r="R797" s="582">
        <v>0</v>
      </c>
      <c r="S797" s="582">
        <v>0.6778720223276673</v>
      </c>
      <c r="T797" s="582">
        <v>1.2221720223276678</v>
      </c>
      <c r="U797" s="582">
        <v>1.0554720223276672</v>
      </c>
    </row>
    <row r="798" spans="10:21">
      <c r="J798" s="580">
        <v>41687</v>
      </c>
      <c r="K798" s="581">
        <v>1.3888888888888888E-2</v>
      </c>
      <c r="L798" s="582">
        <v>10.1508</v>
      </c>
      <c r="M798" s="582">
        <v>10.1332</v>
      </c>
      <c r="N798" s="582">
        <v>11.1188</v>
      </c>
      <c r="O798" s="582">
        <v>10.868499999999999</v>
      </c>
      <c r="P798" s="582">
        <v>98.850999999999999</v>
      </c>
      <c r="Q798" s="582">
        <v>10.107459462793079</v>
      </c>
      <c r="R798" s="582">
        <v>0</v>
      </c>
      <c r="S798" s="582">
        <v>0.67574053720692162</v>
      </c>
      <c r="T798" s="582">
        <v>1.2013405372069212</v>
      </c>
      <c r="U798" s="582">
        <v>1.0310405372069202</v>
      </c>
    </row>
    <row r="799" spans="10:21">
      <c r="J799" s="580">
        <v>41688</v>
      </c>
      <c r="K799" s="581">
        <v>1.3888888888888888E-2</v>
      </c>
      <c r="L799" s="582">
        <v>10.1713</v>
      </c>
      <c r="M799" s="582">
        <v>10.154400000000001</v>
      </c>
      <c r="N799" s="582">
        <v>11.1168</v>
      </c>
      <c r="O799" s="582">
        <v>10.862500000000001</v>
      </c>
      <c r="P799" s="582">
        <v>99.049099999999996</v>
      </c>
      <c r="Q799" s="582">
        <v>10.127715076996065</v>
      </c>
      <c r="R799" s="582">
        <v>0</v>
      </c>
      <c r="S799" s="582">
        <v>0.67668492300393601</v>
      </c>
      <c r="T799" s="582">
        <v>1.1790849230039346</v>
      </c>
      <c r="U799" s="582">
        <v>1.0047849230039358</v>
      </c>
    </row>
    <row r="800" spans="10:21">
      <c r="J800" s="580">
        <v>41689</v>
      </c>
      <c r="K800" s="581">
        <v>1.3888888888888888E-2</v>
      </c>
      <c r="L800" s="582">
        <v>10.175800000000001</v>
      </c>
      <c r="M800" s="582">
        <v>10.158200000000001</v>
      </c>
      <c r="N800" s="582">
        <v>11.1081</v>
      </c>
      <c r="O800" s="582">
        <v>10.849600000000001</v>
      </c>
      <c r="P800" s="582">
        <v>99.101600000000005</v>
      </c>
      <c r="Q800" s="582">
        <v>10.133083172632899</v>
      </c>
      <c r="R800" s="582">
        <v>0</v>
      </c>
      <c r="S800" s="582">
        <v>0.67511682736710177</v>
      </c>
      <c r="T800" s="582">
        <v>1.1650168273671011</v>
      </c>
      <c r="U800" s="582">
        <v>0.98651682736710145</v>
      </c>
    </row>
    <row r="801" spans="10:21">
      <c r="J801" s="580">
        <v>41690</v>
      </c>
      <c r="K801" s="581">
        <v>1.3888888888888888E-2</v>
      </c>
      <c r="L801" s="582">
        <v>10.1608</v>
      </c>
      <c r="M801" s="582">
        <v>10.144299999999999</v>
      </c>
      <c r="N801" s="582">
        <v>11.0733</v>
      </c>
      <c r="O801" s="582">
        <v>10.812200000000001</v>
      </c>
      <c r="P801" s="582">
        <v>98.971599999999995</v>
      </c>
      <c r="Q801" s="582">
        <v>10.119790745341691</v>
      </c>
      <c r="R801" s="582">
        <v>0</v>
      </c>
      <c r="S801" s="582">
        <v>0.67450925465830891</v>
      </c>
      <c r="T801" s="582">
        <v>1.143509254658309</v>
      </c>
      <c r="U801" s="582">
        <v>0.96240925465831006</v>
      </c>
    </row>
    <row r="802" spans="10:21">
      <c r="J802" s="580">
        <v>41691</v>
      </c>
      <c r="K802" s="581">
        <v>1.3888888888888888E-2</v>
      </c>
      <c r="L802" s="582">
        <v>10.1784</v>
      </c>
      <c r="M802" s="582">
        <v>10.161300000000001</v>
      </c>
      <c r="N802" s="582">
        <v>11.0694</v>
      </c>
      <c r="O802" s="582">
        <v>10.684900000000001</v>
      </c>
      <c r="P802" s="582">
        <v>99.129800000000003</v>
      </c>
      <c r="Q802" s="582">
        <v>10.135966606860684</v>
      </c>
      <c r="R802" s="582">
        <v>0</v>
      </c>
      <c r="S802" s="582">
        <v>0.67533339313931662</v>
      </c>
      <c r="T802" s="582">
        <v>1.1234333931393157</v>
      </c>
      <c r="U802" s="582">
        <v>0.81893339313931657</v>
      </c>
    </row>
    <row r="803" spans="10:21">
      <c r="J803" s="580">
        <v>41692</v>
      </c>
      <c r="K803" s="581">
        <v>1.3888888888888888E-2</v>
      </c>
      <c r="L803" s="582">
        <v>10.1782</v>
      </c>
      <c r="M803" s="582">
        <v>10.161300000000001</v>
      </c>
      <c r="N803" s="582">
        <v>11.0474</v>
      </c>
      <c r="O803" s="582">
        <v>10.6142</v>
      </c>
      <c r="P803" s="582">
        <v>99.110900000000001</v>
      </c>
      <c r="Q803" s="582">
        <v>10.134034092431422</v>
      </c>
      <c r="R803" s="582">
        <v>0</v>
      </c>
      <c r="S803" s="582">
        <v>0.67726590756857852</v>
      </c>
      <c r="T803" s="582">
        <v>1.1033659075685773</v>
      </c>
      <c r="U803" s="582">
        <v>0.75016590756857804</v>
      </c>
    </row>
    <row r="804" spans="10:21">
      <c r="J804" s="580">
        <v>41693</v>
      </c>
      <c r="K804" s="581">
        <v>1.3888888888888888E-2</v>
      </c>
      <c r="L804" s="582">
        <v>10.1729</v>
      </c>
      <c r="M804" s="582">
        <v>10.154400000000001</v>
      </c>
      <c r="N804" s="582">
        <v>11.022</v>
      </c>
      <c r="O804" s="582">
        <v>10.5382</v>
      </c>
      <c r="P804" s="582">
        <v>99.063100000000006</v>
      </c>
      <c r="Q804" s="582">
        <v>10.129146569165888</v>
      </c>
      <c r="R804" s="582">
        <v>0</v>
      </c>
      <c r="S804" s="582">
        <v>0.67525343083411271</v>
      </c>
      <c r="T804" s="582">
        <v>1.082853430834112</v>
      </c>
      <c r="U804" s="582">
        <v>0.67905343083411163</v>
      </c>
    </row>
    <row r="805" spans="10:21">
      <c r="J805" s="580">
        <v>41694</v>
      </c>
      <c r="K805" s="581">
        <v>1.3888888888888888E-2</v>
      </c>
      <c r="L805" s="582">
        <v>10.171900000000001</v>
      </c>
      <c r="M805" s="582">
        <v>10.155900000000001</v>
      </c>
      <c r="N805" s="582">
        <v>11.0025</v>
      </c>
      <c r="O805" s="582">
        <v>10.5388</v>
      </c>
      <c r="P805" s="582">
        <v>99.066999999999993</v>
      </c>
      <c r="Q805" s="582">
        <v>10.129545341984622</v>
      </c>
      <c r="R805" s="582">
        <v>0</v>
      </c>
      <c r="S805" s="582">
        <v>0.67635465801537875</v>
      </c>
      <c r="T805" s="582">
        <v>1.0629546580153773</v>
      </c>
      <c r="U805" s="582">
        <v>0.67925465801537799</v>
      </c>
    </row>
    <row r="806" spans="10:21">
      <c r="J806" s="580">
        <v>41695</v>
      </c>
      <c r="K806" s="581">
        <v>1.3888888888888888E-2</v>
      </c>
      <c r="L806" s="582">
        <v>10.176500000000001</v>
      </c>
      <c r="M806" s="582">
        <v>10.163</v>
      </c>
      <c r="N806" s="582">
        <v>10.9948</v>
      </c>
      <c r="O806" s="582">
        <v>10.5509</v>
      </c>
      <c r="P806" s="582">
        <v>99.118600000000001</v>
      </c>
      <c r="Q806" s="582">
        <v>10.134821413124826</v>
      </c>
      <c r="R806" s="582">
        <v>0</v>
      </c>
      <c r="S806" s="582">
        <v>0.67817858687517485</v>
      </c>
      <c r="T806" s="582">
        <v>1.0499785868751741</v>
      </c>
      <c r="U806" s="582">
        <v>0.68607858687517487</v>
      </c>
    </row>
    <row r="807" spans="10:21">
      <c r="J807" s="580">
        <v>41696</v>
      </c>
      <c r="K807" s="581">
        <v>1.3888888888888888E-2</v>
      </c>
      <c r="L807" s="582">
        <v>10.1784</v>
      </c>
      <c r="M807" s="582">
        <v>10.1648</v>
      </c>
      <c r="N807" s="582">
        <v>10.9733</v>
      </c>
      <c r="O807" s="582">
        <v>10.543699999999999</v>
      </c>
      <c r="P807" s="582">
        <v>99.1387</v>
      </c>
      <c r="Q807" s="582">
        <v>10.136876626882927</v>
      </c>
      <c r="R807" s="582">
        <v>0</v>
      </c>
      <c r="S807" s="582">
        <v>0.67792337311707285</v>
      </c>
      <c r="T807" s="582">
        <v>1.0264233731170731</v>
      </c>
      <c r="U807" s="582">
        <v>0.67682337311707252</v>
      </c>
    </row>
    <row r="808" spans="10:21">
      <c r="J808" s="580">
        <v>41697</v>
      </c>
      <c r="K808" s="581">
        <v>1.3888888888888888E-2</v>
      </c>
      <c r="L808" s="582">
        <v>10.1724</v>
      </c>
      <c r="M808" s="582">
        <v>10.1585</v>
      </c>
      <c r="N808" s="582">
        <v>10.944599999999999</v>
      </c>
      <c r="O808" s="582">
        <v>10.5375</v>
      </c>
      <c r="P808" s="582">
        <v>99.076499999999996</v>
      </c>
      <c r="Q808" s="582">
        <v>10.130516711671287</v>
      </c>
      <c r="R808" s="582">
        <v>0</v>
      </c>
      <c r="S808" s="582">
        <v>0.67798328832871291</v>
      </c>
      <c r="T808" s="582">
        <v>1.0040832883287121</v>
      </c>
      <c r="U808" s="582">
        <v>0.67698328832871235</v>
      </c>
    </row>
    <row r="809" spans="10:21">
      <c r="J809" s="580">
        <v>41698</v>
      </c>
      <c r="K809" s="581">
        <v>1.3888888888888888E-2</v>
      </c>
      <c r="L809" s="582">
        <v>10.168900000000001</v>
      </c>
      <c r="M809" s="582">
        <v>10.1546</v>
      </c>
      <c r="N809" s="582">
        <v>10.9175</v>
      </c>
      <c r="O809" s="582">
        <v>10.5291</v>
      </c>
      <c r="P809" s="582">
        <v>99.029600000000002</v>
      </c>
      <c r="Q809" s="582">
        <v>10.125721212902384</v>
      </c>
      <c r="R809" s="582">
        <v>0</v>
      </c>
      <c r="S809" s="582">
        <v>0.67887878709761629</v>
      </c>
      <c r="T809" s="582">
        <v>0.98177878709761635</v>
      </c>
      <c r="U809" s="582">
        <v>0.67337878709761556</v>
      </c>
    </row>
    <row r="810" spans="10:21">
      <c r="J810" s="580">
        <v>41699</v>
      </c>
      <c r="K810" s="581">
        <v>1.3888888888888888E-2</v>
      </c>
      <c r="L810" s="582">
        <v>10.1584</v>
      </c>
      <c r="M810" s="582">
        <v>10.1435</v>
      </c>
      <c r="N810" s="582">
        <v>10.8858</v>
      </c>
      <c r="O810" s="582">
        <v>10.519500000000001</v>
      </c>
      <c r="P810" s="582">
        <v>98.927099999999996</v>
      </c>
      <c r="Q810" s="582">
        <v>10.11524064523047</v>
      </c>
      <c r="R810" s="582">
        <v>0</v>
      </c>
      <c r="S810" s="582">
        <v>0.6782593547695297</v>
      </c>
      <c r="T810" s="582">
        <v>0.96055935476952981</v>
      </c>
      <c r="U810" s="582">
        <v>0.67425935476953081</v>
      </c>
    </row>
    <row r="811" spans="10:21">
      <c r="J811" s="580">
        <v>41700</v>
      </c>
      <c r="K811" s="581">
        <v>1.3888888888888888E-2</v>
      </c>
      <c r="L811" s="582">
        <v>10.163600000000001</v>
      </c>
      <c r="M811" s="582">
        <v>10.1486</v>
      </c>
      <c r="N811" s="582">
        <v>10.933400000000001</v>
      </c>
      <c r="O811" s="582">
        <v>10.597099999999999</v>
      </c>
      <c r="P811" s="582">
        <v>98.995000000000005</v>
      </c>
      <c r="Q811" s="582">
        <v>10.122183382254109</v>
      </c>
      <c r="R811" s="582">
        <v>0</v>
      </c>
      <c r="S811" s="582">
        <v>0.67641661774589124</v>
      </c>
      <c r="T811" s="582">
        <v>1.0012166177458917</v>
      </c>
      <c r="U811" s="582">
        <v>0.74491661774589035</v>
      </c>
    </row>
    <row r="812" spans="10:21">
      <c r="J812" s="580">
        <v>41701</v>
      </c>
      <c r="K812" s="581">
        <v>1.3888888888888888E-2</v>
      </c>
      <c r="L812" s="582">
        <v>10.158200000000001</v>
      </c>
      <c r="M812" s="582">
        <v>10.1433</v>
      </c>
      <c r="N812" s="582">
        <v>10.9095</v>
      </c>
      <c r="O812" s="582">
        <v>10.624000000000001</v>
      </c>
      <c r="P812" s="582">
        <v>98.895700000000005</v>
      </c>
      <c r="Q812" s="582">
        <v>10.112030012792442</v>
      </c>
      <c r="R812" s="582">
        <v>0</v>
      </c>
      <c r="S812" s="582">
        <v>0.68126998720755849</v>
      </c>
      <c r="T812" s="582">
        <v>0.98746998720755796</v>
      </c>
      <c r="U812" s="582">
        <v>0.78196998720755895</v>
      </c>
    </row>
    <row r="813" spans="10:21">
      <c r="J813" s="580">
        <v>41702</v>
      </c>
      <c r="K813" s="581">
        <v>1.3888888888888888E-2</v>
      </c>
      <c r="L813" s="582">
        <v>10.161300000000001</v>
      </c>
      <c r="M813" s="582">
        <v>10.144</v>
      </c>
      <c r="N813" s="582">
        <v>10.896100000000001</v>
      </c>
      <c r="O813" s="582">
        <v>10.533099999999999</v>
      </c>
      <c r="P813" s="582">
        <v>98.956800000000001</v>
      </c>
      <c r="Q813" s="582">
        <v>10.118277453619308</v>
      </c>
      <c r="R813" s="582">
        <v>0</v>
      </c>
      <c r="S813" s="582">
        <v>0.67572254638069196</v>
      </c>
      <c r="T813" s="582">
        <v>0.96782254638069232</v>
      </c>
      <c r="U813" s="582">
        <v>0.68482254638069096</v>
      </c>
    </row>
    <row r="814" spans="10:21">
      <c r="J814" s="580">
        <v>41703</v>
      </c>
      <c r="K814" s="581">
        <v>1.3888888888888888E-2</v>
      </c>
      <c r="L814" s="582">
        <v>10.170400000000001</v>
      </c>
      <c r="M814" s="582">
        <v>10.1518</v>
      </c>
      <c r="N814" s="582">
        <v>10.9274</v>
      </c>
      <c r="O814" s="582">
        <v>10.5375</v>
      </c>
      <c r="P814" s="582">
        <v>99.027699999999996</v>
      </c>
      <c r="Q814" s="582">
        <v>10.12552693896505</v>
      </c>
      <c r="R814" s="582">
        <v>0</v>
      </c>
      <c r="S814" s="582">
        <v>0.67627306103494944</v>
      </c>
      <c r="T814" s="582">
        <v>0.9918730610349501</v>
      </c>
      <c r="U814" s="582">
        <v>0.68197306103494926</v>
      </c>
    </row>
    <row r="815" spans="10:21">
      <c r="J815" s="580">
        <v>41704</v>
      </c>
      <c r="K815" s="581">
        <v>1.3888888888888888E-2</v>
      </c>
      <c r="L815" s="582">
        <v>10.168699999999999</v>
      </c>
      <c r="M815" s="582">
        <v>10.149800000000001</v>
      </c>
      <c r="N815" s="582">
        <v>10.822699999999999</v>
      </c>
      <c r="O815" s="582">
        <v>10.536</v>
      </c>
      <c r="P815" s="582">
        <v>99.019400000000005</v>
      </c>
      <c r="Q815" s="582">
        <v>10.124678268607228</v>
      </c>
      <c r="R815" s="582">
        <v>0</v>
      </c>
      <c r="S815" s="582">
        <v>0.67512173139277265</v>
      </c>
      <c r="T815" s="582">
        <v>0.88802173139277107</v>
      </c>
      <c r="U815" s="582">
        <v>0.6813217313927713</v>
      </c>
    </row>
    <row r="816" spans="10:21">
      <c r="J816" s="580">
        <v>41705</v>
      </c>
      <c r="K816" s="581">
        <v>1.3888888888888888E-2</v>
      </c>
      <c r="L816" s="582">
        <v>10.164300000000001</v>
      </c>
      <c r="M816" s="582">
        <v>10.1457</v>
      </c>
      <c r="N816" s="582">
        <v>10.5587</v>
      </c>
      <c r="O816" s="582">
        <v>10.5337</v>
      </c>
      <c r="P816" s="582">
        <v>98.997900000000001</v>
      </c>
      <c r="Q816" s="582">
        <v>10.122479905632144</v>
      </c>
      <c r="R816" s="582">
        <v>0</v>
      </c>
      <c r="S816" s="582">
        <v>0.67322009436785613</v>
      </c>
      <c r="T816" s="582">
        <v>0.62622009436785631</v>
      </c>
      <c r="U816" s="582">
        <v>0.68122009436785591</v>
      </c>
    </row>
    <row r="817" spans="10:21">
      <c r="J817" s="580">
        <v>41544</v>
      </c>
      <c r="K817" s="581">
        <v>1.7361111111111112E-2</v>
      </c>
      <c r="L817" s="582">
        <v>10.0528</v>
      </c>
      <c r="M817" s="582">
        <v>10.0672</v>
      </c>
      <c r="N817" s="582">
        <v>10.076700000000001</v>
      </c>
      <c r="O817" s="582">
        <v>10.088200000000001</v>
      </c>
      <c r="P817" s="582">
        <v>98.761200000000002</v>
      </c>
      <c r="Q817" s="582">
        <v>10.098277463018077</v>
      </c>
      <c r="R817" s="582">
        <v>0</v>
      </c>
      <c r="S817" s="582">
        <v>0.61892253698192312</v>
      </c>
      <c r="T817" s="582">
        <v>0.168422536981924</v>
      </c>
      <c r="U817" s="582">
        <v>0.25992253698192375</v>
      </c>
    </row>
    <row r="818" spans="10:21">
      <c r="J818" s="580">
        <v>41545</v>
      </c>
      <c r="K818" s="581">
        <v>1.7361111111111112E-2</v>
      </c>
      <c r="L818" s="582">
        <v>10.049799999999999</v>
      </c>
      <c r="M818" s="582">
        <v>10.065200000000001</v>
      </c>
      <c r="N818" s="582">
        <v>10.0739</v>
      </c>
      <c r="O818" s="582">
        <v>10.085699999999999</v>
      </c>
      <c r="P818" s="582">
        <v>98.733699999999999</v>
      </c>
      <c r="Q818" s="582">
        <v>10.095465603398782</v>
      </c>
      <c r="R818" s="582">
        <v>0</v>
      </c>
      <c r="S818" s="582">
        <v>0.61973439660121854</v>
      </c>
      <c r="T818" s="582">
        <v>0.16843439660121773</v>
      </c>
      <c r="U818" s="582">
        <v>0.26023439660121678</v>
      </c>
    </row>
    <row r="819" spans="10:21">
      <c r="J819" s="580">
        <v>41546</v>
      </c>
      <c r="K819" s="581">
        <v>1.7361111111111112E-2</v>
      </c>
      <c r="L819" s="582">
        <v>10.0328</v>
      </c>
      <c r="M819" s="582">
        <v>10.0474</v>
      </c>
      <c r="N819" s="582">
        <v>10.055</v>
      </c>
      <c r="O819" s="582">
        <v>10.067500000000001</v>
      </c>
      <c r="P819" s="582">
        <v>98.552199999999999</v>
      </c>
      <c r="Q819" s="582">
        <v>10.076907329911444</v>
      </c>
      <c r="R819" s="582">
        <v>0</v>
      </c>
      <c r="S819" s="582">
        <v>0.62049267008855558</v>
      </c>
      <c r="T819" s="582">
        <v>0.16809267008855555</v>
      </c>
      <c r="U819" s="582">
        <v>0.26059267008855652</v>
      </c>
    </row>
    <row r="820" spans="10:21">
      <c r="J820" s="580">
        <v>41547</v>
      </c>
      <c r="K820" s="581">
        <v>1.7361111111111112E-2</v>
      </c>
      <c r="L820" s="582">
        <v>10.0091</v>
      </c>
      <c r="M820" s="582">
        <v>10.023999999999999</v>
      </c>
      <c r="N820" s="582">
        <v>10.0313</v>
      </c>
      <c r="O820" s="582">
        <v>10.0441</v>
      </c>
      <c r="P820" s="582">
        <v>98.331800000000001</v>
      </c>
      <c r="Q820" s="582">
        <v>10.054371553180813</v>
      </c>
      <c r="R820" s="582">
        <v>0</v>
      </c>
      <c r="S820" s="582">
        <v>0.61962844681918638</v>
      </c>
      <c r="T820" s="582">
        <v>0.16692844681918706</v>
      </c>
      <c r="U820" s="582">
        <v>0.25972844681918733</v>
      </c>
    </row>
    <row r="821" spans="10:21">
      <c r="J821" s="580">
        <v>41548</v>
      </c>
      <c r="K821" s="581">
        <v>1.7361111111111112E-2</v>
      </c>
      <c r="L821" s="582">
        <v>10.009</v>
      </c>
      <c r="M821" s="582">
        <v>10.0235</v>
      </c>
      <c r="N821" s="582">
        <v>10.030799999999999</v>
      </c>
      <c r="O821" s="582">
        <v>10.043200000000001</v>
      </c>
      <c r="P821" s="582">
        <v>98.326300000000003</v>
      </c>
      <c r="Q821" s="582">
        <v>10.053809181256954</v>
      </c>
      <c r="R821" s="582">
        <v>0</v>
      </c>
      <c r="S821" s="582">
        <v>0.61969081874304677</v>
      </c>
      <c r="T821" s="582">
        <v>0.16699081874304567</v>
      </c>
      <c r="U821" s="582">
        <v>0.25939081874304687</v>
      </c>
    </row>
    <row r="822" spans="10:21">
      <c r="J822" s="580">
        <v>41549</v>
      </c>
      <c r="K822" s="581">
        <v>1.7361111111111112E-2</v>
      </c>
      <c r="L822" s="582">
        <v>10.0168</v>
      </c>
      <c r="M822" s="582">
        <v>10.0304</v>
      </c>
      <c r="N822" s="582">
        <v>10.0383</v>
      </c>
      <c r="O822" s="582">
        <v>10.052199999999999</v>
      </c>
      <c r="P822" s="582">
        <v>98.387699999999995</v>
      </c>
      <c r="Q822" s="582">
        <v>10.060087296916031</v>
      </c>
      <c r="R822" s="582">
        <v>0</v>
      </c>
      <c r="S822" s="582">
        <v>0.62031270308396969</v>
      </c>
      <c r="T822" s="582">
        <v>0.16821270308396896</v>
      </c>
      <c r="U822" s="582">
        <v>0.26211270308396845</v>
      </c>
    </row>
    <row r="823" spans="10:21">
      <c r="J823" s="580">
        <v>41550</v>
      </c>
      <c r="K823" s="581">
        <v>1.7361111111111112E-2</v>
      </c>
      <c r="L823" s="582">
        <v>10.0314</v>
      </c>
      <c r="M823" s="582">
        <v>10.0435</v>
      </c>
      <c r="N823" s="582">
        <v>10.051500000000001</v>
      </c>
      <c r="O823" s="582">
        <v>10.0641</v>
      </c>
      <c r="P823" s="582">
        <v>98.520399999999995</v>
      </c>
      <c r="Q823" s="582">
        <v>10.073655797697132</v>
      </c>
      <c r="R823" s="582">
        <v>0</v>
      </c>
      <c r="S823" s="582">
        <v>0.61984420230286807</v>
      </c>
      <c r="T823" s="582">
        <v>0.16784420230286889</v>
      </c>
      <c r="U823" s="582">
        <v>0.26044420230286786</v>
      </c>
    </row>
    <row r="824" spans="10:21">
      <c r="J824" s="580">
        <v>41551</v>
      </c>
      <c r="K824" s="581">
        <v>1.7361111111111112E-2</v>
      </c>
      <c r="L824" s="582">
        <v>10.039199999999999</v>
      </c>
      <c r="M824" s="582">
        <v>10.0511</v>
      </c>
      <c r="N824" s="582">
        <v>10.0588</v>
      </c>
      <c r="O824" s="582">
        <v>10.071400000000001</v>
      </c>
      <c r="P824" s="582">
        <v>98.601900000000001</v>
      </c>
      <c r="Q824" s="582">
        <v>10.081989127114312</v>
      </c>
      <c r="R824" s="582">
        <v>0</v>
      </c>
      <c r="S824" s="582">
        <v>0.619110872885688</v>
      </c>
      <c r="T824" s="582">
        <v>0.16681087288568774</v>
      </c>
      <c r="U824" s="582">
        <v>0.25941087288568848</v>
      </c>
    </row>
    <row r="825" spans="10:21">
      <c r="J825" s="580">
        <v>41552</v>
      </c>
      <c r="K825" s="581">
        <v>1.7361111111111112E-2</v>
      </c>
      <c r="L825" s="582">
        <v>10.048999999999999</v>
      </c>
      <c r="M825" s="582">
        <v>10.0595</v>
      </c>
      <c r="N825" s="582">
        <v>10.0677</v>
      </c>
      <c r="O825" s="582">
        <v>10.0807</v>
      </c>
      <c r="P825" s="582">
        <v>98.694400000000002</v>
      </c>
      <c r="Q825" s="582">
        <v>10.091447200379211</v>
      </c>
      <c r="R825" s="582">
        <v>0</v>
      </c>
      <c r="S825" s="582">
        <v>0.61805279962078941</v>
      </c>
      <c r="T825" s="582">
        <v>0.16625279962078976</v>
      </c>
      <c r="U825" s="582">
        <v>0.25925279962078956</v>
      </c>
    </row>
    <row r="826" spans="10:21">
      <c r="J826" s="580">
        <v>41553</v>
      </c>
      <c r="K826" s="581">
        <v>1.7361111111111112E-2</v>
      </c>
      <c r="L826" s="582">
        <v>10.038399999999999</v>
      </c>
      <c r="M826" s="582">
        <v>10.049300000000001</v>
      </c>
      <c r="N826" s="582">
        <v>10.057600000000001</v>
      </c>
      <c r="O826" s="582">
        <v>10.0716</v>
      </c>
      <c r="P826" s="582">
        <v>98.603899999999996</v>
      </c>
      <c r="Q826" s="582">
        <v>10.082193625995716</v>
      </c>
      <c r="R826" s="582">
        <v>0</v>
      </c>
      <c r="S826" s="582">
        <v>0.61710637400428481</v>
      </c>
      <c r="T826" s="582">
        <v>0.16540637400428493</v>
      </c>
      <c r="U826" s="582">
        <v>0.25940637400428418</v>
      </c>
    </row>
    <row r="827" spans="10:21">
      <c r="J827" s="580">
        <v>41554</v>
      </c>
      <c r="K827" s="581">
        <v>1.7361111111111112E-2</v>
      </c>
      <c r="L827" s="582">
        <v>10.040100000000001</v>
      </c>
      <c r="M827" s="582">
        <v>10.051500000000001</v>
      </c>
      <c r="N827" s="582">
        <v>10.0594</v>
      </c>
      <c r="O827" s="582">
        <v>10.072800000000001</v>
      </c>
      <c r="P827" s="582">
        <v>98.616900000000001</v>
      </c>
      <c r="Q827" s="582">
        <v>10.083522868724836</v>
      </c>
      <c r="R827" s="582">
        <v>0</v>
      </c>
      <c r="S827" s="582">
        <v>0.61797713127516452</v>
      </c>
      <c r="T827" s="582">
        <v>0.16587713127516379</v>
      </c>
      <c r="U827" s="582">
        <v>0.25927713127516444</v>
      </c>
    </row>
    <row r="828" spans="10:21">
      <c r="J828" s="580">
        <v>41555</v>
      </c>
      <c r="K828" s="581">
        <v>1.7361111111111112E-2</v>
      </c>
      <c r="L828" s="582">
        <v>10.0433</v>
      </c>
      <c r="M828" s="582">
        <v>10.0541</v>
      </c>
      <c r="N828" s="582">
        <v>10.0631</v>
      </c>
      <c r="O828" s="582">
        <v>10.0784</v>
      </c>
      <c r="P828" s="582">
        <v>98.656000000000006</v>
      </c>
      <c r="Q828" s="582">
        <v>10.08752082185627</v>
      </c>
      <c r="R828" s="582">
        <v>0</v>
      </c>
      <c r="S828" s="582">
        <v>0.61657917814373042</v>
      </c>
      <c r="T828" s="582">
        <v>0.16557917814373069</v>
      </c>
      <c r="U828" s="582">
        <v>0.26087917814373046</v>
      </c>
    </row>
    <row r="829" spans="10:21">
      <c r="J829" s="580">
        <v>41556</v>
      </c>
      <c r="K829" s="581">
        <v>1.7361111111111112E-2</v>
      </c>
      <c r="L829" s="582">
        <v>10.052300000000001</v>
      </c>
      <c r="M829" s="582">
        <v>10.0661</v>
      </c>
      <c r="N829" s="582">
        <v>10.072100000000001</v>
      </c>
      <c r="O829" s="582">
        <v>10.086399999999999</v>
      </c>
      <c r="P829" s="582">
        <v>98.7654</v>
      </c>
      <c r="Q829" s="582">
        <v>10.098706910669023</v>
      </c>
      <c r="R829" s="582">
        <v>0</v>
      </c>
      <c r="S829" s="582">
        <v>0.61739308933097781</v>
      </c>
      <c r="T829" s="582">
        <v>0.16339308933097796</v>
      </c>
      <c r="U829" s="582">
        <v>0.25769308933097651</v>
      </c>
    </row>
    <row r="830" spans="10:21">
      <c r="J830" s="580">
        <v>41557</v>
      </c>
      <c r="K830" s="581">
        <v>1.7361111111111112E-2</v>
      </c>
      <c r="L830" s="582">
        <v>10.0441</v>
      </c>
      <c r="M830" s="582">
        <v>10.057399999999999</v>
      </c>
      <c r="N830" s="582">
        <v>10.064500000000001</v>
      </c>
      <c r="O830" s="582">
        <v>10.077500000000001</v>
      </c>
      <c r="P830" s="582">
        <v>98.672399999999996</v>
      </c>
      <c r="Q830" s="582">
        <v>10.089197712683774</v>
      </c>
      <c r="R830" s="582">
        <v>0</v>
      </c>
      <c r="S830" s="582">
        <v>0.61820228731622584</v>
      </c>
      <c r="T830" s="582">
        <v>0.16530228731622698</v>
      </c>
      <c r="U830" s="582">
        <v>0.25830228731622679</v>
      </c>
    </row>
    <row r="831" spans="10:21">
      <c r="J831" s="580">
        <v>41558</v>
      </c>
      <c r="K831" s="581">
        <v>1.7361111111111112E-2</v>
      </c>
      <c r="L831" s="582">
        <v>10.0489</v>
      </c>
      <c r="M831" s="582">
        <v>10.0627</v>
      </c>
      <c r="N831" s="582">
        <v>10.0687</v>
      </c>
      <c r="O831" s="582">
        <v>10.0809</v>
      </c>
      <c r="P831" s="582">
        <v>98.711600000000004</v>
      </c>
      <c r="Q831" s="582">
        <v>10.093205890759277</v>
      </c>
      <c r="R831" s="582">
        <v>0</v>
      </c>
      <c r="S831" s="582">
        <v>0.61949410924072246</v>
      </c>
      <c r="T831" s="582">
        <v>0.16549410924072261</v>
      </c>
      <c r="U831" s="582">
        <v>0.2576941092407225</v>
      </c>
    </row>
    <row r="832" spans="10:21">
      <c r="J832" s="580">
        <v>41559</v>
      </c>
      <c r="K832" s="581">
        <v>1.7361111111111112E-2</v>
      </c>
      <c r="L832" s="582">
        <v>10.024699999999999</v>
      </c>
      <c r="M832" s="582">
        <v>10.039199999999999</v>
      </c>
      <c r="N832" s="582">
        <v>10.0448</v>
      </c>
      <c r="O832" s="582">
        <v>10.0572</v>
      </c>
      <c r="P832" s="582">
        <v>98.481999999999999</v>
      </c>
      <c r="Q832" s="582">
        <v>10.069729419174191</v>
      </c>
      <c r="R832" s="582">
        <v>0</v>
      </c>
      <c r="S832" s="582">
        <v>0.6194705808258083</v>
      </c>
      <c r="T832" s="582">
        <v>0.16507058082580939</v>
      </c>
      <c r="U832" s="582">
        <v>0.25747058082580881</v>
      </c>
    </row>
    <row r="833" spans="10:21">
      <c r="J833" s="580">
        <v>41560</v>
      </c>
      <c r="K833" s="581">
        <v>1.7361111111111112E-2</v>
      </c>
      <c r="L833" s="582">
        <v>10.014799999999999</v>
      </c>
      <c r="M833" s="582">
        <v>10.028600000000001</v>
      </c>
      <c r="N833" s="582">
        <v>10.035600000000001</v>
      </c>
      <c r="O833" s="582">
        <v>10.0486</v>
      </c>
      <c r="P833" s="582">
        <v>98.352099999999993</v>
      </c>
      <c r="Q833" s="582">
        <v>10.056447216827054</v>
      </c>
      <c r="R833" s="582">
        <v>0</v>
      </c>
      <c r="S833" s="582">
        <v>0.62215278317294653</v>
      </c>
      <c r="T833" s="582">
        <v>0.16915278317294613</v>
      </c>
      <c r="U833" s="582">
        <v>0.26215278317294594</v>
      </c>
    </row>
    <row r="834" spans="10:21">
      <c r="J834" s="580">
        <v>41561</v>
      </c>
      <c r="K834" s="581">
        <v>1.7361111111111112E-2</v>
      </c>
      <c r="L834" s="582">
        <v>10.028</v>
      </c>
      <c r="M834" s="582">
        <v>10.041</v>
      </c>
      <c r="N834" s="582">
        <v>10.0486</v>
      </c>
      <c r="O834" s="582">
        <v>10.060700000000001</v>
      </c>
      <c r="P834" s="582">
        <v>98.4923</v>
      </c>
      <c r="Q834" s="582">
        <v>10.070782588413419</v>
      </c>
      <c r="R834" s="582">
        <v>0</v>
      </c>
      <c r="S834" s="582">
        <v>0.62021741158658172</v>
      </c>
      <c r="T834" s="582">
        <v>0.1678174115865817</v>
      </c>
      <c r="U834" s="582">
        <v>0.25991741158658183</v>
      </c>
    </row>
    <row r="835" spans="10:21">
      <c r="J835" s="580">
        <v>41562</v>
      </c>
      <c r="K835" s="581">
        <v>1.7361111111111112E-2</v>
      </c>
      <c r="L835" s="582">
        <v>10.0421</v>
      </c>
      <c r="M835" s="582">
        <v>10.0534</v>
      </c>
      <c r="N835" s="582">
        <v>10.062099999999999</v>
      </c>
      <c r="O835" s="582">
        <v>10.074299999999999</v>
      </c>
      <c r="P835" s="582">
        <v>98.629000000000005</v>
      </c>
      <c r="Q835" s="582">
        <v>10.084760086957326</v>
      </c>
      <c r="R835" s="582">
        <v>0</v>
      </c>
      <c r="S835" s="582">
        <v>0.61863991304267407</v>
      </c>
      <c r="T835" s="582">
        <v>0.16733991304267326</v>
      </c>
      <c r="U835" s="582">
        <v>0.25953991304267315</v>
      </c>
    </row>
    <row r="836" spans="10:21">
      <c r="J836" s="580">
        <v>41563</v>
      </c>
      <c r="K836" s="581">
        <v>1.7361111111111112E-2</v>
      </c>
      <c r="L836" s="582">
        <v>12.6251</v>
      </c>
      <c r="M836" s="582">
        <v>12.4206</v>
      </c>
      <c r="N836" s="582">
        <v>13.058199999999999</v>
      </c>
      <c r="O836" s="582">
        <v>12.9933</v>
      </c>
      <c r="P836" s="582">
        <v>98.6892</v>
      </c>
      <c r="Q836" s="582">
        <v>10.090915503287562</v>
      </c>
      <c r="R836" s="582">
        <v>2.349184496712438</v>
      </c>
      <c r="S836" s="582">
        <v>2.979684496712439</v>
      </c>
      <c r="T836" s="582">
        <v>3.157284496712438</v>
      </c>
      <c r="U836" s="582">
        <v>3.1723844967124375</v>
      </c>
    </row>
    <row r="837" spans="10:21">
      <c r="J837" s="580">
        <v>41564</v>
      </c>
      <c r="K837" s="581">
        <v>1.7361111111111112E-2</v>
      </c>
      <c r="L837" s="582">
        <v>13.295299999999999</v>
      </c>
      <c r="M837" s="582">
        <v>12.6287</v>
      </c>
      <c r="N837" s="582">
        <v>13.3156</v>
      </c>
      <c r="O837" s="582">
        <v>13.2683</v>
      </c>
      <c r="P837" s="582">
        <v>98.718999999999994</v>
      </c>
      <c r="Q837" s="582">
        <v>10.093962536620468</v>
      </c>
      <c r="R837" s="582">
        <v>3.0163374633795308</v>
      </c>
      <c r="S837" s="582">
        <v>3.1847374633795322</v>
      </c>
      <c r="T837" s="582">
        <v>3.4116374633795319</v>
      </c>
      <c r="U837" s="582">
        <v>3.4443374633795312</v>
      </c>
    </row>
    <row r="838" spans="10:21">
      <c r="J838" s="580">
        <v>41565</v>
      </c>
      <c r="K838" s="581">
        <v>1.7361111111111112E-2</v>
      </c>
      <c r="L838" s="582">
        <v>13.3096</v>
      </c>
      <c r="M838" s="582">
        <v>12.7232</v>
      </c>
      <c r="N838" s="582">
        <v>13.5029</v>
      </c>
      <c r="O838" s="582">
        <v>13.321300000000001</v>
      </c>
      <c r="P838" s="582">
        <v>98.758799999999994</v>
      </c>
      <c r="Q838" s="582">
        <v>10.098032064360392</v>
      </c>
      <c r="R838" s="582">
        <v>3.0265679356396071</v>
      </c>
      <c r="S838" s="582">
        <v>3.2751679356396082</v>
      </c>
      <c r="T838" s="582">
        <v>3.5948679356396083</v>
      </c>
      <c r="U838" s="582">
        <v>3.4932679356396079</v>
      </c>
    </row>
    <row r="839" spans="10:21">
      <c r="J839" s="580">
        <v>41566</v>
      </c>
      <c r="K839" s="581">
        <v>1.7361111111111112E-2</v>
      </c>
      <c r="L839" s="582">
        <v>13.473699999999999</v>
      </c>
      <c r="M839" s="582">
        <v>12.7867</v>
      </c>
      <c r="N839" s="582">
        <v>13.629799999999999</v>
      </c>
      <c r="O839" s="582">
        <v>13.393700000000001</v>
      </c>
      <c r="P839" s="582">
        <v>98.794399999999996</v>
      </c>
      <c r="Q839" s="582">
        <v>10.101672144449369</v>
      </c>
      <c r="R839" s="582">
        <v>3.1870278555506304</v>
      </c>
      <c r="S839" s="582">
        <v>3.3350278555506314</v>
      </c>
      <c r="T839" s="582">
        <v>3.7181278555506312</v>
      </c>
      <c r="U839" s="582">
        <v>3.5620278555506317</v>
      </c>
    </row>
    <row r="840" spans="10:21">
      <c r="J840" s="580">
        <v>41567</v>
      </c>
      <c r="K840" s="581">
        <v>1.7361111111111112E-2</v>
      </c>
      <c r="L840" s="582">
        <v>13.465199999999999</v>
      </c>
      <c r="M840" s="582">
        <v>12.863799999999999</v>
      </c>
      <c r="N840" s="582">
        <v>13.9198</v>
      </c>
      <c r="O840" s="582">
        <v>13.528499999999999</v>
      </c>
      <c r="P840" s="582">
        <v>98.833200000000005</v>
      </c>
      <c r="Q840" s="582">
        <v>10.105639422748592</v>
      </c>
      <c r="R840" s="582">
        <v>3.1745605772514076</v>
      </c>
      <c r="S840" s="582">
        <v>3.4081605772514081</v>
      </c>
      <c r="T840" s="582">
        <v>4.0041605772514091</v>
      </c>
      <c r="U840" s="582">
        <v>3.6928605772514072</v>
      </c>
    </row>
    <row r="841" spans="10:21">
      <c r="J841" s="580">
        <v>41568</v>
      </c>
      <c r="K841" s="581">
        <v>1.7361111111111112E-2</v>
      </c>
      <c r="L841" s="582">
        <v>13.3863</v>
      </c>
      <c r="M841" s="582">
        <v>12.843400000000001</v>
      </c>
      <c r="N841" s="582">
        <v>13.949199999999999</v>
      </c>
      <c r="O841" s="582">
        <v>13.2951</v>
      </c>
      <c r="P841" s="582">
        <v>98.477500000000006</v>
      </c>
      <c r="Q841" s="582">
        <v>10.069269296691035</v>
      </c>
      <c r="R841" s="582">
        <v>3.1320307033089656</v>
      </c>
      <c r="S841" s="582">
        <v>3.4241307033089665</v>
      </c>
      <c r="T841" s="582">
        <v>4.0699307033089651</v>
      </c>
      <c r="U841" s="582">
        <v>3.4958307033089646</v>
      </c>
    </row>
    <row r="842" spans="10:21">
      <c r="J842" s="580">
        <v>41569</v>
      </c>
      <c r="K842" s="581">
        <v>1.7361111111111112E-2</v>
      </c>
      <c r="L842" s="582">
        <v>13.3247</v>
      </c>
      <c r="M842" s="582">
        <v>12.812200000000001</v>
      </c>
      <c r="N842" s="582">
        <v>13.8993</v>
      </c>
      <c r="O842" s="582">
        <v>13.287599999999999</v>
      </c>
      <c r="P842" s="582">
        <v>98.319699999999997</v>
      </c>
      <c r="Q842" s="582">
        <v>10.053134334948323</v>
      </c>
      <c r="R842" s="582">
        <v>3.0865656650516766</v>
      </c>
      <c r="S842" s="582">
        <v>3.4090656650516777</v>
      </c>
      <c r="T842" s="582">
        <v>4.0361656650516773</v>
      </c>
      <c r="U842" s="582">
        <v>3.5044656650516757</v>
      </c>
    </row>
    <row r="843" spans="10:21">
      <c r="J843" s="580">
        <v>41570</v>
      </c>
      <c r="K843" s="581">
        <v>1.7361111111111112E-2</v>
      </c>
      <c r="L843" s="582">
        <v>13.277799999999999</v>
      </c>
      <c r="M843" s="582">
        <v>12.7942</v>
      </c>
      <c r="N843" s="582">
        <v>13.848000000000001</v>
      </c>
      <c r="O843" s="582">
        <v>13.2522</v>
      </c>
      <c r="P843" s="582">
        <v>98.307199999999995</v>
      </c>
      <c r="Q843" s="582">
        <v>10.051856216939553</v>
      </c>
      <c r="R843" s="582">
        <v>3.0409437830604458</v>
      </c>
      <c r="S843" s="582">
        <v>3.392343783060447</v>
      </c>
      <c r="T843" s="582">
        <v>3.9861437830604478</v>
      </c>
      <c r="U843" s="582">
        <v>3.4703437830604464</v>
      </c>
    </row>
    <row r="844" spans="10:21">
      <c r="J844" s="580">
        <v>41571</v>
      </c>
      <c r="K844" s="581">
        <v>1.7361111111111112E-2</v>
      </c>
      <c r="L844" s="582">
        <v>13.244300000000001</v>
      </c>
      <c r="M844" s="582">
        <v>12.781599999999999</v>
      </c>
      <c r="N844" s="582">
        <v>13.805</v>
      </c>
      <c r="O844" s="582">
        <v>13.228</v>
      </c>
      <c r="P844" s="582">
        <v>98.374600000000001</v>
      </c>
      <c r="Q844" s="582">
        <v>10.05874782924284</v>
      </c>
      <c r="R844" s="582">
        <v>3.0005521707571607</v>
      </c>
      <c r="S844" s="582">
        <v>3.3728521707571595</v>
      </c>
      <c r="T844" s="582">
        <v>3.9362521707571601</v>
      </c>
      <c r="U844" s="582">
        <v>3.4392521707571593</v>
      </c>
    </row>
    <row r="845" spans="10:21">
      <c r="J845" s="580">
        <v>41572</v>
      </c>
      <c r="K845" s="581">
        <v>1.7361111111111112E-2</v>
      </c>
      <c r="L845" s="582">
        <v>13.2037</v>
      </c>
      <c r="M845" s="582">
        <v>12.7599</v>
      </c>
      <c r="N845" s="582">
        <v>13.750500000000001</v>
      </c>
      <c r="O845" s="582">
        <v>13.208</v>
      </c>
      <c r="P845" s="582">
        <v>98.360200000000006</v>
      </c>
      <c r="Q845" s="582">
        <v>10.057275437296738</v>
      </c>
      <c r="R845" s="582">
        <v>2.9614245627032614</v>
      </c>
      <c r="S845" s="582">
        <v>3.3526245627032623</v>
      </c>
      <c r="T845" s="582">
        <v>3.8832245627032629</v>
      </c>
      <c r="U845" s="582">
        <v>3.4207245627032616</v>
      </c>
    </row>
    <row r="846" spans="10:21">
      <c r="J846" s="580">
        <v>41573</v>
      </c>
      <c r="K846" s="581">
        <v>1.7361111111111112E-2</v>
      </c>
      <c r="L846" s="582">
        <v>13.162699999999999</v>
      </c>
      <c r="M846" s="582">
        <v>12.7453</v>
      </c>
      <c r="N846" s="582">
        <v>13.7003</v>
      </c>
      <c r="O846" s="582">
        <v>13.2028</v>
      </c>
      <c r="P846" s="582">
        <v>98.418800000000005</v>
      </c>
      <c r="Q846" s="582">
        <v>10.063267254521852</v>
      </c>
      <c r="R846" s="582">
        <v>2.9144327454781469</v>
      </c>
      <c r="S846" s="582">
        <v>3.3320327454781484</v>
      </c>
      <c r="T846" s="582">
        <v>3.8270327454781485</v>
      </c>
      <c r="U846" s="582">
        <v>3.4095327454781472</v>
      </c>
    </row>
    <row r="847" spans="10:21">
      <c r="J847" s="580">
        <v>41574</v>
      </c>
      <c r="K847" s="581">
        <v>1.7361111111111112E-2</v>
      </c>
      <c r="L847" s="582">
        <v>13.148899999999999</v>
      </c>
      <c r="M847" s="582">
        <v>12.7502</v>
      </c>
      <c r="N847" s="582">
        <v>13.6846</v>
      </c>
      <c r="O847" s="582">
        <v>13.204599999999999</v>
      </c>
      <c r="P847" s="582">
        <v>98.6464</v>
      </c>
      <c r="Q847" s="582">
        <v>10.086539227225533</v>
      </c>
      <c r="R847" s="582">
        <v>2.8773607727744666</v>
      </c>
      <c r="S847" s="582">
        <v>3.3136607727744671</v>
      </c>
      <c r="T847" s="582">
        <v>3.7880607727744673</v>
      </c>
      <c r="U847" s="582">
        <v>3.388060772774466</v>
      </c>
    </row>
    <row r="848" spans="10:21">
      <c r="J848" s="580">
        <v>41575</v>
      </c>
      <c r="K848" s="581">
        <v>1.7361111111111112E-2</v>
      </c>
      <c r="L848" s="582">
        <v>13.1198</v>
      </c>
      <c r="M848" s="582">
        <v>12.7372</v>
      </c>
      <c r="N848" s="582">
        <v>13.639799999999999</v>
      </c>
      <c r="O848" s="582">
        <v>13.189</v>
      </c>
      <c r="P848" s="582">
        <v>98.721199999999996</v>
      </c>
      <c r="Q848" s="582">
        <v>10.094187485390012</v>
      </c>
      <c r="R848" s="582">
        <v>2.8406125146099872</v>
      </c>
      <c r="S848" s="582">
        <v>3.2930125146099876</v>
      </c>
      <c r="T848" s="582">
        <v>3.7356125146099872</v>
      </c>
      <c r="U848" s="582">
        <v>3.3648125146099872</v>
      </c>
    </row>
    <row r="849" spans="10:21">
      <c r="J849" s="580">
        <v>41576</v>
      </c>
      <c r="K849" s="581">
        <v>1.7361111111111112E-2</v>
      </c>
      <c r="L849" s="582">
        <v>13.0891</v>
      </c>
      <c r="M849" s="582">
        <v>12.728</v>
      </c>
      <c r="N849" s="582">
        <v>13.6031</v>
      </c>
      <c r="O849" s="582">
        <v>13.173999999999999</v>
      </c>
      <c r="P849" s="582">
        <v>98.821200000000005</v>
      </c>
      <c r="Q849" s="582">
        <v>10.104412429460172</v>
      </c>
      <c r="R849" s="582">
        <v>2.7996875705398279</v>
      </c>
      <c r="S849" s="582">
        <v>3.2735875705398279</v>
      </c>
      <c r="T849" s="582">
        <v>3.6886875705398277</v>
      </c>
      <c r="U849" s="582">
        <v>3.3395875705398268</v>
      </c>
    </row>
    <row r="850" spans="10:21">
      <c r="J850" s="580">
        <v>41577</v>
      </c>
      <c r="K850" s="581">
        <v>1.7361111111111112E-2</v>
      </c>
      <c r="L850" s="582">
        <v>13.062099999999999</v>
      </c>
      <c r="M850" s="582">
        <v>12.720599999999999</v>
      </c>
      <c r="N850" s="582">
        <v>13.5878</v>
      </c>
      <c r="O850" s="582">
        <v>13.1671</v>
      </c>
      <c r="P850" s="582">
        <v>98.944199999999995</v>
      </c>
      <c r="Q850" s="582">
        <v>10.116989110666466</v>
      </c>
      <c r="R850" s="582">
        <v>2.7601108893335327</v>
      </c>
      <c r="S850" s="582">
        <v>3.2536108893335332</v>
      </c>
      <c r="T850" s="582">
        <v>3.6608108893335336</v>
      </c>
      <c r="U850" s="582">
        <v>3.3201108893335327</v>
      </c>
    </row>
    <row r="851" spans="10:21">
      <c r="J851" s="580">
        <v>41578</v>
      </c>
      <c r="K851" s="581">
        <v>1.7361111111111112E-2</v>
      </c>
      <c r="L851" s="582">
        <v>13.0245</v>
      </c>
      <c r="M851" s="582">
        <v>12.7005</v>
      </c>
      <c r="N851" s="582">
        <v>13.5418</v>
      </c>
      <c r="O851" s="582">
        <v>13.148300000000001</v>
      </c>
      <c r="P851" s="582">
        <v>98.9392</v>
      </c>
      <c r="Q851" s="582">
        <v>10.11647786346296</v>
      </c>
      <c r="R851" s="582">
        <v>2.7230221365370402</v>
      </c>
      <c r="S851" s="582">
        <v>3.2340221365370407</v>
      </c>
      <c r="T851" s="582">
        <v>3.6153221365370412</v>
      </c>
      <c r="U851" s="582">
        <v>3.3018221365370408</v>
      </c>
    </row>
    <row r="852" spans="10:21">
      <c r="J852" s="580">
        <v>41579</v>
      </c>
      <c r="K852" s="581">
        <v>1.7361111111111112E-2</v>
      </c>
      <c r="L852" s="582">
        <v>12.998200000000001</v>
      </c>
      <c r="M852" s="582">
        <v>12.680999999999999</v>
      </c>
      <c r="N852" s="582">
        <v>13.4907</v>
      </c>
      <c r="O852" s="582">
        <v>13.1311</v>
      </c>
      <c r="P852" s="582">
        <v>98.940100000000001</v>
      </c>
      <c r="Q852" s="582">
        <v>10.11656988795959</v>
      </c>
      <c r="R852" s="582">
        <v>2.6966301120404101</v>
      </c>
      <c r="S852" s="582">
        <v>3.2144301120404091</v>
      </c>
      <c r="T852" s="582">
        <v>3.5641301120404103</v>
      </c>
      <c r="U852" s="582">
        <v>3.2845301120404091</v>
      </c>
    </row>
    <row r="853" spans="10:21">
      <c r="J853" s="580">
        <v>41580</v>
      </c>
      <c r="K853" s="581">
        <v>1.7361111111111112E-2</v>
      </c>
      <c r="L853" s="582">
        <v>12.951599999999999</v>
      </c>
      <c r="M853" s="582">
        <v>12.652799999999999</v>
      </c>
      <c r="N853" s="582">
        <v>13.4321</v>
      </c>
      <c r="O853" s="582">
        <v>13.101800000000001</v>
      </c>
      <c r="P853" s="582">
        <v>98.854200000000006</v>
      </c>
      <c r="Q853" s="582">
        <v>10.107786661003324</v>
      </c>
      <c r="R853" s="582">
        <v>2.658813338996675</v>
      </c>
      <c r="S853" s="582">
        <v>3.1950133389966755</v>
      </c>
      <c r="T853" s="582">
        <v>3.5143133389966765</v>
      </c>
      <c r="U853" s="582">
        <v>3.2640133389966763</v>
      </c>
    </row>
    <row r="854" spans="10:21">
      <c r="J854" s="580">
        <v>41581</v>
      </c>
      <c r="K854" s="581">
        <v>1.7361111111111112E-2</v>
      </c>
      <c r="L854" s="582">
        <v>12.9183</v>
      </c>
      <c r="M854" s="582">
        <v>12.636200000000001</v>
      </c>
      <c r="N854" s="582">
        <v>13.3992</v>
      </c>
      <c r="O854" s="582">
        <v>13.0838</v>
      </c>
      <c r="P854" s="582">
        <v>98.855000000000004</v>
      </c>
      <c r="Q854" s="582">
        <v>10.107868460555887</v>
      </c>
      <c r="R854" s="582">
        <v>2.6254315394441137</v>
      </c>
      <c r="S854" s="582">
        <v>3.1783315394441143</v>
      </c>
      <c r="T854" s="582">
        <v>3.4813315394441142</v>
      </c>
      <c r="U854" s="582">
        <v>3.2459315394441131</v>
      </c>
    </row>
    <row r="855" spans="10:21">
      <c r="J855" s="580">
        <v>41582</v>
      </c>
      <c r="K855" s="581">
        <v>1.7361111111111112E-2</v>
      </c>
      <c r="L855" s="582">
        <v>12.891</v>
      </c>
      <c r="M855" s="582">
        <v>12.626200000000001</v>
      </c>
      <c r="N855" s="582">
        <v>13.3733</v>
      </c>
      <c r="O855" s="582">
        <v>13.0733</v>
      </c>
      <c r="P855" s="582">
        <v>98.94</v>
      </c>
      <c r="Q855" s="582">
        <v>10.11655966301552</v>
      </c>
      <c r="R855" s="582">
        <v>2.5894403369844796</v>
      </c>
      <c r="S855" s="582">
        <v>3.1596403369844808</v>
      </c>
      <c r="T855" s="582">
        <v>3.4467403369844805</v>
      </c>
      <c r="U855" s="582">
        <v>3.2267403369844789</v>
      </c>
    </row>
    <row r="856" spans="10:21">
      <c r="J856" s="580">
        <v>41583</v>
      </c>
      <c r="K856" s="581">
        <v>1.7361111111111112E-2</v>
      </c>
      <c r="L856" s="582">
        <v>12.923500000000001</v>
      </c>
      <c r="M856" s="582">
        <v>12.646800000000001</v>
      </c>
      <c r="N856" s="582">
        <v>13.383100000000001</v>
      </c>
      <c r="O856" s="582">
        <v>13.098000000000001</v>
      </c>
      <c r="P856" s="582">
        <v>99.058899999999994</v>
      </c>
      <c r="Q856" s="582">
        <v>10.12871712151494</v>
      </c>
      <c r="R856" s="582">
        <v>2.6097828784850603</v>
      </c>
      <c r="S856" s="582">
        <v>3.1680828784850608</v>
      </c>
      <c r="T856" s="582">
        <v>3.4443828784850608</v>
      </c>
      <c r="U856" s="582">
        <v>3.23928287848506</v>
      </c>
    </row>
    <row r="857" spans="10:21">
      <c r="J857" s="580">
        <v>41584</v>
      </c>
      <c r="K857" s="581">
        <v>1.7361111111111112E-2</v>
      </c>
      <c r="L857" s="582">
        <v>12.9108</v>
      </c>
      <c r="M857" s="582">
        <v>12.6442</v>
      </c>
      <c r="N857" s="582">
        <v>13.3558</v>
      </c>
      <c r="O857" s="582">
        <v>13.085800000000001</v>
      </c>
      <c r="P857" s="582">
        <v>99.025800000000004</v>
      </c>
      <c r="Q857" s="582">
        <v>10.125332665027718</v>
      </c>
      <c r="R857" s="582">
        <v>2.6004673349722816</v>
      </c>
      <c r="S857" s="582">
        <v>3.1688673349722816</v>
      </c>
      <c r="T857" s="582">
        <v>3.4204673349722823</v>
      </c>
      <c r="U857" s="582">
        <v>3.2304673349722819</v>
      </c>
    </row>
    <row r="858" spans="10:21">
      <c r="J858" s="580">
        <v>41585</v>
      </c>
      <c r="K858" s="581">
        <v>1.7361111111111112E-2</v>
      </c>
      <c r="L858" s="582">
        <v>12.8713</v>
      </c>
      <c r="M858" s="582">
        <v>12.6188</v>
      </c>
      <c r="N858" s="582">
        <v>13.3169</v>
      </c>
      <c r="O858" s="582">
        <v>13.06</v>
      </c>
      <c r="P858" s="582">
        <v>98.983099999999993</v>
      </c>
      <c r="Q858" s="582">
        <v>10.12096661390976</v>
      </c>
      <c r="R858" s="582">
        <v>2.5653333860902401</v>
      </c>
      <c r="S858" s="582">
        <v>3.147833386090241</v>
      </c>
      <c r="T858" s="582">
        <v>3.3859333860902412</v>
      </c>
      <c r="U858" s="582">
        <v>3.2090333860902405</v>
      </c>
    </row>
    <row r="859" spans="10:21">
      <c r="J859" s="580">
        <v>41586</v>
      </c>
      <c r="K859" s="581">
        <v>1.7361111111111112E-2</v>
      </c>
      <c r="L859" s="582">
        <v>12.827</v>
      </c>
      <c r="M859" s="582">
        <v>12.591799999999999</v>
      </c>
      <c r="N859" s="582">
        <v>13.268599999999999</v>
      </c>
      <c r="O859" s="582">
        <v>13.028499999999999</v>
      </c>
      <c r="P859" s="582">
        <v>98.889200000000002</v>
      </c>
      <c r="Q859" s="582">
        <v>10.11136539142788</v>
      </c>
      <c r="R859" s="582">
        <v>2.5306346085721203</v>
      </c>
      <c r="S859" s="582">
        <v>3.13043460857212</v>
      </c>
      <c r="T859" s="582">
        <v>3.3472346085721201</v>
      </c>
      <c r="U859" s="582">
        <v>3.1871346085721193</v>
      </c>
    </row>
    <row r="860" spans="10:21">
      <c r="J860" s="580">
        <v>41587</v>
      </c>
      <c r="K860" s="581">
        <v>1.7361111111111112E-2</v>
      </c>
      <c r="L860" s="582">
        <v>12.786899999999999</v>
      </c>
      <c r="M860" s="582">
        <v>12.563000000000001</v>
      </c>
      <c r="N860" s="582">
        <v>13.219900000000001</v>
      </c>
      <c r="O860" s="582">
        <v>12.995200000000001</v>
      </c>
      <c r="P860" s="582">
        <v>98.803700000000006</v>
      </c>
      <c r="Q860" s="582">
        <v>10.102623064247895</v>
      </c>
      <c r="R860" s="582">
        <v>2.4992769357521039</v>
      </c>
      <c r="S860" s="582">
        <v>3.1103769357521056</v>
      </c>
      <c r="T860" s="582">
        <v>3.3072769357521059</v>
      </c>
      <c r="U860" s="582">
        <v>3.1625769357521047</v>
      </c>
    </row>
    <row r="861" spans="10:21">
      <c r="J861" s="580">
        <v>41588</v>
      </c>
      <c r="K861" s="581">
        <v>1.7361111111111112E-2</v>
      </c>
      <c r="L861" s="582">
        <v>12.7418</v>
      </c>
      <c r="M861" s="582">
        <v>12.537000000000001</v>
      </c>
      <c r="N861" s="582">
        <v>13.172700000000001</v>
      </c>
      <c r="O861" s="582">
        <v>12.9634</v>
      </c>
      <c r="P861" s="582">
        <v>98.727999999999994</v>
      </c>
      <c r="Q861" s="582">
        <v>10.094882781586783</v>
      </c>
      <c r="R861" s="582">
        <v>2.4619172184132165</v>
      </c>
      <c r="S861" s="582">
        <v>3.0921172184132182</v>
      </c>
      <c r="T861" s="582">
        <v>3.2678172184132181</v>
      </c>
      <c r="U861" s="582">
        <v>3.1385172184132166</v>
      </c>
    </row>
    <row r="862" spans="10:21">
      <c r="J862" s="580">
        <v>41589</v>
      </c>
      <c r="K862" s="581">
        <v>1.7361111111111112E-2</v>
      </c>
      <c r="L862" s="582">
        <v>12.707599999999999</v>
      </c>
      <c r="M862" s="582">
        <v>12.519600000000001</v>
      </c>
      <c r="N862" s="582">
        <v>13.135300000000001</v>
      </c>
      <c r="O862" s="582">
        <v>12.940099999999999</v>
      </c>
      <c r="P862" s="582">
        <v>98.757099999999994</v>
      </c>
      <c r="Q862" s="582">
        <v>10.097858240311199</v>
      </c>
      <c r="R862" s="582">
        <v>2.4247417596888003</v>
      </c>
      <c r="S862" s="582">
        <v>3.0717417596888019</v>
      </c>
      <c r="T862" s="582">
        <v>3.2274417596888023</v>
      </c>
      <c r="U862" s="582">
        <v>3.1122417596887999</v>
      </c>
    </row>
    <row r="863" spans="10:21">
      <c r="J863" s="580">
        <v>41590</v>
      </c>
      <c r="K863" s="581">
        <v>1.7361111111111112E-2</v>
      </c>
      <c r="L863" s="582">
        <v>12.6594</v>
      </c>
      <c r="M863" s="582">
        <v>12.4877</v>
      </c>
      <c r="N863" s="582">
        <v>13.0823</v>
      </c>
      <c r="O863" s="582">
        <v>12.8902</v>
      </c>
      <c r="P863" s="582">
        <v>98.645899999999997</v>
      </c>
      <c r="Q863" s="582">
        <v>10.086488102505182</v>
      </c>
      <c r="R863" s="582">
        <v>2.3879118974948175</v>
      </c>
      <c r="S863" s="582">
        <v>3.0512118974948184</v>
      </c>
      <c r="T863" s="582">
        <v>3.1858118974948182</v>
      </c>
      <c r="U863" s="582">
        <v>3.0737118974948174</v>
      </c>
    </row>
    <row r="864" spans="10:21">
      <c r="J864" s="580">
        <v>41591</v>
      </c>
      <c r="K864" s="581">
        <v>1.7361111111111112E-2</v>
      </c>
      <c r="L864" s="582">
        <v>12.628500000000001</v>
      </c>
      <c r="M864" s="582">
        <v>12.469099999999999</v>
      </c>
      <c r="N864" s="582">
        <v>13.0525</v>
      </c>
      <c r="O864" s="582">
        <v>12.870699999999999</v>
      </c>
      <c r="P864" s="582">
        <v>98.692400000000006</v>
      </c>
      <c r="Q864" s="582">
        <v>10.091242701497807</v>
      </c>
      <c r="R864" s="582">
        <v>2.3522572985021939</v>
      </c>
      <c r="S864" s="582">
        <v>3.0278572985021928</v>
      </c>
      <c r="T864" s="582">
        <v>3.1512572985021938</v>
      </c>
      <c r="U864" s="582">
        <v>3.0494572985021922</v>
      </c>
    </row>
    <row r="865" spans="10:21">
      <c r="J865" s="580">
        <v>41592</v>
      </c>
      <c r="K865" s="581">
        <v>1.7361111111111112E-2</v>
      </c>
      <c r="L865" s="582">
        <v>12.606400000000001</v>
      </c>
      <c r="M865" s="582">
        <v>12.457100000000001</v>
      </c>
      <c r="N865" s="582">
        <v>13.030099999999999</v>
      </c>
      <c r="O865" s="582">
        <v>12.8614</v>
      </c>
      <c r="P865" s="582">
        <v>98.781999999999996</v>
      </c>
      <c r="Q865" s="582">
        <v>10.100404251384669</v>
      </c>
      <c r="R865" s="582">
        <v>2.3209957486153319</v>
      </c>
      <c r="S865" s="582">
        <v>3.0066957486153321</v>
      </c>
      <c r="T865" s="582">
        <v>3.1196957486153307</v>
      </c>
      <c r="U865" s="582">
        <v>3.0309957486153305</v>
      </c>
    </row>
    <row r="866" spans="10:21">
      <c r="J866" s="580">
        <v>41593</v>
      </c>
      <c r="K866" s="581">
        <v>1.7361111111111112E-2</v>
      </c>
      <c r="L866" s="582">
        <v>12.5718</v>
      </c>
      <c r="M866" s="582">
        <v>12.4366</v>
      </c>
      <c r="N866" s="582">
        <v>13.0001</v>
      </c>
      <c r="O866" s="582">
        <v>12.844099999999999</v>
      </c>
      <c r="P866" s="582">
        <v>98.840599999999995</v>
      </c>
      <c r="Q866" s="582">
        <v>10.106396068609783</v>
      </c>
      <c r="R866" s="582">
        <v>2.2804039313902167</v>
      </c>
      <c r="S866" s="582">
        <v>2.9802039313902178</v>
      </c>
      <c r="T866" s="582">
        <v>3.0837039313902173</v>
      </c>
      <c r="U866" s="582">
        <v>3.0077039313902159</v>
      </c>
    </row>
    <row r="867" spans="10:21">
      <c r="J867" s="580">
        <v>41594</v>
      </c>
      <c r="K867" s="581">
        <v>1.7361111111111112E-2</v>
      </c>
      <c r="L867" s="582">
        <v>12.5116</v>
      </c>
      <c r="M867" s="582">
        <v>12.395899999999999</v>
      </c>
      <c r="N867" s="582">
        <v>12.940799999999999</v>
      </c>
      <c r="O867" s="582">
        <v>12.7902</v>
      </c>
      <c r="P867" s="582">
        <v>98.677000000000007</v>
      </c>
      <c r="Q867" s="582">
        <v>10.089668060111002</v>
      </c>
      <c r="R867" s="582">
        <v>2.2369319398889975</v>
      </c>
      <c r="S867" s="582">
        <v>2.9562319398889976</v>
      </c>
      <c r="T867" s="582">
        <v>3.0411319398889978</v>
      </c>
      <c r="U867" s="582">
        <v>2.970531939888998</v>
      </c>
    </row>
    <row r="868" spans="10:21">
      <c r="J868" s="580">
        <v>41595</v>
      </c>
      <c r="K868" s="581">
        <v>1.7361111111111112E-2</v>
      </c>
      <c r="L868" s="582">
        <v>12.4588</v>
      </c>
      <c r="M868" s="582">
        <v>12.3614</v>
      </c>
      <c r="N868" s="582">
        <v>12.8933</v>
      </c>
      <c r="O868" s="582">
        <v>12.744199999999999</v>
      </c>
      <c r="P868" s="582">
        <v>98.617400000000004</v>
      </c>
      <c r="Q868" s="582">
        <v>10.083573993445187</v>
      </c>
      <c r="R868" s="582">
        <v>2.1902260065548131</v>
      </c>
      <c r="S868" s="582">
        <v>2.9278260065548132</v>
      </c>
      <c r="T868" s="582">
        <v>2.9997260065548135</v>
      </c>
      <c r="U868" s="582">
        <v>2.930626006554812</v>
      </c>
    </row>
    <row r="869" spans="10:21">
      <c r="J869" s="580">
        <v>41596</v>
      </c>
      <c r="K869" s="581">
        <v>1.7361111111111112E-2</v>
      </c>
      <c r="L869" s="582">
        <v>12.543200000000001</v>
      </c>
      <c r="M869" s="582">
        <v>12.6835</v>
      </c>
      <c r="N869" s="582">
        <v>13.6999</v>
      </c>
      <c r="O869" s="582">
        <v>13.2829</v>
      </c>
      <c r="P869" s="582">
        <v>98.809700000000007</v>
      </c>
      <c r="Q869" s="582">
        <v>10.103236560892103</v>
      </c>
      <c r="R869" s="582">
        <v>2.2549634391078972</v>
      </c>
      <c r="S869" s="582">
        <v>3.2302634391078975</v>
      </c>
      <c r="T869" s="582">
        <v>3.7866634391078966</v>
      </c>
      <c r="U869" s="582">
        <v>3.449663439107896</v>
      </c>
    </row>
    <row r="870" spans="10:21">
      <c r="J870" s="580">
        <v>41597</v>
      </c>
      <c r="K870" s="581">
        <v>1.7361111111111112E-2</v>
      </c>
      <c r="L870" s="582">
        <v>12.516500000000001</v>
      </c>
      <c r="M870" s="582">
        <v>12.6815</v>
      </c>
      <c r="N870" s="582">
        <v>13.708500000000001</v>
      </c>
      <c r="O870" s="582">
        <v>13.280799999999999</v>
      </c>
      <c r="P870" s="582">
        <v>98.970699999999994</v>
      </c>
      <c r="Q870" s="582">
        <v>10.11969872084506</v>
      </c>
      <c r="R870" s="582">
        <v>2.2118012791549408</v>
      </c>
      <c r="S870" s="582">
        <v>3.2118012791549404</v>
      </c>
      <c r="T870" s="582">
        <v>3.7788012791549415</v>
      </c>
      <c r="U870" s="582">
        <v>3.4311012791549391</v>
      </c>
    </row>
    <row r="871" spans="10:21">
      <c r="J871" s="580">
        <v>41598</v>
      </c>
      <c r="K871" s="581">
        <v>1.7361111111111112E-2</v>
      </c>
      <c r="L871" s="582">
        <v>12.462400000000001</v>
      </c>
      <c r="M871" s="582">
        <v>12.651</v>
      </c>
      <c r="N871" s="582">
        <v>13.658799999999999</v>
      </c>
      <c r="O871" s="582">
        <v>13.2463</v>
      </c>
      <c r="P871" s="582">
        <v>98.863100000000003</v>
      </c>
      <c r="Q871" s="582">
        <v>10.108696681025569</v>
      </c>
      <c r="R871" s="582">
        <v>2.168703318974432</v>
      </c>
      <c r="S871" s="582">
        <v>3.1923033189744316</v>
      </c>
      <c r="T871" s="582">
        <v>3.7401033189744313</v>
      </c>
      <c r="U871" s="582">
        <v>3.4076033189744308</v>
      </c>
    </row>
    <row r="872" spans="10:21">
      <c r="J872" s="580">
        <v>41599</v>
      </c>
      <c r="K872" s="581">
        <v>1.7361111111111112E-2</v>
      </c>
      <c r="L872" s="582">
        <v>12.3863</v>
      </c>
      <c r="M872" s="582">
        <v>12.5977</v>
      </c>
      <c r="N872" s="582">
        <v>13.587199999999999</v>
      </c>
      <c r="O872" s="582">
        <v>13.19</v>
      </c>
      <c r="P872" s="582">
        <v>98.551699999999997</v>
      </c>
      <c r="Q872" s="582">
        <v>10.076856205191092</v>
      </c>
      <c r="R872" s="582">
        <v>2.1244437948089083</v>
      </c>
      <c r="S872" s="582">
        <v>3.1708437948089081</v>
      </c>
      <c r="T872" s="582">
        <v>3.7003437948089077</v>
      </c>
      <c r="U872" s="582">
        <v>3.3831437948089071</v>
      </c>
    </row>
    <row r="873" spans="10:21">
      <c r="J873" s="580">
        <v>41600</v>
      </c>
      <c r="K873" s="581">
        <v>1.7361111111111112E-2</v>
      </c>
      <c r="L873" s="582">
        <v>12.337199999999999</v>
      </c>
      <c r="M873" s="582">
        <v>12.5807</v>
      </c>
      <c r="N873" s="582">
        <v>13.553000000000001</v>
      </c>
      <c r="O873" s="582">
        <v>13.170299999999999</v>
      </c>
      <c r="P873" s="582">
        <v>98.616799999999998</v>
      </c>
      <c r="Q873" s="582">
        <v>10.083512643780766</v>
      </c>
      <c r="R873" s="582">
        <v>2.0686873562192329</v>
      </c>
      <c r="S873" s="582">
        <v>3.1471873562192343</v>
      </c>
      <c r="T873" s="582">
        <v>3.6594873562192349</v>
      </c>
      <c r="U873" s="582">
        <v>3.3567873562192325</v>
      </c>
    </row>
    <row r="874" spans="10:21">
      <c r="J874" s="580">
        <v>41601</v>
      </c>
      <c r="K874" s="581">
        <v>1.7361111111111112E-2</v>
      </c>
      <c r="L874" s="582">
        <v>12.2943</v>
      </c>
      <c r="M874" s="582">
        <v>12.5702</v>
      </c>
      <c r="N874" s="582">
        <v>13.526899999999999</v>
      </c>
      <c r="O874" s="582">
        <v>13.155900000000001</v>
      </c>
      <c r="P874" s="582">
        <v>98.727900000000005</v>
      </c>
      <c r="Q874" s="582">
        <v>10.094872556642713</v>
      </c>
      <c r="R874" s="582">
        <v>2.0144274433572869</v>
      </c>
      <c r="S874" s="582">
        <v>3.1253274433572873</v>
      </c>
      <c r="T874" s="582">
        <v>3.622027443357287</v>
      </c>
      <c r="U874" s="582">
        <v>3.3310274433572875</v>
      </c>
    </row>
    <row r="875" spans="10:21">
      <c r="J875" s="580">
        <v>41602</v>
      </c>
      <c r="K875" s="581">
        <v>1.7361111111111112E-2</v>
      </c>
      <c r="L875" s="582">
        <v>12.2537</v>
      </c>
      <c r="M875" s="582">
        <v>12.556699999999999</v>
      </c>
      <c r="N875" s="582">
        <v>13.492800000000001</v>
      </c>
      <c r="O875" s="582">
        <v>13.1373</v>
      </c>
      <c r="P875" s="582">
        <v>98.802999999999997</v>
      </c>
      <c r="Q875" s="582">
        <v>10.102551489639403</v>
      </c>
      <c r="R875" s="582">
        <v>1.9661485103605973</v>
      </c>
      <c r="S875" s="582">
        <v>3.1041485103605968</v>
      </c>
      <c r="T875" s="582">
        <v>3.5802485103605983</v>
      </c>
      <c r="U875" s="582">
        <v>3.3047485103605965</v>
      </c>
    </row>
    <row r="876" spans="10:21">
      <c r="J876" s="580">
        <v>41603</v>
      </c>
      <c r="K876" s="581">
        <v>1.7361111111111112E-2</v>
      </c>
      <c r="L876" s="582">
        <v>12.211600000000001</v>
      </c>
      <c r="M876" s="582">
        <v>12.539099999999999</v>
      </c>
      <c r="N876" s="582">
        <v>13.457100000000001</v>
      </c>
      <c r="O876" s="582">
        <v>13.118</v>
      </c>
      <c r="P876" s="582">
        <v>98.851600000000005</v>
      </c>
      <c r="Q876" s="582">
        <v>10.107520812457501</v>
      </c>
      <c r="R876" s="582">
        <v>1.9190791875424993</v>
      </c>
      <c r="S876" s="582">
        <v>3.0815791875424985</v>
      </c>
      <c r="T876" s="582">
        <v>3.5395791875424996</v>
      </c>
      <c r="U876" s="582">
        <v>3.2804791875424986</v>
      </c>
    </row>
    <row r="877" spans="10:21">
      <c r="J877" s="580">
        <v>41604</v>
      </c>
      <c r="K877" s="581">
        <v>1.7361111111111112E-2</v>
      </c>
      <c r="L877" s="582">
        <v>12.1533</v>
      </c>
      <c r="M877" s="582">
        <v>12.4986</v>
      </c>
      <c r="N877" s="582">
        <v>13.4049</v>
      </c>
      <c r="O877" s="582">
        <v>13.081099999999999</v>
      </c>
      <c r="P877" s="582">
        <v>98.726100000000002</v>
      </c>
      <c r="Q877" s="582">
        <v>10.094688507649451</v>
      </c>
      <c r="R877" s="582">
        <v>1.8736114923505487</v>
      </c>
      <c r="S877" s="582">
        <v>3.053911492350549</v>
      </c>
      <c r="T877" s="582">
        <v>3.500211492350549</v>
      </c>
      <c r="U877" s="582">
        <v>3.2564114923505478</v>
      </c>
    </row>
    <row r="878" spans="10:21">
      <c r="J878" s="580">
        <v>41605</v>
      </c>
      <c r="K878" s="581">
        <v>1.7361111111111112E-2</v>
      </c>
      <c r="L878" s="582">
        <v>12.1113</v>
      </c>
      <c r="M878" s="582">
        <v>12.464700000000001</v>
      </c>
      <c r="N878" s="582">
        <v>13.364100000000001</v>
      </c>
      <c r="O878" s="582">
        <v>13.050700000000001</v>
      </c>
      <c r="P878" s="582">
        <v>98.685199999999995</v>
      </c>
      <c r="Q878" s="582">
        <v>10.090506505524754</v>
      </c>
      <c r="R878" s="582">
        <v>1.8357934944752459</v>
      </c>
      <c r="S878" s="582">
        <v>3.0241934944752469</v>
      </c>
      <c r="T878" s="582">
        <v>3.4635934944752469</v>
      </c>
      <c r="U878" s="582">
        <v>3.2301934944752464</v>
      </c>
    </row>
    <row r="879" spans="10:21">
      <c r="J879" s="580">
        <v>41606</v>
      </c>
      <c r="K879" s="581">
        <v>1.7361111111111112E-2</v>
      </c>
      <c r="L879" s="582">
        <v>12.0846</v>
      </c>
      <c r="M879" s="582">
        <v>12.4468</v>
      </c>
      <c r="N879" s="582">
        <v>13.328900000000001</v>
      </c>
      <c r="O879" s="582">
        <v>13.033799999999999</v>
      </c>
      <c r="P879" s="582">
        <v>98.779600000000002</v>
      </c>
      <c r="Q879" s="582">
        <v>10.100158852726986</v>
      </c>
      <c r="R879" s="582">
        <v>1.7994411472730136</v>
      </c>
      <c r="S879" s="582">
        <v>2.9966411472730137</v>
      </c>
      <c r="T879" s="582">
        <v>3.4187411472730149</v>
      </c>
      <c r="U879" s="582">
        <v>3.2036411472730126</v>
      </c>
    </row>
    <row r="880" spans="10:21">
      <c r="J880" s="580">
        <v>41607</v>
      </c>
      <c r="K880" s="581">
        <v>1.7361111111111112E-2</v>
      </c>
      <c r="L880" s="582">
        <v>12.064500000000001</v>
      </c>
      <c r="M880" s="582">
        <v>12.439299999999999</v>
      </c>
      <c r="N880" s="582">
        <v>13.3004</v>
      </c>
      <c r="O880" s="582">
        <v>13.023</v>
      </c>
      <c r="P880" s="582">
        <v>98.941299999999998</v>
      </c>
      <c r="Q880" s="582">
        <v>10.116692587288433</v>
      </c>
      <c r="R880" s="582">
        <v>1.7628074127115672</v>
      </c>
      <c r="S880" s="582">
        <v>2.9726074127115663</v>
      </c>
      <c r="T880" s="582">
        <v>3.3737074127115667</v>
      </c>
      <c r="U880" s="582">
        <v>3.1763074127115658</v>
      </c>
    </row>
    <row r="881" spans="10:21">
      <c r="J881" s="580">
        <v>41608</v>
      </c>
      <c r="K881" s="581">
        <v>1.7361111111111112E-2</v>
      </c>
      <c r="L881" s="582">
        <v>12.020300000000001</v>
      </c>
      <c r="M881" s="582">
        <v>12.4206</v>
      </c>
      <c r="N881" s="582">
        <v>13.2698</v>
      </c>
      <c r="O881" s="582">
        <v>13.000500000000001</v>
      </c>
      <c r="P881" s="582">
        <v>98.978099999999998</v>
      </c>
      <c r="Q881" s="582">
        <v>10.120455366706251</v>
      </c>
      <c r="R881" s="582">
        <v>1.7148446332937497</v>
      </c>
      <c r="S881" s="582">
        <v>2.9501446332937498</v>
      </c>
      <c r="T881" s="582">
        <v>3.3393446332937495</v>
      </c>
      <c r="U881" s="582">
        <v>3.1500446332937493</v>
      </c>
    </row>
    <row r="882" spans="10:21">
      <c r="J882" s="580">
        <v>41609</v>
      </c>
      <c r="K882" s="581">
        <v>1.7361111111111112E-2</v>
      </c>
      <c r="L882" s="582">
        <v>11.9747</v>
      </c>
      <c r="M882" s="582">
        <v>12.3924</v>
      </c>
      <c r="N882" s="582">
        <v>13.241300000000001</v>
      </c>
      <c r="O882" s="582">
        <v>12.9726</v>
      </c>
      <c r="P882" s="582">
        <v>98.962199999999996</v>
      </c>
      <c r="Q882" s="582">
        <v>10.118829600599096</v>
      </c>
      <c r="R882" s="582">
        <v>1.6708703994009046</v>
      </c>
      <c r="S882" s="582">
        <v>2.923570399400905</v>
      </c>
      <c r="T882" s="582">
        <v>3.3124703994009055</v>
      </c>
      <c r="U882" s="582">
        <v>3.1237703994009038</v>
      </c>
    </row>
    <row r="883" spans="10:21">
      <c r="J883" s="580">
        <v>41610</v>
      </c>
      <c r="K883" s="581">
        <v>1.7361111111111112E-2</v>
      </c>
      <c r="L883" s="582">
        <v>11.942600000000001</v>
      </c>
      <c r="M883" s="582">
        <v>12.369899999999999</v>
      </c>
      <c r="N883" s="582">
        <v>13.203900000000001</v>
      </c>
      <c r="O883" s="582">
        <v>12.946099999999999</v>
      </c>
      <c r="P883" s="582">
        <v>98.965299999999999</v>
      </c>
      <c r="Q883" s="582">
        <v>10.119146573865271</v>
      </c>
      <c r="R883" s="582">
        <v>1.6384534261347299</v>
      </c>
      <c r="S883" s="582">
        <v>2.9007534261347292</v>
      </c>
      <c r="T883" s="582">
        <v>3.2747534261347306</v>
      </c>
      <c r="U883" s="582">
        <v>3.0969534261347285</v>
      </c>
    </row>
    <row r="884" spans="10:21">
      <c r="J884" s="580">
        <v>41611</v>
      </c>
      <c r="K884" s="581">
        <v>1.7361111111111112E-2</v>
      </c>
      <c r="L884" s="582">
        <v>11.9412</v>
      </c>
      <c r="M884" s="582">
        <v>12.3735</v>
      </c>
      <c r="N884" s="582">
        <v>13.198499999999999</v>
      </c>
      <c r="O884" s="582">
        <v>12.9443</v>
      </c>
      <c r="P884" s="582">
        <v>99.031000000000006</v>
      </c>
      <c r="Q884" s="582">
        <v>10.125864362119366</v>
      </c>
      <c r="R884" s="582">
        <v>1.6303356378806346</v>
      </c>
      <c r="S884" s="582">
        <v>2.8976356378806347</v>
      </c>
      <c r="T884" s="582">
        <v>3.262635637880634</v>
      </c>
      <c r="U884" s="582">
        <v>3.0884356378806341</v>
      </c>
    </row>
    <row r="885" spans="10:21">
      <c r="J885" s="580">
        <v>41612</v>
      </c>
      <c r="K885" s="581">
        <v>1.7361111111111112E-2</v>
      </c>
      <c r="L885" s="582">
        <v>11.8865</v>
      </c>
      <c r="M885" s="582">
        <v>12.330399999999999</v>
      </c>
      <c r="N885" s="582">
        <v>13.1492</v>
      </c>
      <c r="O885" s="582">
        <v>12.901199999999999</v>
      </c>
      <c r="P885" s="582">
        <v>98.8309</v>
      </c>
      <c r="Q885" s="582">
        <v>10.105404249034978</v>
      </c>
      <c r="R885" s="582">
        <v>1.5960957509650222</v>
      </c>
      <c r="S885" s="582">
        <v>2.8749957509650219</v>
      </c>
      <c r="T885" s="582">
        <v>3.2337957509650233</v>
      </c>
      <c r="U885" s="582">
        <v>3.0657957509650213</v>
      </c>
    </row>
    <row r="886" spans="10:21">
      <c r="J886" s="580">
        <v>41613</v>
      </c>
      <c r="K886" s="581">
        <v>1.7361111111111112E-2</v>
      </c>
      <c r="L886" s="582">
        <v>11.848100000000001</v>
      </c>
      <c r="M886" s="582">
        <v>12.2943</v>
      </c>
      <c r="N886" s="582">
        <v>13.1082</v>
      </c>
      <c r="O886" s="582">
        <v>12.8666</v>
      </c>
      <c r="P886" s="582">
        <v>98.742400000000004</v>
      </c>
      <c r="Q886" s="582">
        <v>10.096355173532887</v>
      </c>
      <c r="R886" s="582">
        <v>1.5667448264671138</v>
      </c>
      <c r="S886" s="582">
        <v>2.8479448264671134</v>
      </c>
      <c r="T886" s="582">
        <v>3.2018448264671138</v>
      </c>
      <c r="U886" s="582">
        <v>3.0402448264671129</v>
      </c>
    </row>
    <row r="887" spans="10:21">
      <c r="J887" s="580">
        <v>41614</v>
      </c>
      <c r="K887" s="581">
        <v>1.7361111111111112E-2</v>
      </c>
      <c r="L887" s="582">
        <v>11.799099999999999</v>
      </c>
      <c r="M887" s="582">
        <v>12.247</v>
      </c>
      <c r="N887" s="582">
        <v>13.0555</v>
      </c>
      <c r="O887" s="582">
        <v>12.819900000000001</v>
      </c>
      <c r="P887" s="582">
        <v>98.5792</v>
      </c>
      <c r="Q887" s="582">
        <v>10.079668064810386</v>
      </c>
      <c r="R887" s="582">
        <v>1.534431935189613</v>
      </c>
      <c r="S887" s="582">
        <v>2.817331935189614</v>
      </c>
      <c r="T887" s="582">
        <v>3.1658319351896145</v>
      </c>
      <c r="U887" s="582">
        <v>3.0102319351896138</v>
      </c>
    </row>
    <row r="888" spans="10:21">
      <c r="J888" s="580">
        <v>41615</v>
      </c>
      <c r="K888" s="581">
        <v>1.7361111111111112E-2</v>
      </c>
      <c r="L888" s="582">
        <v>11.764900000000001</v>
      </c>
      <c r="M888" s="582">
        <v>12.2057</v>
      </c>
      <c r="N888" s="582">
        <v>13.0114</v>
      </c>
      <c r="O888" s="582">
        <v>12.777699999999999</v>
      </c>
      <c r="P888" s="582">
        <v>98.537499999999994</v>
      </c>
      <c r="Q888" s="582">
        <v>10.07540426313313</v>
      </c>
      <c r="R888" s="582">
        <v>1.5044957368668705</v>
      </c>
      <c r="S888" s="582">
        <v>2.7802957368668704</v>
      </c>
      <c r="T888" s="582">
        <v>3.1259957368668703</v>
      </c>
      <c r="U888" s="582">
        <v>2.9722957368668688</v>
      </c>
    </row>
    <row r="889" spans="10:21">
      <c r="J889" s="580">
        <v>41616</v>
      </c>
      <c r="K889" s="581">
        <v>1.7361111111111112E-2</v>
      </c>
      <c r="L889" s="582">
        <v>11.7423</v>
      </c>
      <c r="M889" s="582">
        <v>12.1762</v>
      </c>
      <c r="N889" s="582">
        <v>12.9869</v>
      </c>
      <c r="O889" s="582">
        <v>12.7477</v>
      </c>
      <c r="P889" s="582">
        <v>98.587199999999996</v>
      </c>
      <c r="Q889" s="582">
        <v>10.080486060335998</v>
      </c>
      <c r="R889" s="582">
        <v>1.4768139396640021</v>
      </c>
      <c r="S889" s="582">
        <v>2.745713939664002</v>
      </c>
      <c r="T889" s="582">
        <v>3.0964139396640027</v>
      </c>
      <c r="U889" s="582">
        <v>2.9372139396640016</v>
      </c>
    </row>
    <row r="890" spans="10:21">
      <c r="J890" s="580">
        <v>41617</v>
      </c>
      <c r="K890" s="581">
        <v>1.7361111111111112E-2</v>
      </c>
      <c r="L890" s="582">
        <v>11.721299999999999</v>
      </c>
      <c r="M890" s="582">
        <v>12.148300000000001</v>
      </c>
      <c r="N890" s="582">
        <v>12.967000000000001</v>
      </c>
      <c r="O890" s="582">
        <v>12.7189</v>
      </c>
      <c r="P890" s="582">
        <v>98.664199999999994</v>
      </c>
      <c r="Q890" s="582">
        <v>10.088359267270022</v>
      </c>
      <c r="R890" s="582">
        <v>1.4479407327299776</v>
      </c>
      <c r="S890" s="582">
        <v>2.7099407327299794</v>
      </c>
      <c r="T890" s="582">
        <v>3.0686407327299792</v>
      </c>
      <c r="U890" s="582">
        <v>2.9005407327299775</v>
      </c>
    </row>
    <row r="891" spans="10:21">
      <c r="J891" s="580">
        <v>41618</v>
      </c>
      <c r="K891" s="581">
        <v>1.7361111111111112E-2</v>
      </c>
      <c r="L891" s="582">
        <v>11.6829</v>
      </c>
      <c r="M891" s="582">
        <v>12.1005</v>
      </c>
      <c r="N891" s="582">
        <v>12.916600000000001</v>
      </c>
      <c r="O891" s="582">
        <v>12.672800000000001</v>
      </c>
      <c r="P891" s="582">
        <v>98.544200000000004</v>
      </c>
      <c r="Q891" s="582">
        <v>10.076089334385831</v>
      </c>
      <c r="R891" s="582">
        <v>1.4218106656141694</v>
      </c>
      <c r="S891" s="582">
        <v>2.6746106656141695</v>
      </c>
      <c r="T891" s="582">
        <v>3.0305106656141705</v>
      </c>
      <c r="U891" s="582">
        <v>2.8667106656141694</v>
      </c>
    </row>
    <row r="892" spans="10:21">
      <c r="J892" s="580">
        <v>41619</v>
      </c>
      <c r="K892" s="581">
        <v>1.7361111111111112E-2</v>
      </c>
      <c r="L892" s="582">
        <v>11.664</v>
      </c>
      <c r="M892" s="582">
        <v>12.068899999999999</v>
      </c>
      <c r="N892" s="582">
        <v>12.889900000000001</v>
      </c>
      <c r="O892" s="582">
        <v>12.6447</v>
      </c>
      <c r="P892" s="582">
        <v>98.626099999999994</v>
      </c>
      <c r="Q892" s="582">
        <v>10.084463563579291</v>
      </c>
      <c r="R892" s="582">
        <v>1.3945364364207085</v>
      </c>
      <c r="S892" s="582">
        <v>2.6344364364207085</v>
      </c>
      <c r="T892" s="582">
        <v>2.99543643642071</v>
      </c>
      <c r="U892" s="582">
        <v>2.8302364364207087</v>
      </c>
    </row>
    <row r="893" spans="10:21">
      <c r="J893" s="580">
        <v>41620</v>
      </c>
      <c r="K893" s="581">
        <v>1.7361111111111112E-2</v>
      </c>
      <c r="L893" s="582">
        <v>11.621</v>
      </c>
      <c r="M893" s="582">
        <v>12.0067</v>
      </c>
      <c r="N893" s="582">
        <v>12.8287</v>
      </c>
      <c r="O893" s="582">
        <v>12.587199999999999</v>
      </c>
      <c r="P893" s="582">
        <v>98.440899999999999</v>
      </c>
      <c r="Q893" s="582">
        <v>10.065526967161356</v>
      </c>
      <c r="R893" s="582">
        <v>1.3704730328386447</v>
      </c>
      <c r="S893" s="582">
        <v>2.5911730328386451</v>
      </c>
      <c r="T893" s="582">
        <v>2.9531730328386443</v>
      </c>
      <c r="U893" s="582">
        <v>2.7916730328386432</v>
      </c>
    </row>
    <row r="894" spans="10:21">
      <c r="J894" s="580">
        <v>41621</v>
      </c>
      <c r="K894" s="581">
        <v>1.7361111111111112E-2</v>
      </c>
      <c r="L894" s="582">
        <v>11.606999999999999</v>
      </c>
      <c r="M894" s="582">
        <v>11.9948</v>
      </c>
      <c r="N894" s="582">
        <v>12.8131</v>
      </c>
      <c r="O894" s="582">
        <v>12.574999999999999</v>
      </c>
      <c r="P894" s="582">
        <v>98.343000000000004</v>
      </c>
      <c r="Q894" s="582">
        <v>10.055516746916672</v>
      </c>
      <c r="R894" s="582">
        <v>1.3664832530833277</v>
      </c>
      <c r="S894" s="582">
        <v>2.5892832530833285</v>
      </c>
      <c r="T894" s="582">
        <v>2.9475832530833292</v>
      </c>
      <c r="U894" s="582">
        <v>2.7894832530833273</v>
      </c>
    </row>
    <row r="895" spans="10:21">
      <c r="J895" s="580">
        <v>41622</v>
      </c>
      <c r="K895" s="581">
        <v>1.7361111111111112E-2</v>
      </c>
      <c r="L895" s="582">
        <v>11.661199999999999</v>
      </c>
      <c r="M895" s="582">
        <v>12.074</v>
      </c>
      <c r="N895" s="582">
        <v>12.8712</v>
      </c>
      <c r="O895" s="582">
        <v>12.643800000000001</v>
      </c>
      <c r="P895" s="582">
        <v>98.799899999999994</v>
      </c>
      <c r="Q895" s="582">
        <v>10.102234516373228</v>
      </c>
      <c r="R895" s="582">
        <v>1.3739654836267712</v>
      </c>
      <c r="S895" s="582">
        <v>2.6217654836267723</v>
      </c>
      <c r="T895" s="582">
        <v>2.9589654836267725</v>
      </c>
      <c r="U895" s="582">
        <v>2.8115654836267723</v>
      </c>
    </row>
    <row r="896" spans="10:21">
      <c r="J896" s="580">
        <v>41623</v>
      </c>
      <c r="K896" s="581">
        <v>1.7361111111111112E-2</v>
      </c>
      <c r="L896" s="582">
        <v>11.6374</v>
      </c>
      <c r="M896" s="582">
        <v>12.0543</v>
      </c>
      <c r="N896" s="582">
        <v>12.856199999999999</v>
      </c>
      <c r="O896" s="582">
        <v>12.6265</v>
      </c>
      <c r="P896" s="582">
        <v>98.844999999999999</v>
      </c>
      <c r="Q896" s="582">
        <v>10.106845966148869</v>
      </c>
      <c r="R896" s="582">
        <v>1.3455540338511303</v>
      </c>
      <c r="S896" s="582">
        <v>2.5974540338511307</v>
      </c>
      <c r="T896" s="582">
        <v>2.9393540338511306</v>
      </c>
      <c r="U896" s="582">
        <v>2.7896540338511304</v>
      </c>
    </row>
    <row r="897" spans="10:21">
      <c r="J897" s="580">
        <v>41624</v>
      </c>
      <c r="K897" s="581">
        <v>1.7361111111111112E-2</v>
      </c>
      <c r="L897" s="582">
        <v>11.6173</v>
      </c>
      <c r="M897" s="582">
        <v>12.041499999999999</v>
      </c>
      <c r="N897" s="582">
        <v>12.833600000000001</v>
      </c>
      <c r="O897" s="582">
        <v>12.61</v>
      </c>
      <c r="P897" s="582">
        <v>98.929500000000004</v>
      </c>
      <c r="Q897" s="582">
        <v>10.115486043888154</v>
      </c>
      <c r="R897" s="582">
        <v>1.3168139561118459</v>
      </c>
      <c r="S897" s="582">
        <v>2.5760139561118454</v>
      </c>
      <c r="T897" s="582">
        <v>2.9081139561118468</v>
      </c>
      <c r="U897" s="582">
        <v>2.7645139561118448</v>
      </c>
    </row>
    <row r="898" spans="10:21">
      <c r="J898" s="580">
        <v>41625</v>
      </c>
      <c r="K898" s="581">
        <v>1.7361111111111112E-2</v>
      </c>
      <c r="L898" s="582">
        <v>11.588200000000001</v>
      </c>
      <c r="M898" s="582">
        <v>12.019299999999999</v>
      </c>
      <c r="N898" s="582">
        <v>12.8071</v>
      </c>
      <c r="O898" s="582">
        <v>12.5801</v>
      </c>
      <c r="P898" s="582">
        <v>98.936999999999998</v>
      </c>
      <c r="Q898" s="582">
        <v>10.116252914693415</v>
      </c>
      <c r="R898" s="582">
        <v>1.286947085306585</v>
      </c>
      <c r="S898" s="582">
        <v>2.5530470853065843</v>
      </c>
      <c r="T898" s="582">
        <v>2.8808470853065851</v>
      </c>
      <c r="U898" s="582">
        <v>2.7338470853065839</v>
      </c>
    </row>
    <row r="899" spans="10:21">
      <c r="J899" s="580">
        <v>41626</v>
      </c>
      <c r="K899" s="581">
        <v>1.7361111111111112E-2</v>
      </c>
      <c r="L899" s="582">
        <v>11.5482</v>
      </c>
      <c r="M899" s="582">
        <v>11.980600000000001</v>
      </c>
      <c r="N899" s="582">
        <v>12.7577</v>
      </c>
      <c r="O899" s="582">
        <v>12.5299</v>
      </c>
      <c r="P899" s="582">
        <v>98.816500000000005</v>
      </c>
      <c r="Q899" s="582">
        <v>10.103931857088874</v>
      </c>
      <c r="R899" s="582">
        <v>1.2592681429111257</v>
      </c>
      <c r="S899" s="582">
        <v>2.5266681429111273</v>
      </c>
      <c r="T899" s="582">
        <v>2.8437681429111263</v>
      </c>
      <c r="U899" s="582">
        <v>2.6959681429111257</v>
      </c>
    </row>
    <row r="900" spans="10:21">
      <c r="J900" s="580">
        <v>41627</v>
      </c>
      <c r="K900" s="581">
        <v>1.7361111111111112E-2</v>
      </c>
      <c r="L900" s="582">
        <v>11.518800000000001</v>
      </c>
      <c r="M900" s="582">
        <v>11.9465</v>
      </c>
      <c r="N900" s="582">
        <v>12.7193</v>
      </c>
      <c r="O900" s="582">
        <v>12.493</v>
      </c>
      <c r="P900" s="582">
        <v>98.811400000000006</v>
      </c>
      <c r="Q900" s="582">
        <v>10.103410384941297</v>
      </c>
      <c r="R900" s="582">
        <v>1.2303896150587037</v>
      </c>
      <c r="S900" s="582">
        <v>2.4930896150587039</v>
      </c>
      <c r="T900" s="582">
        <v>2.805889615058704</v>
      </c>
      <c r="U900" s="582">
        <v>2.6595896150587035</v>
      </c>
    </row>
    <row r="901" spans="10:21">
      <c r="J901" s="580">
        <v>41628</v>
      </c>
      <c r="K901" s="581">
        <v>1.7361111111111112E-2</v>
      </c>
      <c r="L901" s="582">
        <v>11.5007</v>
      </c>
      <c r="M901" s="582">
        <v>11.9168</v>
      </c>
      <c r="N901" s="582">
        <v>12.684699999999999</v>
      </c>
      <c r="O901" s="582">
        <v>12.4429</v>
      </c>
      <c r="P901" s="582">
        <v>98.874300000000005</v>
      </c>
      <c r="Q901" s="582">
        <v>10.109841874761427</v>
      </c>
      <c r="R901" s="582">
        <v>1.2058581252385729</v>
      </c>
      <c r="S901" s="582">
        <v>2.4569581252385735</v>
      </c>
      <c r="T901" s="582">
        <v>2.7648581252385727</v>
      </c>
      <c r="U901" s="582">
        <v>2.6030581252385727</v>
      </c>
    </row>
    <row r="902" spans="10:21">
      <c r="J902" s="580">
        <v>41629</v>
      </c>
      <c r="K902" s="581">
        <v>1.7361111111111112E-2</v>
      </c>
      <c r="L902" s="582">
        <v>11.4902</v>
      </c>
      <c r="M902" s="582">
        <v>11.900399999999999</v>
      </c>
      <c r="N902" s="582">
        <v>12.654999999999999</v>
      </c>
      <c r="O902" s="582">
        <v>12.372199999999999</v>
      </c>
      <c r="P902" s="582">
        <v>99.013000000000005</v>
      </c>
      <c r="Q902" s="582">
        <v>10.124023872186738</v>
      </c>
      <c r="R902" s="582">
        <v>1.1811761278132615</v>
      </c>
      <c r="S902" s="582">
        <v>2.4263761278132616</v>
      </c>
      <c r="T902" s="582">
        <v>2.7209761278132616</v>
      </c>
      <c r="U902" s="582">
        <v>2.5181761278132613</v>
      </c>
    </row>
    <row r="903" spans="10:21">
      <c r="J903" s="580">
        <v>41630</v>
      </c>
      <c r="K903" s="581">
        <v>1.7361111111111112E-2</v>
      </c>
      <c r="L903" s="582">
        <v>11.4732</v>
      </c>
      <c r="M903" s="582">
        <v>11.876799999999999</v>
      </c>
      <c r="N903" s="582">
        <v>12.6213</v>
      </c>
      <c r="O903" s="582">
        <v>12.296799999999999</v>
      </c>
      <c r="P903" s="582">
        <v>99.108199999999997</v>
      </c>
      <c r="Q903" s="582">
        <v>10.133758018941528</v>
      </c>
      <c r="R903" s="582">
        <v>1.1544419810584725</v>
      </c>
      <c r="S903" s="582">
        <v>2.393041981058472</v>
      </c>
      <c r="T903" s="582">
        <v>2.6775419810584724</v>
      </c>
      <c r="U903" s="582">
        <v>2.4330419810584716</v>
      </c>
    </row>
    <row r="904" spans="10:21">
      <c r="J904" s="580">
        <v>41631</v>
      </c>
      <c r="K904" s="581">
        <v>1.7361111111111112E-2</v>
      </c>
      <c r="L904" s="582">
        <v>11.4513</v>
      </c>
      <c r="M904" s="582">
        <v>11.8371</v>
      </c>
      <c r="N904" s="582">
        <v>12.590999999999999</v>
      </c>
      <c r="O904" s="582">
        <v>12.2325</v>
      </c>
      <c r="P904" s="582">
        <v>99.137</v>
      </c>
      <c r="Q904" s="582">
        <v>10.136702802833735</v>
      </c>
      <c r="R904" s="582">
        <v>1.1295971971662646</v>
      </c>
      <c r="S904" s="582">
        <v>2.3503971971662647</v>
      </c>
      <c r="T904" s="582">
        <v>2.6442971971662645</v>
      </c>
      <c r="U904" s="582">
        <v>2.3657971971662648</v>
      </c>
    </row>
    <row r="905" spans="10:21">
      <c r="J905" s="580">
        <v>41632</v>
      </c>
      <c r="K905" s="581">
        <v>1.7361111111111112E-2</v>
      </c>
      <c r="L905" s="582">
        <v>11.4278</v>
      </c>
      <c r="M905" s="582">
        <v>11.8017</v>
      </c>
      <c r="N905" s="582">
        <v>12.5627</v>
      </c>
      <c r="O905" s="582">
        <v>12.1828</v>
      </c>
      <c r="P905" s="582">
        <v>99.174899999999994</v>
      </c>
      <c r="Q905" s="582">
        <v>10.140578056636324</v>
      </c>
      <c r="R905" s="582">
        <v>1.1022219433636757</v>
      </c>
      <c r="S905" s="582">
        <v>2.3111219433636769</v>
      </c>
      <c r="T905" s="582">
        <v>2.6121219433636762</v>
      </c>
      <c r="U905" s="582">
        <v>2.3122219433636766</v>
      </c>
    </row>
    <row r="906" spans="10:21">
      <c r="J906" s="580">
        <v>41633</v>
      </c>
      <c r="K906" s="581">
        <v>1.7361111111111112E-2</v>
      </c>
      <c r="L906" s="582">
        <v>11.410500000000001</v>
      </c>
      <c r="M906" s="582">
        <v>11.773400000000001</v>
      </c>
      <c r="N906" s="582">
        <v>12.535399999999999</v>
      </c>
      <c r="O906" s="582">
        <v>12.1435</v>
      </c>
      <c r="P906" s="582">
        <v>99.244299999999996</v>
      </c>
      <c r="Q906" s="582">
        <v>10.147674167821014</v>
      </c>
      <c r="R906" s="582">
        <v>1.0778258321789864</v>
      </c>
      <c r="S906" s="582">
        <v>2.2757258321789866</v>
      </c>
      <c r="T906" s="582">
        <v>2.5777258321789853</v>
      </c>
      <c r="U906" s="582">
        <v>2.2658258321789853</v>
      </c>
    </row>
    <row r="907" spans="10:21">
      <c r="J907" s="580">
        <v>41634</v>
      </c>
      <c r="K907" s="581">
        <v>1.7361111111111112E-2</v>
      </c>
      <c r="L907" s="582">
        <v>11.388500000000001</v>
      </c>
      <c r="M907" s="582">
        <v>11.743600000000001</v>
      </c>
      <c r="N907" s="582">
        <v>12.5076</v>
      </c>
      <c r="O907" s="582">
        <v>12.118499999999999</v>
      </c>
      <c r="P907" s="582">
        <v>99.294600000000003</v>
      </c>
      <c r="Q907" s="582">
        <v>10.152817314688306</v>
      </c>
      <c r="R907" s="582">
        <v>1.0506826853116942</v>
      </c>
      <c r="S907" s="582">
        <v>2.2407826853116948</v>
      </c>
      <c r="T907" s="582">
        <v>2.5447826853116942</v>
      </c>
      <c r="U907" s="582">
        <v>2.2356826853116929</v>
      </c>
    </row>
    <row r="908" spans="10:21">
      <c r="J908" s="580">
        <v>41635</v>
      </c>
      <c r="K908" s="581">
        <v>1.7361111111111112E-2</v>
      </c>
      <c r="L908" s="582">
        <v>11.343</v>
      </c>
      <c r="M908" s="582">
        <v>11.692299999999999</v>
      </c>
      <c r="N908" s="582">
        <v>12.453900000000001</v>
      </c>
      <c r="O908" s="582">
        <v>12.082700000000001</v>
      </c>
      <c r="P908" s="582">
        <v>99.139600000000002</v>
      </c>
      <c r="Q908" s="582">
        <v>10.13696865137956</v>
      </c>
      <c r="R908" s="582">
        <v>1.0210313486204403</v>
      </c>
      <c r="S908" s="582">
        <v>2.2053313486204402</v>
      </c>
      <c r="T908" s="582">
        <v>2.5069313486204416</v>
      </c>
      <c r="U908" s="582">
        <v>2.2157313486204413</v>
      </c>
    </row>
    <row r="909" spans="10:21">
      <c r="J909" s="580">
        <v>41636</v>
      </c>
      <c r="K909" s="581">
        <v>1.7361111111111112E-2</v>
      </c>
      <c r="L909" s="582">
        <v>11.3095</v>
      </c>
      <c r="M909" s="582">
        <v>11.6525</v>
      </c>
      <c r="N909" s="582">
        <v>12.411300000000001</v>
      </c>
      <c r="O909" s="582">
        <v>12.0602</v>
      </c>
      <c r="P909" s="582">
        <v>99.103399999999993</v>
      </c>
      <c r="Q909" s="582">
        <v>10.133267221626161</v>
      </c>
      <c r="R909" s="582">
        <v>0.99123277837383894</v>
      </c>
      <c r="S909" s="582">
        <v>2.1692327783738392</v>
      </c>
      <c r="T909" s="582">
        <v>2.4680327783738401</v>
      </c>
      <c r="U909" s="582">
        <v>2.196932778373839</v>
      </c>
    </row>
    <row r="910" spans="10:21">
      <c r="J910" s="580">
        <v>41637</v>
      </c>
      <c r="K910" s="581">
        <v>1.7361111111111112E-2</v>
      </c>
      <c r="L910" s="582">
        <v>11.2798</v>
      </c>
      <c r="M910" s="582">
        <v>11.606199999999999</v>
      </c>
      <c r="N910" s="582">
        <v>12.3691</v>
      </c>
      <c r="O910" s="582">
        <v>12.0372</v>
      </c>
      <c r="P910" s="582">
        <v>99.052800000000005</v>
      </c>
      <c r="Q910" s="582">
        <v>10.12809339992666</v>
      </c>
      <c r="R910" s="582">
        <v>0.96670660007333942</v>
      </c>
      <c r="S910" s="582">
        <v>2.1281066000733393</v>
      </c>
      <c r="T910" s="582">
        <v>2.4310066000733395</v>
      </c>
      <c r="U910" s="582">
        <v>2.1791066000733399</v>
      </c>
    </row>
    <row r="911" spans="10:21">
      <c r="J911" s="580">
        <v>41638</v>
      </c>
      <c r="K911" s="581">
        <v>1.7361111111111112E-2</v>
      </c>
      <c r="L911" s="582">
        <v>11.2621</v>
      </c>
      <c r="M911" s="582">
        <v>11.5693</v>
      </c>
      <c r="N911" s="582">
        <v>12.3337</v>
      </c>
      <c r="O911" s="582">
        <v>12.005100000000001</v>
      </c>
      <c r="P911" s="582">
        <v>99.076899999999995</v>
      </c>
      <c r="Q911" s="582">
        <v>10.130557611447568</v>
      </c>
      <c r="R911" s="582">
        <v>0.94654238855243256</v>
      </c>
      <c r="S911" s="582">
        <v>2.0887423885524328</v>
      </c>
      <c r="T911" s="582">
        <v>2.393142388552433</v>
      </c>
      <c r="U911" s="582">
        <v>2.1445423885524328</v>
      </c>
    </row>
    <row r="912" spans="10:21">
      <c r="J912" s="580">
        <v>41639</v>
      </c>
      <c r="K912" s="581">
        <v>1.7361111111111112E-2</v>
      </c>
      <c r="L912" s="582">
        <v>11.2478</v>
      </c>
      <c r="M912" s="582">
        <v>11.5329</v>
      </c>
      <c r="N912" s="582">
        <v>12.294499999999999</v>
      </c>
      <c r="O912" s="582">
        <v>11.9709</v>
      </c>
      <c r="P912" s="582">
        <v>99.120599999999996</v>
      </c>
      <c r="Q912" s="582">
        <v>10.135025912006228</v>
      </c>
      <c r="R912" s="582">
        <v>0.92777408799377226</v>
      </c>
      <c r="S912" s="582">
        <v>2.0478740879937725</v>
      </c>
      <c r="T912" s="582">
        <v>2.3494740879937721</v>
      </c>
      <c r="U912" s="582">
        <v>2.1058740879937727</v>
      </c>
    </row>
    <row r="913" spans="10:21">
      <c r="J913" s="580">
        <v>41640</v>
      </c>
      <c r="K913" s="581">
        <v>1.7361111111111112E-2</v>
      </c>
      <c r="L913" s="582">
        <v>11.222</v>
      </c>
      <c r="M913" s="582">
        <v>11.483499999999999</v>
      </c>
      <c r="N913" s="582">
        <v>12.2415</v>
      </c>
      <c r="O913" s="582">
        <v>11.928000000000001</v>
      </c>
      <c r="P913" s="582">
        <v>99.072299999999998</v>
      </c>
      <c r="Q913" s="582">
        <v>10.130087264020341</v>
      </c>
      <c r="R913" s="582">
        <v>0.90691273597965838</v>
      </c>
      <c r="S913" s="582">
        <v>2.0034127359796585</v>
      </c>
      <c r="T913" s="582">
        <v>2.3014127359796595</v>
      </c>
      <c r="U913" s="582">
        <v>2.0679127359796596</v>
      </c>
    </row>
    <row r="914" spans="10:21">
      <c r="J914" s="580">
        <v>41641</v>
      </c>
      <c r="K914" s="581">
        <v>1.7361111111111112E-2</v>
      </c>
      <c r="L914" s="582">
        <v>11.1976</v>
      </c>
      <c r="M914" s="582">
        <v>11.458</v>
      </c>
      <c r="N914" s="582">
        <v>12.2064</v>
      </c>
      <c r="O914" s="582">
        <v>11.892200000000001</v>
      </c>
      <c r="P914" s="582">
        <v>99.043599999999998</v>
      </c>
      <c r="Q914" s="582">
        <v>10.127152705072206</v>
      </c>
      <c r="R914" s="582">
        <v>0.88544729492779395</v>
      </c>
      <c r="S914" s="582">
        <v>1.9808472949277947</v>
      </c>
      <c r="T914" s="582">
        <v>2.2692472949277951</v>
      </c>
      <c r="U914" s="582">
        <v>2.0350472949277951</v>
      </c>
    </row>
    <row r="915" spans="10:21">
      <c r="J915" s="580">
        <v>41642</v>
      </c>
      <c r="K915" s="581">
        <v>1.7361111111111112E-2</v>
      </c>
      <c r="L915" s="582">
        <v>11.1706</v>
      </c>
      <c r="M915" s="582">
        <v>11.436999999999999</v>
      </c>
      <c r="N915" s="582">
        <v>12.1783</v>
      </c>
      <c r="O915" s="582">
        <v>11.866</v>
      </c>
      <c r="P915" s="582">
        <v>99.064800000000005</v>
      </c>
      <c r="Q915" s="582">
        <v>10.12932039321508</v>
      </c>
      <c r="R915" s="582">
        <v>0.85627960678492043</v>
      </c>
      <c r="S915" s="582">
        <v>1.9576796067849196</v>
      </c>
      <c r="T915" s="582">
        <v>2.2389796067849206</v>
      </c>
      <c r="U915" s="582">
        <v>2.0066796067849197</v>
      </c>
    </row>
    <row r="916" spans="10:21">
      <c r="J916" s="580">
        <v>41643</v>
      </c>
      <c r="K916" s="581">
        <v>1.7361111111111112E-2</v>
      </c>
      <c r="L916" s="582">
        <v>11.136200000000001</v>
      </c>
      <c r="M916" s="582">
        <v>11.4091</v>
      </c>
      <c r="N916" s="582">
        <v>12.143700000000001</v>
      </c>
      <c r="O916" s="582">
        <v>11.835599999999999</v>
      </c>
      <c r="P916" s="582">
        <v>99.002399999999994</v>
      </c>
      <c r="Q916" s="582">
        <v>10.1229400281153</v>
      </c>
      <c r="R916" s="582">
        <v>0.82825997188470046</v>
      </c>
      <c r="S916" s="582">
        <v>1.9361599718847005</v>
      </c>
      <c r="T916" s="582">
        <v>2.2107599718847011</v>
      </c>
      <c r="U916" s="582">
        <v>1.9826599718846993</v>
      </c>
    </row>
    <row r="917" spans="10:21">
      <c r="J917" s="580">
        <v>41644</v>
      </c>
      <c r="K917" s="581">
        <v>1.7361111111111112E-2</v>
      </c>
      <c r="L917" s="582">
        <v>11.0916</v>
      </c>
      <c r="M917" s="582">
        <v>11.3729</v>
      </c>
      <c r="N917" s="582">
        <v>12.1051</v>
      </c>
      <c r="O917" s="582">
        <v>11.804600000000001</v>
      </c>
      <c r="P917" s="582">
        <v>98.888400000000004</v>
      </c>
      <c r="Q917" s="582">
        <v>10.111283591875319</v>
      </c>
      <c r="R917" s="582">
        <v>0.79531640812468096</v>
      </c>
      <c r="S917" s="582">
        <v>1.9116164081246809</v>
      </c>
      <c r="T917" s="582">
        <v>2.1838164081246818</v>
      </c>
      <c r="U917" s="582">
        <v>1.9633164081246819</v>
      </c>
    </row>
    <row r="918" spans="10:21">
      <c r="J918" s="580">
        <v>41645</v>
      </c>
      <c r="K918" s="581">
        <v>1.7361111111111112E-2</v>
      </c>
      <c r="L918" s="582">
        <v>11.0435</v>
      </c>
      <c r="M918" s="582">
        <v>11.331</v>
      </c>
      <c r="N918" s="582">
        <v>12.055300000000001</v>
      </c>
      <c r="O918" s="582">
        <v>11.7668</v>
      </c>
      <c r="P918" s="582">
        <v>98.712800000000001</v>
      </c>
      <c r="Q918" s="582">
        <v>10.093328590088118</v>
      </c>
      <c r="R918" s="582">
        <v>0.76517140991188148</v>
      </c>
      <c r="S918" s="582">
        <v>1.8876714099118812</v>
      </c>
      <c r="T918" s="582">
        <v>2.1519714099118827</v>
      </c>
      <c r="U918" s="582">
        <v>1.9434714099118815</v>
      </c>
    </row>
    <row r="919" spans="10:21">
      <c r="J919" s="580">
        <v>41646</v>
      </c>
      <c r="K919" s="581">
        <v>1.7361111111111112E-2</v>
      </c>
      <c r="L919" s="582">
        <v>11.029</v>
      </c>
      <c r="M919" s="582">
        <v>11.321199999999999</v>
      </c>
      <c r="N919" s="582">
        <v>12.0328</v>
      </c>
      <c r="O919" s="582">
        <v>11.755000000000001</v>
      </c>
      <c r="P919" s="582">
        <v>98.789599999999993</v>
      </c>
      <c r="Q919" s="582">
        <v>10.101181347134</v>
      </c>
      <c r="R919" s="582">
        <v>0.74281865286599968</v>
      </c>
      <c r="S919" s="582">
        <v>1.8700186528659992</v>
      </c>
      <c r="T919" s="582">
        <v>2.1216186528660002</v>
      </c>
      <c r="U919" s="582">
        <v>1.9238186528660006</v>
      </c>
    </row>
    <row r="920" spans="10:21">
      <c r="J920" s="580">
        <v>41647</v>
      </c>
      <c r="K920" s="581">
        <v>1.7361111111111112E-2</v>
      </c>
      <c r="L920" s="582">
        <v>11.028</v>
      </c>
      <c r="M920" s="582">
        <v>11.120900000000001</v>
      </c>
      <c r="N920" s="582">
        <v>12.0243</v>
      </c>
      <c r="O920" s="582">
        <v>11.7545</v>
      </c>
      <c r="P920" s="582">
        <v>98.932400000000001</v>
      </c>
      <c r="Q920" s="582">
        <v>10.115782567266189</v>
      </c>
      <c r="R920" s="582">
        <v>0.72721743273381145</v>
      </c>
      <c r="S920" s="582">
        <v>1.6551174327338118</v>
      </c>
      <c r="T920" s="582">
        <v>2.0985174327338116</v>
      </c>
      <c r="U920" s="582">
        <v>1.9087174327338112</v>
      </c>
    </row>
    <row r="921" spans="10:21">
      <c r="J921" s="580">
        <v>41648</v>
      </c>
      <c r="K921" s="581">
        <v>1.7361111111111112E-2</v>
      </c>
      <c r="L921" s="582">
        <v>11.0306</v>
      </c>
      <c r="M921" s="582">
        <v>11.2826</v>
      </c>
      <c r="N921" s="582">
        <v>12.015700000000001</v>
      </c>
      <c r="O921" s="582">
        <v>11.7578</v>
      </c>
      <c r="P921" s="582">
        <v>99.019199999999998</v>
      </c>
      <c r="Q921" s="582">
        <v>10.124657818719086</v>
      </c>
      <c r="R921" s="582">
        <v>0.72094218128091336</v>
      </c>
      <c r="S921" s="582">
        <v>1.8079421812809142</v>
      </c>
      <c r="T921" s="582">
        <v>2.0810421812809148</v>
      </c>
      <c r="U921" s="582">
        <v>1.9031421812809133</v>
      </c>
    </row>
    <row r="922" spans="10:21">
      <c r="J922" s="580">
        <v>41649</v>
      </c>
      <c r="K922" s="581">
        <v>1.7361111111111112E-2</v>
      </c>
      <c r="L922" s="582">
        <v>11.013999999999999</v>
      </c>
      <c r="M922" s="582">
        <v>11.2753</v>
      </c>
      <c r="N922" s="582">
        <v>11.990600000000001</v>
      </c>
      <c r="O922" s="582">
        <v>11.742100000000001</v>
      </c>
      <c r="P922" s="582">
        <v>99.025499999999994</v>
      </c>
      <c r="Q922" s="582">
        <v>10.125301990195506</v>
      </c>
      <c r="R922" s="582">
        <v>0.70369800980449293</v>
      </c>
      <c r="S922" s="582">
        <v>1.7999980098044934</v>
      </c>
      <c r="T922" s="582">
        <v>2.0552980098044946</v>
      </c>
      <c r="U922" s="582">
        <v>1.8867980098044943</v>
      </c>
    </row>
    <row r="923" spans="10:21">
      <c r="J923" s="580">
        <v>41650</v>
      </c>
      <c r="K923" s="581">
        <v>1.7361111111111112E-2</v>
      </c>
      <c r="L923" s="582">
        <v>10.997400000000001</v>
      </c>
      <c r="M923" s="582">
        <v>11.253399999999999</v>
      </c>
      <c r="N923" s="582">
        <v>11.9686</v>
      </c>
      <c r="O923" s="582">
        <v>11.7303</v>
      </c>
      <c r="P923" s="582">
        <v>99.079700000000003</v>
      </c>
      <c r="Q923" s="582">
        <v>10.130843909881534</v>
      </c>
      <c r="R923" s="582">
        <v>0.68155609011846652</v>
      </c>
      <c r="S923" s="582">
        <v>1.7725560901184652</v>
      </c>
      <c r="T923" s="582">
        <v>2.0277560901184666</v>
      </c>
      <c r="U923" s="582">
        <v>1.8694560901184656</v>
      </c>
    </row>
    <row r="924" spans="10:21">
      <c r="J924" s="580">
        <v>41651</v>
      </c>
      <c r="K924" s="581">
        <v>1.7361111111111112E-2</v>
      </c>
      <c r="L924" s="582">
        <v>10.976800000000001</v>
      </c>
      <c r="M924" s="582">
        <v>10.648300000000001</v>
      </c>
      <c r="N924" s="582">
        <v>11.943199999999999</v>
      </c>
      <c r="O924" s="582">
        <v>11.7182</v>
      </c>
      <c r="P924" s="582">
        <v>99.108699999999999</v>
      </c>
      <c r="Q924" s="582">
        <v>10.13380914366188</v>
      </c>
      <c r="R924" s="582">
        <v>0.65799085633812071</v>
      </c>
      <c r="S924" s="582">
        <v>1.1644908563381209</v>
      </c>
      <c r="T924" s="582">
        <v>1.9993908563381193</v>
      </c>
      <c r="U924" s="582">
        <v>1.8543908563381195</v>
      </c>
    </row>
    <row r="925" spans="10:21">
      <c r="J925" s="580">
        <v>41652</v>
      </c>
      <c r="K925" s="581">
        <v>1.7361111111111112E-2</v>
      </c>
      <c r="L925" s="582">
        <v>10.928800000000001</v>
      </c>
      <c r="M925" s="582">
        <v>10.599600000000001</v>
      </c>
      <c r="N925" s="582">
        <v>11.912000000000001</v>
      </c>
      <c r="O925" s="582">
        <v>11.6982</v>
      </c>
      <c r="P925" s="582">
        <v>99.085300000000004</v>
      </c>
      <c r="Q925" s="582">
        <v>10.131416506749462</v>
      </c>
      <c r="R925" s="582">
        <v>0.61238349325053898</v>
      </c>
      <c r="S925" s="582">
        <v>1.118183493250539</v>
      </c>
      <c r="T925" s="582">
        <v>1.9705834932505393</v>
      </c>
      <c r="U925" s="582">
        <v>1.8367834932505382</v>
      </c>
    </row>
    <row r="926" spans="10:21">
      <c r="J926" s="580">
        <v>41653</v>
      </c>
      <c r="K926" s="581">
        <v>1.7361111111111112E-2</v>
      </c>
      <c r="L926" s="582">
        <v>10.8536</v>
      </c>
      <c r="M926" s="582">
        <v>10.574400000000001</v>
      </c>
      <c r="N926" s="582">
        <v>11.889200000000001</v>
      </c>
      <c r="O926" s="582">
        <v>11.682399999999999</v>
      </c>
      <c r="P926" s="582">
        <v>99.110399999999998</v>
      </c>
      <c r="Q926" s="582">
        <v>10.133982967711072</v>
      </c>
      <c r="R926" s="582">
        <v>0.53461703228892832</v>
      </c>
      <c r="S926" s="582">
        <v>1.0904170322889291</v>
      </c>
      <c r="T926" s="582">
        <v>1.9452170322889291</v>
      </c>
      <c r="U926" s="582">
        <v>1.8184170322889277</v>
      </c>
    </row>
    <row r="927" spans="10:21">
      <c r="J927" s="580">
        <v>41654</v>
      </c>
      <c r="K927" s="581">
        <v>1.7361111111111112E-2</v>
      </c>
      <c r="L927" s="582">
        <v>10.771800000000001</v>
      </c>
      <c r="M927" s="582">
        <v>10.5769</v>
      </c>
      <c r="N927" s="582">
        <v>11.861800000000001</v>
      </c>
      <c r="O927" s="582">
        <v>11.663600000000001</v>
      </c>
      <c r="P927" s="582">
        <v>99.108099999999993</v>
      </c>
      <c r="Q927" s="582">
        <v>10.133747793997458</v>
      </c>
      <c r="R927" s="582">
        <v>0.45305220600254309</v>
      </c>
      <c r="S927" s="582">
        <v>1.0931522060025427</v>
      </c>
      <c r="T927" s="582">
        <v>1.9180522060025431</v>
      </c>
      <c r="U927" s="582">
        <v>1.799852206002543</v>
      </c>
    </row>
    <row r="928" spans="10:21">
      <c r="J928" s="580">
        <v>41655</v>
      </c>
      <c r="K928" s="581">
        <v>1.7361111111111112E-2</v>
      </c>
      <c r="L928" s="582">
        <v>10.729900000000001</v>
      </c>
      <c r="M928" s="582">
        <v>10.586399999999999</v>
      </c>
      <c r="N928" s="582">
        <v>11.8405</v>
      </c>
      <c r="O928" s="582">
        <v>11.651199999999999</v>
      </c>
      <c r="P928" s="582">
        <v>99.157600000000002</v>
      </c>
      <c r="Q928" s="582">
        <v>10.138809141312187</v>
      </c>
      <c r="R928" s="582">
        <v>0.40609085868781364</v>
      </c>
      <c r="S928" s="582">
        <v>1.0975908586878125</v>
      </c>
      <c r="T928" s="582">
        <v>1.8916908586878136</v>
      </c>
      <c r="U928" s="582">
        <v>1.7823908586878123</v>
      </c>
    </row>
    <row r="929" spans="10:21">
      <c r="J929" s="580">
        <v>41656</v>
      </c>
      <c r="K929" s="581">
        <v>1.7361111111111112E-2</v>
      </c>
      <c r="L929" s="582">
        <v>10.632999999999999</v>
      </c>
      <c r="M929" s="582">
        <v>10.587400000000001</v>
      </c>
      <c r="N929" s="582">
        <v>11.8154</v>
      </c>
      <c r="O929" s="582">
        <v>11.6343</v>
      </c>
      <c r="P929" s="582">
        <v>99.1751</v>
      </c>
      <c r="Q929" s="582">
        <v>10.140598506524466</v>
      </c>
      <c r="R929" s="582">
        <v>0.30740149347553342</v>
      </c>
      <c r="S929" s="582">
        <v>1.096801493475535</v>
      </c>
      <c r="T929" s="582">
        <v>1.8648014934755348</v>
      </c>
      <c r="U929" s="582">
        <v>1.763701493475534</v>
      </c>
    </row>
    <row r="930" spans="10:21">
      <c r="J930" s="580">
        <v>41657</v>
      </c>
      <c r="K930" s="581">
        <v>1.7361111111111112E-2</v>
      </c>
      <c r="L930" s="582">
        <v>10.5298</v>
      </c>
      <c r="M930" s="582">
        <v>10.573700000000001</v>
      </c>
      <c r="N930" s="582">
        <v>11.783799999999999</v>
      </c>
      <c r="O930" s="582">
        <v>11.6065</v>
      </c>
      <c r="P930" s="582">
        <v>99.087800000000001</v>
      </c>
      <c r="Q930" s="582">
        <v>10.131672130351216</v>
      </c>
      <c r="R930" s="582">
        <v>0.21312786964878377</v>
      </c>
      <c r="S930" s="582">
        <v>1.0920278696487846</v>
      </c>
      <c r="T930" s="582">
        <v>1.8421278696487835</v>
      </c>
      <c r="U930" s="582">
        <v>1.7448278696487844</v>
      </c>
    </row>
    <row r="931" spans="10:21">
      <c r="J931" s="580">
        <v>41658</v>
      </c>
      <c r="K931" s="581">
        <v>1.7361111111111112E-2</v>
      </c>
      <c r="L931" s="582">
        <v>10.5501</v>
      </c>
      <c r="M931" s="582">
        <v>10.5959</v>
      </c>
      <c r="N931" s="582">
        <v>11.782</v>
      </c>
      <c r="O931" s="582">
        <v>11.6074</v>
      </c>
      <c r="P931" s="582">
        <v>99.2958</v>
      </c>
      <c r="Q931" s="582">
        <v>10.152940014017148</v>
      </c>
      <c r="R931" s="582">
        <v>0.21215998598285296</v>
      </c>
      <c r="S931" s="582">
        <v>1.0929599859828529</v>
      </c>
      <c r="T931" s="582">
        <v>1.8190599859828527</v>
      </c>
      <c r="U931" s="582">
        <v>1.7244599859828527</v>
      </c>
    </row>
    <row r="932" spans="10:21">
      <c r="J932" s="580">
        <v>41659</v>
      </c>
      <c r="K932" s="581">
        <v>1.7361111111111112E-2</v>
      </c>
      <c r="L932" s="582">
        <v>10.5497</v>
      </c>
      <c r="M932" s="582">
        <v>10.5954</v>
      </c>
      <c r="N932" s="582">
        <v>11.7651</v>
      </c>
      <c r="O932" s="582">
        <v>11.592700000000001</v>
      </c>
      <c r="P932" s="582">
        <v>99.3523</v>
      </c>
      <c r="Q932" s="582">
        <v>10.158717107416788</v>
      </c>
      <c r="R932" s="582">
        <v>0.20598289258321195</v>
      </c>
      <c r="S932" s="582">
        <v>1.0866828925832122</v>
      </c>
      <c r="T932" s="582">
        <v>1.7963828925832128</v>
      </c>
      <c r="U932" s="582">
        <v>1.703982892583213</v>
      </c>
    </row>
    <row r="933" spans="10:21">
      <c r="J933" s="580">
        <v>41660</v>
      </c>
      <c r="K933" s="581">
        <v>1.7361111111111112E-2</v>
      </c>
      <c r="L933" s="582">
        <v>10.194699999999999</v>
      </c>
      <c r="M933" s="582">
        <v>10.1905</v>
      </c>
      <c r="N933" s="582">
        <v>11.740500000000001</v>
      </c>
      <c r="O933" s="582">
        <v>11.569699999999999</v>
      </c>
      <c r="P933" s="582">
        <v>99.334199999999996</v>
      </c>
      <c r="Q933" s="582">
        <v>10.156866392540088</v>
      </c>
      <c r="R933" s="582">
        <v>0</v>
      </c>
      <c r="S933" s="582">
        <v>0.68363360745991186</v>
      </c>
      <c r="T933" s="582">
        <v>1.7736336074599126</v>
      </c>
      <c r="U933" s="582">
        <v>1.6828336074599108</v>
      </c>
    </row>
    <row r="934" spans="10:21">
      <c r="J934" s="580">
        <v>41661</v>
      </c>
      <c r="K934" s="581">
        <v>1.7361111111111112E-2</v>
      </c>
      <c r="L934" s="582">
        <v>10.1845</v>
      </c>
      <c r="M934" s="582">
        <v>10.175000000000001</v>
      </c>
      <c r="N934" s="582">
        <v>11.702</v>
      </c>
      <c r="O934" s="582">
        <v>11.5322</v>
      </c>
      <c r="P934" s="582">
        <v>99.176100000000005</v>
      </c>
      <c r="Q934" s="582">
        <v>10.140700755965167</v>
      </c>
      <c r="R934" s="582">
        <v>0</v>
      </c>
      <c r="S934" s="582">
        <v>0.68429924403483411</v>
      </c>
      <c r="T934" s="582">
        <v>1.7512992440348334</v>
      </c>
      <c r="U934" s="582">
        <v>1.6614992440348328</v>
      </c>
    </row>
    <row r="935" spans="10:21">
      <c r="J935" s="580">
        <v>41662</v>
      </c>
      <c r="K935" s="581">
        <v>1.7361111111111112E-2</v>
      </c>
      <c r="L935" s="582">
        <v>10.187799999999999</v>
      </c>
      <c r="M935" s="582">
        <v>10.1754</v>
      </c>
      <c r="N935" s="582">
        <v>11.6822</v>
      </c>
      <c r="O935" s="582">
        <v>11.514799999999999</v>
      </c>
      <c r="P935" s="582">
        <v>99.216200000000001</v>
      </c>
      <c r="Q935" s="582">
        <v>10.144800958537301</v>
      </c>
      <c r="R935" s="582">
        <v>0</v>
      </c>
      <c r="S935" s="582">
        <v>0.68059904146269878</v>
      </c>
      <c r="T935" s="582">
        <v>1.727399041462699</v>
      </c>
      <c r="U935" s="582">
        <v>1.6399990414626981</v>
      </c>
    </row>
    <row r="936" spans="10:21">
      <c r="J936" s="580">
        <v>41663</v>
      </c>
      <c r="K936" s="581">
        <v>1.7361111111111112E-2</v>
      </c>
      <c r="L936" s="582">
        <v>10.183999999999999</v>
      </c>
      <c r="M936" s="582">
        <v>10.1715</v>
      </c>
      <c r="N936" s="582">
        <v>11.657299999999999</v>
      </c>
      <c r="O936" s="582">
        <v>11.489100000000001</v>
      </c>
      <c r="P936" s="582">
        <v>99.186400000000006</v>
      </c>
      <c r="Q936" s="582">
        <v>10.141753925204394</v>
      </c>
      <c r="R936" s="582">
        <v>0</v>
      </c>
      <c r="S936" s="582">
        <v>0.67974607479560567</v>
      </c>
      <c r="T936" s="582">
        <v>1.705546074795605</v>
      </c>
      <c r="U936" s="582">
        <v>1.6173460747956061</v>
      </c>
    </row>
    <row r="937" spans="10:21">
      <c r="J937" s="580">
        <v>41664</v>
      </c>
      <c r="K937" s="581">
        <v>1.7361111111111112E-2</v>
      </c>
      <c r="L937" s="582">
        <v>10.1683</v>
      </c>
      <c r="M937" s="582">
        <v>10.1554</v>
      </c>
      <c r="N937" s="582">
        <v>11.6198</v>
      </c>
      <c r="O937" s="582">
        <v>11.451700000000001</v>
      </c>
      <c r="P937" s="582">
        <v>99.036199999999994</v>
      </c>
      <c r="Q937" s="582">
        <v>10.126396059211013</v>
      </c>
      <c r="R937" s="582">
        <v>0</v>
      </c>
      <c r="S937" s="582">
        <v>0.67900394078898763</v>
      </c>
      <c r="T937" s="582">
        <v>1.6834039407889871</v>
      </c>
      <c r="U937" s="582">
        <v>1.595303940788988</v>
      </c>
    </row>
    <row r="938" spans="10:21">
      <c r="J938" s="580">
        <v>41665</v>
      </c>
      <c r="K938" s="581">
        <v>1.7361111111111112E-2</v>
      </c>
      <c r="L938" s="582">
        <v>10.1717</v>
      </c>
      <c r="M938" s="582">
        <v>10.1572</v>
      </c>
      <c r="N938" s="582">
        <v>11.600199999999999</v>
      </c>
      <c r="O938" s="582">
        <v>11.4297</v>
      </c>
      <c r="P938" s="582">
        <v>99.043800000000005</v>
      </c>
      <c r="Q938" s="582">
        <v>10.127173154960346</v>
      </c>
      <c r="R938" s="582">
        <v>0</v>
      </c>
      <c r="S938" s="582">
        <v>0.68002684503965383</v>
      </c>
      <c r="T938" s="582">
        <v>1.6630268450396535</v>
      </c>
      <c r="U938" s="582">
        <v>1.5725268450396546</v>
      </c>
    </row>
    <row r="939" spans="10:21">
      <c r="J939" s="580">
        <v>41666</v>
      </c>
      <c r="K939" s="581">
        <v>1.7361111111111112E-2</v>
      </c>
      <c r="L939" s="582">
        <v>10.173500000000001</v>
      </c>
      <c r="M939" s="582">
        <v>10.16</v>
      </c>
      <c r="N939" s="582">
        <v>11.5785</v>
      </c>
      <c r="O939" s="582">
        <v>11.4064</v>
      </c>
      <c r="P939" s="582">
        <v>99.043099999999995</v>
      </c>
      <c r="Q939" s="582">
        <v>10.127101580351855</v>
      </c>
      <c r="R939" s="582">
        <v>0</v>
      </c>
      <c r="S939" s="582">
        <v>0.68289841964814513</v>
      </c>
      <c r="T939" s="582">
        <v>1.641398419648145</v>
      </c>
      <c r="U939" s="582">
        <v>1.5492984196481445</v>
      </c>
    </row>
    <row r="940" spans="10:21">
      <c r="J940" s="580">
        <v>41667</v>
      </c>
      <c r="K940" s="581">
        <v>1.7361111111111112E-2</v>
      </c>
      <c r="L940" s="582">
        <v>10.169600000000001</v>
      </c>
      <c r="M940" s="582">
        <v>10.1577</v>
      </c>
      <c r="N940" s="582">
        <v>11.5563</v>
      </c>
      <c r="O940" s="582">
        <v>11.381600000000001</v>
      </c>
      <c r="P940" s="582">
        <v>99.035200000000003</v>
      </c>
      <c r="Q940" s="582">
        <v>10.126293809770313</v>
      </c>
      <c r="R940" s="582">
        <v>0</v>
      </c>
      <c r="S940" s="582">
        <v>0.68140619022968685</v>
      </c>
      <c r="T940" s="582">
        <v>1.6200061902296869</v>
      </c>
      <c r="U940" s="582">
        <v>1.5253061902296872</v>
      </c>
    </row>
    <row r="941" spans="10:21">
      <c r="J941" s="580">
        <v>41668</v>
      </c>
      <c r="K941" s="581">
        <v>1.7361111111111112E-2</v>
      </c>
      <c r="L941" s="582">
        <v>10.172800000000001</v>
      </c>
      <c r="M941" s="582">
        <v>10.160299999999999</v>
      </c>
      <c r="N941" s="582">
        <v>11.5365</v>
      </c>
      <c r="O941" s="582">
        <v>11.3607</v>
      </c>
      <c r="P941" s="582">
        <v>99.054699999999997</v>
      </c>
      <c r="Q941" s="582">
        <v>10.128287673863992</v>
      </c>
      <c r="R941" s="582">
        <v>0</v>
      </c>
      <c r="S941" s="582">
        <v>0.68201232613600715</v>
      </c>
      <c r="T941" s="582">
        <v>1.5982123261360079</v>
      </c>
      <c r="U941" s="582">
        <v>1.5024123261360072</v>
      </c>
    </row>
    <row r="942" spans="10:21">
      <c r="J942" s="580">
        <v>41669</v>
      </c>
      <c r="K942" s="581">
        <v>1.7361111111111112E-2</v>
      </c>
      <c r="L942" s="582">
        <v>10.180199999999999</v>
      </c>
      <c r="M942" s="582">
        <v>10.167299999999999</v>
      </c>
      <c r="N942" s="582">
        <v>11.5228</v>
      </c>
      <c r="O942" s="582">
        <v>11.343500000000001</v>
      </c>
      <c r="P942" s="582">
        <v>99.125799999999998</v>
      </c>
      <c r="Q942" s="582">
        <v>10.135557609097877</v>
      </c>
      <c r="R942" s="582">
        <v>0</v>
      </c>
      <c r="S942" s="582">
        <v>0.68174239090212274</v>
      </c>
      <c r="T942" s="582">
        <v>1.5772423909021238</v>
      </c>
      <c r="U942" s="582">
        <v>1.4779423909021241</v>
      </c>
    </row>
    <row r="943" spans="10:21">
      <c r="J943" s="580">
        <v>41670</v>
      </c>
      <c r="K943" s="581">
        <v>1.7361111111111112E-2</v>
      </c>
      <c r="L943" s="582">
        <v>10.178800000000001</v>
      </c>
      <c r="M943" s="582">
        <v>10.165100000000001</v>
      </c>
      <c r="N943" s="582">
        <v>11.5002</v>
      </c>
      <c r="O943" s="582">
        <v>11.3164</v>
      </c>
      <c r="P943" s="582">
        <v>99.1083</v>
      </c>
      <c r="Q943" s="582">
        <v>10.1337682438856</v>
      </c>
      <c r="R943" s="582">
        <v>0</v>
      </c>
      <c r="S943" s="582">
        <v>0.68133175611440122</v>
      </c>
      <c r="T943" s="582">
        <v>1.5564317561144001</v>
      </c>
      <c r="U943" s="582">
        <v>1.4526317561144002</v>
      </c>
    </row>
    <row r="944" spans="10:21">
      <c r="J944" s="580">
        <v>41671</v>
      </c>
      <c r="K944" s="581">
        <v>1.7361111111111112E-2</v>
      </c>
      <c r="L944" s="582">
        <v>10.162000000000001</v>
      </c>
      <c r="M944" s="582">
        <v>10.148899999999999</v>
      </c>
      <c r="N944" s="582">
        <v>11.4643</v>
      </c>
      <c r="O944" s="582">
        <v>11.2768</v>
      </c>
      <c r="P944" s="582">
        <v>98.965000000000003</v>
      </c>
      <c r="Q944" s="582">
        <v>10.11911589903306</v>
      </c>
      <c r="R944" s="582">
        <v>0</v>
      </c>
      <c r="S944" s="582">
        <v>0.6797841009669392</v>
      </c>
      <c r="T944" s="582">
        <v>1.5351841009669394</v>
      </c>
      <c r="U944" s="582">
        <v>1.4276841009669394</v>
      </c>
    </row>
    <row r="945" spans="10:21">
      <c r="J945" s="580">
        <v>41672</v>
      </c>
      <c r="K945" s="581">
        <v>1.7361111111111112E-2</v>
      </c>
      <c r="L945" s="582">
        <v>10.175000000000001</v>
      </c>
      <c r="M945" s="582">
        <v>10.1609</v>
      </c>
      <c r="N945" s="582">
        <v>11.4558</v>
      </c>
      <c r="O945" s="582">
        <v>11.2631</v>
      </c>
      <c r="P945" s="582">
        <v>99.080699999999993</v>
      </c>
      <c r="Q945" s="582">
        <v>10.130946159322233</v>
      </c>
      <c r="R945" s="582">
        <v>0</v>
      </c>
      <c r="S945" s="582">
        <v>0.67995384067776654</v>
      </c>
      <c r="T945" s="582">
        <v>1.5148538406777665</v>
      </c>
      <c r="U945" s="582">
        <v>1.4021538406777663</v>
      </c>
    </row>
    <row r="946" spans="10:21">
      <c r="J946" s="580">
        <v>41673</v>
      </c>
      <c r="K946" s="581">
        <v>1.7361111111111112E-2</v>
      </c>
      <c r="L946" s="582">
        <v>10.157299999999999</v>
      </c>
      <c r="M946" s="582">
        <v>10.144</v>
      </c>
      <c r="N946" s="582">
        <v>11.4192</v>
      </c>
      <c r="O946" s="582">
        <v>11.223000000000001</v>
      </c>
      <c r="P946" s="582">
        <v>98.914199999999994</v>
      </c>
      <c r="Q946" s="582">
        <v>10.11392162744542</v>
      </c>
      <c r="R946" s="582">
        <v>0</v>
      </c>
      <c r="S946" s="582">
        <v>0.6800783725545807</v>
      </c>
      <c r="T946" s="582">
        <v>1.4952783725545804</v>
      </c>
      <c r="U946" s="582">
        <v>1.3790783725545812</v>
      </c>
    </row>
    <row r="947" spans="10:21">
      <c r="J947" s="580">
        <v>41674</v>
      </c>
      <c r="K947" s="581">
        <v>1.7361111111111112E-2</v>
      </c>
      <c r="L947" s="582">
        <v>10.146100000000001</v>
      </c>
      <c r="M947" s="582">
        <v>10.1341</v>
      </c>
      <c r="N947" s="582">
        <v>11.385999999999999</v>
      </c>
      <c r="O947" s="582">
        <v>11.1881</v>
      </c>
      <c r="P947" s="582">
        <v>98.807900000000004</v>
      </c>
      <c r="Q947" s="582">
        <v>10.103052511898841</v>
      </c>
      <c r="R947" s="582">
        <v>0</v>
      </c>
      <c r="S947" s="582">
        <v>0.68104748810115878</v>
      </c>
      <c r="T947" s="582">
        <v>1.4729474881011577</v>
      </c>
      <c r="U947" s="582">
        <v>1.3550474881011589</v>
      </c>
    </row>
    <row r="948" spans="10:21">
      <c r="J948" s="580">
        <v>41675</v>
      </c>
      <c r="K948" s="581">
        <v>1.7361111111111112E-2</v>
      </c>
      <c r="L948" s="582">
        <v>10.136900000000001</v>
      </c>
      <c r="M948" s="582">
        <v>10.1242</v>
      </c>
      <c r="N948" s="582">
        <v>11.353999999999999</v>
      </c>
      <c r="O948" s="582">
        <v>11.151199999999999</v>
      </c>
      <c r="P948" s="582">
        <v>98.690799999999996</v>
      </c>
      <c r="Q948" s="582">
        <v>10.091079102392683</v>
      </c>
      <c r="R948" s="582">
        <v>0</v>
      </c>
      <c r="S948" s="582">
        <v>0.68312089760731687</v>
      </c>
      <c r="T948" s="582">
        <v>1.4529208976073158</v>
      </c>
      <c r="U948" s="582">
        <v>1.330120897607316</v>
      </c>
    </row>
    <row r="949" spans="10:21">
      <c r="J949" s="580">
        <v>41676</v>
      </c>
      <c r="K949" s="581">
        <v>1.7361111111111112E-2</v>
      </c>
      <c r="L949" s="582">
        <v>10.1456</v>
      </c>
      <c r="M949" s="582">
        <v>10.132199999999999</v>
      </c>
      <c r="N949" s="582">
        <v>11.340999999999999</v>
      </c>
      <c r="O949" s="582">
        <v>11.1363</v>
      </c>
      <c r="P949" s="582">
        <v>98.774699999999996</v>
      </c>
      <c r="Q949" s="582">
        <v>10.099657830467548</v>
      </c>
      <c r="R949" s="582">
        <v>0</v>
      </c>
      <c r="S949" s="582">
        <v>0.68254216953245161</v>
      </c>
      <c r="T949" s="582">
        <v>1.4313421695324515</v>
      </c>
      <c r="U949" s="582">
        <v>1.3066421695324526</v>
      </c>
    </row>
    <row r="950" spans="10:21">
      <c r="J950" s="580">
        <v>41677</v>
      </c>
      <c r="K950" s="581">
        <v>1.7361111111111112E-2</v>
      </c>
      <c r="L950" s="582">
        <v>10.1389</v>
      </c>
      <c r="M950" s="582">
        <v>10.1267</v>
      </c>
      <c r="N950" s="582">
        <v>11.3133</v>
      </c>
      <c r="O950" s="582">
        <v>11.107799999999999</v>
      </c>
      <c r="P950" s="582">
        <v>98.710400000000007</v>
      </c>
      <c r="Q950" s="582">
        <v>10.093083191430436</v>
      </c>
      <c r="R950" s="582">
        <v>0</v>
      </c>
      <c r="S950" s="582">
        <v>0.68361680856956375</v>
      </c>
      <c r="T950" s="582">
        <v>1.4102168085695639</v>
      </c>
      <c r="U950" s="582">
        <v>1.2847168085695633</v>
      </c>
    </row>
    <row r="951" spans="10:21">
      <c r="J951" s="580">
        <v>41678</v>
      </c>
      <c r="K951" s="581">
        <v>1.7361111111111112E-2</v>
      </c>
      <c r="L951" s="582">
        <v>10.148199999999999</v>
      </c>
      <c r="M951" s="582">
        <v>10.1358</v>
      </c>
      <c r="N951" s="582">
        <v>11.301</v>
      </c>
      <c r="O951" s="582">
        <v>11.0931</v>
      </c>
      <c r="P951" s="582">
        <v>98.798599999999993</v>
      </c>
      <c r="Q951" s="582">
        <v>10.102101592100315</v>
      </c>
      <c r="R951" s="582">
        <v>0</v>
      </c>
      <c r="S951" s="582">
        <v>0.68369840789968506</v>
      </c>
      <c r="T951" s="582">
        <v>1.3888984078996853</v>
      </c>
      <c r="U951" s="582">
        <v>1.260998407899685</v>
      </c>
    </row>
    <row r="952" spans="10:21">
      <c r="J952" s="580">
        <v>41679</v>
      </c>
      <c r="K952" s="581">
        <v>1.7361111111111112E-2</v>
      </c>
      <c r="L952" s="582">
        <v>10.135999999999999</v>
      </c>
      <c r="M952" s="582">
        <v>10.123699999999999</v>
      </c>
      <c r="N952" s="582">
        <v>11.2675</v>
      </c>
      <c r="O952" s="582">
        <v>11.0564</v>
      </c>
      <c r="P952" s="582">
        <v>98.684200000000004</v>
      </c>
      <c r="Q952" s="582">
        <v>10.090404256084055</v>
      </c>
      <c r="R952" s="582">
        <v>0</v>
      </c>
      <c r="S952" s="582">
        <v>0.68329574391594483</v>
      </c>
      <c r="T952" s="582">
        <v>1.3670957439159452</v>
      </c>
      <c r="U952" s="582">
        <v>1.2359957439159452</v>
      </c>
    </row>
    <row r="953" spans="10:21">
      <c r="J953" s="580">
        <v>41680</v>
      </c>
      <c r="K953" s="581">
        <v>1.7361111111111112E-2</v>
      </c>
      <c r="L953" s="582">
        <v>10.141400000000001</v>
      </c>
      <c r="M953" s="582">
        <v>10.1294</v>
      </c>
      <c r="N953" s="582">
        <v>11.251799999999999</v>
      </c>
      <c r="O953" s="582">
        <v>11.036199999999999</v>
      </c>
      <c r="P953" s="582">
        <v>98.729200000000006</v>
      </c>
      <c r="Q953" s="582">
        <v>10.095005480915626</v>
      </c>
      <c r="R953" s="582">
        <v>0</v>
      </c>
      <c r="S953" s="582">
        <v>0.68439451908437454</v>
      </c>
      <c r="T953" s="582">
        <v>1.3467945190843733</v>
      </c>
      <c r="U953" s="582">
        <v>1.2111945190843731</v>
      </c>
    </row>
    <row r="954" spans="10:21">
      <c r="J954" s="580">
        <v>41681</v>
      </c>
      <c r="K954" s="581">
        <v>1.7361111111111112E-2</v>
      </c>
      <c r="L954" s="582">
        <v>10.141</v>
      </c>
      <c r="M954" s="582">
        <v>10.127700000000001</v>
      </c>
      <c r="N954" s="582">
        <v>11.2293</v>
      </c>
      <c r="O954" s="582">
        <v>11.0069</v>
      </c>
      <c r="P954" s="582">
        <v>98.7166</v>
      </c>
      <c r="Q954" s="582">
        <v>10.093717137962786</v>
      </c>
      <c r="R954" s="582">
        <v>0</v>
      </c>
      <c r="S954" s="582">
        <v>0.68398286203721503</v>
      </c>
      <c r="T954" s="582">
        <v>1.3255828620372143</v>
      </c>
      <c r="U954" s="582">
        <v>1.183182862037214</v>
      </c>
    </row>
    <row r="955" spans="10:21">
      <c r="J955" s="580">
        <v>41682</v>
      </c>
      <c r="K955" s="581">
        <v>1.7361111111111112E-2</v>
      </c>
      <c r="L955" s="582">
        <v>10.124599999999999</v>
      </c>
      <c r="M955" s="582">
        <v>10.110300000000001</v>
      </c>
      <c r="N955" s="582">
        <v>11.1951</v>
      </c>
      <c r="O955" s="582">
        <v>10.9679</v>
      </c>
      <c r="P955" s="582">
        <v>98.577799999999996</v>
      </c>
      <c r="Q955" s="582">
        <v>10.079524915593403</v>
      </c>
      <c r="R955" s="582">
        <v>0</v>
      </c>
      <c r="S955" s="582">
        <v>0.68077508440659762</v>
      </c>
      <c r="T955" s="582">
        <v>1.305575084406597</v>
      </c>
      <c r="U955" s="582">
        <v>1.1583750844065972</v>
      </c>
    </row>
    <row r="956" spans="10:21">
      <c r="J956" s="580">
        <v>41683</v>
      </c>
      <c r="K956" s="581">
        <v>1.7361111111111112E-2</v>
      </c>
      <c r="L956" s="582">
        <v>10.1434</v>
      </c>
      <c r="M956" s="582">
        <v>10.129200000000001</v>
      </c>
      <c r="N956" s="582">
        <v>11.1919</v>
      </c>
      <c r="O956" s="582">
        <v>10.9611</v>
      </c>
      <c r="P956" s="582">
        <v>98.753299999999996</v>
      </c>
      <c r="Q956" s="582">
        <v>10.097469692436533</v>
      </c>
      <c r="R956" s="582">
        <v>0</v>
      </c>
      <c r="S956" s="582">
        <v>0.68173030756346775</v>
      </c>
      <c r="T956" s="582">
        <v>1.2844303075634671</v>
      </c>
      <c r="U956" s="582">
        <v>1.1336303075634668</v>
      </c>
    </row>
    <row r="957" spans="10:21">
      <c r="J957" s="580">
        <v>41684</v>
      </c>
      <c r="K957" s="581">
        <v>1.7361111111111112E-2</v>
      </c>
      <c r="L957" s="582">
        <v>10.161799999999999</v>
      </c>
      <c r="M957" s="582">
        <v>10.1488</v>
      </c>
      <c r="N957" s="582">
        <v>11.188000000000001</v>
      </c>
      <c r="O957" s="582">
        <v>10.9513</v>
      </c>
      <c r="P957" s="582">
        <v>98.936099999999996</v>
      </c>
      <c r="Q957" s="582">
        <v>10.116160890196785</v>
      </c>
      <c r="R957" s="582">
        <v>0</v>
      </c>
      <c r="S957" s="582">
        <v>0.68263910980321518</v>
      </c>
      <c r="T957" s="582">
        <v>1.261839109803216</v>
      </c>
      <c r="U957" s="582">
        <v>1.1051391098032153</v>
      </c>
    </row>
    <row r="958" spans="10:21">
      <c r="J958" s="580">
        <v>41685</v>
      </c>
      <c r="K958" s="581">
        <v>1.7361111111111112E-2</v>
      </c>
      <c r="L958" s="582">
        <v>10.1538</v>
      </c>
      <c r="M958" s="582">
        <v>10.139099999999999</v>
      </c>
      <c r="N958" s="582">
        <v>11.1584</v>
      </c>
      <c r="O958" s="582">
        <v>10.9169</v>
      </c>
      <c r="P958" s="582">
        <v>98.853700000000003</v>
      </c>
      <c r="Q958" s="582">
        <v>10.107735536282973</v>
      </c>
      <c r="R958" s="582">
        <v>0</v>
      </c>
      <c r="S958" s="582">
        <v>0.68136446371702575</v>
      </c>
      <c r="T958" s="582">
        <v>1.2406644637170268</v>
      </c>
      <c r="U958" s="582">
        <v>1.0791644637170266</v>
      </c>
    </row>
    <row r="959" spans="10:21">
      <c r="J959" s="580">
        <v>41686</v>
      </c>
      <c r="K959" s="581">
        <v>1.7361111111111112E-2</v>
      </c>
      <c r="L959" s="582">
        <v>10.1363</v>
      </c>
      <c r="M959" s="582">
        <v>10.1182</v>
      </c>
      <c r="N959" s="582">
        <v>11.1226</v>
      </c>
      <c r="O959" s="582">
        <v>10.8757</v>
      </c>
      <c r="P959" s="582">
        <v>98.684299999999993</v>
      </c>
      <c r="Q959" s="582">
        <v>10.090414481028123</v>
      </c>
      <c r="R959" s="582">
        <v>0</v>
      </c>
      <c r="S959" s="582">
        <v>0.67778551897187689</v>
      </c>
      <c r="T959" s="582">
        <v>1.2221855189718771</v>
      </c>
      <c r="U959" s="582">
        <v>1.0552855189718771</v>
      </c>
    </row>
    <row r="960" spans="10:21">
      <c r="J960" s="580">
        <v>41687</v>
      </c>
      <c r="K960" s="581">
        <v>1.7361111111111112E-2</v>
      </c>
      <c r="L960" s="582">
        <v>10.1508</v>
      </c>
      <c r="M960" s="582">
        <v>10.1325</v>
      </c>
      <c r="N960" s="582">
        <v>11.1181</v>
      </c>
      <c r="O960" s="582">
        <v>10.868</v>
      </c>
      <c r="P960" s="582">
        <v>98.846199999999996</v>
      </c>
      <c r="Q960" s="582">
        <v>10.10696866547771</v>
      </c>
      <c r="R960" s="582">
        <v>0</v>
      </c>
      <c r="S960" s="582">
        <v>0.67553133452228997</v>
      </c>
      <c r="T960" s="582">
        <v>1.2011313345222896</v>
      </c>
      <c r="U960" s="582">
        <v>1.0310313345222899</v>
      </c>
    </row>
    <row r="961" spans="10:21">
      <c r="J961" s="580">
        <v>41688</v>
      </c>
      <c r="K961" s="581">
        <v>1.7361111111111112E-2</v>
      </c>
      <c r="L961" s="582">
        <v>10.1708</v>
      </c>
      <c r="M961" s="582">
        <v>10.1533</v>
      </c>
      <c r="N961" s="582">
        <v>11.116899999999999</v>
      </c>
      <c r="O961" s="582">
        <v>10.861800000000001</v>
      </c>
      <c r="P961" s="582">
        <v>99.037899999999993</v>
      </c>
      <c r="Q961" s="582">
        <v>10.126569883260206</v>
      </c>
      <c r="R961" s="582">
        <v>0</v>
      </c>
      <c r="S961" s="582">
        <v>0.67673011673979366</v>
      </c>
      <c r="T961" s="582">
        <v>1.180330116739793</v>
      </c>
      <c r="U961" s="582">
        <v>1.0052301167397943</v>
      </c>
    </row>
    <row r="962" spans="10:21">
      <c r="J962" s="580">
        <v>41689</v>
      </c>
      <c r="K962" s="581">
        <v>1.7361111111111112E-2</v>
      </c>
      <c r="L962" s="582">
        <v>10.1751</v>
      </c>
      <c r="M962" s="582">
        <v>10.1577</v>
      </c>
      <c r="N962" s="582">
        <v>11.1075</v>
      </c>
      <c r="O962" s="582">
        <v>10.8483</v>
      </c>
      <c r="P962" s="582">
        <v>99.091200000000001</v>
      </c>
      <c r="Q962" s="582">
        <v>10.132019778449601</v>
      </c>
      <c r="R962" s="582">
        <v>0</v>
      </c>
      <c r="S962" s="582">
        <v>0.67568022155039897</v>
      </c>
      <c r="T962" s="582">
        <v>1.1654802215503985</v>
      </c>
      <c r="U962" s="582">
        <v>0.98628022155039874</v>
      </c>
    </row>
    <row r="963" spans="10:21">
      <c r="J963" s="580">
        <v>41690</v>
      </c>
      <c r="K963" s="581">
        <v>1.7361111111111112E-2</v>
      </c>
      <c r="L963" s="582">
        <v>10.160500000000001</v>
      </c>
      <c r="M963" s="582">
        <v>10.1434</v>
      </c>
      <c r="N963" s="582">
        <v>11.072900000000001</v>
      </c>
      <c r="O963" s="582">
        <v>10.812099999999999</v>
      </c>
      <c r="P963" s="582">
        <v>98.973399999999998</v>
      </c>
      <c r="Q963" s="582">
        <v>10.119974794334954</v>
      </c>
      <c r="R963" s="582">
        <v>0</v>
      </c>
      <c r="S963" s="582">
        <v>0.6734252056650456</v>
      </c>
      <c r="T963" s="582">
        <v>1.1429252056650463</v>
      </c>
      <c r="U963" s="582">
        <v>0.96212520566504489</v>
      </c>
    </row>
    <row r="964" spans="10:21">
      <c r="J964" s="580">
        <v>41691</v>
      </c>
      <c r="K964" s="581">
        <v>1.7361111111111112E-2</v>
      </c>
      <c r="L964" s="582">
        <v>10.1785</v>
      </c>
      <c r="M964" s="582">
        <v>10.161099999999999</v>
      </c>
      <c r="N964" s="582">
        <v>11.068899999999999</v>
      </c>
      <c r="O964" s="582">
        <v>10.6851</v>
      </c>
      <c r="P964" s="582">
        <v>99.127700000000004</v>
      </c>
      <c r="Q964" s="582">
        <v>10.13575188303521</v>
      </c>
      <c r="R964" s="582">
        <v>0</v>
      </c>
      <c r="S964" s="582">
        <v>0.67534811696478925</v>
      </c>
      <c r="T964" s="582">
        <v>1.123148116964789</v>
      </c>
      <c r="U964" s="582">
        <v>0.81934811696479004</v>
      </c>
    </row>
    <row r="965" spans="10:21">
      <c r="J965" s="580">
        <v>41692</v>
      </c>
      <c r="K965" s="581">
        <v>1.7361111111111112E-2</v>
      </c>
      <c r="L965" s="582">
        <v>10.1785</v>
      </c>
      <c r="M965" s="582">
        <v>10.161099999999999</v>
      </c>
      <c r="N965" s="582">
        <v>11.047000000000001</v>
      </c>
      <c r="O965" s="582">
        <v>10.614699999999999</v>
      </c>
      <c r="P965" s="582">
        <v>99.112899999999996</v>
      </c>
      <c r="Q965" s="582">
        <v>10.134238591312826</v>
      </c>
      <c r="R965" s="582">
        <v>0</v>
      </c>
      <c r="S965" s="582">
        <v>0.67686140868717337</v>
      </c>
      <c r="T965" s="582">
        <v>1.1027614086871744</v>
      </c>
      <c r="U965" s="582">
        <v>0.75046140868717304</v>
      </c>
    </row>
    <row r="966" spans="10:21">
      <c r="J966" s="580">
        <v>41693</v>
      </c>
      <c r="K966" s="581">
        <v>1.7361111111111112E-2</v>
      </c>
      <c r="L966" s="582">
        <v>10.1724</v>
      </c>
      <c r="M966" s="582">
        <v>10.153600000000001</v>
      </c>
      <c r="N966" s="582">
        <v>11.0215</v>
      </c>
      <c r="O966" s="582">
        <v>10.5374</v>
      </c>
      <c r="P966" s="582">
        <v>99.060100000000006</v>
      </c>
      <c r="Q966" s="582">
        <v>10.128839820843783</v>
      </c>
      <c r="R966" s="582">
        <v>0</v>
      </c>
      <c r="S966" s="582">
        <v>0.67476017915621767</v>
      </c>
      <c r="T966" s="582">
        <v>1.0826601791562163</v>
      </c>
      <c r="U966" s="582">
        <v>0.67856017915621658</v>
      </c>
    </row>
    <row r="967" spans="10:21">
      <c r="J967" s="580">
        <v>41694</v>
      </c>
      <c r="K967" s="581">
        <v>1.7361111111111112E-2</v>
      </c>
      <c r="L967" s="582">
        <v>10.1713</v>
      </c>
      <c r="M967" s="582">
        <v>10.155200000000001</v>
      </c>
      <c r="N967" s="582">
        <v>11.0025</v>
      </c>
      <c r="O967" s="582">
        <v>10.5383</v>
      </c>
      <c r="P967" s="582">
        <v>99.063299999999998</v>
      </c>
      <c r="Q967" s="582">
        <v>10.129167019054027</v>
      </c>
      <c r="R967" s="582">
        <v>0</v>
      </c>
      <c r="S967" s="582">
        <v>0.67603298094597419</v>
      </c>
      <c r="T967" s="582">
        <v>1.0633329809459728</v>
      </c>
      <c r="U967" s="582">
        <v>0.67913298094597296</v>
      </c>
    </row>
    <row r="968" spans="10:21">
      <c r="J968" s="580">
        <v>41695</v>
      </c>
      <c r="K968" s="581">
        <v>1.7361111111111112E-2</v>
      </c>
      <c r="L968" s="582">
        <v>10.1755</v>
      </c>
      <c r="M968" s="582">
        <v>10.1625</v>
      </c>
      <c r="N968" s="582">
        <v>10.994199999999999</v>
      </c>
      <c r="O968" s="582">
        <v>10.55</v>
      </c>
      <c r="P968" s="582">
        <v>99.110799999999998</v>
      </c>
      <c r="Q968" s="582">
        <v>10.134023867487352</v>
      </c>
      <c r="R968" s="582">
        <v>0</v>
      </c>
      <c r="S968" s="582">
        <v>0.6784761325126476</v>
      </c>
      <c r="T968" s="582">
        <v>1.0501761325126471</v>
      </c>
      <c r="U968" s="582">
        <v>0.68597613251264855</v>
      </c>
    </row>
    <row r="969" spans="10:21">
      <c r="J969" s="580">
        <v>41696</v>
      </c>
      <c r="K969" s="581">
        <v>1.7361111111111112E-2</v>
      </c>
      <c r="L969" s="582">
        <v>10.1777</v>
      </c>
      <c r="M969" s="582">
        <v>10.164300000000001</v>
      </c>
      <c r="N969" s="582">
        <v>10.972899999999999</v>
      </c>
      <c r="O969" s="582">
        <v>10.543100000000001</v>
      </c>
      <c r="P969" s="582">
        <v>99.132300000000001</v>
      </c>
      <c r="Q969" s="582">
        <v>10.136222230462437</v>
      </c>
      <c r="R969" s="582">
        <v>0</v>
      </c>
      <c r="S969" s="582">
        <v>0.67807776953756416</v>
      </c>
      <c r="T969" s="582">
        <v>1.0266777695375624</v>
      </c>
      <c r="U969" s="582">
        <v>0.67687776953756407</v>
      </c>
    </row>
    <row r="970" spans="10:21">
      <c r="J970" s="580">
        <v>41697</v>
      </c>
      <c r="K970" s="581">
        <v>1.7361111111111112E-2</v>
      </c>
      <c r="L970" s="582">
        <v>10.1721</v>
      </c>
      <c r="M970" s="582">
        <v>10.1579</v>
      </c>
      <c r="N970" s="582">
        <v>10.944100000000001</v>
      </c>
      <c r="O970" s="582">
        <v>10.537599999999999</v>
      </c>
      <c r="P970" s="582">
        <v>99.080500000000001</v>
      </c>
      <c r="Q970" s="582">
        <v>10.130925709434095</v>
      </c>
      <c r="R970" s="582">
        <v>0</v>
      </c>
      <c r="S970" s="582">
        <v>0.67697429056590486</v>
      </c>
      <c r="T970" s="582">
        <v>1.0031742905659056</v>
      </c>
      <c r="U970" s="582">
        <v>0.67667429056590445</v>
      </c>
    </row>
    <row r="971" spans="10:21">
      <c r="J971" s="580">
        <v>41698</v>
      </c>
      <c r="K971" s="581">
        <v>1.7361111111111112E-2</v>
      </c>
      <c r="L971" s="582">
        <v>10.1676</v>
      </c>
      <c r="M971" s="582">
        <v>10.1532</v>
      </c>
      <c r="N971" s="582">
        <v>10.917199999999999</v>
      </c>
      <c r="O971" s="582">
        <v>10.5284</v>
      </c>
      <c r="P971" s="582">
        <v>99.017600000000002</v>
      </c>
      <c r="Q971" s="582">
        <v>10.124494219613965</v>
      </c>
      <c r="R971" s="582">
        <v>0</v>
      </c>
      <c r="S971" s="582">
        <v>0.67870578038603546</v>
      </c>
      <c r="T971" s="582">
        <v>0.98270578038603473</v>
      </c>
      <c r="U971" s="582">
        <v>0.67390578038603488</v>
      </c>
    </row>
    <row r="972" spans="10:21">
      <c r="J972" s="580">
        <v>41699</v>
      </c>
      <c r="K972" s="581">
        <v>1.7361111111111112E-2</v>
      </c>
      <c r="L972" s="582">
        <v>10.158200000000001</v>
      </c>
      <c r="M972" s="582">
        <v>10.1425</v>
      </c>
      <c r="N972" s="582">
        <v>10.885999999999999</v>
      </c>
      <c r="O972" s="582">
        <v>10.519600000000001</v>
      </c>
      <c r="P972" s="582">
        <v>98.932100000000005</v>
      </c>
      <c r="Q972" s="582">
        <v>10.115751892433979</v>
      </c>
      <c r="R972" s="582">
        <v>0</v>
      </c>
      <c r="S972" s="582">
        <v>0.67674810756602155</v>
      </c>
      <c r="T972" s="582">
        <v>0.96024810756602064</v>
      </c>
      <c r="U972" s="582">
        <v>0.67384810756602187</v>
      </c>
    </row>
    <row r="973" spans="10:21">
      <c r="J973" s="580">
        <v>41700</v>
      </c>
      <c r="K973" s="581">
        <v>1.7361111111111112E-2</v>
      </c>
      <c r="L973" s="582">
        <v>10.1624</v>
      </c>
      <c r="M973" s="582">
        <v>10.1477</v>
      </c>
      <c r="N973" s="582">
        <v>10.933</v>
      </c>
      <c r="O973" s="582">
        <v>10.596299999999999</v>
      </c>
      <c r="P973" s="582">
        <v>98.987099999999998</v>
      </c>
      <c r="Q973" s="582">
        <v>10.121375611672565</v>
      </c>
      <c r="R973" s="582">
        <v>0</v>
      </c>
      <c r="S973" s="582">
        <v>0.67632438832743502</v>
      </c>
      <c r="T973" s="582">
        <v>1.0016243883274343</v>
      </c>
      <c r="U973" s="582">
        <v>0.74492438832743391</v>
      </c>
    </row>
    <row r="974" spans="10:21">
      <c r="J974" s="580">
        <v>41701</v>
      </c>
      <c r="K974" s="581">
        <v>1.7361111111111112E-2</v>
      </c>
      <c r="L974" s="582">
        <v>10.158200000000001</v>
      </c>
      <c r="M974" s="582">
        <v>10.143000000000001</v>
      </c>
      <c r="N974" s="582">
        <v>10.9086</v>
      </c>
      <c r="O974" s="582">
        <v>10.6236</v>
      </c>
      <c r="P974" s="582">
        <v>98.892499999999998</v>
      </c>
      <c r="Q974" s="582">
        <v>10.111702814582195</v>
      </c>
      <c r="R974" s="582">
        <v>0</v>
      </c>
      <c r="S974" s="582">
        <v>0.68129718541780604</v>
      </c>
      <c r="T974" s="582">
        <v>0.98689718541780513</v>
      </c>
      <c r="U974" s="582">
        <v>0.78189718541780495</v>
      </c>
    </row>
    <row r="975" spans="10:21">
      <c r="J975" s="580">
        <v>41702</v>
      </c>
      <c r="K975" s="581">
        <v>1.7361111111111112E-2</v>
      </c>
      <c r="L975" s="582">
        <v>10.162100000000001</v>
      </c>
      <c r="M975" s="582">
        <v>10.143800000000001</v>
      </c>
      <c r="N975" s="582">
        <v>10.8947</v>
      </c>
      <c r="O975" s="582">
        <v>10.532400000000001</v>
      </c>
      <c r="P975" s="582">
        <v>98.953100000000006</v>
      </c>
      <c r="Q975" s="582">
        <v>10.117899130688713</v>
      </c>
      <c r="R975" s="582">
        <v>0</v>
      </c>
      <c r="S975" s="582">
        <v>0.67590086931128801</v>
      </c>
      <c r="T975" s="582">
        <v>0.96680086931128761</v>
      </c>
      <c r="U975" s="582">
        <v>0.68450086931128817</v>
      </c>
    </row>
    <row r="976" spans="10:21">
      <c r="J976" s="580">
        <v>41703</v>
      </c>
      <c r="K976" s="581">
        <v>1.7361111111111112E-2</v>
      </c>
      <c r="L976" s="582">
        <v>10.1694</v>
      </c>
      <c r="M976" s="582">
        <v>10.150700000000001</v>
      </c>
      <c r="N976" s="582">
        <v>10.927</v>
      </c>
      <c r="O976" s="582">
        <v>10.537100000000001</v>
      </c>
      <c r="P976" s="582">
        <v>99.027799999999999</v>
      </c>
      <c r="Q976" s="582">
        <v>10.125537163909121</v>
      </c>
      <c r="R976" s="582">
        <v>0</v>
      </c>
      <c r="S976" s="582">
        <v>0.67516283609088013</v>
      </c>
      <c r="T976" s="582">
        <v>0.99146283609087915</v>
      </c>
      <c r="U976" s="582">
        <v>0.68156283609088009</v>
      </c>
    </row>
    <row r="977" spans="10:21">
      <c r="J977" s="580">
        <v>41704</v>
      </c>
      <c r="K977" s="581">
        <v>1.7361111111111112E-2</v>
      </c>
      <c r="L977" s="582">
        <v>10.167400000000001</v>
      </c>
      <c r="M977" s="582">
        <v>10.148899999999999</v>
      </c>
      <c r="N977" s="582">
        <v>10.8207</v>
      </c>
      <c r="O977" s="582">
        <v>10.535299999999999</v>
      </c>
      <c r="P977" s="582">
        <v>99.008600000000001</v>
      </c>
      <c r="Q977" s="582">
        <v>10.12357397464765</v>
      </c>
      <c r="R977" s="582">
        <v>0</v>
      </c>
      <c r="S977" s="582">
        <v>0.67532602535234942</v>
      </c>
      <c r="T977" s="582">
        <v>0.88712602535235041</v>
      </c>
      <c r="U977" s="582">
        <v>0.68172602535234939</v>
      </c>
    </row>
    <row r="978" spans="10:21">
      <c r="J978" s="580">
        <v>41705</v>
      </c>
      <c r="K978" s="581">
        <v>1.7361111111111112E-2</v>
      </c>
      <c r="L978" s="582">
        <v>10.164400000000001</v>
      </c>
      <c r="M978" s="582">
        <v>10.1456</v>
      </c>
      <c r="N978" s="582">
        <v>10.558400000000001</v>
      </c>
      <c r="O978" s="582">
        <v>10.533200000000001</v>
      </c>
      <c r="P978" s="582">
        <v>98.991</v>
      </c>
      <c r="Q978" s="582">
        <v>10.121774384491301</v>
      </c>
      <c r="R978" s="582">
        <v>0</v>
      </c>
      <c r="S978" s="582">
        <v>0.67382561550869879</v>
      </c>
      <c r="T978" s="582">
        <v>0.62662561550869944</v>
      </c>
      <c r="U978" s="582">
        <v>0.68142561550869951</v>
      </c>
    </row>
    <row r="979" spans="10:21">
      <c r="J979" s="580">
        <v>41544</v>
      </c>
      <c r="K979" s="581">
        <v>2.0833333333333332E-2</v>
      </c>
      <c r="L979" s="582">
        <v>10.053000000000001</v>
      </c>
      <c r="M979" s="582">
        <v>10.0678</v>
      </c>
      <c r="N979" s="582">
        <v>10.076599999999999</v>
      </c>
      <c r="O979" s="582">
        <v>10.088200000000001</v>
      </c>
      <c r="P979" s="582">
        <v>98.768699999999995</v>
      </c>
      <c r="Q979" s="582">
        <v>10.099044333823338</v>
      </c>
      <c r="R979" s="582">
        <v>0</v>
      </c>
      <c r="S979" s="582">
        <v>0.61875566617666222</v>
      </c>
      <c r="T979" s="582">
        <v>0.16755566617666118</v>
      </c>
      <c r="U979" s="582">
        <v>0.25915566617666247</v>
      </c>
    </row>
    <row r="980" spans="10:21">
      <c r="J980" s="580">
        <v>41545</v>
      </c>
      <c r="K980" s="581">
        <v>2.0833333333333332E-2</v>
      </c>
      <c r="L980" s="582">
        <v>10.049200000000001</v>
      </c>
      <c r="M980" s="582">
        <v>10.0647</v>
      </c>
      <c r="N980" s="582">
        <v>10.072900000000001</v>
      </c>
      <c r="O980" s="582">
        <v>10.0848</v>
      </c>
      <c r="P980" s="582">
        <v>98.729799999999997</v>
      </c>
      <c r="Q980" s="582">
        <v>10.095066830580047</v>
      </c>
      <c r="R980" s="582">
        <v>0</v>
      </c>
      <c r="S980" s="582">
        <v>0.61963316941995372</v>
      </c>
      <c r="T980" s="582">
        <v>0.16783316941995408</v>
      </c>
      <c r="U980" s="582">
        <v>0.25973316941995289</v>
      </c>
    </row>
    <row r="981" spans="10:21">
      <c r="J981" s="580">
        <v>41546</v>
      </c>
      <c r="K981" s="581">
        <v>2.0833333333333332E-2</v>
      </c>
      <c r="L981" s="582">
        <v>10.031499999999999</v>
      </c>
      <c r="M981" s="582">
        <v>10.0464</v>
      </c>
      <c r="N981" s="582">
        <v>10.054399999999999</v>
      </c>
      <c r="O981" s="582">
        <v>10.0669</v>
      </c>
      <c r="P981" s="582">
        <v>98.544700000000006</v>
      </c>
      <c r="Q981" s="582">
        <v>10.076140459106183</v>
      </c>
      <c r="R981" s="582">
        <v>0</v>
      </c>
      <c r="S981" s="582">
        <v>0.62025954089381741</v>
      </c>
      <c r="T981" s="582">
        <v>0.16825954089381645</v>
      </c>
      <c r="U981" s="582">
        <v>0.26075954089381742</v>
      </c>
    </row>
    <row r="982" spans="10:21">
      <c r="J982" s="580">
        <v>41547</v>
      </c>
      <c r="K982" s="581">
        <v>2.0833333333333332E-2</v>
      </c>
      <c r="L982" s="582">
        <v>10.008100000000001</v>
      </c>
      <c r="M982" s="582">
        <v>10.0229</v>
      </c>
      <c r="N982" s="582">
        <v>10.030900000000001</v>
      </c>
      <c r="O982" s="582">
        <v>10.043699999999999</v>
      </c>
      <c r="P982" s="582">
        <v>98.328100000000006</v>
      </c>
      <c r="Q982" s="582">
        <v>10.053993230250217</v>
      </c>
      <c r="R982" s="582">
        <v>0</v>
      </c>
      <c r="S982" s="582">
        <v>0.61890676974978276</v>
      </c>
      <c r="T982" s="582">
        <v>0.16690676974978358</v>
      </c>
      <c r="U982" s="582">
        <v>0.25970676974978207</v>
      </c>
    </row>
    <row r="983" spans="10:21">
      <c r="J983" s="580">
        <v>41548</v>
      </c>
      <c r="K983" s="581">
        <v>2.0833333333333332E-2</v>
      </c>
      <c r="L983" s="582">
        <v>10.0083</v>
      </c>
      <c r="M983" s="582">
        <v>10.0228</v>
      </c>
      <c r="N983" s="582">
        <v>10.0303</v>
      </c>
      <c r="O983" s="582">
        <v>10.0426</v>
      </c>
      <c r="P983" s="582">
        <v>98.318700000000007</v>
      </c>
      <c r="Q983" s="582">
        <v>10.053032085507622</v>
      </c>
      <c r="R983" s="582">
        <v>0</v>
      </c>
      <c r="S983" s="582">
        <v>0.619767914492378</v>
      </c>
      <c r="T983" s="582">
        <v>0.16726791449237821</v>
      </c>
      <c r="U983" s="582">
        <v>0.25956791449237787</v>
      </c>
    </row>
    <row r="984" spans="10:21">
      <c r="J984" s="580">
        <v>41549</v>
      </c>
      <c r="K984" s="581">
        <v>2.0833333333333332E-2</v>
      </c>
      <c r="L984" s="582">
        <v>10.014699999999999</v>
      </c>
      <c r="M984" s="582">
        <v>10.029400000000001</v>
      </c>
      <c r="N984" s="582">
        <v>10.037599999999999</v>
      </c>
      <c r="O984" s="582">
        <v>10.0511</v>
      </c>
      <c r="P984" s="582">
        <v>98.383099999999999</v>
      </c>
      <c r="Q984" s="582">
        <v>10.059616949488804</v>
      </c>
      <c r="R984" s="582">
        <v>0</v>
      </c>
      <c r="S984" s="582">
        <v>0.61978305051119675</v>
      </c>
      <c r="T984" s="582">
        <v>0.16798305051119533</v>
      </c>
      <c r="U984" s="582">
        <v>0.26148305051119575</v>
      </c>
    </row>
    <row r="985" spans="10:21">
      <c r="J985" s="580">
        <v>41550</v>
      </c>
      <c r="K985" s="581">
        <v>2.0833333333333332E-2</v>
      </c>
      <c r="L985" s="582">
        <v>10.030799999999999</v>
      </c>
      <c r="M985" s="582">
        <v>10.043799999999999</v>
      </c>
      <c r="N985" s="582">
        <v>10.0511</v>
      </c>
      <c r="O985" s="582">
        <v>10.062799999999999</v>
      </c>
      <c r="P985" s="582">
        <v>98.503799999999998</v>
      </c>
      <c r="Q985" s="582">
        <v>10.071958456981486</v>
      </c>
      <c r="R985" s="582">
        <v>0</v>
      </c>
      <c r="S985" s="582">
        <v>0.62184154301851335</v>
      </c>
      <c r="T985" s="582">
        <v>0.16914154301851403</v>
      </c>
      <c r="U985" s="582">
        <v>0.26084154301851331</v>
      </c>
    </row>
    <row r="986" spans="10:21">
      <c r="J986" s="580">
        <v>41551</v>
      </c>
      <c r="K986" s="581">
        <v>2.0833333333333332E-2</v>
      </c>
      <c r="L986" s="582">
        <v>10.037699999999999</v>
      </c>
      <c r="M986" s="582">
        <v>10.0496</v>
      </c>
      <c r="N986" s="582">
        <v>10.057499999999999</v>
      </c>
      <c r="O986" s="582">
        <v>10.0701</v>
      </c>
      <c r="P986" s="582">
        <v>98.585899999999995</v>
      </c>
      <c r="Q986" s="582">
        <v>10.080353136063087</v>
      </c>
      <c r="R986" s="582">
        <v>0</v>
      </c>
      <c r="S986" s="582">
        <v>0.61924686393691331</v>
      </c>
      <c r="T986" s="582">
        <v>0.16714686393691258</v>
      </c>
      <c r="U986" s="582">
        <v>0.25974686393691332</v>
      </c>
    </row>
    <row r="987" spans="10:21">
      <c r="J987" s="580">
        <v>41552</v>
      </c>
      <c r="K987" s="581">
        <v>2.0833333333333332E-2</v>
      </c>
      <c r="L987" s="582">
        <v>10.0471</v>
      </c>
      <c r="M987" s="582">
        <v>10.057399999999999</v>
      </c>
      <c r="N987" s="582">
        <v>10.066800000000001</v>
      </c>
      <c r="O987" s="582">
        <v>10.0793</v>
      </c>
      <c r="P987" s="582">
        <v>98.683000000000007</v>
      </c>
      <c r="Q987" s="582">
        <v>10.090281556755212</v>
      </c>
      <c r="R987" s="582">
        <v>0</v>
      </c>
      <c r="S987" s="582">
        <v>0.61711844324478782</v>
      </c>
      <c r="T987" s="582">
        <v>0.16651844324478893</v>
      </c>
      <c r="U987" s="582">
        <v>0.25901844324478812</v>
      </c>
    </row>
    <row r="988" spans="10:21">
      <c r="J988" s="580">
        <v>41553</v>
      </c>
      <c r="K988" s="581">
        <v>2.0833333333333332E-2</v>
      </c>
      <c r="L988" s="582">
        <v>10.038399999999999</v>
      </c>
      <c r="M988" s="582">
        <v>10.047700000000001</v>
      </c>
      <c r="N988" s="582">
        <v>10.057499999999999</v>
      </c>
      <c r="O988" s="582">
        <v>10.0716</v>
      </c>
      <c r="P988" s="582">
        <v>98.591399999999993</v>
      </c>
      <c r="Q988" s="582">
        <v>10.080915507986946</v>
      </c>
      <c r="R988" s="582">
        <v>0</v>
      </c>
      <c r="S988" s="582">
        <v>0.61678449201305496</v>
      </c>
      <c r="T988" s="582">
        <v>0.16658449201305336</v>
      </c>
      <c r="U988" s="582">
        <v>0.26068449201305416</v>
      </c>
    </row>
    <row r="989" spans="10:21">
      <c r="J989" s="580">
        <v>41554</v>
      </c>
      <c r="K989" s="581">
        <v>2.0833333333333332E-2</v>
      </c>
      <c r="L989" s="582">
        <v>10.040100000000001</v>
      </c>
      <c r="M989" s="582">
        <v>10.050700000000001</v>
      </c>
      <c r="N989" s="582">
        <v>10.0589</v>
      </c>
      <c r="O989" s="582">
        <v>10.0723</v>
      </c>
      <c r="P989" s="582">
        <v>98.609099999999998</v>
      </c>
      <c r="Q989" s="582">
        <v>10.082725323087363</v>
      </c>
      <c r="R989" s="582">
        <v>0</v>
      </c>
      <c r="S989" s="582">
        <v>0.61797467691263797</v>
      </c>
      <c r="T989" s="582">
        <v>0.16617467691263654</v>
      </c>
      <c r="U989" s="582">
        <v>0.25957467691263719</v>
      </c>
    </row>
    <row r="990" spans="10:21">
      <c r="J990" s="580">
        <v>41555</v>
      </c>
      <c r="K990" s="581">
        <v>2.0833333333333332E-2</v>
      </c>
      <c r="L990" s="582">
        <v>10.0442</v>
      </c>
      <c r="M990" s="582">
        <v>10.053800000000001</v>
      </c>
      <c r="N990" s="582">
        <v>10.062900000000001</v>
      </c>
      <c r="O990" s="582">
        <v>10.0786</v>
      </c>
      <c r="P990" s="582">
        <v>98.651200000000003</v>
      </c>
      <c r="Q990" s="582">
        <v>10.087030024540901</v>
      </c>
      <c r="R990" s="582">
        <v>0</v>
      </c>
      <c r="S990" s="582">
        <v>0.61676997545909962</v>
      </c>
      <c r="T990" s="582">
        <v>0.16586997545909965</v>
      </c>
      <c r="U990" s="582">
        <v>0.26156997545909849</v>
      </c>
    </row>
    <row r="991" spans="10:21">
      <c r="J991" s="580">
        <v>41556</v>
      </c>
      <c r="K991" s="581">
        <v>2.0833333333333332E-2</v>
      </c>
      <c r="L991" s="582">
        <v>10.0517</v>
      </c>
      <c r="M991" s="582">
        <v>10.066000000000001</v>
      </c>
      <c r="N991" s="582">
        <v>10.0709</v>
      </c>
      <c r="O991" s="582">
        <v>10.0853</v>
      </c>
      <c r="P991" s="582">
        <v>98.760499999999993</v>
      </c>
      <c r="Q991" s="582">
        <v>10.098205888409584</v>
      </c>
      <c r="R991" s="582">
        <v>0</v>
      </c>
      <c r="S991" s="582">
        <v>0.61779411159041664</v>
      </c>
      <c r="T991" s="582">
        <v>0.1626941115904158</v>
      </c>
      <c r="U991" s="582">
        <v>0.2570941115904159</v>
      </c>
    </row>
    <row r="992" spans="10:21">
      <c r="J992" s="580">
        <v>41557</v>
      </c>
      <c r="K992" s="581">
        <v>2.0833333333333332E-2</v>
      </c>
      <c r="L992" s="582">
        <v>10.043699999999999</v>
      </c>
      <c r="M992" s="582">
        <v>10.0578</v>
      </c>
      <c r="N992" s="582">
        <v>10.0647</v>
      </c>
      <c r="O992" s="582">
        <v>10.077500000000001</v>
      </c>
      <c r="P992" s="582">
        <v>98.675299999999993</v>
      </c>
      <c r="Q992" s="582">
        <v>10.089494236061809</v>
      </c>
      <c r="R992" s="582">
        <v>0</v>
      </c>
      <c r="S992" s="582">
        <v>0.61830576393819192</v>
      </c>
      <c r="T992" s="582">
        <v>0.16520576393819175</v>
      </c>
      <c r="U992" s="582">
        <v>0.25800576393819202</v>
      </c>
    </row>
    <row r="993" spans="10:21">
      <c r="J993" s="580">
        <v>41558</v>
      </c>
      <c r="K993" s="581">
        <v>2.0833333333333332E-2</v>
      </c>
      <c r="L993" s="582">
        <v>10.049099999999999</v>
      </c>
      <c r="M993" s="582">
        <v>10.062099999999999</v>
      </c>
      <c r="N993" s="582">
        <v>10.0678</v>
      </c>
      <c r="O993" s="582">
        <v>10.0801</v>
      </c>
      <c r="P993" s="582">
        <v>98.704300000000003</v>
      </c>
      <c r="Q993" s="582">
        <v>10.092459469842156</v>
      </c>
      <c r="R993" s="582">
        <v>0</v>
      </c>
      <c r="S993" s="582">
        <v>0.61964053015784315</v>
      </c>
      <c r="T993" s="582">
        <v>0.165340530157844</v>
      </c>
      <c r="U993" s="582">
        <v>0.25764053015784366</v>
      </c>
    </row>
    <row r="994" spans="10:21">
      <c r="J994" s="580">
        <v>41559</v>
      </c>
      <c r="K994" s="581">
        <v>2.0833333333333332E-2</v>
      </c>
      <c r="L994" s="582">
        <v>10.023</v>
      </c>
      <c r="M994" s="582">
        <v>10.037599999999999</v>
      </c>
      <c r="N994" s="582">
        <v>10.043900000000001</v>
      </c>
      <c r="O994" s="582">
        <v>10.0562</v>
      </c>
      <c r="P994" s="582">
        <v>98.466700000000003</v>
      </c>
      <c r="Q994" s="582">
        <v>10.068165002731458</v>
      </c>
      <c r="R994" s="582">
        <v>0</v>
      </c>
      <c r="S994" s="582">
        <v>0.61943499726854134</v>
      </c>
      <c r="T994" s="582">
        <v>0.16573499726854257</v>
      </c>
      <c r="U994" s="582">
        <v>0.25803499726854223</v>
      </c>
    </row>
    <row r="995" spans="10:21">
      <c r="J995" s="580">
        <v>41560</v>
      </c>
      <c r="K995" s="581">
        <v>2.0833333333333332E-2</v>
      </c>
      <c r="L995" s="582">
        <v>10.0169</v>
      </c>
      <c r="M995" s="582">
        <v>10.0283</v>
      </c>
      <c r="N995" s="582">
        <v>10.035600000000001</v>
      </c>
      <c r="O995" s="582">
        <v>10.0481</v>
      </c>
      <c r="P995" s="582">
        <v>98.354500000000002</v>
      </c>
      <c r="Q995" s="582">
        <v>10.056692615484739</v>
      </c>
      <c r="R995" s="582">
        <v>0</v>
      </c>
      <c r="S995" s="582">
        <v>0.62160738451526121</v>
      </c>
      <c r="T995" s="582">
        <v>0.16890738451526188</v>
      </c>
      <c r="U995" s="582">
        <v>0.26140738451526108</v>
      </c>
    </row>
    <row r="996" spans="10:21">
      <c r="J996" s="580">
        <v>41561</v>
      </c>
      <c r="K996" s="581">
        <v>2.0833333333333332E-2</v>
      </c>
      <c r="L996" s="582">
        <v>10.0284</v>
      </c>
      <c r="M996" s="582">
        <v>10.040900000000001</v>
      </c>
      <c r="N996" s="582">
        <v>10.0486</v>
      </c>
      <c r="O996" s="582">
        <v>10.061400000000001</v>
      </c>
      <c r="P996" s="582">
        <v>98.492400000000004</v>
      </c>
      <c r="Q996" s="582">
        <v>10.070792813357489</v>
      </c>
      <c r="R996" s="582">
        <v>0</v>
      </c>
      <c r="S996" s="582">
        <v>0.62010718664251185</v>
      </c>
      <c r="T996" s="582">
        <v>0.1678071866425116</v>
      </c>
      <c r="U996" s="582">
        <v>0.26060718664251187</v>
      </c>
    </row>
    <row r="997" spans="10:21">
      <c r="J997" s="580">
        <v>41562</v>
      </c>
      <c r="K997" s="581">
        <v>2.0833333333333332E-2</v>
      </c>
      <c r="L997" s="582">
        <v>10.041499999999999</v>
      </c>
      <c r="M997" s="582">
        <v>10.0532</v>
      </c>
      <c r="N997" s="582">
        <v>10.0617</v>
      </c>
      <c r="O997" s="582">
        <v>10.073399999999999</v>
      </c>
      <c r="P997" s="582">
        <v>98.623800000000003</v>
      </c>
      <c r="Q997" s="582">
        <v>10.084228389865677</v>
      </c>
      <c r="R997" s="582">
        <v>0</v>
      </c>
      <c r="S997" s="582">
        <v>0.61897161013432345</v>
      </c>
      <c r="T997" s="582">
        <v>0.1674716101343231</v>
      </c>
      <c r="U997" s="582">
        <v>0.25917161013432238</v>
      </c>
    </row>
    <row r="998" spans="10:21">
      <c r="J998" s="580">
        <v>41563</v>
      </c>
      <c r="K998" s="581">
        <v>2.0833333333333332E-2</v>
      </c>
      <c r="L998" s="582">
        <v>12.6248</v>
      </c>
      <c r="M998" s="582">
        <v>12.4207</v>
      </c>
      <c r="N998" s="582">
        <v>13.058</v>
      </c>
      <c r="O998" s="582">
        <v>12.991899999999999</v>
      </c>
      <c r="P998" s="582">
        <v>98.677700000000002</v>
      </c>
      <c r="Q998" s="582">
        <v>10.089739634719493</v>
      </c>
      <c r="R998" s="582">
        <v>2.3500603652805077</v>
      </c>
      <c r="S998" s="582">
        <v>2.9809603652805077</v>
      </c>
      <c r="T998" s="582">
        <v>3.1582603652805075</v>
      </c>
      <c r="U998" s="582">
        <v>3.1721603652805062</v>
      </c>
    </row>
    <row r="999" spans="10:21">
      <c r="J999" s="580">
        <v>41564</v>
      </c>
      <c r="K999" s="581">
        <v>2.0833333333333332E-2</v>
      </c>
      <c r="L999" s="582">
        <v>13.296900000000001</v>
      </c>
      <c r="M999" s="582">
        <v>12.628399999999999</v>
      </c>
      <c r="N999" s="582">
        <v>13.316800000000001</v>
      </c>
      <c r="O999" s="582">
        <v>13.270099999999999</v>
      </c>
      <c r="P999" s="582">
        <v>98.712000000000003</v>
      </c>
      <c r="Q999" s="582">
        <v>10.093246790535558</v>
      </c>
      <c r="R999" s="582">
        <v>3.0186532094644432</v>
      </c>
      <c r="S999" s="582">
        <v>3.1851532094644419</v>
      </c>
      <c r="T999" s="582">
        <v>3.4135532094644434</v>
      </c>
      <c r="U999" s="582">
        <v>3.4468532094644413</v>
      </c>
    </row>
    <row r="1000" spans="10:21">
      <c r="J1000" s="580">
        <v>41565</v>
      </c>
      <c r="K1000" s="581">
        <v>2.0833333333333332E-2</v>
      </c>
      <c r="L1000" s="582">
        <v>13.309900000000001</v>
      </c>
      <c r="M1000" s="582">
        <v>12.7235</v>
      </c>
      <c r="N1000" s="582">
        <v>13.5031</v>
      </c>
      <c r="O1000" s="582">
        <v>13.321400000000001</v>
      </c>
      <c r="P1000" s="582">
        <v>98.757400000000004</v>
      </c>
      <c r="Q1000" s="582">
        <v>10.097888915143411</v>
      </c>
      <c r="R1000" s="582">
        <v>3.0270110848565897</v>
      </c>
      <c r="S1000" s="582">
        <v>3.2756110848565889</v>
      </c>
      <c r="T1000" s="582">
        <v>3.5952110848565892</v>
      </c>
      <c r="U1000" s="582">
        <v>3.4935110848565891</v>
      </c>
    </row>
    <row r="1001" spans="10:21">
      <c r="J1001" s="580">
        <v>41566</v>
      </c>
      <c r="K1001" s="581">
        <v>2.0833333333333332E-2</v>
      </c>
      <c r="L1001" s="582">
        <v>13.473599999999999</v>
      </c>
      <c r="M1001" s="582">
        <v>12.797599999999999</v>
      </c>
      <c r="N1001" s="582">
        <v>13.629</v>
      </c>
      <c r="O1001" s="582">
        <v>13.3934</v>
      </c>
      <c r="P1001" s="582">
        <v>98.791499999999999</v>
      </c>
      <c r="Q1001" s="582">
        <v>10.101375621071334</v>
      </c>
      <c r="R1001" s="582">
        <v>3.1872243789286654</v>
      </c>
      <c r="S1001" s="582">
        <v>3.3462243789286656</v>
      </c>
      <c r="T1001" s="582">
        <v>3.717624378928666</v>
      </c>
      <c r="U1001" s="582">
        <v>3.5620243789286654</v>
      </c>
    </row>
    <row r="1002" spans="10:21">
      <c r="J1002" s="580">
        <v>41567</v>
      </c>
      <c r="K1002" s="581">
        <v>2.0833333333333332E-2</v>
      </c>
      <c r="L1002" s="582">
        <v>13.464</v>
      </c>
      <c r="M1002" s="582">
        <v>12.863799999999999</v>
      </c>
      <c r="N1002" s="582">
        <v>13.923999999999999</v>
      </c>
      <c r="O1002" s="582">
        <v>13.527799999999999</v>
      </c>
      <c r="P1002" s="582">
        <v>98.824100000000001</v>
      </c>
      <c r="Q1002" s="582">
        <v>10.104708952838207</v>
      </c>
      <c r="R1002" s="582">
        <v>3.1742910471617933</v>
      </c>
      <c r="S1002" s="582">
        <v>3.4090910471617928</v>
      </c>
      <c r="T1002" s="582">
        <v>4.0092910471617929</v>
      </c>
      <c r="U1002" s="582">
        <v>3.6930910471617917</v>
      </c>
    </row>
    <row r="1003" spans="10:21">
      <c r="J1003" s="580">
        <v>41568</v>
      </c>
      <c r="K1003" s="581">
        <v>2.0833333333333332E-2</v>
      </c>
      <c r="L1003" s="582">
        <v>13.386699999999999</v>
      </c>
      <c r="M1003" s="582">
        <v>12.8431</v>
      </c>
      <c r="N1003" s="582">
        <v>13.949400000000001</v>
      </c>
      <c r="O1003" s="582">
        <v>13.2949</v>
      </c>
      <c r="P1003" s="582">
        <v>98.477400000000003</v>
      </c>
      <c r="Q1003" s="582">
        <v>10.069259071746965</v>
      </c>
      <c r="R1003" s="582">
        <v>3.1324409282530348</v>
      </c>
      <c r="S1003" s="582">
        <v>3.4238409282530355</v>
      </c>
      <c r="T1003" s="582">
        <v>4.0701409282530365</v>
      </c>
      <c r="U1003" s="582">
        <v>3.4956409282530352</v>
      </c>
    </row>
    <row r="1004" spans="10:21">
      <c r="J1004" s="580">
        <v>41569</v>
      </c>
      <c r="K1004" s="581">
        <v>2.0833333333333332E-2</v>
      </c>
      <c r="L1004" s="582">
        <v>13.324</v>
      </c>
      <c r="M1004" s="582">
        <v>12.8116</v>
      </c>
      <c r="N1004" s="582">
        <v>13.898199999999999</v>
      </c>
      <c r="O1004" s="582">
        <v>13.2859</v>
      </c>
      <c r="P1004" s="582">
        <v>98.309299999999993</v>
      </c>
      <c r="Q1004" s="582">
        <v>10.052070940765025</v>
      </c>
      <c r="R1004" s="582">
        <v>3.0869290592349743</v>
      </c>
      <c r="S1004" s="582">
        <v>3.4095290592349752</v>
      </c>
      <c r="T1004" s="582">
        <v>4.0361290592349741</v>
      </c>
      <c r="U1004" s="582">
        <v>3.5038290592349739</v>
      </c>
    </row>
    <row r="1005" spans="10:21">
      <c r="J1005" s="580">
        <v>41570</v>
      </c>
      <c r="K1005" s="581">
        <v>2.0833333333333332E-2</v>
      </c>
      <c r="L1005" s="582">
        <v>13.277699999999999</v>
      </c>
      <c r="M1005" s="582">
        <v>12.793900000000001</v>
      </c>
      <c r="N1005" s="582">
        <v>13.8469</v>
      </c>
      <c r="O1005" s="582">
        <v>13.251200000000001</v>
      </c>
      <c r="P1005" s="582">
        <v>98.295199999999994</v>
      </c>
      <c r="Q1005" s="582">
        <v>10.050629223651134</v>
      </c>
      <c r="R1005" s="582">
        <v>3.0420707763488655</v>
      </c>
      <c r="S1005" s="582">
        <v>3.3932707763488672</v>
      </c>
      <c r="T1005" s="582">
        <v>3.9862707763488663</v>
      </c>
      <c r="U1005" s="582">
        <v>3.4705707763488665</v>
      </c>
    </row>
    <row r="1006" spans="10:21">
      <c r="J1006" s="580">
        <v>41571</v>
      </c>
      <c r="K1006" s="581">
        <v>2.0833333333333332E-2</v>
      </c>
      <c r="L1006" s="582">
        <v>13.243</v>
      </c>
      <c r="M1006" s="582">
        <v>12.7804</v>
      </c>
      <c r="N1006" s="582">
        <v>13.8041</v>
      </c>
      <c r="O1006" s="582">
        <v>13.2279</v>
      </c>
      <c r="P1006" s="582">
        <v>98.368899999999996</v>
      </c>
      <c r="Q1006" s="582">
        <v>10.058165007430841</v>
      </c>
      <c r="R1006" s="582">
        <v>2.9998349925691596</v>
      </c>
      <c r="S1006" s="582">
        <v>3.3722349925691599</v>
      </c>
      <c r="T1006" s="582">
        <v>3.9359349925691598</v>
      </c>
      <c r="U1006" s="582">
        <v>3.4397349925691589</v>
      </c>
    </row>
    <row r="1007" spans="10:21">
      <c r="J1007" s="580">
        <v>41572</v>
      </c>
      <c r="K1007" s="581">
        <v>2.0833333333333332E-2</v>
      </c>
      <c r="L1007" s="582">
        <v>13.203200000000001</v>
      </c>
      <c r="M1007" s="582">
        <v>12.759399999999999</v>
      </c>
      <c r="N1007" s="582">
        <v>13.750299999999999</v>
      </c>
      <c r="O1007" s="582">
        <v>13.207599999999999</v>
      </c>
      <c r="P1007" s="582">
        <v>98.361400000000003</v>
      </c>
      <c r="Q1007" s="582">
        <v>10.057398136625579</v>
      </c>
      <c r="R1007" s="582">
        <v>2.9608018633744213</v>
      </c>
      <c r="S1007" s="582">
        <v>3.3520018633744204</v>
      </c>
      <c r="T1007" s="582">
        <v>3.8829018633744203</v>
      </c>
      <c r="U1007" s="582">
        <v>3.4202018633744196</v>
      </c>
    </row>
    <row r="1008" spans="10:21">
      <c r="J1008" s="580">
        <v>41573</v>
      </c>
      <c r="K1008" s="581">
        <v>2.0833333333333332E-2</v>
      </c>
      <c r="L1008" s="582">
        <v>13.1631</v>
      </c>
      <c r="M1008" s="582">
        <v>12.7454</v>
      </c>
      <c r="N1008" s="582">
        <v>13.700200000000001</v>
      </c>
      <c r="O1008" s="582">
        <v>13.202299999999999</v>
      </c>
      <c r="P1008" s="582">
        <v>98.412800000000004</v>
      </c>
      <c r="Q1008" s="582">
        <v>10.062653757877642</v>
      </c>
      <c r="R1008" s="582">
        <v>2.9154462421223575</v>
      </c>
      <c r="S1008" s="582">
        <v>3.3327462421223579</v>
      </c>
      <c r="T1008" s="582">
        <v>3.8275462421223585</v>
      </c>
      <c r="U1008" s="582">
        <v>3.4096462421223563</v>
      </c>
    </row>
    <row r="1009" spans="10:21">
      <c r="J1009" s="580">
        <v>41574</v>
      </c>
      <c r="K1009" s="581">
        <v>2.0833333333333332E-2</v>
      </c>
      <c r="L1009" s="582">
        <v>13.1487</v>
      </c>
      <c r="M1009" s="582">
        <v>12.749499999999999</v>
      </c>
      <c r="N1009" s="582">
        <v>13.683400000000001</v>
      </c>
      <c r="O1009" s="582">
        <v>13.2042</v>
      </c>
      <c r="P1009" s="582">
        <v>98.639300000000006</v>
      </c>
      <c r="Q1009" s="582">
        <v>10.085813256196552</v>
      </c>
      <c r="R1009" s="582">
        <v>2.8778867438034479</v>
      </c>
      <c r="S1009" s="582">
        <v>3.3136867438034479</v>
      </c>
      <c r="T1009" s="582">
        <v>3.7875867438034492</v>
      </c>
      <c r="U1009" s="582">
        <v>3.3883867438034478</v>
      </c>
    </row>
    <row r="1010" spans="10:21">
      <c r="J1010" s="580">
        <v>41575</v>
      </c>
      <c r="K1010" s="581">
        <v>2.0833333333333332E-2</v>
      </c>
      <c r="L1010" s="582">
        <v>13.1188</v>
      </c>
      <c r="M1010" s="582">
        <v>12.736499999999999</v>
      </c>
      <c r="N1010" s="582">
        <v>13.6389</v>
      </c>
      <c r="O1010" s="582">
        <v>13.188599999999999</v>
      </c>
      <c r="P1010" s="582">
        <v>98.716399999999993</v>
      </c>
      <c r="Q1010" s="582">
        <v>10.093696688074644</v>
      </c>
      <c r="R1010" s="582">
        <v>2.8401033119253563</v>
      </c>
      <c r="S1010" s="582">
        <v>3.2928033119253559</v>
      </c>
      <c r="T1010" s="582">
        <v>3.735203311925356</v>
      </c>
      <c r="U1010" s="582">
        <v>3.3649033119253549</v>
      </c>
    </row>
    <row r="1011" spans="10:21">
      <c r="J1011" s="580">
        <v>41576</v>
      </c>
      <c r="K1011" s="581">
        <v>2.0833333333333332E-2</v>
      </c>
      <c r="L1011" s="582">
        <v>13.0883</v>
      </c>
      <c r="M1011" s="582">
        <v>12.7271</v>
      </c>
      <c r="N1011" s="582">
        <v>13.602</v>
      </c>
      <c r="O1011" s="582">
        <v>13.173</v>
      </c>
      <c r="P1011" s="582">
        <v>98.8108</v>
      </c>
      <c r="Q1011" s="582">
        <v>10.103349035276874</v>
      </c>
      <c r="R1011" s="582">
        <v>2.7999509647231258</v>
      </c>
      <c r="S1011" s="582">
        <v>3.273750964723126</v>
      </c>
      <c r="T1011" s="582">
        <v>3.6886509647231263</v>
      </c>
      <c r="U1011" s="582">
        <v>3.3396509647231252</v>
      </c>
    </row>
    <row r="1012" spans="10:21">
      <c r="J1012" s="580">
        <v>41577</v>
      </c>
      <c r="K1012" s="581">
        <v>2.0833333333333332E-2</v>
      </c>
      <c r="L1012" s="582">
        <v>13.0617</v>
      </c>
      <c r="M1012" s="582">
        <v>12.7197</v>
      </c>
      <c r="N1012" s="582">
        <v>13.5871</v>
      </c>
      <c r="O1012" s="582">
        <v>13.1668</v>
      </c>
      <c r="P1012" s="582">
        <v>98.936899999999994</v>
      </c>
      <c r="Q1012" s="582">
        <v>10.116242689749345</v>
      </c>
      <c r="R1012" s="582">
        <v>2.7604573102506547</v>
      </c>
      <c r="S1012" s="582">
        <v>3.2534573102506545</v>
      </c>
      <c r="T1012" s="582">
        <v>3.6608573102506545</v>
      </c>
      <c r="U1012" s="582">
        <v>3.3205573102506545</v>
      </c>
    </row>
    <row r="1013" spans="10:21">
      <c r="J1013" s="580">
        <v>41578</v>
      </c>
      <c r="K1013" s="581">
        <v>2.0833333333333332E-2</v>
      </c>
      <c r="L1013" s="582">
        <v>13.023899999999999</v>
      </c>
      <c r="M1013" s="582">
        <v>12.700100000000001</v>
      </c>
      <c r="N1013" s="582">
        <v>13.5412</v>
      </c>
      <c r="O1013" s="582">
        <v>13.147399999999999</v>
      </c>
      <c r="P1013" s="582">
        <v>98.931399999999996</v>
      </c>
      <c r="Q1013" s="582">
        <v>10.115680317825486</v>
      </c>
      <c r="R1013" s="582">
        <v>2.7232196821745132</v>
      </c>
      <c r="S1013" s="582">
        <v>3.234419682174515</v>
      </c>
      <c r="T1013" s="582">
        <v>3.6155196821745141</v>
      </c>
      <c r="U1013" s="582">
        <v>3.3017196821745127</v>
      </c>
    </row>
    <row r="1014" spans="10:21">
      <c r="J1014" s="580">
        <v>41579</v>
      </c>
      <c r="K1014" s="581">
        <v>2.0833333333333332E-2</v>
      </c>
      <c r="L1014" s="582">
        <v>12.9975</v>
      </c>
      <c r="M1014" s="582">
        <v>12.680099999999999</v>
      </c>
      <c r="N1014" s="582">
        <v>13.489699999999999</v>
      </c>
      <c r="O1014" s="582">
        <v>13.1302</v>
      </c>
      <c r="P1014" s="582">
        <v>98.932000000000002</v>
      </c>
      <c r="Q1014" s="582">
        <v>10.115741667489909</v>
      </c>
      <c r="R1014" s="582">
        <v>2.6967583325100919</v>
      </c>
      <c r="S1014" s="582">
        <v>3.2143583325100913</v>
      </c>
      <c r="T1014" s="582">
        <v>3.563958332510091</v>
      </c>
      <c r="U1014" s="582">
        <v>3.2844583325100913</v>
      </c>
    </row>
    <row r="1015" spans="10:21">
      <c r="J1015" s="580">
        <v>41580</v>
      </c>
      <c r="K1015" s="581">
        <v>2.0833333333333332E-2</v>
      </c>
      <c r="L1015" s="582">
        <v>12.9512</v>
      </c>
      <c r="M1015" s="582">
        <v>12.6526</v>
      </c>
      <c r="N1015" s="582">
        <v>13.4316</v>
      </c>
      <c r="O1015" s="582">
        <v>13.1013</v>
      </c>
      <c r="P1015" s="582">
        <v>98.853800000000007</v>
      </c>
      <c r="Q1015" s="582">
        <v>10.107745761227044</v>
      </c>
      <c r="R1015" s="582">
        <v>2.6584542387729564</v>
      </c>
      <c r="S1015" s="582">
        <v>3.1948542387729564</v>
      </c>
      <c r="T1015" s="582">
        <v>3.5138542387729563</v>
      </c>
      <c r="U1015" s="582">
        <v>3.2635542387729561</v>
      </c>
    </row>
    <row r="1016" spans="10:21">
      <c r="J1016" s="580">
        <v>41581</v>
      </c>
      <c r="K1016" s="581">
        <v>2.0833333333333332E-2</v>
      </c>
      <c r="L1016" s="582">
        <v>12.917199999999999</v>
      </c>
      <c r="M1016" s="582">
        <v>12.635199999999999</v>
      </c>
      <c r="N1016" s="582">
        <v>13.398</v>
      </c>
      <c r="O1016" s="582">
        <v>13.082700000000001</v>
      </c>
      <c r="P1016" s="582">
        <v>98.839200000000005</v>
      </c>
      <c r="Q1016" s="582">
        <v>10.106252919392801</v>
      </c>
      <c r="R1016" s="582">
        <v>2.6259470806071978</v>
      </c>
      <c r="S1016" s="582">
        <v>3.1789470806071982</v>
      </c>
      <c r="T1016" s="582">
        <v>3.4817470806071986</v>
      </c>
      <c r="U1016" s="582">
        <v>3.246447080607199</v>
      </c>
    </row>
    <row r="1017" spans="10:21">
      <c r="J1017" s="580">
        <v>41582</v>
      </c>
      <c r="K1017" s="581">
        <v>2.0833333333333332E-2</v>
      </c>
      <c r="L1017" s="582">
        <v>12.890499999999999</v>
      </c>
      <c r="M1017" s="582">
        <v>12.6258</v>
      </c>
      <c r="N1017" s="582">
        <v>13.3729</v>
      </c>
      <c r="O1017" s="582">
        <v>13.0732</v>
      </c>
      <c r="P1017" s="582">
        <v>98.933999999999997</v>
      </c>
      <c r="Q1017" s="582">
        <v>10.115946166371311</v>
      </c>
      <c r="R1017" s="582">
        <v>2.5895538336286887</v>
      </c>
      <c r="S1017" s="582">
        <v>3.1598538336286897</v>
      </c>
      <c r="T1017" s="582">
        <v>3.4469538336286893</v>
      </c>
      <c r="U1017" s="582">
        <v>3.2272538336286889</v>
      </c>
    </row>
    <row r="1018" spans="10:21">
      <c r="J1018" s="580">
        <v>41583</v>
      </c>
      <c r="K1018" s="581">
        <v>2.0833333333333332E-2</v>
      </c>
      <c r="L1018" s="582">
        <v>12.9232</v>
      </c>
      <c r="M1018" s="582">
        <v>12.6463</v>
      </c>
      <c r="N1018" s="582">
        <v>13.3825</v>
      </c>
      <c r="O1018" s="582">
        <v>13.097799999999999</v>
      </c>
      <c r="P1018" s="582">
        <v>99.049300000000002</v>
      </c>
      <c r="Q1018" s="582">
        <v>10.127735526884205</v>
      </c>
      <c r="R1018" s="582">
        <v>2.6104644731157944</v>
      </c>
      <c r="S1018" s="582">
        <v>3.1685644731157954</v>
      </c>
      <c r="T1018" s="582">
        <v>3.4447644731157956</v>
      </c>
      <c r="U1018" s="582">
        <v>3.2400644731157939</v>
      </c>
    </row>
    <row r="1019" spans="10:21">
      <c r="J1019" s="580">
        <v>41584</v>
      </c>
      <c r="K1019" s="581">
        <v>2.0833333333333332E-2</v>
      </c>
      <c r="L1019" s="582">
        <v>12.9107</v>
      </c>
      <c r="M1019" s="582">
        <v>12.644299999999999</v>
      </c>
      <c r="N1019" s="582">
        <v>13.355700000000001</v>
      </c>
      <c r="O1019" s="582">
        <v>13.085800000000001</v>
      </c>
      <c r="P1019" s="582">
        <v>99.031000000000006</v>
      </c>
      <c r="Q1019" s="582">
        <v>10.125864362119366</v>
      </c>
      <c r="R1019" s="582">
        <v>2.5998356378806347</v>
      </c>
      <c r="S1019" s="582">
        <v>3.1684356378806342</v>
      </c>
      <c r="T1019" s="582">
        <v>3.4198356378806354</v>
      </c>
      <c r="U1019" s="582">
        <v>3.2299356378806348</v>
      </c>
    </row>
    <row r="1020" spans="10:21">
      <c r="J1020" s="580">
        <v>41585</v>
      </c>
      <c r="K1020" s="581">
        <v>2.0833333333333332E-2</v>
      </c>
      <c r="L1020" s="582">
        <v>12.871499999999999</v>
      </c>
      <c r="M1020" s="582">
        <v>12.6188</v>
      </c>
      <c r="N1020" s="582">
        <v>13.3163</v>
      </c>
      <c r="O1020" s="582">
        <v>13.0596</v>
      </c>
      <c r="P1020" s="582">
        <v>98.980500000000006</v>
      </c>
      <c r="Q1020" s="582">
        <v>10.120700765363935</v>
      </c>
      <c r="R1020" s="582">
        <v>2.5657992346360641</v>
      </c>
      <c r="S1020" s="582">
        <v>3.1480992346360654</v>
      </c>
      <c r="T1020" s="582">
        <v>3.3855992346360653</v>
      </c>
      <c r="U1020" s="582">
        <v>3.2088992346360641</v>
      </c>
    </row>
    <row r="1021" spans="10:21">
      <c r="J1021" s="580">
        <v>41586</v>
      </c>
      <c r="K1021" s="581">
        <v>2.0833333333333332E-2</v>
      </c>
      <c r="L1021" s="582">
        <v>12.826700000000001</v>
      </c>
      <c r="M1021" s="582">
        <v>12.591100000000001</v>
      </c>
      <c r="N1021" s="582">
        <v>13.267899999999999</v>
      </c>
      <c r="O1021" s="582">
        <v>13.027799999999999</v>
      </c>
      <c r="P1021" s="582">
        <v>98.882300000000001</v>
      </c>
      <c r="Q1021" s="582">
        <v>10.110659870287039</v>
      </c>
      <c r="R1021" s="582">
        <v>2.5310401297129617</v>
      </c>
      <c r="S1021" s="582">
        <v>3.1304401297129623</v>
      </c>
      <c r="T1021" s="582">
        <v>3.3472401297129606</v>
      </c>
      <c r="U1021" s="582">
        <v>3.1871401297129598</v>
      </c>
    </row>
    <row r="1022" spans="10:21">
      <c r="J1022" s="580">
        <v>41587</v>
      </c>
      <c r="K1022" s="581">
        <v>2.0833333333333332E-2</v>
      </c>
      <c r="L1022" s="582">
        <v>12.786199999999999</v>
      </c>
      <c r="M1022" s="582">
        <v>12.562799999999999</v>
      </c>
      <c r="N1022" s="582">
        <v>13.2193</v>
      </c>
      <c r="O1022" s="582">
        <v>12.9953</v>
      </c>
      <c r="P1022" s="582">
        <v>98.802700000000002</v>
      </c>
      <c r="Q1022" s="582">
        <v>10.102520814807193</v>
      </c>
      <c r="R1022" s="582">
        <v>2.4986791851928065</v>
      </c>
      <c r="S1022" s="582">
        <v>3.1102791851928071</v>
      </c>
      <c r="T1022" s="582">
        <v>3.3067791851928083</v>
      </c>
      <c r="U1022" s="582">
        <v>3.1627791851928073</v>
      </c>
    </row>
    <row r="1023" spans="10:21">
      <c r="J1023" s="580">
        <v>41588</v>
      </c>
      <c r="K1023" s="581">
        <v>2.0833333333333332E-2</v>
      </c>
      <c r="L1023" s="582">
        <v>12.7417</v>
      </c>
      <c r="M1023" s="582">
        <v>12.5364</v>
      </c>
      <c r="N1023" s="582">
        <v>13.171900000000001</v>
      </c>
      <c r="O1023" s="582">
        <v>12.963200000000001</v>
      </c>
      <c r="P1023" s="582">
        <v>98.722200000000001</v>
      </c>
      <c r="Q1023" s="582">
        <v>10.094289734830713</v>
      </c>
      <c r="R1023" s="582">
        <v>2.4624102651692863</v>
      </c>
      <c r="S1023" s="582">
        <v>3.0921102651692873</v>
      </c>
      <c r="T1023" s="582">
        <v>3.2676102651692878</v>
      </c>
      <c r="U1023" s="582">
        <v>3.1389102651692866</v>
      </c>
    </row>
    <row r="1024" spans="10:21">
      <c r="J1024" s="580">
        <v>41589</v>
      </c>
      <c r="K1024" s="581">
        <v>2.0833333333333332E-2</v>
      </c>
      <c r="L1024" s="582">
        <v>12.7073</v>
      </c>
      <c r="M1024" s="582">
        <v>12.5192</v>
      </c>
      <c r="N1024" s="582">
        <v>13.135</v>
      </c>
      <c r="O1024" s="582">
        <v>12.9397</v>
      </c>
      <c r="P1024" s="582">
        <v>98.754300000000001</v>
      </c>
      <c r="Q1024" s="582">
        <v>10.097571941877236</v>
      </c>
      <c r="R1024" s="582">
        <v>2.4247280581227639</v>
      </c>
      <c r="S1024" s="582">
        <v>3.071628058122764</v>
      </c>
      <c r="T1024" s="582">
        <v>3.2274280581227641</v>
      </c>
      <c r="U1024" s="582">
        <v>3.1121280581227637</v>
      </c>
    </row>
    <row r="1025" spans="10:21">
      <c r="J1025" s="580">
        <v>41590</v>
      </c>
      <c r="K1025" s="581">
        <v>2.0833333333333332E-2</v>
      </c>
      <c r="L1025" s="582">
        <v>12.659599999999999</v>
      </c>
      <c r="M1025" s="582">
        <v>12.487500000000001</v>
      </c>
      <c r="N1025" s="582">
        <v>13.081899999999999</v>
      </c>
      <c r="O1025" s="582">
        <v>12.889799999999999</v>
      </c>
      <c r="P1025" s="582">
        <v>98.6464</v>
      </c>
      <c r="Q1025" s="582">
        <v>10.086539227225533</v>
      </c>
      <c r="R1025" s="582">
        <v>2.3880607727744665</v>
      </c>
      <c r="S1025" s="582">
        <v>3.0509607727744683</v>
      </c>
      <c r="T1025" s="582">
        <v>3.1853607727744668</v>
      </c>
      <c r="U1025" s="582">
        <v>3.0732607727744661</v>
      </c>
    </row>
    <row r="1026" spans="10:21">
      <c r="J1026" s="580">
        <v>41591</v>
      </c>
      <c r="K1026" s="581">
        <v>2.0833333333333332E-2</v>
      </c>
      <c r="L1026" s="582">
        <v>12.6281</v>
      </c>
      <c r="M1026" s="582">
        <v>12.468400000000001</v>
      </c>
      <c r="N1026" s="582">
        <v>13.051600000000001</v>
      </c>
      <c r="O1026" s="582">
        <v>12.8703</v>
      </c>
      <c r="P1026" s="582">
        <v>98.681100000000001</v>
      </c>
      <c r="Q1026" s="582">
        <v>10.090087282817878</v>
      </c>
      <c r="R1026" s="582">
        <v>2.3530127171821218</v>
      </c>
      <c r="S1026" s="582">
        <v>3.0283127171821231</v>
      </c>
      <c r="T1026" s="582">
        <v>3.1515127171821229</v>
      </c>
      <c r="U1026" s="582">
        <v>3.0502127171821218</v>
      </c>
    </row>
    <row r="1027" spans="10:21">
      <c r="J1027" s="580">
        <v>41592</v>
      </c>
      <c r="K1027" s="581">
        <v>2.0833333333333332E-2</v>
      </c>
      <c r="L1027" s="582">
        <v>12.6058</v>
      </c>
      <c r="M1027" s="582">
        <v>12.456</v>
      </c>
      <c r="N1027" s="582">
        <v>13.0288</v>
      </c>
      <c r="O1027" s="582">
        <v>12.8605</v>
      </c>
      <c r="P1027" s="582">
        <v>98.763099999999994</v>
      </c>
      <c r="Q1027" s="582">
        <v>10.098471736955409</v>
      </c>
      <c r="R1027" s="582">
        <v>2.3223282630445916</v>
      </c>
      <c r="S1027" s="582">
        <v>3.0075282630445912</v>
      </c>
      <c r="T1027" s="582">
        <v>3.1203282630445921</v>
      </c>
      <c r="U1027" s="582">
        <v>3.0320282630445909</v>
      </c>
    </row>
    <row r="1028" spans="10:21">
      <c r="J1028" s="580">
        <v>41593</v>
      </c>
      <c r="K1028" s="581">
        <v>2.0833333333333332E-2</v>
      </c>
      <c r="L1028" s="582">
        <v>12.5708</v>
      </c>
      <c r="M1028" s="582">
        <v>12.4361</v>
      </c>
      <c r="N1028" s="582">
        <v>12.9994</v>
      </c>
      <c r="O1028" s="582">
        <v>12.8431</v>
      </c>
      <c r="P1028" s="582">
        <v>98.837599999999995</v>
      </c>
      <c r="Q1028" s="582">
        <v>10.106089320287678</v>
      </c>
      <c r="R1028" s="582">
        <v>2.2797106797123221</v>
      </c>
      <c r="S1028" s="582">
        <v>2.980010679712322</v>
      </c>
      <c r="T1028" s="582">
        <v>3.083310679712322</v>
      </c>
      <c r="U1028" s="582">
        <v>3.0070106797123213</v>
      </c>
    </row>
    <row r="1029" spans="10:21">
      <c r="J1029" s="580">
        <v>41594</v>
      </c>
      <c r="K1029" s="581">
        <v>2.0833333333333332E-2</v>
      </c>
      <c r="L1029" s="582">
        <v>12.511200000000001</v>
      </c>
      <c r="M1029" s="582">
        <v>12.3957</v>
      </c>
      <c r="N1029" s="582">
        <v>12.940899999999999</v>
      </c>
      <c r="O1029" s="582">
        <v>12.79</v>
      </c>
      <c r="P1029" s="582">
        <v>98.676100000000005</v>
      </c>
      <c r="Q1029" s="582">
        <v>10.089576035614371</v>
      </c>
      <c r="R1029" s="582">
        <v>2.2366239643856294</v>
      </c>
      <c r="S1029" s="582">
        <v>2.956123964385629</v>
      </c>
      <c r="T1029" s="582">
        <v>3.0413239643856285</v>
      </c>
      <c r="U1029" s="582">
        <v>2.9704239643856276</v>
      </c>
    </row>
    <row r="1030" spans="10:21">
      <c r="J1030" s="580">
        <v>41595</v>
      </c>
      <c r="K1030" s="581">
        <v>2.0833333333333332E-2</v>
      </c>
      <c r="L1030" s="582">
        <v>12.4596</v>
      </c>
      <c r="M1030" s="582">
        <v>12.3613</v>
      </c>
      <c r="N1030" s="582">
        <v>12.8935</v>
      </c>
      <c r="O1030" s="582">
        <v>12.744199999999999</v>
      </c>
      <c r="P1030" s="582">
        <v>98.613600000000005</v>
      </c>
      <c r="Q1030" s="582">
        <v>10.083185445570521</v>
      </c>
      <c r="R1030" s="582">
        <v>2.1914145544294787</v>
      </c>
      <c r="S1030" s="582">
        <v>2.9281145544294791</v>
      </c>
      <c r="T1030" s="582">
        <v>3.0003145544294787</v>
      </c>
      <c r="U1030" s="582">
        <v>2.9310145544294777</v>
      </c>
    </row>
    <row r="1031" spans="10:21">
      <c r="J1031" s="580">
        <v>41596</v>
      </c>
      <c r="K1031" s="581">
        <v>2.0833333333333332E-2</v>
      </c>
      <c r="L1031" s="582">
        <v>12.5425</v>
      </c>
      <c r="M1031" s="582">
        <v>12.683199999999999</v>
      </c>
      <c r="N1031" s="582">
        <v>13.699400000000001</v>
      </c>
      <c r="O1031" s="582">
        <v>13.2819</v>
      </c>
      <c r="P1031" s="582">
        <v>98.805899999999994</v>
      </c>
      <c r="Q1031" s="582">
        <v>10.102848013017438</v>
      </c>
      <c r="R1031" s="582">
        <v>2.2546519869825628</v>
      </c>
      <c r="S1031" s="582">
        <v>3.2303519869825621</v>
      </c>
      <c r="T1031" s="582">
        <v>3.7865519869825635</v>
      </c>
      <c r="U1031" s="582">
        <v>3.4490519869825622</v>
      </c>
    </row>
    <row r="1032" spans="10:21">
      <c r="J1032" s="580">
        <v>41597</v>
      </c>
      <c r="K1032" s="581">
        <v>2.0833333333333332E-2</v>
      </c>
      <c r="L1032" s="582">
        <v>12.516</v>
      </c>
      <c r="M1032" s="582">
        <v>12.6808</v>
      </c>
      <c r="N1032" s="582">
        <v>13.7072</v>
      </c>
      <c r="O1032" s="582">
        <v>13.2799</v>
      </c>
      <c r="P1032" s="582">
        <v>98.963300000000004</v>
      </c>
      <c r="Q1032" s="582">
        <v>10.118942074983869</v>
      </c>
      <c r="R1032" s="582">
        <v>2.2120579250161314</v>
      </c>
      <c r="S1032" s="582">
        <v>3.2118579250161314</v>
      </c>
      <c r="T1032" s="582">
        <v>3.7782579250161321</v>
      </c>
      <c r="U1032" s="582">
        <v>3.4309579250161306</v>
      </c>
    </row>
    <row r="1033" spans="10:21">
      <c r="J1033" s="580">
        <v>41598</v>
      </c>
      <c r="K1033" s="581">
        <v>2.0833333333333332E-2</v>
      </c>
      <c r="L1033" s="582">
        <v>12.462</v>
      </c>
      <c r="M1033" s="582">
        <v>12.6509</v>
      </c>
      <c r="N1033" s="582">
        <v>13.658200000000001</v>
      </c>
      <c r="O1033" s="582">
        <v>13.2462</v>
      </c>
      <c r="P1033" s="582">
        <v>98.856899999999996</v>
      </c>
      <c r="Q1033" s="582">
        <v>10.108062734493219</v>
      </c>
      <c r="R1033" s="582">
        <v>2.1689372655067811</v>
      </c>
      <c r="S1033" s="582">
        <v>3.1928372655067818</v>
      </c>
      <c r="T1033" s="582">
        <v>3.7401372655067826</v>
      </c>
      <c r="U1033" s="582">
        <v>3.408137265506781</v>
      </c>
    </row>
    <row r="1034" spans="10:21">
      <c r="J1034" s="580">
        <v>41599</v>
      </c>
      <c r="K1034" s="581">
        <v>2.0833333333333332E-2</v>
      </c>
      <c r="L1034" s="582">
        <v>12.3856</v>
      </c>
      <c r="M1034" s="582">
        <v>12.5975</v>
      </c>
      <c r="N1034" s="582">
        <v>13.586600000000001</v>
      </c>
      <c r="O1034" s="582">
        <v>13.19</v>
      </c>
      <c r="P1034" s="582">
        <v>98.551299999999998</v>
      </c>
      <c r="Q1034" s="582">
        <v>10.076815305414812</v>
      </c>
      <c r="R1034" s="582">
        <v>2.1237846945851886</v>
      </c>
      <c r="S1034" s="582">
        <v>3.170684694585189</v>
      </c>
      <c r="T1034" s="582">
        <v>3.6997846945851895</v>
      </c>
      <c r="U1034" s="582">
        <v>3.3831846945851876</v>
      </c>
    </row>
    <row r="1035" spans="10:21">
      <c r="J1035" s="580">
        <v>41600</v>
      </c>
      <c r="K1035" s="581">
        <v>2.0833333333333332E-2</v>
      </c>
      <c r="L1035" s="582">
        <v>12.337300000000001</v>
      </c>
      <c r="M1035" s="582">
        <v>12.580500000000001</v>
      </c>
      <c r="N1035" s="582">
        <v>13.5524</v>
      </c>
      <c r="O1035" s="582">
        <v>13.169700000000001</v>
      </c>
      <c r="P1035" s="582">
        <v>98.611500000000007</v>
      </c>
      <c r="Q1035" s="582">
        <v>10.082970721745049</v>
      </c>
      <c r="R1035" s="582">
        <v>2.0693292782549517</v>
      </c>
      <c r="S1035" s="582">
        <v>3.147529278254952</v>
      </c>
      <c r="T1035" s="582">
        <v>3.6594292782549518</v>
      </c>
      <c r="U1035" s="582">
        <v>3.3567292782549512</v>
      </c>
    </row>
    <row r="1036" spans="10:21">
      <c r="J1036" s="580">
        <v>41601</v>
      </c>
      <c r="K1036" s="581">
        <v>2.0833333333333332E-2</v>
      </c>
      <c r="L1036" s="582">
        <v>12.2936</v>
      </c>
      <c r="M1036" s="582">
        <v>12.569900000000001</v>
      </c>
      <c r="N1036" s="582">
        <v>13.526300000000001</v>
      </c>
      <c r="O1036" s="582">
        <v>13.1557</v>
      </c>
      <c r="P1036" s="582">
        <v>98.729100000000003</v>
      </c>
      <c r="Q1036" s="582">
        <v>10.094995255971556</v>
      </c>
      <c r="R1036" s="582">
        <v>2.0136047440284437</v>
      </c>
      <c r="S1036" s="582">
        <v>3.124904744028445</v>
      </c>
      <c r="T1036" s="582">
        <v>3.6213047440284454</v>
      </c>
      <c r="U1036" s="582">
        <v>3.3307047440284432</v>
      </c>
    </row>
    <row r="1037" spans="10:21">
      <c r="J1037" s="580">
        <v>41602</v>
      </c>
      <c r="K1037" s="581">
        <v>2.0833333333333332E-2</v>
      </c>
      <c r="L1037" s="582">
        <v>12.2524</v>
      </c>
      <c r="M1037" s="582">
        <v>12.5562</v>
      </c>
      <c r="N1037" s="582">
        <v>13.4917</v>
      </c>
      <c r="O1037" s="582">
        <v>13.136100000000001</v>
      </c>
      <c r="P1037" s="582">
        <v>98.792199999999994</v>
      </c>
      <c r="Q1037" s="582">
        <v>10.101447195679825</v>
      </c>
      <c r="R1037" s="582">
        <v>1.9659528043201751</v>
      </c>
      <c r="S1037" s="582">
        <v>3.1047528043201762</v>
      </c>
      <c r="T1037" s="582">
        <v>3.5802528043201756</v>
      </c>
      <c r="U1037" s="582">
        <v>3.3046528043201757</v>
      </c>
    </row>
    <row r="1038" spans="10:21">
      <c r="J1038" s="580">
        <v>41603</v>
      </c>
      <c r="K1038" s="581">
        <v>2.0833333333333332E-2</v>
      </c>
      <c r="L1038" s="582">
        <v>12.21</v>
      </c>
      <c r="M1038" s="582">
        <v>12.538399999999999</v>
      </c>
      <c r="N1038" s="582">
        <v>13.456</v>
      </c>
      <c r="O1038" s="582">
        <v>13.117100000000001</v>
      </c>
      <c r="P1038" s="582">
        <v>98.842600000000004</v>
      </c>
      <c r="Q1038" s="582">
        <v>10.106600567491187</v>
      </c>
      <c r="R1038" s="582">
        <v>1.9183994325088141</v>
      </c>
      <c r="S1038" s="582">
        <v>3.0817994325088129</v>
      </c>
      <c r="T1038" s="582">
        <v>3.5393994325088132</v>
      </c>
      <c r="U1038" s="582">
        <v>3.2804994325088135</v>
      </c>
    </row>
    <row r="1039" spans="10:21">
      <c r="J1039" s="580">
        <v>41604</v>
      </c>
      <c r="K1039" s="581">
        <v>2.0833333333333332E-2</v>
      </c>
      <c r="L1039" s="582">
        <v>12.152900000000001</v>
      </c>
      <c r="M1039" s="582">
        <v>12.4978</v>
      </c>
      <c r="N1039" s="582">
        <v>13.404199999999999</v>
      </c>
      <c r="O1039" s="582">
        <v>13.0802</v>
      </c>
      <c r="P1039" s="582">
        <v>98.7179</v>
      </c>
      <c r="Q1039" s="582">
        <v>10.093850062235697</v>
      </c>
      <c r="R1039" s="582">
        <v>1.8740499377643034</v>
      </c>
      <c r="S1039" s="582">
        <v>3.0539499377643029</v>
      </c>
      <c r="T1039" s="582">
        <v>3.5003499377643026</v>
      </c>
      <c r="U1039" s="582">
        <v>3.2563499377643019</v>
      </c>
    </row>
    <row r="1040" spans="10:21">
      <c r="J1040" s="580">
        <v>41605</v>
      </c>
      <c r="K1040" s="581">
        <v>2.0833333333333332E-2</v>
      </c>
      <c r="L1040" s="582">
        <v>12.1107</v>
      </c>
      <c r="M1040" s="582">
        <v>12.464600000000001</v>
      </c>
      <c r="N1040" s="582">
        <v>13.3637</v>
      </c>
      <c r="O1040" s="582">
        <v>13.049799999999999</v>
      </c>
      <c r="P1040" s="582">
        <v>98.681700000000006</v>
      </c>
      <c r="Q1040" s="582">
        <v>10.0901486324823</v>
      </c>
      <c r="R1040" s="582">
        <v>1.8355513675176991</v>
      </c>
      <c r="S1040" s="582">
        <v>3.0244513675177007</v>
      </c>
      <c r="T1040" s="582">
        <v>3.4635513675176997</v>
      </c>
      <c r="U1040" s="582">
        <v>3.2296513675176985</v>
      </c>
    </row>
    <row r="1041" spans="10:21">
      <c r="J1041" s="580">
        <v>41606</v>
      </c>
      <c r="K1041" s="581">
        <v>2.0833333333333332E-2</v>
      </c>
      <c r="L1041" s="582">
        <v>12.0837</v>
      </c>
      <c r="M1041" s="582">
        <v>12.4467</v>
      </c>
      <c r="N1041" s="582">
        <v>13.3283</v>
      </c>
      <c r="O1041" s="582">
        <v>13.033899999999999</v>
      </c>
      <c r="P1041" s="582">
        <v>98.776499999999999</v>
      </c>
      <c r="Q1041" s="582">
        <v>10.09984187946081</v>
      </c>
      <c r="R1041" s="582">
        <v>1.7988581205391907</v>
      </c>
      <c r="S1041" s="582">
        <v>2.9968581205391907</v>
      </c>
      <c r="T1041" s="582">
        <v>3.4184581205391913</v>
      </c>
      <c r="U1041" s="582">
        <v>3.2040581205391891</v>
      </c>
    </row>
    <row r="1042" spans="10:21">
      <c r="J1042" s="580">
        <v>41607</v>
      </c>
      <c r="K1042" s="581">
        <v>2.0833333333333332E-2</v>
      </c>
      <c r="L1042" s="582">
        <v>12.0642</v>
      </c>
      <c r="M1042" s="582">
        <v>12.438599999999999</v>
      </c>
      <c r="N1042" s="582">
        <v>13.299899999999999</v>
      </c>
      <c r="O1042" s="582">
        <v>13.022399999999999</v>
      </c>
      <c r="P1042" s="582">
        <v>98.931799999999996</v>
      </c>
      <c r="Q1042" s="582">
        <v>10.115721217601767</v>
      </c>
      <c r="R1042" s="582">
        <v>1.763478782398233</v>
      </c>
      <c r="S1042" s="582">
        <v>2.972878782398233</v>
      </c>
      <c r="T1042" s="582">
        <v>3.374178782398233</v>
      </c>
      <c r="U1042" s="582">
        <v>3.1766787823982323</v>
      </c>
    </row>
    <row r="1043" spans="10:21">
      <c r="J1043" s="580">
        <v>41608</v>
      </c>
      <c r="K1043" s="581">
        <v>2.0833333333333332E-2</v>
      </c>
      <c r="L1043" s="582">
        <v>12.0191</v>
      </c>
      <c r="M1043" s="582">
        <v>12.420199999999999</v>
      </c>
      <c r="N1043" s="582">
        <v>13.269299999999999</v>
      </c>
      <c r="O1043" s="582">
        <v>13.0006</v>
      </c>
      <c r="P1043" s="582">
        <v>98.973299999999995</v>
      </c>
      <c r="Q1043" s="582">
        <v>10.119964569390884</v>
      </c>
      <c r="R1043" s="582">
        <v>1.7141354306091157</v>
      </c>
      <c r="S1043" s="582">
        <v>2.9502354306091156</v>
      </c>
      <c r="T1043" s="582">
        <v>3.3393354306091156</v>
      </c>
      <c r="U1043" s="582">
        <v>3.1506354306091158</v>
      </c>
    </row>
    <row r="1044" spans="10:21">
      <c r="J1044" s="580">
        <v>41609</v>
      </c>
      <c r="K1044" s="581">
        <v>2.0833333333333332E-2</v>
      </c>
      <c r="L1044" s="582">
        <v>11.9741</v>
      </c>
      <c r="M1044" s="582">
        <v>12.3917</v>
      </c>
      <c r="N1044" s="582">
        <v>13.239800000000001</v>
      </c>
      <c r="O1044" s="582">
        <v>12.971299999999999</v>
      </c>
      <c r="P1044" s="582">
        <v>98.951700000000002</v>
      </c>
      <c r="Q1044" s="582">
        <v>10.117755981471729</v>
      </c>
      <c r="R1044" s="582">
        <v>1.6713440185282704</v>
      </c>
      <c r="S1044" s="582">
        <v>2.923944018528271</v>
      </c>
      <c r="T1044" s="582">
        <v>3.3120440185282716</v>
      </c>
      <c r="U1044" s="582">
        <v>3.1235440185282695</v>
      </c>
    </row>
    <row r="1045" spans="10:21">
      <c r="J1045" s="580">
        <v>41610</v>
      </c>
      <c r="K1045" s="581">
        <v>2.0833333333333332E-2</v>
      </c>
      <c r="L1045" s="582">
        <v>11.9414</v>
      </c>
      <c r="M1045" s="582">
        <v>12.369300000000001</v>
      </c>
      <c r="N1045" s="582">
        <v>13.2034</v>
      </c>
      <c r="O1045" s="582">
        <v>12.9451</v>
      </c>
      <c r="P1045" s="582">
        <v>98.956000000000003</v>
      </c>
      <c r="Q1045" s="582">
        <v>10.118195654066747</v>
      </c>
      <c r="R1045" s="582">
        <v>1.6382043459332523</v>
      </c>
      <c r="S1045" s="582">
        <v>2.9011043459332537</v>
      </c>
      <c r="T1045" s="582">
        <v>3.2752043459332532</v>
      </c>
      <c r="U1045" s="582">
        <v>3.0969043459332521</v>
      </c>
    </row>
    <row r="1046" spans="10:21">
      <c r="J1046" s="580">
        <v>41611</v>
      </c>
      <c r="K1046" s="581">
        <v>2.0833333333333332E-2</v>
      </c>
      <c r="L1046" s="582">
        <v>11.94</v>
      </c>
      <c r="M1046" s="582">
        <v>12.3726</v>
      </c>
      <c r="N1046" s="582">
        <v>13.1975</v>
      </c>
      <c r="O1046" s="582">
        <v>12.943099999999999</v>
      </c>
      <c r="P1046" s="582">
        <v>99.019900000000007</v>
      </c>
      <c r="Q1046" s="582">
        <v>10.124729393327579</v>
      </c>
      <c r="R1046" s="582">
        <v>1.6302706066724206</v>
      </c>
      <c r="S1046" s="582">
        <v>2.8978706066724218</v>
      </c>
      <c r="T1046" s="582">
        <v>3.2627706066724214</v>
      </c>
      <c r="U1046" s="582">
        <v>3.0883706066724201</v>
      </c>
    </row>
    <row r="1047" spans="10:21">
      <c r="J1047" s="580">
        <v>41612</v>
      </c>
      <c r="K1047" s="581">
        <v>2.0833333333333332E-2</v>
      </c>
      <c r="L1047" s="582">
        <v>11.886699999999999</v>
      </c>
      <c r="M1047" s="582">
        <v>12.3302</v>
      </c>
      <c r="N1047" s="582">
        <v>13.148999999999999</v>
      </c>
      <c r="O1047" s="582">
        <v>12.9015</v>
      </c>
      <c r="P1047" s="582">
        <v>98.831500000000005</v>
      </c>
      <c r="Q1047" s="582">
        <v>10.105465598699398</v>
      </c>
      <c r="R1047" s="582">
        <v>1.5962344013006011</v>
      </c>
      <c r="S1047" s="582">
        <v>2.8747344013006018</v>
      </c>
      <c r="T1047" s="582">
        <v>3.2335344013006013</v>
      </c>
      <c r="U1047" s="582">
        <v>3.0660344013006018</v>
      </c>
    </row>
    <row r="1048" spans="10:21">
      <c r="J1048" s="580">
        <v>41613</v>
      </c>
      <c r="K1048" s="581">
        <v>2.0833333333333332E-2</v>
      </c>
      <c r="L1048" s="582">
        <v>11.8477</v>
      </c>
      <c r="M1048" s="582">
        <v>12.2935</v>
      </c>
      <c r="N1048" s="582">
        <v>13.107799999999999</v>
      </c>
      <c r="O1048" s="582">
        <v>12.866199999999999</v>
      </c>
      <c r="P1048" s="582">
        <v>98.736999999999995</v>
      </c>
      <c r="Q1048" s="582">
        <v>10.095803026553098</v>
      </c>
      <c r="R1048" s="582">
        <v>1.566896973446902</v>
      </c>
      <c r="S1048" s="582">
        <v>2.8476969734469026</v>
      </c>
      <c r="T1048" s="582">
        <v>3.201996973446902</v>
      </c>
      <c r="U1048" s="582">
        <v>3.0403969734469012</v>
      </c>
    </row>
    <row r="1049" spans="10:21">
      <c r="J1049" s="580">
        <v>41614</v>
      </c>
      <c r="K1049" s="581">
        <v>2.0833333333333332E-2</v>
      </c>
      <c r="L1049" s="582">
        <v>11.7988</v>
      </c>
      <c r="M1049" s="582">
        <v>12.2469</v>
      </c>
      <c r="N1049" s="582">
        <v>13.0548</v>
      </c>
      <c r="O1049" s="582">
        <v>12.8192</v>
      </c>
      <c r="P1049" s="582">
        <v>98.578599999999994</v>
      </c>
      <c r="Q1049" s="582">
        <v>10.079606715145966</v>
      </c>
      <c r="R1049" s="582">
        <v>1.5341932848540343</v>
      </c>
      <c r="S1049" s="582">
        <v>2.8172932848540349</v>
      </c>
      <c r="T1049" s="582">
        <v>3.1651932848540349</v>
      </c>
      <c r="U1049" s="582">
        <v>3.0095932848540343</v>
      </c>
    </row>
    <row r="1050" spans="10:21">
      <c r="J1050" s="580">
        <v>41615</v>
      </c>
      <c r="K1050" s="581">
        <v>2.0833333333333332E-2</v>
      </c>
      <c r="L1050" s="582">
        <v>11.764200000000001</v>
      </c>
      <c r="M1050" s="582">
        <v>12.204800000000001</v>
      </c>
      <c r="N1050" s="582">
        <v>13.0105</v>
      </c>
      <c r="O1050" s="582">
        <v>12.776899999999999</v>
      </c>
      <c r="P1050" s="582">
        <v>98.532200000000003</v>
      </c>
      <c r="Q1050" s="582">
        <v>10.074862341097411</v>
      </c>
      <c r="R1050" s="582">
        <v>1.5043376589025894</v>
      </c>
      <c r="S1050" s="582">
        <v>2.7799376589025897</v>
      </c>
      <c r="T1050" s="582">
        <v>3.1256376589025896</v>
      </c>
      <c r="U1050" s="582">
        <v>2.9720376589025879</v>
      </c>
    </row>
    <row r="1051" spans="10:21">
      <c r="J1051" s="580">
        <v>41616</v>
      </c>
      <c r="K1051" s="581">
        <v>2.0833333333333332E-2</v>
      </c>
      <c r="L1051" s="582">
        <v>11.7418</v>
      </c>
      <c r="M1051" s="582">
        <v>12.175599999999999</v>
      </c>
      <c r="N1051" s="582">
        <v>12.9864</v>
      </c>
      <c r="O1051" s="582">
        <v>12.747199999999999</v>
      </c>
      <c r="P1051" s="582">
        <v>98.585099999999997</v>
      </c>
      <c r="Q1051" s="582">
        <v>10.080271336510526</v>
      </c>
      <c r="R1051" s="582">
        <v>1.4765286634894736</v>
      </c>
      <c r="S1051" s="582">
        <v>2.7453286634894738</v>
      </c>
      <c r="T1051" s="582">
        <v>3.0961286634894742</v>
      </c>
      <c r="U1051" s="582">
        <v>2.9369286634894731</v>
      </c>
    </row>
    <row r="1052" spans="10:21">
      <c r="J1052" s="580">
        <v>41617</v>
      </c>
      <c r="K1052" s="581">
        <v>2.0833333333333332E-2</v>
      </c>
      <c r="L1052" s="582">
        <v>11.7203</v>
      </c>
      <c r="M1052" s="582">
        <v>12.1469</v>
      </c>
      <c r="N1052" s="582">
        <v>12.965999999999999</v>
      </c>
      <c r="O1052" s="582">
        <v>12.7181</v>
      </c>
      <c r="P1052" s="582">
        <v>98.652699999999996</v>
      </c>
      <c r="Q1052" s="582">
        <v>10.087183398701953</v>
      </c>
      <c r="R1052" s="582">
        <v>1.4481166012980471</v>
      </c>
      <c r="S1052" s="567">
        <v>2.709716601298048</v>
      </c>
      <c r="T1052" s="582">
        <v>3.0688166012980469</v>
      </c>
      <c r="U1052" s="582">
        <v>2.9009166012980465</v>
      </c>
    </row>
    <row r="1053" spans="10:21">
      <c r="J1053" s="580">
        <v>41618</v>
      </c>
      <c r="K1053" s="581">
        <v>2.0833333333333332E-2</v>
      </c>
      <c r="L1053" s="582">
        <v>11.682399999999999</v>
      </c>
      <c r="M1053" s="582">
        <v>12.100099999999999</v>
      </c>
      <c r="N1053" s="582">
        <v>12.9168</v>
      </c>
      <c r="O1053" s="582">
        <v>12.6722</v>
      </c>
      <c r="P1053" s="582">
        <v>98.547499999999999</v>
      </c>
      <c r="Q1053" s="582">
        <v>10.076426757540146</v>
      </c>
      <c r="R1053" s="582">
        <v>1.4209732424598536</v>
      </c>
      <c r="S1053" s="582">
        <v>2.6740732424598548</v>
      </c>
      <c r="T1053" s="582">
        <v>3.0303732424598548</v>
      </c>
      <c r="U1053" s="582">
        <v>2.8657732424598539</v>
      </c>
    </row>
    <row r="1054" spans="10:21">
      <c r="J1054" s="580">
        <v>41619</v>
      </c>
      <c r="K1054" s="581">
        <v>2.0833333333333332E-2</v>
      </c>
      <c r="L1054" s="582">
        <v>11.6637</v>
      </c>
      <c r="M1054" s="582">
        <v>12.0685</v>
      </c>
      <c r="N1054" s="582">
        <v>12.888999999999999</v>
      </c>
      <c r="O1054" s="582">
        <v>12.6435</v>
      </c>
      <c r="P1054" s="582">
        <v>98.622900000000001</v>
      </c>
      <c r="Q1054" s="582">
        <v>10.084136365369046</v>
      </c>
      <c r="R1054" s="582">
        <v>1.3945636346309542</v>
      </c>
      <c r="S1054" s="582">
        <v>2.6343636346309545</v>
      </c>
      <c r="T1054" s="582">
        <v>2.9948636346309536</v>
      </c>
      <c r="U1054" s="582">
        <v>2.829363634630953</v>
      </c>
    </row>
    <row r="1055" spans="10:21">
      <c r="J1055" s="580">
        <v>41620</v>
      </c>
      <c r="K1055" s="581">
        <v>2.0833333333333332E-2</v>
      </c>
      <c r="L1055" s="582">
        <v>11.6211</v>
      </c>
      <c r="M1055" s="582">
        <v>12.006600000000001</v>
      </c>
      <c r="N1055" s="582">
        <v>12.827999999999999</v>
      </c>
      <c r="O1055" s="582">
        <v>12.587</v>
      </c>
      <c r="P1055" s="582">
        <v>98.437200000000004</v>
      </c>
      <c r="Q1055" s="582">
        <v>10.06514864423076</v>
      </c>
      <c r="R1055" s="582">
        <v>1.3709513557692401</v>
      </c>
      <c r="S1055" s="582">
        <v>2.5914513557692409</v>
      </c>
      <c r="T1055" s="582">
        <v>2.9528513557692397</v>
      </c>
      <c r="U1055" s="582">
        <v>2.7918513557692393</v>
      </c>
    </row>
    <row r="1056" spans="10:21">
      <c r="J1056" s="580">
        <v>41621</v>
      </c>
      <c r="K1056" s="581">
        <v>2.0833333333333332E-2</v>
      </c>
      <c r="L1056" s="582">
        <v>11.607699999999999</v>
      </c>
      <c r="M1056" s="582">
        <v>11.996</v>
      </c>
      <c r="N1056" s="582">
        <v>12.8148</v>
      </c>
      <c r="O1056" s="582">
        <v>12.5747</v>
      </c>
      <c r="P1056" s="582">
        <v>98.338999999999999</v>
      </c>
      <c r="Q1056" s="582">
        <v>10.055107749153864</v>
      </c>
      <c r="R1056" s="582">
        <v>1.3675922508461356</v>
      </c>
      <c r="S1056" s="582">
        <v>2.5908922508461369</v>
      </c>
      <c r="T1056" s="582">
        <v>2.9496922508461365</v>
      </c>
      <c r="U1056" s="582">
        <v>2.7895922508461357</v>
      </c>
    </row>
    <row r="1057" spans="10:21">
      <c r="J1057" s="580">
        <v>41622</v>
      </c>
      <c r="K1057" s="581">
        <v>2.0833333333333332E-2</v>
      </c>
      <c r="L1057" s="582">
        <v>11.6608</v>
      </c>
      <c r="M1057" s="582">
        <v>12.0741</v>
      </c>
      <c r="N1057" s="582">
        <v>12.870799999999999</v>
      </c>
      <c r="O1057" s="582">
        <v>12.643700000000001</v>
      </c>
      <c r="P1057" s="582">
        <v>98.7958</v>
      </c>
      <c r="Q1057" s="582">
        <v>10.101815293666352</v>
      </c>
      <c r="R1057" s="582">
        <v>1.3739847063336481</v>
      </c>
      <c r="S1057" s="582">
        <v>2.6222847063336481</v>
      </c>
      <c r="T1057" s="582">
        <v>2.9589847063336476</v>
      </c>
      <c r="U1057" s="582">
        <v>2.8118847063336485</v>
      </c>
    </row>
    <row r="1058" spans="10:21">
      <c r="J1058" s="580">
        <v>41623</v>
      </c>
      <c r="K1058" s="581">
        <v>2.0833333333333332E-2</v>
      </c>
      <c r="L1058" s="582">
        <v>11.6363</v>
      </c>
      <c r="M1058" s="582">
        <v>12.0534</v>
      </c>
      <c r="N1058" s="582">
        <v>12.855399999999999</v>
      </c>
      <c r="O1058" s="582">
        <v>12.6251</v>
      </c>
      <c r="P1058" s="582">
        <v>98.835499999999996</v>
      </c>
      <c r="Q1058" s="582">
        <v>10.105874596462204</v>
      </c>
      <c r="R1058" s="582">
        <v>1.3454254035377962</v>
      </c>
      <c r="S1058" s="582">
        <v>2.5975254035377962</v>
      </c>
      <c r="T1058" s="582">
        <v>2.9395254035377958</v>
      </c>
      <c r="U1058" s="582">
        <v>2.7892254035377952</v>
      </c>
    </row>
    <row r="1059" spans="10:21">
      <c r="J1059" s="580">
        <v>41624</v>
      </c>
      <c r="K1059" s="581">
        <v>2.0833333333333332E-2</v>
      </c>
      <c r="L1059" s="582">
        <v>11.6168</v>
      </c>
      <c r="M1059" s="582">
        <v>12.0403</v>
      </c>
      <c r="N1059" s="582">
        <v>12.8329</v>
      </c>
      <c r="O1059" s="582">
        <v>12.608599999999999</v>
      </c>
      <c r="P1059" s="582">
        <v>98.923599999999993</v>
      </c>
      <c r="Q1059" s="582">
        <v>10.114882772188015</v>
      </c>
      <c r="R1059" s="582">
        <v>1.3169172278119849</v>
      </c>
      <c r="S1059" s="582">
        <v>2.575417227811986</v>
      </c>
      <c r="T1059" s="582">
        <v>2.9080172278119862</v>
      </c>
      <c r="U1059" s="582">
        <v>2.7637172278119841</v>
      </c>
    </row>
    <row r="1060" spans="10:21">
      <c r="J1060" s="580">
        <v>41625</v>
      </c>
      <c r="K1060" s="581">
        <v>2.0833333333333332E-2</v>
      </c>
      <c r="L1060" s="582">
        <v>11.5877</v>
      </c>
      <c r="M1060" s="582">
        <v>12.018800000000001</v>
      </c>
      <c r="N1060" s="582">
        <v>12.806800000000001</v>
      </c>
      <c r="O1060" s="582">
        <v>12.579499999999999</v>
      </c>
      <c r="P1060" s="582">
        <v>98.932100000000005</v>
      </c>
      <c r="Q1060" s="582">
        <v>10.115751892433979</v>
      </c>
      <c r="R1060" s="582">
        <v>1.2869481075660212</v>
      </c>
      <c r="S1060" s="582">
        <v>2.5530481075660223</v>
      </c>
      <c r="T1060" s="582">
        <v>2.8810481075660226</v>
      </c>
      <c r="U1060" s="582">
        <v>2.7337481075660204</v>
      </c>
    </row>
    <row r="1061" spans="10:21">
      <c r="J1061" s="580">
        <v>41626</v>
      </c>
      <c r="K1061" s="581">
        <v>2.0833333333333332E-2</v>
      </c>
      <c r="L1061" s="582">
        <v>11.5473</v>
      </c>
      <c r="M1061" s="582">
        <v>11.979799999999999</v>
      </c>
      <c r="N1061" s="582">
        <v>12.757</v>
      </c>
      <c r="O1061" s="582">
        <v>12.528600000000001</v>
      </c>
      <c r="P1061" s="582">
        <v>98.8048</v>
      </c>
      <c r="Q1061" s="582">
        <v>10.102735538632666</v>
      </c>
      <c r="R1061" s="582">
        <v>1.2595644613673334</v>
      </c>
      <c r="S1061" s="582">
        <v>2.527064461367333</v>
      </c>
      <c r="T1061" s="582">
        <v>2.8442644613673336</v>
      </c>
      <c r="U1061" s="582">
        <v>2.6958644613673344</v>
      </c>
    </row>
    <row r="1062" spans="10:21">
      <c r="J1062" s="580">
        <v>41627</v>
      </c>
      <c r="K1062" s="581">
        <v>2.0833333333333332E-2</v>
      </c>
      <c r="L1062" s="582">
        <v>11.518700000000001</v>
      </c>
      <c r="M1062" s="582">
        <v>11.9466</v>
      </c>
      <c r="N1062" s="582">
        <v>12.719099999999999</v>
      </c>
      <c r="O1062" s="582">
        <v>12.4933</v>
      </c>
      <c r="P1062" s="582">
        <v>98.809399999999997</v>
      </c>
      <c r="Q1062" s="582">
        <v>10.103205886059893</v>
      </c>
      <c r="R1062" s="582">
        <v>1.2304941139401078</v>
      </c>
      <c r="S1062" s="582">
        <v>2.4933941139401075</v>
      </c>
      <c r="T1062" s="582">
        <v>2.8058941139401066</v>
      </c>
      <c r="U1062" s="582">
        <v>2.6600941139401066</v>
      </c>
    </row>
    <row r="1063" spans="10:21">
      <c r="J1063" s="580">
        <v>41628</v>
      </c>
      <c r="K1063" s="581">
        <v>2.0833333333333332E-2</v>
      </c>
      <c r="L1063" s="582">
        <v>11.5002</v>
      </c>
      <c r="M1063" s="582">
        <v>11.916</v>
      </c>
      <c r="N1063" s="582">
        <v>12.684200000000001</v>
      </c>
      <c r="O1063" s="582">
        <v>12.4428</v>
      </c>
      <c r="P1063" s="582">
        <v>98.867199999999997</v>
      </c>
      <c r="Q1063" s="582">
        <v>10.109115903732445</v>
      </c>
      <c r="R1063" s="582">
        <v>1.206084096267555</v>
      </c>
      <c r="S1063" s="582">
        <v>2.4568840962675562</v>
      </c>
      <c r="T1063" s="582">
        <v>2.7650840962675565</v>
      </c>
      <c r="U1063" s="582">
        <v>2.6036840962675556</v>
      </c>
    </row>
    <row r="1064" spans="10:21">
      <c r="J1064" s="580">
        <v>41629</v>
      </c>
      <c r="K1064" s="581">
        <v>2.0833333333333332E-2</v>
      </c>
      <c r="L1064" s="582">
        <v>11.4886</v>
      </c>
      <c r="M1064" s="582">
        <v>11.898999999999999</v>
      </c>
      <c r="N1064" s="582">
        <v>12.654299999999999</v>
      </c>
      <c r="O1064" s="582">
        <v>12.3706</v>
      </c>
      <c r="P1064" s="582">
        <v>98.998400000000004</v>
      </c>
      <c r="Q1064" s="582">
        <v>10.122531030352494</v>
      </c>
      <c r="R1064" s="582">
        <v>1.1810689696475056</v>
      </c>
      <c r="S1064" s="582">
        <v>2.4264689696475052</v>
      </c>
      <c r="T1064" s="582">
        <v>2.7217689696475054</v>
      </c>
      <c r="U1064" s="582">
        <v>2.5180689696475054</v>
      </c>
    </row>
    <row r="1065" spans="10:21">
      <c r="J1065" s="580">
        <v>41630</v>
      </c>
      <c r="K1065" s="581">
        <v>2.0833333333333332E-2</v>
      </c>
      <c r="L1065" s="582">
        <v>11.4726</v>
      </c>
      <c r="M1065" s="582">
        <v>11.876300000000001</v>
      </c>
      <c r="N1065" s="582">
        <v>12.6211</v>
      </c>
      <c r="O1065" s="582">
        <v>12.2965</v>
      </c>
      <c r="P1065" s="582">
        <v>99.106499999999997</v>
      </c>
      <c r="Q1065" s="582">
        <v>10.133584194892336</v>
      </c>
      <c r="R1065" s="582">
        <v>1.1540158051076639</v>
      </c>
      <c r="S1065" s="582">
        <v>2.3927158051076649</v>
      </c>
      <c r="T1065" s="582">
        <v>2.6775158051076646</v>
      </c>
      <c r="U1065" s="582">
        <v>2.432915805107664</v>
      </c>
    </row>
    <row r="1066" spans="10:21">
      <c r="J1066" s="580">
        <v>41631</v>
      </c>
      <c r="K1066" s="581">
        <v>2.0833333333333332E-2</v>
      </c>
      <c r="L1066" s="582">
        <v>11.450200000000001</v>
      </c>
      <c r="M1066" s="582">
        <v>11.8363</v>
      </c>
      <c r="N1066" s="582">
        <v>12.5898</v>
      </c>
      <c r="O1066" s="582">
        <v>12.2319</v>
      </c>
      <c r="P1066" s="582">
        <v>99.133399999999995</v>
      </c>
      <c r="Q1066" s="582">
        <v>10.136334704847208</v>
      </c>
      <c r="R1066" s="582">
        <v>1.1288652951527927</v>
      </c>
      <c r="S1066" s="582">
        <v>2.3499652951527921</v>
      </c>
      <c r="T1066" s="582">
        <v>2.6434652951527928</v>
      </c>
      <c r="U1066" s="582">
        <v>2.3655652951527917</v>
      </c>
    </row>
    <row r="1067" spans="10:21">
      <c r="J1067" s="580">
        <v>41632</v>
      </c>
      <c r="K1067" s="581">
        <v>2.0833333333333332E-2</v>
      </c>
      <c r="L1067" s="582">
        <v>11.4275</v>
      </c>
      <c r="M1067" s="582">
        <v>11.801</v>
      </c>
      <c r="N1067" s="582">
        <v>12.5619</v>
      </c>
      <c r="O1067" s="582">
        <v>12.182</v>
      </c>
      <c r="P1067" s="582">
        <v>99.170400000000001</v>
      </c>
      <c r="Q1067" s="582">
        <v>10.140117934153167</v>
      </c>
      <c r="R1067" s="582">
        <v>1.1023820658468328</v>
      </c>
      <c r="S1067" s="582">
        <v>2.3108820658468332</v>
      </c>
      <c r="T1067" s="582">
        <v>2.6117820658468327</v>
      </c>
      <c r="U1067" s="582">
        <v>2.3118820658468331</v>
      </c>
    </row>
    <row r="1068" spans="10:21">
      <c r="J1068" s="580">
        <v>41633</v>
      </c>
      <c r="K1068" s="581">
        <v>2.0833333333333332E-2</v>
      </c>
      <c r="L1068" s="582">
        <v>11.4099</v>
      </c>
      <c r="M1068" s="582">
        <v>11.773199999999999</v>
      </c>
      <c r="N1068" s="582">
        <v>12.5344</v>
      </c>
      <c r="O1068" s="582">
        <v>12.1433</v>
      </c>
      <c r="P1068" s="582">
        <v>99.234300000000005</v>
      </c>
      <c r="Q1068" s="582">
        <v>10.146651673414</v>
      </c>
      <c r="R1068" s="582">
        <v>1.0782483265859999</v>
      </c>
      <c r="S1068" s="582">
        <v>2.2765483265859991</v>
      </c>
      <c r="T1068" s="582">
        <v>2.5777483265859997</v>
      </c>
      <c r="U1068" s="582">
        <v>2.2666483265859996</v>
      </c>
    </row>
    <row r="1069" spans="10:21">
      <c r="J1069" s="580">
        <v>41634</v>
      </c>
      <c r="K1069" s="581">
        <v>2.0833333333333332E-2</v>
      </c>
      <c r="L1069" s="582">
        <v>11.3879</v>
      </c>
      <c r="M1069" s="582">
        <v>11.743600000000001</v>
      </c>
      <c r="N1069" s="582">
        <v>12.507400000000001</v>
      </c>
      <c r="O1069" s="582">
        <v>12.118</v>
      </c>
      <c r="P1069" s="582">
        <v>99.286699999999996</v>
      </c>
      <c r="Q1069" s="582">
        <v>10.152009544106763</v>
      </c>
      <c r="R1069" s="582">
        <v>1.0508904558932373</v>
      </c>
      <c r="S1069" s="582">
        <v>2.2415904558932382</v>
      </c>
      <c r="T1069" s="582">
        <v>2.5453904558932381</v>
      </c>
      <c r="U1069" s="582">
        <v>2.2359904558932375</v>
      </c>
    </row>
    <row r="1070" spans="10:21">
      <c r="J1070" s="580">
        <v>41635</v>
      </c>
      <c r="K1070" s="581">
        <v>2.0833333333333332E-2</v>
      </c>
      <c r="L1070" s="582">
        <v>11.342000000000001</v>
      </c>
      <c r="M1070" s="582">
        <v>11.691599999999999</v>
      </c>
      <c r="N1070" s="582">
        <v>12.453200000000001</v>
      </c>
      <c r="O1070" s="582">
        <v>12.0816</v>
      </c>
      <c r="P1070" s="582">
        <v>99.132099999999994</v>
      </c>
      <c r="Q1070" s="582">
        <v>10.136201780574297</v>
      </c>
      <c r="R1070" s="582">
        <v>1.0207982194257039</v>
      </c>
      <c r="S1070" s="582">
        <v>2.2053982194257031</v>
      </c>
      <c r="T1070" s="582">
        <v>2.5069982194257046</v>
      </c>
      <c r="U1070" s="582">
        <v>2.2153982194257034</v>
      </c>
    </row>
    <row r="1071" spans="10:21">
      <c r="J1071" s="580">
        <v>41636</v>
      </c>
      <c r="K1071" s="581">
        <v>2.0833333333333332E-2</v>
      </c>
      <c r="L1071" s="582">
        <v>11.308999999999999</v>
      </c>
      <c r="M1071" s="582">
        <v>11.6516</v>
      </c>
      <c r="N1071" s="582">
        <v>12.410600000000001</v>
      </c>
      <c r="O1071" s="582">
        <v>12.059200000000001</v>
      </c>
      <c r="P1071" s="582">
        <v>99.094899999999996</v>
      </c>
      <c r="Q1071" s="582">
        <v>10.132398101380197</v>
      </c>
      <c r="R1071" s="582">
        <v>0.99160189861980241</v>
      </c>
      <c r="S1071" s="582">
        <v>2.1692018986198036</v>
      </c>
      <c r="T1071" s="582">
        <v>2.468201898619804</v>
      </c>
      <c r="U1071" s="582">
        <v>2.1968018986198037</v>
      </c>
    </row>
    <row r="1072" spans="10:21">
      <c r="J1072" s="580">
        <v>41637</v>
      </c>
      <c r="K1072" s="581">
        <v>2.0833333333333332E-2</v>
      </c>
      <c r="L1072" s="582">
        <v>11.279299999999999</v>
      </c>
      <c r="M1072" s="582">
        <v>11.605600000000001</v>
      </c>
      <c r="N1072" s="582">
        <v>12.368600000000001</v>
      </c>
      <c r="O1072" s="582">
        <v>12.0367</v>
      </c>
      <c r="P1072" s="582">
        <v>99.052599999999998</v>
      </c>
      <c r="Q1072" s="582">
        <v>10.12807295003852</v>
      </c>
      <c r="R1072" s="582">
        <v>0.96622704996147901</v>
      </c>
      <c r="S1072" s="582">
        <v>2.1275270499614809</v>
      </c>
      <c r="T1072" s="582">
        <v>2.4305270499614808</v>
      </c>
      <c r="U1072" s="582">
        <v>2.1786270499614795</v>
      </c>
    </row>
    <row r="1073" spans="10:21">
      <c r="J1073" s="580">
        <v>41638</v>
      </c>
      <c r="K1073" s="581">
        <v>2.0833333333333332E-2</v>
      </c>
      <c r="L1073" s="582">
        <v>11.2623</v>
      </c>
      <c r="M1073" s="582">
        <v>11.569100000000001</v>
      </c>
      <c r="N1073" s="582">
        <v>12.333500000000001</v>
      </c>
      <c r="O1073" s="582">
        <v>12.004799999999999</v>
      </c>
      <c r="P1073" s="582">
        <v>99.071799999999996</v>
      </c>
      <c r="Q1073" s="582">
        <v>10.130036139299991</v>
      </c>
      <c r="R1073" s="582">
        <v>0.94726386070000912</v>
      </c>
      <c r="S1073" s="582">
        <v>2.0890638607000103</v>
      </c>
      <c r="T1073" s="582">
        <v>2.3934638607000105</v>
      </c>
      <c r="U1073" s="582">
        <v>2.1447638607000088</v>
      </c>
    </row>
    <row r="1074" spans="10:21">
      <c r="J1074" s="580">
        <v>41639</v>
      </c>
      <c r="K1074" s="581">
        <v>2.0833333333333332E-2</v>
      </c>
      <c r="L1074" s="582">
        <v>11.246700000000001</v>
      </c>
      <c r="M1074" s="582">
        <v>11.532299999999999</v>
      </c>
      <c r="N1074" s="582">
        <v>12.293699999999999</v>
      </c>
      <c r="O1074" s="582">
        <v>11.9702</v>
      </c>
      <c r="P1074" s="582">
        <v>99.117199999999997</v>
      </c>
      <c r="Q1074" s="582">
        <v>10.134678263907842</v>
      </c>
      <c r="R1074" s="582">
        <v>0.92702173609215832</v>
      </c>
      <c r="S1074" s="582">
        <v>2.0476217360921574</v>
      </c>
      <c r="T1074" s="582">
        <v>2.3490217360921575</v>
      </c>
      <c r="U1074" s="582">
        <v>2.1055217360921579</v>
      </c>
    </row>
    <row r="1075" spans="10:21">
      <c r="J1075" s="580">
        <v>41640</v>
      </c>
      <c r="K1075" s="581">
        <v>2.0833333333333332E-2</v>
      </c>
      <c r="L1075" s="582">
        <v>11.2216</v>
      </c>
      <c r="M1075" s="582">
        <v>11.483499999999999</v>
      </c>
      <c r="N1075" s="582">
        <v>12.241</v>
      </c>
      <c r="O1075" s="582">
        <v>11.928000000000001</v>
      </c>
      <c r="P1075" s="582">
        <v>99.070599999999999</v>
      </c>
      <c r="Q1075" s="582">
        <v>10.129913439971149</v>
      </c>
      <c r="R1075" s="582">
        <v>0.90668656002885106</v>
      </c>
      <c r="S1075" s="582">
        <v>2.0035865600288503</v>
      </c>
      <c r="T1075" s="582">
        <v>2.3010865600288506</v>
      </c>
      <c r="U1075" s="582">
        <v>2.0680865600288514</v>
      </c>
    </row>
    <row r="1076" spans="10:21">
      <c r="J1076" s="580">
        <v>41641</v>
      </c>
      <c r="K1076" s="581">
        <v>2.0833333333333332E-2</v>
      </c>
      <c r="L1076" s="582">
        <v>11.1973</v>
      </c>
      <c r="M1076" s="582">
        <v>11.457100000000001</v>
      </c>
      <c r="N1076" s="582">
        <v>12.2058</v>
      </c>
      <c r="O1076" s="582">
        <v>11.891500000000001</v>
      </c>
      <c r="P1076" s="582">
        <v>99.038700000000006</v>
      </c>
      <c r="Q1076" s="582">
        <v>10.126651682812769</v>
      </c>
      <c r="R1076" s="582">
        <v>0.88564831718723147</v>
      </c>
      <c r="S1076" s="582">
        <v>1.9804483171872318</v>
      </c>
      <c r="T1076" s="582">
        <v>2.2691483171872315</v>
      </c>
      <c r="U1076" s="582">
        <v>2.0348483171872318</v>
      </c>
    </row>
    <row r="1077" spans="10:21">
      <c r="J1077" s="580">
        <v>41642</v>
      </c>
      <c r="K1077" s="581">
        <v>2.0833333333333332E-2</v>
      </c>
      <c r="L1077" s="582">
        <v>11.1693</v>
      </c>
      <c r="M1077" s="582">
        <v>11.4359</v>
      </c>
      <c r="N1077" s="582">
        <v>12.1778</v>
      </c>
      <c r="O1077" s="582">
        <v>11.8653</v>
      </c>
      <c r="P1077" s="582">
        <v>99.055599999999998</v>
      </c>
      <c r="Q1077" s="582">
        <v>10.128379698360625</v>
      </c>
      <c r="R1077" s="582">
        <v>0.85592030163937471</v>
      </c>
      <c r="S1077" s="582">
        <v>1.9575203016393752</v>
      </c>
      <c r="T1077" s="582">
        <v>2.2394203016393748</v>
      </c>
      <c r="U1077" s="582">
        <v>2.0069203016393744</v>
      </c>
    </row>
    <row r="1078" spans="10:21">
      <c r="J1078" s="580">
        <v>41643</v>
      </c>
      <c r="K1078" s="581">
        <v>2.0833333333333332E-2</v>
      </c>
      <c r="L1078" s="582">
        <v>11.1351</v>
      </c>
      <c r="M1078" s="582">
        <v>11.4084</v>
      </c>
      <c r="N1078" s="582">
        <v>12.1432</v>
      </c>
      <c r="O1078" s="582">
        <v>11.8345</v>
      </c>
      <c r="P1078" s="582">
        <v>98.994500000000002</v>
      </c>
      <c r="Q1078" s="582">
        <v>10.122132257533758</v>
      </c>
      <c r="R1078" s="582">
        <v>0.82796774246624116</v>
      </c>
      <c r="S1078" s="582">
        <v>1.936267742466242</v>
      </c>
      <c r="T1078" s="582">
        <v>2.2110677424662422</v>
      </c>
      <c r="U1078" s="582">
        <v>1.9823677424662418</v>
      </c>
    </row>
    <row r="1079" spans="10:21">
      <c r="J1079" s="580">
        <v>41644</v>
      </c>
      <c r="K1079" s="581">
        <v>2.0833333333333332E-2</v>
      </c>
      <c r="L1079" s="582">
        <v>11.091100000000001</v>
      </c>
      <c r="M1079" s="582">
        <v>11.3726</v>
      </c>
      <c r="N1079" s="582">
        <v>12.105499999999999</v>
      </c>
      <c r="O1079" s="582">
        <v>11.8048</v>
      </c>
      <c r="P1079" s="582">
        <v>98.8857</v>
      </c>
      <c r="Q1079" s="582">
        <v>10.111007518385424</v>
      </c>
      <c r="R1079" s="582">
        <v>0.79509248161457668</v>
      </c>
      <c r="S1079" s="582">
        <v>1.9115924816145762</v>
      </c>
      <c r="T1079" s="582">
        <v>2.1844924816145754</v>
      </c>
      <c r="U1079" s="582">
        <v>1.963792481614576</v>
      </c>
    </row>
    <row r="1080" spans="10:21">
      <c r="J1080" s="580">
        <v>41645</v>
      </c>
      <c r="K1080" s="581">
        <v>2.0833333333333332E-2</v>
      </c>
      <c r="L1080" s="582">
        <v>11.0434</v>
      </c>
      <c r="M1080" s="582">
        <v>11.330299999999999</v>
      </c>
      <c r="N1080" s="582">
        <v>12.055</v>
      </c>
      <c r="O1080" s="582">
        <v>11.7667</v>
      </c>
      <c r="P1080" s="582">
        <v>98.703500000000005</v>
      </c>
      <c r="Q1080" s="582">
        <v>10.092377670289595</v>
      </c>
      <c r="R1080" s="582">
        <v>0.76602232971040485</v>
      </c>
      <c r="S1080" s="582">
        <v>1.8879223297104042</v>
      </c>
      <c r="T1080" s="582">
        <v>2.1526223297104048</v>
      </c>
      <c r="U1080" s="582">
        <v>1.9443223297104049</v>
      </c>
    </row>
    <row r="1081" spans="10:21">
      <c r="J1081" s="580">
        <v>41646</v>
      </c>
      <c r="K1081" s="581">
        <v>2.0833333333333332E-2</v>
      </c>
      <c r="L1081" s="582">
        <v>11.0283</v>
      </c>
      <c r="M1081" s="582">
        <v>11.3208</v>
      </c>
      <c r="N1081" s="582">
        <v>12.0321</v>
      </c>
      <c r="O1081" s="582">
        <v>11.755100000000001</v>
      </c>
      <c r="P1081" s="582">
        <v>98.787099999999995</v>
      </c>
      <c r="Q1081" s="582">
        <v>10.100925723532248</v>
      </c>
      <c r="R1081" s="582">
        <v>0.74237427646775211</v>
      </c>
      <c r="S1081" s="582">
        <v>1.8698742764677527</v>
      </c>
      <c r="T1081" s="582">
        <v>2.1211742764677526</v>
      </c>
      <c r="U1081" s="582">
        <v>1.924174276467753</v>
      </c>
    </row>
    <row r="1082" spans="10:21">
      <c r="J1082" s="580">
        <v>41647</v>
      </c>
      <c r="K1082" s="581">
        <v>2.0833333333333332E-2</v>
      </c>
      <c r="L1082" s="582">
        <v>11.0273</v>
      </c>
      <c r="M1082" s="582">
        <v>11.121499999999999</v>
      </c>
      <c r="N1082" s="582">
        <v>12.023199999999999</v>
      </c>
      <c r="O1082" s="582">
        <v>11.7536</v>
      </c>
      <c r="P1082" s="582">
        <v>98.929299999999998</v>
      </c>
      <c r="Q1082" s="582">
        <v>10.115465594000014</v>
      </c>
      <c r="R1082" s="582">
        <v>0.72683440599998628</v>
      </c>
      <c r="S1082" s="582">
        <v>1.6560344059999854</v>
      </c>
      <c r="T1082" s="582">
        <v>2.0977344059999856</v>
      </c>
      <c r="U1082" s="582">
        <v>1.9081344059999865</v>
      </c>
    </row>
    <row r="1083" spans="10:21">
      <c r="J1083" s="580">
        <v>41648</v>
      </c>
      <c r="K1083" s="581">
        <v>2.0833333333333332E-2</v>
      </c>
      <c r="L1083" s="582">
        <v>11.03</v>
      </c>
      <c r="M1083" s="582">
        <v>11.2821</v>
      </c>
      <c r="N1083" s="582">
        <v>12.0151</v>
      </c>
      <c r="O1083" s="582">
        <v>11.7575</v>
      </c>
      <c r="P1083" s="582">
        <v>99.017200000000003</v>
      </c>
      <c r="Q1083" s="582">
        <v>10.124453319837684</v>
      </c>
      <c r="R1083" s="582">
        <v>0.72054668016231505</v>
      </c>
      <c r="S1083" s="582">
        <v>1.8076466801623157</v>
      </c>
      <c r="T1083" s="582">
        <v>2.0806466801623165</v>
      </c>
      <c r="U1083" s="582">
        <v>1.903046680162316</v>
      </c>
    </row>
    <row r="1084" spans="10:21">
      <c r="J1084" s="580">
        <v>41649</v>
      </c>
      <c r="K1084" s="581">
        <v>2.0833333333333332E-2</v>
      </c>
      <c r="L1084" s="582">
        <v>11.0136</v>
      </c>
      <c r="M1084" s="582">
        <v>11.2744</v>
      </c>
      <c r="N1084" s="582">
        <v>11.989599999999999</v>
      </c>
      <c r="O1084" s="582">
        <v>11.741899999999999</v>
      </c>
      <c r="P1084" s="582">
        <v>99.021299999999997</v>
      </c>
      <c r="Q1084" s="582">
        <v>10.12487254254456</v>
      </c>
      <c r="R1084" s="582">
        <v>0.70372745745543996</v>
      </c>
      <c r="S1084" s="582">
        <v>1.7995274574554398</v>
      </c>
      <c r="T1084" s="582">
        <v>2.0547274574554395</v>
      </c>
      <c r="U1084" s="582">
        <v>1.8870274574554391</v>
      </c>
    </row>
    <row r="1085" spans="10:21">
      <c r="J1085" s="580">
        <v>41650</v>
      </c>
      <c r="K1085" s="581">
        <v>2.0833333333333332E-2</v>
      </c>
      <c r="L1085" s="582">
        <v>10.997400000000001</v>
      </c>
      <c r="M1085" s="582">
        <v>11.253399999999999</v>
      </c>
      <c r="N1085" s="582">
        <v>11.9679</v>
      </c>
      <c r="O1085" s="582">
        <v>11.7301</v>
      </c>
      <c r="P1085" s="582">
        <v>99.075900000000004</v>
      </c>
      <c r="Q1085" s="582">
        <v>10.130455362006868</v>
      </c>
      <c r="R1085" s="582">
        <v>0.68194463799313221</v>
      </c>
      <c r="S1085" s="582">
        <v>1.7729446379931308</v>
      </c>
      <c r="T1085" s="582">
        <v>2.0274446379931321</v>
      </c>
      <c r="U1085" s="582">
        <v>1.8696446379931317</v>
      </c>
    </row>
    <row r="1086" spans="10:21">
      <c r="J1086" s="580">
        <v>41651</v>
      </c>
      <c r="K1086" s="581">
        <v>2.0833333333333332E-2</v>
      </c>
      <c r="L1086" s="582">
        <v>10.9762</v>
      </c>
      <c r="M1086" s="582">
        <v>10.6477</v>
      </c>
      <c r="N1086" s="582">
        <v>11.943099999999999</v>
      </c>
      <c r="O1086" s="582">
        <v>11.717700000000001</v>
      </c>
      <c r="P1086" s="582">
        <v>99.100999999999999</v>
      </c>
      <c r="Q1086" s="582">
        <v>10.133021822968477</v>
      </c>
      <c r="R1086" s="582">
        <v>0.65817817703152359</v>
      </c>
      <c r="S1086" s="582">
        <v>1.1646781770315238</v>
      </c>
      <c r="T1086" s="582">
        <v>2.000078177031523</v>
      </c>
      <c r="U1086" s="582">
        <v>1.8546781770315239</v>
      </c>
    </row>
    <row r="1087" spans="10:21">
      <c r="J1087" s="580">
        <v>41652</v>
      </c>
      <c r="K1087" s="581">
        <v>2.0833333333333332E-2</v>
      </c>
      <c r="L1087" s="582">
        <v>10.9274</v>
      </c>
      <c r="M1087" s="582">
        <v>10.5985</v>
      </c>
      <c r="N1087" s="582">
        <v>11.911099999999999</v>
      </c>
      <c r="O1087" s="582">
        <v>11.696899999999999</v>
      </c>
      <c r="P1087" s="582">
        <v>99.067999999999998</v>
      </c>
      <c r="Q1087" s="582">
        <v>10.129647591425325</v>
      </c>
      <c r="R1087" s="582">
        <v>0.61275240857467539</v>
      </c>
      <c r="S1087" s="582">
        <v>1.1188524085746747</v>
      </c>
      <c r="T1087" s="582">
        <v>1.9714524085746745</v>
      </c>
      <c r="U1087" s="582">
        <v>1.8372524085746744</v>
      </c>
    </row>
    <row r="1088" spans="10:21">
      <c r="J1088" s="580">
        <v>41653</v>
      </c>
      <c r="K1088" s="581">
        <v>2.0833333333333332E-2</v>
      </c>
      <c r="L1088" s="582">
        <v>10.853</v>
      </c>
      <c r="M1088" s="582">
        <v>10.5745</v>
      </c>
      <c r="N1088" s="582">
        <v>11.888299999999999</v>
      </c>
      <c r="O1088" s="582">
        <v>11.682399999999999</v>
      </c>
      <c r="P1088" s="582">
        <v>99.109399999999994</v>
      </c>
      <c r="Q1088" s="582">
        <v>10.133880718270371</v>
      </c>
      <c r="R1088" s="582">
        <v>0.53411928172962897</v>
      </c>
      <c r="S1088" s="582">
        <v>1.0906192817296299</v>
      </c>
      <c r="T1088" s="582">
        <v>1.9444192817296286</v>
      </c>
      <c r="U1088" s="582">
        <v>1.8185192817296287</v>
      </c>
    </row>
    <row r="1089" spans="10:21">
      <c r="J1089" s="580">
        <v>41654</v>
      </c>
      <c r="K1089" s="581">
        <v>2.0833333333333332E-2</v>
      </c>
      <c r="L1089" s="582">
        <v>10.7714</v>
      </c>
      <c r="M1089" s="582">
        <v>10.5761</v>
      </c>
      <c r="N1089" s="582">
        <v>11.860900000000001</v>
      </c>
      <c r="O1089" s="582">
        <v>11.662599999999999</v>
      </c>
      <c r="P1089" s="582">
        <v>99.094300000000004</v>
      </c>
      <c r="Q1089" s="582">
        <v>10.132336751715776</v>
      </c>
      <c r="R1089" s="582">
        <v>0.45406324828422356</v>
      </c>
      <c r="S1089" s="582">
        <v>1.0937632482842241</v>
      </c>
      <c r="T1089" s="582">
        <v>1.9185632482842248</v>
      </c>
      <c r="U1089" s="582">
        <v>1.8002632482842231</v>
      </c>
    </row>
    <row r="1090" spans="10:21">
      <c r="J1090" s="580">
        <v>41655</v>
      </c>
      <c r="K1090" s="581">
        <v>2.0833333333333332E-2</v>
      </c>
      <c r="L1090" s="582">
        <v>10.7295</v>
      </c>
      <c r="M1090" s="582">
        <v>10.586399999999999</v>
      </c>
      <c r="N1090" s="582">
        <v>11.84</v>
      </c>
      <c r="O1090" s="582">
        <v>11.651300000000001</v>
      </c>
      <c r="P1090" s="582">
        <v>99.162199999999999</v>
      </c>
      <c r="Q1090" s="582">
        <v>10.139279488739415</v>
      </c>
      <c r="R1090" s="582">
        <v>0.4052205112605845</v>
      </c>
      <c r="S1090" s="582">
        <v>1.0971205112605842</v>
      </c>
      <c r="T1090" s="582">
        <v>1.8907205112605847</v>
      </c>
      <c r="U1090" s="582">
        <v>1.7820205112605856</v>
      </c>
    </row>
    <row r="1091" spans="10:21">
      <c r="J1091" s="580">
        <v>41656</v>
      </c>
      <c r="K1091" s="581">
        <v>2.0833333333333332E-2</v>
      </c>
      <c r="L1091" s="582">
        <v>10.632099999999999</v>
      </c>
      <c r="M1091" s="582">
        <v>10.586399999999999</v>
      </c>
      <c r="N1091" s="582">
        <v>11.814299999999999</v>
      </c>
      <c r="O1091" s="582">
        <v>11.6332</v>
      </c>
      <c r="P1091" s="582">
        <v>99.171499999999995</v>
      </c>
      <c r="Q1091" s="582">
        <v>10.140230408537938</v>
      </c>
      <c r="R1091" s="582">
        <v>0.306869591462061</v>
      </c>
      <c r="S1091" s="582">
        <v>1.0961695914620611</v>
      </c>
      <c r="T1091" s="582">
        <v>1.8640695914620611</v>
      </c>
      <c r="U1091" s="582">
        <v>1.762969591462062</v>
      </c>
    </row>
    <row r="1092" spans="10:21">
      <c r="J1092" s="580">
        <v>41657</v>
      </c>
      <c r="K1092" s="581">
        <v>2.0833333333333332E-2</v>
      </c>
      <c r="L1092" s="582">
        <v>10.5288</v>
      </c>
      <c r="M1092" s="582">
        <v>10.5724</v>
      </c>
      <c r="N1092" s="582">
        <v>11.782999999999999</v>
      </c>
      <c r="O1092" s="582">
        <v>11.605</v>
      </c>
      <c r="P1092" s="582">
        <v>99.075400000000002</v>
      </c>
      <c r="Q1092" s="582">
        <v>10.130404237286516</v>
      </c>
      <c r="R1092" s="582">
        <v>0.2133957627134842</v>
      </c>
      <c r="S1092" s="582">
        <v>1.091995762713484</v>
      </c>
      <c r="T1092" s="582">
        <v>1.8425957627134835</v>
      </c>
      <c r="U1092" s="582">
        <v>1.7445957627134843</v>
      </c>
    </row>
    <row r="1093" spans="10:21">
      <c r="J1093" s="580">
        <v>41658</v>
      </c>
      <c r="K1093" s="581">
        <v>2.0833333333333332E-2</v>
      </c>
      <c r="L1093" s="582">
        <v>10.5489</v>
      </c>
      <c r="M1093" s="582">
        <v>10.5951</v>
      </c>
      <c r="N1093" s="582">
        <v>11.780799999999999</v>
      </c>
      <c r="O1093" s="582">
        <v>11.6068</v>
      </c>
      <c r="P1093" s="582">
        <v>99.284800000000004</v>
      </c>
      <c r="Q1093" s="582">
        <v>10.151815270169431</v>
      </c>
      <c r="R1093" s="582">
        <v>0.21208472983056886</v>
      </c>
      <c r="S1093" s="582">
        <v>1.0932847298305697</v>
      </c>
      <c r="T1093" s="582">
        <v>1.8189847298305686</v>
      </c>
      <c r="U1093" s="582">
        <v>1.7249847298305689</v>
      </c>
    </row>
    <row r="1094" spans="10:21">
      <c r="J1094" s="580">
        <v>41659</v>
      </c>
      <c r="K1094" s="581">
        <v>2.0833333333333332E-2</v>
      </c>
      <c r="L1094" s="582">
        <v>10.5497</v>
      </c>
      <c r="M1094" s="582">
        <v>10.5946</v>
      </c>
      <c r="N1094" s="582">
        <v>11.7637</v>
      </c>
      <c r="O1094" s="582">
        <v>11.591799999999999</v>
      </c>
      <c r="P1094" s="582">
        <v>99.345500000000001</v>
      </c>
      <c r="Q1094" s="582">
        <v>10.158021811220017</v>
      </c>
      <c r="R1094" s="582">
        <v>0.20667818877998251</v>
      </c>
      <c r="S1094" s="582">
        <v>1.0865781887799828</v>
      </c>
      <c r="T1094" s="582">
        <v>1.7956781887799831</v>
      </c>
      <c r="U1094" s="582">
        <v>1.7037781887799821</v>
      </c>
    </row>
    <row r="1095" spans="10:21">
      <c r="J1095" s="580">
        <v>41660</v>
      </c>
      <c r="K1095" s="581">
        <v>2.0833333333333332E-2</v>
      </c>
      <c r="L1095" s="582">
        <v>10.1944</v>
      </c>
      <c r="M1095" s="582">
        <v>10.1905</v>
      </c>
      <c r="N1095" s="582">
        <v>11.7403</v>
      </c>
      <c r="O1095" s="582">
        <v>11.569599999999999</v>
      </c>
      <c r="P1095" s="582">
        <v>99.323700000000002</v>
      </c>
      <c r="Q1095" s="582">
        <v>10.155792773412722</v>
      </c>
      <c r="R1095" s="582">
        <v>0</v>
      </c>
      <c r="S1095" s="582">
        <v>0.68470722658727801</v>
      </c>
      <c r="T1095" s="582">
        <v>1.7745072265872774</v>
      </c>
      <c r="U1095" s="582">
        <v>1.6838072265872772</v>
      </c>
    </row>
    <row r="1096" spans="10:21">
      <c r="J1096" s="580">
        <v>41661</v>
      </c>
      <c r="K1096" s="581">
        <v>2.0833333333333332E-2</v>
      </c>
      <c r="L1096" s="582">
        <v>10.1844</v>
      </c>
      <c r="M1096" s="582">
        <v>10.1747</v>
      </c>
      <c r="N1096" s="582">
        <v>11.702</v>
      </c>
      <c r="O1096" s="582">
        <v>11.5326</v>
      </c>
      <c r="P1096" s="582">
        <v>99.176699999999997</v>
      </c>
      <c r="Q1096" s="582">
        <v>10.140762105629587</v>
      </c>
      <c r="R1096" s="582">
        <v>0</v>
      </c>
      <c r="S1096" s="582">
        <v>0.68393789437041241</v>
      </c>
      <c r="T1096" s="582">
        <v>1.7512378943704128</v>
      </c>
      <c r="U1096" s="582">
        <v>1.6618378943704131</v>
      </c>
    </row>
    <row r="1097" spans="10:21">
      <c r="J1097" s="580">
        <v>41662</v>
      </c>
      <c r="K1097" s="581">
        <v>2.0833333333333332E-2</v>
      </c>
      <c r="L1097" s="582">
        <v>10.1869</v>
      </c>
      <c r="M1097" s="582">
        <v>10.1747</v>
      </c>
      <c r="N1097" s="582">
        <v>11.681699999999999</v>
      </c>
      <c r="O1097" s="582">
        <v>11.5146</v>
      </c>
      <c r="P1097" s="582">
        <v>99.211799999999997</v>
      </c>
      <c r="Q1097" s="582">
        <v>10.144351060998213</v>
      </c>
      <c r="R1097" s="582">
        <v>0</v>
      </c>
      <c r="S1097" s="582">
        <v>0.68034893900178672</v>
      </c>
      <c r="T1097" s="582">
        <v>1.7273489390017864</v>
      </c>
      <c r="U1097" s="582">
        <v>1.6402489390017867</v>
      </c>
    </row>
    <row r="1098" spans="10:21">
      <c r="J1098" s="580">
        <v>41663</v>
      </c>
      <c r="K1098" s="581">
        <v>2.0833333333333332E-2</v>
      </c>
      <c r="L1098" s="582">
        <v>10.183400000000001</v>
      </c>
      <c r="M1098" s="582">
        <v>10.1707</v>
      </c>
      <c r="N1098" s="582">
        <v>11.657</v>
      </c>
      <c r="O1098" s="582">
        <v>11.4885</v>
      </c>
      <c r="P1098" s="582">
        <v>99.180700000000002</v>
      </c>
      <c r="Q1098" s="582">
        <v>10.141171103392395</v>
      </c>
      <c r="R1098" s="582">
        <v>0</v>
      </c>
      <c r="S1098" s="582">
        <v>0.67952889660760518</v>
      </c>
      <c r="T1098" s="582">
        <v>1.7058288966076052</v>
      </c>
      <c r="U1098" s="582">
        <v>1.6173288966076051</v>
      </c>
    </row>
    <row r="1099" spans="10:21">
      <c r="J1099" s="580">
        <v>41664</v>
      </c>
      <c r="K1099" s="581">
        <v>2.0833333333333332E-2</v>
      </c>
      <c r="L1099" s="582">
        <v>10.168200000000001</v>
      </c>
      <c r="M1099" s="582">
        <v>10.1546</v>
      </c>
      <c r="N1099" s="582">
        <v>11.619400000000001</v>
      </c>
      <c r="O1099" s="582">
        <v>11.451000000000001</v>
      </c>
      <c r="P1099" s="582">
        <v>99.031000000000006</v>
      </c>
      <c r="Q1099" s="582">
        <v>10.125864362119366</v>
      </c>
      <c r="R1099" s="582">
        <v>0</v>
      </c>
      <c r="S1099" s="582">
        <v>0.67873563788063485</v>
      </c>
      <c r="T1099" s="582">
        <v>1.6835356378806352</v>
      </c>
      <c r="U1099" s="582">
        <v>1.5951356378806349</v>
      </c>
    </row>
    <row r="1100" spans="10:21">
      <c r="J1100" s="580">
        <v>41665</v>
      </c>
      <c r="K1100" s="581">
        <v>2.0833333333333332E-2</v>
      </c>
      <c r="L1100" s="582">
        <v>10.1716</v>
      </c>
      <c r="M1100" s="582">
        <v>10.157400000000001</v>
      </c>
      <c r="N1100" s="582">
        <v>11.5998</v>
      </c>
      <c r="O1100" s="582">
        <v>11.429500000000001</v>
      </c>
      <c r="P1100" s="582">
        <v>99.040400000000005</v>
      </c>
      <c r="Q1100" s="582">
        <v>10.126825506861961</v>
      </c>
      <c r="R1100" s="582">
        <v>0</v>
      </c>
      <c r="S1100" s="582">
        <v>0.68057449313804042</v>
      </c>
      <c r="T1100" s="582">
        <v>1.6629744931380397</v>
      </c>
      <c r="U1100" s="582">
        <v>1.5726744931380403</v>
      </c>
    </row>
    <row r="1101" spans="10:21">
      <c r="J1101" s="580">
        <v>41666</v>
      </c>
      <c r="K1101" s="581">
        <v>2.0833333333333332E-2</v>
      </c>
      <c r="L1101" s="582">
        <v>10.172700000000001</v>
      </c>
      <c r="M1101" s="582">
        <v>10.1591</v>
      </c>
      <c r="N1101" s="582">
        <v>11.578900000000001</v>
      </c>
      <c r="O1101" s="582">
        <v>11.4061</v>
      </c>
      <c r="P1101" s="582">
        <v>99.043999999999997</v>
      </c>
      <c r="Q1101" s="582">
        <v>10.127193604848486</v>
      </c>
      <c r="R1101" s="582">
        <v>0</v>
      </c>
      <c r="S1101" s="582">
        <v>0.68190639515151452</v>
      </c>
      <c r="T1101" s="582">
        <v>1.641706395151515</v>
      </c>
      <c r="U1101" s="582">
        <v>1.5489063951515143</v>
      </c>
    </row>
    <row r="1102" spans="10:21">
      <c r="J1102" s="580">
        <v>41667</v>
      </c>
      <c r="K1102" s="581">
        <v>2.0833333333333332E-2</v>
      </c>
      <c r="L1102" s="582">
        <v>10.1692</v>
      </c>
      <c r="M1102" s="582">
        <v>10.157</v>
      </c>
      <c r="N1102" s="582">
        <v>11.555199999999999</v>
      </c>
      <c r="O1102" s="582">
        <v>11.381</v>
      </c>
      <c r="P1102" s="582">
        <v>99.030699999999996</v>
      </c>
      <c r="Q1102" s="582">
        <v>10.125833687287155</v>
      </c>
      <c r="R1102" s="582">
        <v>0</v>
      </c>
      <c r="S1102" s="582">
        <v>0.68116631271284489</v>
      </c>
      <c r="T1102" s="582">
        <v>1.6193663127128441</v>
      </c>
      <c r="U1102" s="582">
        <v>1.525166312712845</v>
      </c>
    </row>
    <row r="1103" spans="10:21">
      <c r="J1103" s="580">
        <v>41668</v>
      </c>
      <c r="K1103" s="581">
        <v>2.0833333333333332E-2</v>
      </c>
      <c r="L1103" s="582">
        <v>10.1723</v>
      </c>
      <c r="M1103" s="582">
        <v>10.16</v>
      </c>
      <c r="N1103" s="582">
        <v>11.536799999999999</v>
      </c>
      <c r="O1103" s="582">
        <v>11.360200000000001</v>
      </c>
      <c r="P1103" s="582">
        <v>99.045400000000001</v>
      </c>
      <c r="Q1103" s="582">
        <v>10.127336754065469</v>
      </c>
      <c r="R1103" s="582">
        <v>0</v>
      </c>
      <c r="S1103" s="582">
        <v>0.68266324593453098</v>
      </c>
      <c r="T1103" s="582">
        <v>1.5994632459345304</v>
      </c>
      <c r="U1103" s="582">
        <v>1.5028632459345315</v>
      </c>
    </row>
    <row r="1104" spans="10:21">
      <c r="J1104" s="580">
        <v>41669</v>
      </c>
      <c r="K1104" s="581">
        <v>2.0833333333333332E-2</v>
      </c>
      <c r="L1104" s="582">
        <v>10.1805</v>
      </c>
      <c r="M1104" s="582">
        <v>10.1669</v>
      </c>
      <c r="N1104" s="582">
        <v>11.5228</v>
      </c>
      <c r="O1104" s="582">
        <v>11.342599999999999</v>
      </c>
      <c r="P1104" s="582">
        <v>99.119100000000003</v>
      </c>
      <c r="Q1104" s="582">
        <v>10.134872537845176</v>
      </c>
      <c r="R1104" s="582">
        <v>0</v>
      </c>
      <c r="S1104" s="582">
        <v>0.68202746215482413</v>
      </c>
      <c r="T1104" s="582">
        <v>1.5779274621548243</v>
      </c>
      <c r="U1104" s="582">
        <v>1.4777274621548231</v>
      </c>
    </row>
    <row r="1105" spans="10:21">
      <c r="J1105" s="580">
        <v>41670</v>
      </c>
      <c r="K1105" s="581">
        <v>2.0833333333333332E-2</v>
      </c>
      <c r="L1105" s="582">
        <v>10.1777</v>
      </c>
      <c r="M1105" s="582">
        <v>10.1645</v>
      </c>
      <c r="N1105" s="582">
        <v>11.500299999999999</v>
      </c>
      <c r="O1105" s="582">
        <v>11.3165</v>
      </c>
      <c r="P1105" s="582">
        <v>99.107200000000006</v>
      </c>
      <c r="Q1105" s="582">
        <v>10.133655769500828</v>
      </c>
      <c r="R1105" s="582">
        <v>0</v>
      </c>
      <c r="S1105" s="582">
        <v>0.68084423049917198</v>
      </c>
      <c r="T1105" s="582">
        <v>1.556644230499171</v>
      </c>
      <c r="U1105" s="582">
        <v>1.4528442304991711</v>
      </c>
    </row>
    <row r="1106" spans="10:21">
      <c r="J1106" s="580">
        <v>41671</v>
      </c>
      <c r="K1106" s="581">
        <v>2.0833333333333332E-2</v>
      </c>
      <c r="L1106" s="582">
        <v>10.161300000000001</v>
      </c>
      <c r="M1106" s="582">
        <v>10.148300000000001</v>
      </c>
      <c r="N1106" s="582">
        <v>11.4642</v>
      </c>
      <c r="O1106" s="582">
        <v>11.276199999999999</v>
      </c>
      <c r="P1106" s="582">
        <v>98.963999999999999</v>
      </c>
      <c r="Q1106" s="582">
        <v>10.119013649592359</v>
      </c>
      <c r="R1106" s="582">
        <v>0</v>
      </c>
      <c r="S1106" s="582">
        <v>0.67928635040764163</v>
      </c>
      <c r="T1106" s="582">
        <v>1.5351863504076406</v>
      </c>
      <c r="U1106" s="582">
        <v>1.4271863504076401</v>
      </c>
    </row>
    <row r="1107" spans="10:21">
      <c r="J1107" s="580">
        <v>41672</v>
      </c>
      <c r="K1107" s="581">
        <v>2.0833333333333332E-2</v>
      </c>
      <c r="L1107" s="582">
        <v>10.1737</v>
      </c>
      <c r="M1107" s="582">
        <v>10.1599</v>
      </c>
      <c r="N1107" s="582">
        <v>11.4552</v>
      </c>
      <c r="O1107" s="582">
        <v>11.2624</v>
      </c>
      <c r="P1107" s="582">
        <v>99.075000000000003</v>
      </c>
      <c r="Q1107" s="582">
        <v>10.130363337510236</v>
      </c>
      <c r="R1107" s="582">
        <v>0</v>
      </c>
      <c r="S1107" s="582">
        <v>0.67953666248976474</v>
      </c>
      <c r="T1107" s="582">
        <v>1.5148366624897638</v>
      </c>
      <c r="U1107" s="582">
        <v>1.4020366624897638</v>
      </c>
    </row>
    <row r="1108" spans="10:21">
      <c r="J1108" s="580">
        <v>41673</v>
      </c>
      <c r="K1108" s="581">
        <v>2.0833333333333332E-2</v>
      </c>
      <c r="L1108" s="582">
        <v>10.1572</v>
      </c>
      <c r="M1108" s="582">
        <v>10.1442</v>
      </c>
      <c r="N1108" s="582">
        <v>11.418200000000001</v>
      </c>
      <c r="O1108" s="582">
        <v>11.222300000000001</v>
      </c>
      <c r="P1108" s="582">
        <v>98.908100000000005</v>
      </c>
      <c r="Q1108" s="582">
        <v>10.11329790585714</v>
      </c>
      <c r="R1108" s="582">
        <v>0</v>
      </c>
      <c r="S1108" s="582">
        <v>0.68090209414286007</v>
      </c>
      <c r="T1108" s="582">
        <v>1.4949020941428608</v>
      </c>
      <c r="U1108" s="582">
        <v>1.3790020941428609</v>
      </c>
    </row>
    <row r="1109" spans="10:21">
      <c r="J1109" s="580">
        <v>41674</v>
      </c>
      <c r="K1109" s="581">
        <v>2.0833333333333332E-2</v>
      </c>
      <c r="L1109" s="582">
        <v>10.145899999999999</v>
      </c>
      <c r="M1109" s="582">
        <v>10.1332</v>
      </c>
      <c r="N1109" s="582">
        <v>11.3855</v>
      </c>
      <c r="O1109" s="582">
        <v>11.1873</v>
      </c>
      <c r="P1109" s="582">
        <v>98.800200000000004</v>
      </c>
      <c r="Q1109" s="582">
        <v>10.102265191205438</v>
      </c>
      <c r="R1109" s="582">
        <v>0</v>
      </c>
      <c r="S1109" s="582">
        <v>0.68093480879456236</v>
      </c>
      <c r="T1109" s="582">
        <v>1.4732348087945621</v>
      </c>
      <c r="U1109" s="582">
        <v>1.3550348087945623</v>
      </c>
    </row>
    <row r="1110" spans="10:21">
      <c r="J1110" s="580">
        <v>41675</v>
      </c>
      <c r="K1110" s="581">
        <v>2.0833333333333332E-2</v>
      </c>
      <c r="L1110" s="582">
        <v>10.1366</v>
      </c>
      <c r="M1110" s="582">
        <v>10.123900000000001</v>
      </c>
      <c r="N1110" s="582">
        <v>11.3538</v>
      </c>
      <c r="O1110" s="582">
        <v>11.150700000000001</v>
      </c>
      <c r="P1110" s="582">
        <v>98.691299999999998</v>
      </c>
      <c r="Q1110" s="582">
        <v>10.091130227113034</v>
      </c>
      <c r="R1110" s="582">
        <v>0</v>
      </c>
      <c r="S1110" s="582">
        <v>0.68276977288696705</v>
      </c>
      <c r="T1110" s="582">
        <v>1.4526697728869657</v>
      </c>
      <c r="U1110" s="582">
        <v>1.3295697728869666</v>
      </c>
    </row>
    <row r="1111" spans="10:21">
      <c r="J1111" s="580">
        <v>41676</v>
      </c>
      <c r="K1111" s="581">
        <v>2.0833333333333332E-2</v>
      </c>
      <c r="L1111" s="582">
        <v>10.145099999999999</v>
      </c>
      <c r="M1111" s="582">
        <v>10.1319</v>
      </c>
      <c r="N1111" s="582">
        <v>11.34</v>
      </c>
      <c r="O1111" s="582">
        <v>11.1358</v>
      </c>
      <c r="P1111" s="582">
        <v>98.770899999999997</v>
      </c>
      <c r="Q1111" s="582">
        <v>10.099269282592882</v>
      </c>
      <c r="R1111" s="582">
        <v>0</v>
      </c>
      <c r="S1111" s="582">
        <v>0.682630717407118</v>
      </c>
      <c r="T1111" s="582">
        <v>1.4307307174071178</v>
      </c>
      <c r="U1111" s="582">
        <v>1.3065307174071177</v>
      </c>
    </row>
    <row r="1112" spans="10:21">
      <c r="J1112" s="580">
        <v>41677</v>
      </c>
      <c r="K1112" s="581">
        <v>2.0833333333333332E-2</v>
      </c>
      <c r="L1112" s="582">
        <v>10.1386</v>
      </c>
      <c r="M1112" s="582">
        <v>10.126200000000001</v>
      </c>
      <c r="N1112" s="582">
        <v>11.314299999999999</v>
      </c>
      <c r="O1112" s="582">
        <v>11.107900000000001</v>
      </c>
      <c r="P1112" s="582">
        <v>98.708600000000004</v>
      </c>
      <c r="Q1112" s="582">
        <v>10.092899142437172</v>
      </c>
      <c r="R1112" s="582">
        <v>0</v>
      </c>
      <c r="S1112" s="582">
        <v>0.68330085756282855</v>
      </c>
      <c r="T1112" s="582">
        <v>1.411400857562827</v>
      </c>
      <c r="U1112" s="582">
        <v>1.2850008575628284</v>
      </c>
    </row>
    <row r="1113" spans="10:21">
      <c r="J1113" s="580">
        <v>41678</v>
      </c>
      <c r="K1113" s="581">
        <v>2.0833333333333332E-2</v>
      </c>
      <c r="L1113" s="582">
        <v>10.147399999999999</v>
      </c>
      <c r="M1113" s="582">
        <v>10.1356</v>
      </c>
      <c r="N1113" s="582">
        <v>11.300800000000001</v>
      </c>
      <c r="O1113" s="582">
        <v>11.093</v>
      </c>
      <c r="P1113" s="582">
        <v>98.794600000000003</v>
      </c>
      <c r="Q1113" s="582">
        <v>10.101692594337509</v>
      </c>
      <c r="R1113" s="582">
        <v>0</v>
      </c>
      <c r="S1113" s="582">
        <v>0.68390740566249142</v>
      </c>
      <c r="T1113" s="582">
        <v>1.3891074056624917</v>
      </c>
      <c r="U1113" s="582">
        <v>1.2613074056624911</v>
      </c>
    </row>
    <row r="1114" spans="10:21">
      <c r="J1114" s="580">
        <v>41679</v>
      </c>
      <c r="K1114" s="581">
        <v>2.0833333333333332E-2</v>
      </c>
      <c r="L1114" s="582">
        <v>10.1355</v>
      </c>
      <c r="M1114" s="582">
        <v>10.1229</v>
      </c>
      <c r="N1114" s="582">
        <v>11.2669</v>
      </c>
      <c r="O1114" s="582">
        <v>11.055899999999999</v>
      </c>
      <c r="P1114" s="582">
        <v>98.675600000000003</v>
      </c>
      <c r="Q1114" s="582">
        <v>10.089524910894021</v>
      </c>
      <c r="R1114" s="582">
        <v>0</v>
      </c>
      <c r="S1114" s="582">
        <v>0.68337508910597911</v>
      </c>
      <c r="T1114" s="582">
        <v>1.367375089105979</v>
      </c>
      <c r="U1114" s="582">
        <v>1.2363750891059788</v>
      </c>
    </row>
    <row r="1115" spans="10:21">
      <c r="J1115" s="580">
        <v>41680</v>
      </c>
      <c r="K1115" s="581">
        <v>2.0833333333333332E-2</v>
      </c>
      <c r="L1115" s="582">
        <v>10.141</v>
      </c>
      <c r="M1115" s="582">
        <v>10.1287</v>
      </c>
      <c r="N1115" s="582">
        <v>11.2515</v>
      </c>
      <c r="O1115" s="582">
        <v>11.0357</v>
      </c>
      <c r="P1115" s="582">
        <v>98.723299999999995</v>
      </c>
      <c r="Q1115" s="582">
        <v>10.094402209215485</v>
      </c>
      <c r="R1115" s="582">
        <v>0</v>
      </c>
      <c r="S1115" s="582">
        <v>0.6842977907845158</v>
      </c>
      <c r="T1115" s="582">
        <v>1.3470977907845154</v>
      </c>
      <c r="U1115" s="582">
        <v>1.2112977907845157</v>
      </c>
    </row>
    <row r="1116" spans="10:21">
      <c r="J1116" s="580">
        <v>41681</v>
      </c>
      <c r="K1116" s="581">
        <v>2.0833333333333332E-2</v>
      </c>
      <c r="L1116" s="582">
        <v>10.140700000000001</v>
      </c>
      <c r="M1116" s="582">
        <v>10.128299999999999</v>
      </c>
      <c r="N1116" s="582">
        <v>11.2294</v>
      </c>
      <c r="O1116" s="582">
        <v>11.006600000000001</v>
      </c>
      <c r="P1116" s="582">
        <v>98.713999999999999</v>
      </c>
      <c r="Q1116" s="582">
        <v>10.093451289416961</v>
      </c>
      <c r="R1116" s="582">
        <v>0</v>
      </c>
      <c r="S1116" s="582">
        <v>0.68484871058303809</v>
      </c>
      <c r="T1116" s="582">
        <v>1.3259487105830385</v>
      </c>
      <c r="U1116" s="582">
        <v>1.1831487105830392</v>
      </c>
    </row>
    <row r="1117" spans="10:21">
      <c r="J1117" s="580">
        <v>41682</v>
      </c>
      <c r="K1117" s="581">
        <v>2.0833333333333332E-2</v>
      </c>
      <c r="L1117" s="582">
        <v>10.1236</v>
      </c>
      <c r="M1117" s="582">
        <v>10.1098</v>
      </c>
      <c r="N1117" s="582">
        <v>11.194900000000001</v>
      </c>
      <c r="O1117" s="582">
        <v>10.9679</v>
      </c>
      <c r="P1117" s="582">
        <v>98.578199999999995</v>
      </c>
      <c r="Q1117" s="582">
        <v>10.079565815369685</v>
      </c>
      <c r="R1117" s="582">
        <v>0</v>
      </c>
      <c r="S1117" s="582">
        <v>0.68023418463031482</v>
      </c>
      <c r="T1117" s="582">
        <v>1.3053341846303153</v>
      </c>
      <c r="U1117" s="582">
        <v>1.158334184630315</v>
      </c>
    </row>
    <row r="1118" spans="10:21">
      <c r="J1118" s="580">
        <v>41683</v>
      </c>
      <c r="K1118" s="581">
        <v>2.0833333333333332E-2</v>
      </c>
      <c r="L1118" s="582">
        <v>10.144</v>
      </c>
      <c r="M1118" s="582">
        <v>10.129300000000001</v>
      </c>
      <c r="N1118" s="582">
        <v>11.1912</v>
      </c>
      <c r="O1118" s="582">
        <v>10.960699999999999</v>
      </c>
      <c r="P1118" s="582">
        <v>98.750200000000007</v>
      </c>
      <c r="Q1118" s="582">
        <v>10.09715271917036</v>
      </c>
      <c r="R1118" s="582">
        <v>0</v>
      </c>
      <c r="S1118" s="582">
        <v>0.68214728082964071</v>
      </c>
      <c r="T1118" s="582">
        <v>1.2840472808296401</v>
      </c>
      <c r="U1118" s="582">
        <v>1.1335472808296392</v>
      </c>
    </row>
    <row r="1119" spans="10:21">
      <c r="J1119" s="580">
        <v>41684</v>
      </c>
      <c r="K1119" s="581">
        <v>2.0833333333333332E-2</v>
      </c>
      <c r="L1119" s="582">
        <v>10.1615</v>
      </c>
      <c r="M1119" s="582">
        <v>10.1487</v>
      </c>
      <c r="N1119" s="582">
        <v>11.1876</v>
      </c>
      <c r="O1119" s="582">
        <v>10.951000000000001</v>
      </c>
      <c r="P1119" s="582">
        <v>98.937899999999999</v>
      </c>
      <c r="Q1119" s="582">
        <v>10.116344939190048</v>
      </c>
      <c r="R1119" s="582">
        <v>0</v>
      </c>
      <c r="S1119" s="582">
        <v>0.68235506080995179</v>
      </c>
      <c r="T1119" s="582">
        <v>1.2612550608099515</v>
      </c>
      <c r="U1119" s="582">
        <v>1.1046550608099523</v>
      </c>
    </row>
    <row r="1120" spans="10:21">
      <c r="J1120" s="580">
        <v>41685</v>
      </c>
      <c r="K1120" s="581">
        <v>2.0833333333333332E-2</v>
      </c>
      <c r="L1120" s="582">
        <v>10.152900000000001</v>
      </c>
      <c r="M1120" s="582">
        <v>10.138400000000001</v>
      </c>
      <c r="N1120" s="582">
        <v>11.158099999999999</v>
      </c>
      <c r="O1120" s="582">
        <v>10.9155</v>
      </c>
      <c r="P1120" s="582">
        <v>98.837699999999998</v>
      </c>
      <c r="Q1120" s="582">
        <v>10.106099545231748</v>
      </c>
      <c r="R1120" s="582">
        <v>0</v>
      </c>
      <c r="S1120" s="582">
        <v>0.68230045476825274</v>
      </c>
      <c r="T1120" s="582">
        <v>1.242000454768251</v>
      </c>
      <c r="U1120" s="582">
        <v>1.0794004547682516</v>
      </c>
    </row>
    <row r="1121" spans="10:21">
      <c r="J1121" s="580">
        <v>41686</v>
      </c>
      <c r="K1121" s="581">
        <v>2.0833333333333332E-2</v>
      </c>
      <c r="L1121" s="582">
        <v>10.1357</v>
      </c>
      <c r="M1121" s="582">
        <v>10.118</v>
      </c>
      <c r="N1121" s="582">
        <v>11.122400000000001</v>
      </c>
      <c r="O1121" s="582">
        <v>10.8757</v>
      </c>
      <c r="P1121" s="582">
        <v>98.682299999999998</v>
      </c>
      <c r="Q1121" s="582">
        <v>10.090209982146721</v>
      </c>
      <c r="R1121" s="582">
        <v>0</v>
      </c>
      <c r="S1121" s="582">
        <v>0.67779001785327941</v>
      </c>
      <c r="T1121" s="582">
        <v>1.2221900178532796</v>
      </c>
      <c r="U1121" s="582">
        <v>1.0554900178532791</v>
      </c>
    </row>
    <row r="1122" spans="10:21">
      <c r="J1122" s="580">
        <v>41687</v>
      </c>
      <c r="K1122" s="581">
        <v>2.0833333333333332E-2</v>
      </c>
      <c r="L1122" s="582">
        <v>10.150499999999999</v>
      </c>
      <c r="M1122" s="582">
        <v>10.1325</v>
      </c>
      <c r="N1122" s="582">
        <v>11.117100000000001</v>
      </c>
      <c r="O1122" s="582">
        <v>10.867000000000001</v>
      </c>
      <c r="P1122" s="582">
        <v>98.841399999999993</v>
      </c>
      <c r="Q1122" s="582">
        <v>10.106477868162344</v>
      </c>
      <c r="R1122" s="582">
        <v>0</v>
      </c>
      <c r="S1122" s="582">
        <v>0.67602213183765669</v>
      </c>
      <c r="T1122" s="582">
        <v>1.2006221318376569</v>
      </c>
      <c r="U1122" s="582">
        <v>1.0305221318376572</v>
      </c>
    </row>
    <row r="1123" spans="10:21">
      <c r="J1123" s="580">
        <v>41688</v>
      </c>
      <c r="K1123" s="581">
        <v>2.0833333333333332E-2</v>
      </c>
      <c r="L1123" s="582">
        <v>10.170400000000001</v>
      </c>
      <c r="M1123" s="582">
        <v>10.1533</v>
      </c>
      <c r="N1123" s="582">
        <v>11.117000000000001</v>
      </c>
      <c r="O1123" s="582">
        <v>10.862</v>
      </c>
      <c r="P1123" s="582">
        <v>99.039400000000001</v>
      </c>
      <c r="Q1123" s="582">
        <v>10.12672325742126</v>
      </c>
      <c r="R1123" s="582">
        <v>0</v>
      </c>
      <c r="S1123" s="582">
        <v>0.67657674257874034</v>
      </c>
      <c r="T1123" s="582">
        <v>1.1802767425787413</v>
      </c>
      <c r="U1123" s="582">
        <v>1.0052767425787406</v>
      </c>
    </row>
    <row r="1124" spans="10:21">
      <c r="J1124" s="580">
        <v>41689</v>
      </c>
      <c r="K1124" s="581">
        <v>2.0833333333333332E-2</v>
      </c>
      <c r="L1124" s="582">
        <v>10.175000000000001</v>
      </c>
      <c r="M1124" s="582">
        <v>10.1578</v>
      </c>
      <c r="N1124" s="582">
        <v>11.1069</v>
      </c>
      <c r="O1124" s="582">
        <v>10.8482</v>
      </c>
      <c r="P1124" s="582">
        <v>99.084299999999999</v>
      </c>
      <c r="Q1124" s="582">
        <v>10.131314257308761</v>
      </c>
      <c r="R1124" s="582">
        <v>0</v>
      </c>
      <c r="S1124" s="582">
        <v>0.6764857426912394</v>
      </c>
      <c r="T1124" s="582">
        <v>1.1655857426912388</v>
      </c>
      <c r="U1124" s="582">
        <v>0.98688574269123963</v>
      </c>
    </row>
    <row r="1125" spans="10:21">
      <c r="J1125" s="580">
        <v>41690</v>
      </c>
      <c r="K1125" s="581">
        <v>2.0833333333333332E-2</v>
      </c>
      <c r="L1125" s="582">
        <v>10.160600000000001</v>
      </c>
      <c r="M1125" s="582">
        <v>10.1435</v>
      </c>
      <c r="N1125" s="582">
        <v>11.072100000000001</v>
      </c>
      <c r="O1125" s="582">
        <v>10.8109</v>
      </c>
      <c r="P1125" s="582">
        <v>98.967699999999994</v>
      </c>
      <c r="Q1125" s="582">
        <v>10.119391972522955</v>
      </c>
      <c r="R1125" s="582">
        <v>0</v>
      </c>
      <c r="S1125" s="582">
        <v>0.67410802747704479</v>
      </c>
      <c r="T1125" s="582">
        <v>1.1427080274770458</v>
      </c>
      <c r="U1125" s="582">
        <v>0.96150802747704534</v>
      </c>
    </row>
    <row r="1126" spans="10:21">
      <c r="J1126" s="580">
        <v>41691</v>
      </c>
      <c r="K1126" s="581">
        <v>2.0833333333333332E-2</v>
      </c>
      <c r="L1126" s="582">
        <v>10.1776</v>
      </c>
      <c r="M1126" s="582">
        <v>10.1601</v>
      </c>
      <c r="N1126" s="582">
        <v>11.068199999999999</v>
      </c>
      <c r="O1126" s="582">
        <v>10.6846</v>
      </c>
      <c r="P1126" s="582">
        <v>99.124300000000005</v>
      </c>
      <c r="Q1126" s="582">
        <v>10.135404234936825</v>
      </c>
      <c r="R1126" s="582">
        <v>0</v>
      </c>
      <c r="S1126" s="582">
        <v>0.67469576506317508</v>
      </c>
      <c r="T1126" s="582">
        <v>1.1227957650631741</v>
      </c>
      <c r="U1126" s="582">
        <v>0.81919576506317471</v>
      </c>
    </row>
    <row r="1127" spans="10:21">
      <c r="J1127" s="580">
        <v>41692</v>
      </c>
      <c r="K1127" s="581">
        <v>2.0833333333333332E-2</v>
      </c>
      <c r="L1127" s="582">
        <v>10.178800000000001</v>
      </c>
      <c r="M1127" s="582">
        <v>10.1614</v>
      </c>
      <c r="N1127" s="582">
        <v>11.0473</v>
      </c>
      <c r="O1127" s="582">
        <v>10.614699999999999</v>
      </c>
      <c r="P1127" s="582">
        <v>99.113900000000001</v>
      </c>
      <c r="Q1127" s="582">
        <v>10.134340840753527</v>
      </c>
      <c r="R1127" s="582">
        <v>0</v>
      </c>
      <c r="S1127" s="582">
        <v>0.67705915924647342</v>
      </c>
      <c r="T1127" s="582">
        <v>1.1029591592464727</v>
      </c>
      <c r="U1127" s="582">
        <v>0.75035915924647201</v>
      </c>
    </row>
    <row r="1128" spans="10:21">
      <c r="J1128" s="580">
        <v>41693</v>
      </c>
      <c r="K1128" s="581">
        <v>2.0833333333333332E-2</v>
      </c>
      <c r="L1128" s="582">
        <v>10.1716</v>
      </c>
      <c r="M1128" s="582">
        <v>10.153</v>
      </c>
      <c r="N1128" s="582">
        <v>11.0207</v>
      </c>
      <c r="O1128" s="582">
        <v>10.5372</v>
      </c>
      <c r="P1128" s="582">
        <v>99.051299999999998</v>
      </c>
      <c r="Q1128" s="582">
        <v>10.127940025765607</v>
      </c>
      <c r="R1128" s="582">
        <v>0</v>
      </c>
      <c r="S1128" s="582">
        <v>0.67505997423439346</v>
      </c>
      <c r="T1128" s="582">
        <v>1.0827599742343925</v>
      </c>
      <c r="U1128" s="582">
        <v>0.67925997423439322</v>
      </c>
    </row>
    <row r="1129" spans="10:21">
      <c r="J1129" s="580">
        <v>41694</v>
      </c>
      <c r="K1129" s="581">
        <v>2.0833333333333332E-2</v>
      </c>
      <c r="L1129" s="582">
        <v>10.170999999999999</v>
      </c>
      <c r="M1129" s="582">
        <v>10.155099999999999</v>
      </c>
      <c r="N1129" s="582">
        <v>11.0021</v>
      </c>
      <c r="O1129" s="582">
        <v>10.5382</v>
      </c>
      <c r="P1129" s="582">
        <v>99.059200000000004</v>
      </c>
      <c r="Q1129" s="582">
        <v>10.128747796347151</v>
      </c>
      <c r="R1129" s="582">
        <v>0</v>
      </c>
      <c r="S1129" s="582">
        <v>0.67635220365284865</v>
      </c>
      <c r="T1129" s="582">
        <v>1.0633522036528498</v>
      </c>
      <c r="U1129" s="582">
        <v>0.6794522036528492</v>
      </c>
    </row>
    <row r="1130" spans="10:21">
      <c r="J1130" s="580">
        <v>41695</v>
      </c>
      <c r="K1130" s="581">
        <v>2.0833333333333332E-2</v>
      </c>
      <c r="L1130" s="582">
        <v>10.1746</v>
      </c>
      <c r="M1130" s="582">
        <v>10.161099999999999</v>
      </c>
      <c r="N1130" s="582">
        <v>10.9931</v>
      </c>
      <c r="O1130" s="582">
        <v>10.549200000000001</v>
      </c>
      <c r="P1130" s="582">
        <v>99.102999999999994</v>
      </c>
      <c r="Q1130" s="582">
        <v>10.133226321849881</v>
      </c>
      <c r="R1130" s="582">
        <v>0</v>
      </c>
      <c r="S1130" s="582">
        <v>0.6778736781501189</v>
      </c>
      <c r="T1130" s="582">
        <v>1.0498736781501194</v>
      </c>
      <c r="U1130" s="582">
        <v>0.68597367815012023</v>
      </c>
    </row>
    <row r="1131" spans="10:21">
      <c r="J1131" s="580">
        <v>41696</v>
      </c>
      <c r="K1131" s="581">
        <v>2.0833333333333332E-2</v>
      </c>
      <c r="L1131" s="582">
        <v>10.176600000000001</v>
      </c>
      <c r="M1131" s="582">
        <v>10.1638</v>
      </c>
      <c r="N1131" s="582">
        <v>10.972</v>
      </c>
      <c r="O1131" s="582">
        <v>10.5425</v>
      </c>
      <c r="P1131" s="582">
        <v>99.128100000000003</v>
      </c>
      <c r="Q1131" s="582">
        <v>10.135792782811491</v>
      </c>
      <c r="R1131" s="582">
        <v>0</v>
      </c>
      <c r="S1131" s="582">
        <v>0.67800721718850965</v>
      </c>
      <c r="T1131" s="582">
        <v>1.0262072171885088</v>
      </c>
      <c r="U1131" s="582">
        <v>0.67670721718850979</v>
      </c>
    </row>
    <row r="1132" spans="10:21">
      <c r="J1132" s="580">
        <v>41697</v>
      </c>
      <c r="K1132" s="581">
        <v>2.0833333333333332E-2</v>
      </c>
      <c r="L1132" s="582">
        <v>10.172499999999999</v>
      </c>
      <c r="M1132" s="582">
        <v>10.158300000000001</v>
      </c>
      <c r="N1132" s="582">
        <v>10.943099999999999</v>
      </c>
      <c r="O1132" s="582">
        <v>10.536899999999999</v>
      </c>
      <c r="P1132" s="582">
        <v>99.071200000000005</v>
      </c>
      <c r="Q1132" s="582">
        <v>10.12997478963557</v>
      </c>
      <c r="R1132" s="582">
        <v>0</v>
      </c>
      <c r="S1132" s="582">
        <v>0.67832521036443061</v>
      </c>
      <c r="T1132" s="582">
        <v>1.0031252103644293</v>
      </c>
      <c r="U1132" s="582">
        <v>0.67692521036442921</v>
      </c>
    </row>
    <row r="1133" spans="10:21">
      <c r="J1133" s="580">
        <v>41698</v>
      </c>
      <c r="K1133" s="581">
        <v>2.0833333333333332E-2</v>
      </c>
      <c r="L1133" s="582">
        <v>10.166700000000001</v>
      </c>
      <c r="M1133" s="582">
        <v>10.1524</v>
      </c>
      <c r="N1133" s="582">
        <v>10.916399999999999</v>
      </c>
      <c r="O1133" s="582">
        <v>10.527900000000001</v>
      </c>
      <c r="P1133" s="582">
        <v>99.0137</v>
      </c>
      <c r="Q1133" s="582">
        <v>10.124095446795229</v>
      </c>
      <c r="R1133" s="582">
        <v>0</v>
      </c>
      <c r="S1133" s="582">
        <v>0.67830455320477134</v>
      </c>
      <c r="T1133" s="582">
        <v>0.98230455320477061</v>
      </c>
      <c r="U1133" s="582">
        <v>0.67380455320477184</v>
      </c>
    </row>
    <row r="1134" spans="10:21">
      <c r="J1134" s="580">
        <v>41699</v>
      </c>
      <c r="K1134" s="581">
        <v>2.0833333333333332E-2</v>
      </c>
      <c r="L1134" s="582">
        <v>10.1576</v>
      </c>
      <c r="M1134" s="582">
        <v>10.142099999999999</v>
      </c>
      <c r="N1134" s="582">
        <v>10.8851</v>
      </c>
      <c r="O1134" s="582">
        <v>10.519299999999999</v>
      </c>
      <c r="P1134" s="582">
        <v>98.930800000000005</v>
      </c>
      <c r="Q1134" s="582">
        <v>10.115618968161067</v>
      </c>
      <c r="R1134" s="582">
        <v>0</v>
      </c>
      <c r="S1134" s="582">
        <v>0.67648103183893205</v>
      </c>
      <c r="T1134" s="582">
        <v>0.9594810318389323</v>
      </c>
      <c r="U1134" s="582">
        <v>0.67368103183893213</v>
      </c>
    </row>
    <row r="1135" spans="10:21">
      <c r="J1135" s="580">
        <v>41700</v>
      </c>
      <c r="K1135" s="581">
        <v>2.0833333333333332E-2</v>
      </c>
      <c r="L1135" s="582">
        <v>10.1617</v>
      </c>
      <c r="M1135" s="582">
        <v>10.146699999999999</v>
      </c>
      <c r="N1135" s="582">
        <v>10.9322</v>
      </c>
      <c r="O1135" s="582">
        <v>10.595700000000001</v>
      </c>
      <c r="P1135" s="582">
        <v>98.983000000000004</v>
      </c>
      <c r="Q1135" s="582">
        <v>10.120956388965689</v>
      </c>
      <c r="R1135" s="582">
        <v>0</v>
      </c>
      <c r="S1135" s="582">
        <v>0.6757436110343098</v>
      </c>
      <c r="T1135" s="582">
        <v>1.0012436110343104</v>
      </c>
      <c r="U1135" s="582">
        <v>0.7447436110343113</v>
      </c>
    </row>
    <row r="1136" spans="10:21">
      <c r="J1136" s="580">
        <v>41701</v>
      </c>
      <c r="K1136" s="581">
        <v>2.0833333333333332E-2</v>
      </c>
      <c r="L1136" s="582">
        <v>10.1578</v>
      </c>
      <c r="M1136" s="582">
        <v>10.1425</v>
      </c>
      <c r="N1136" s="582">
        <v>10.9078</v>
      </c>
      <c r="O1136" s="582">
        <v>10.6228</v>
      </c>
      <c r="P1136" s="582">
        <v>98.888800000000003</v>
      </c>
      <c r="Q1136" s="582">
        <v>10.111324491651599</v>
      </c>
      <c r="R1136" s="582">
        <v>0</v>
      </c>
      <c r="S1136" s="582">
        <v>0.68117550834840102</v>
      </c>
      <c r="T1136" s="582">
        <v>0.98647550834840081</v>
      </c>
      <c r="U1136" s="582">
        <v>0.78147550834840063</v>
      </c>
    </row>
    <row r="1137" spans="10:21">
      <c r="J1137" s="580">
        <v>41702</v>
      </c>
      <c r="K1137" s="581">
        <v>2.0833333333333332E-2</v>
      </c>
      <c r="L1137" s="582">
        <v>10.161099999999999</v>
      </c>
      <c r="M1137" s="582">
        <v>10.1435</v>
      </c>
      <c r="N1137" s="582">
        <v>10.8942</v>
      </c>
      <c r="O1137" s="582">
        <v>10.5314</v>
      </c>
      <c r="P1137" s="582">
        <v>98.939300000000003</v>
      </c>
      <c r="Q1137" s="582">
        <v>10.11648808840703</v>
      </c>
      <c r="R1137" s="582">
        <v>0</v>
      </c>
      <c r="S1137" s="582">
        <v>0.67701191159297003</v>
      </c>
      <c r="T1137" s="582">
        <v>0.9677119115929701</v>
      </c>
      <c r="U1137" s="582">
        <v>0.68491191159297005</v>
      </c>
    </row>
    <row r="1138" spans="10:21">
      <c r="J1138" s="580">
        <v>41703</v>
      </c>
      <c r="K1138" s="581">
        <v>2.0833333333333332E-2</v>
      </c>
      <c r="L1138" s="582">
        <v>10.167899999999999</v>
      </c>
      <c r="M1138" s="582">
        <v>10.1488</v>
      </c>
      <c r="N1138" s="582">
        <v>10.927199999999999</v>
      </c>
      <c r="O1138" s="582">
        <v>10.5367</v>
      </c>
      <c r="P1138" s="582">
        <v>99.0184</v>
      </c>
      <c r="Q1138" s="582">
        <v>10.124576019166525</v>
      </c>
      <c r="R1138" s="582">
        <v>0</v>
      </c>
      <c r="S1138" s="582">
        <v>0.67422398083347423</v>
      </c>
      <c r="T1138" s="582">
        <v>0.9926239808334737</v>
      </c>
      <c r="U1138" s="582">
        <v>0.68212398083347425</v>
      </c>
    </row>
    <row r="1139" spans="10:21">
      <c r="J1139" s="580">
        <v>41704</v>
      </c>
      <c r="K1139" s="581">
        <v>2.0833333333333332E-2</v>
      </c>
      <c r="L1139" s="582">
        <v>10.167</v>
      </c>
      <c r="M1139" s="582">
        <v>10.148</v>
      </c>
      <c r="N1139" s="582">
        <v>10.819800000000001</v>
      </c>
      <c r="O1139" s="582">
        <v>10.5344</v>
      </c>
      <c r="P1139" s="582">
        <v>99.001999999999995</v>
      </c>
      <c r="Q1139" s="582">
        <v>10.12289912833902</v>
      </c>
      <c r="R1139" s="582">
        <v>0</v>
      </c>
      <c r="S1139" s="582">
        <v>0.6751008716609801</v>
      </c>
      <c r="T1139" s="582">
        <v>0.88690087166098108</v>
      </c>
      <c r="U1139" s="582">
        <v>0.68150087166098006</v>
      </c>
    </row>
    <row r="1140" spans="10:21">
      <c r="J1140" s="580">
        <v>41705</v>
      </c>
      <c r="K1140" s="581">
        <v>2.0833333333333332E-2</v>
      </c>
      <c r="L1140" s="582">
        <v>10.1639</v>
      </c>
      <c r="M1140" s="582">
        <v>10.1448</v>
      </c>
      <c r="N1140" s="582">
        <v>10.558400000000001</v>
      </c>
      <c r="O1140" s="582">
        <v>10.5326</v>
      </c>
      <c r="P1140" s="582">
        <v>98.984200000000001</v>
      </c>
      <c r="Q1140" s="582">
        <v>10.121079088294531</v>
      </c>
      <c r="R1140" s="582">
        <v>0</v>
      </c>
      <c r="S1140" s="582">
        <v>0.67372091170546944</v>
      </c>
      <c r="T1140" s="582">
        <v>0.62732091170547</v>
      </c>
      <c r="U1140" s="582">
        <v>0.68152091170546969</v>
      </c>
    </row>
    <row r="1141" spans="10:21">
      <c r="J1141" s="580">
        <v>41543</v>
      </c>
      <c r="K1141" s="581">
        <v>0.97916666666666663</v>
      </c>
      <c r="L1141" s="582">
        <v>10.057399999999999</v>
      </c>
      <c r="M1141" s="582">
        <v>10.0718</v>
      </c>
      <c r="N1141" s="582">
        <v>10.0815</v>
      </c>
      <c r="O1141" s="582">
        <v>10.092700000000001</v>
      </c>
      <c r="P1141" s="582">
        <v>98.806600000000003</v>
      </c>
      <c r="Q1141" s="582">
        <f t="shared" ref="Q1141:Q1204" si="134">P1141/($G$8*$H$8)</f>
        <v>10.102919587625928</v>
      </c>
      <c r="R1141" s="582">
        <f t="shared" ref="R1141:R1204" si="135">IF((L1141-Q1141-$D$8+$E$8)&lt;0,0,(L1141-Q1141-$D$8+$E$8))</f>
        <v>0</v>
      </c>
      <c r="S1141" s="582">
        <f t="shared" ref="S1141:S1204" si="136">M1141-Q1141-$D$9+$E$9</f>
        <v>0.61888041237407143</v>
      </c>
      <c r="T1141" s="582">
        <f t="shared" ref="T1141:T1204" si="137">N1141-Q1141-$D$10+$E$10</f>
        <v>0.16858041237407184</v>
      </c>
      <c r="U1141" s="582">
        <f t="shared" ref="U1141:U1204" si="138">O1141-Q1141-$D$11+$E$11</f>
        <v>0.25978041237407229</v>
      </c>
    </row>
    <row r="1142" spans="10:21">
      <c r="J1142" s="580">
        <v>41544</v>
      </c>
      <c r="K1142" s="581">
        <v>0.97916666666666663</v>
      </c>
      <c r="L1142" s="582">
        <v>10.0548</v>
      </c>
      <c r="M1142" s="582">
        <v>10.07</v>
      </c>
      <c r="N1142" s="582">
        <v>10.078799999999999</v>
      </c>
      <c r="O1142" s="582">
        <v>10.091100000000001</v>
      </c>
      <c r="P1142" s="582">
        <v>98.782700000000006</v>
      </c>
      <c r="Q1142" s="582">
        <f t="shared" si="134"/>
        <v>10.100475825993161</v>
      </c>
      <c r="R1142" s="582">
        <f t="shared" si="135"/>
        <v>0</v>
      </c>
      <c r="S1142" s="582">
        <f t="shared" si="136"/>
        <v>0.61952417400683912</v>
      </c>
      <c r="T1142" s="582">
        <f t="shared" si="137"/>
        <v>0.16832417400683808</v>
      </c>
      <c r="U1142" s="582">
        <f t="shared" si="138"/>
        <v>0.26062417400683952</v>
      </c>
    </row>
    <row r="1143" spans="10:21">
      <c r="J1143" s="580">
        <v>41545</v>
      </c>
      <c r="K1143" s="581">
        <v>0.97916666666666663</v>
      </c>
      <c r="L1143" s="582">
        <v>10.0359</v>
      </c>
      <c r="M1143" s="582">
        <v>10.051299999999999</v>
      </c>
      <c r="N1143" s="582">
        <v>10.0588</v>
      </c>
      <c r="O1143" s="582">
        <v>10.071400000000001</v>
      </c>
      <c r="P1143" s="582">
        <v>98.592399999999998</v>
      </c>
      <c r="Q1143" s="582">
        <f t="shared" si="134"/>
        <v>10.081017757427647</v>
      </c>
      <c r="R1143" s="582">
        <f t="shared" si="135"/>
        <v>0</v>
      </c>
      <c r="S1143" s="582">
        <f t="shared" si="136"/>
        <v>0.62028224257235265</v>
      </c>
      <c r="T1143" s="582">
        <f t="shared" si="137"/>
        <v>0.16778224257235286</v>
      </c>
      <c r="U1143" s="582">
        <f t="shared" si="138"/>
        <v>0.26038224257235359</v>
      </c>
    </row>
    <row r="1144" spans="10:21">
      <c r="J1144" s="580">
        <v>41546</v>
      </c>
      <c r="K1144" s="581">
        <v>0.97916666666666663</v>
      </c>
      <c r="L1144" s="582">
        <v>10.015599999999999</v>
      </c>
      <c r="M1144" s="582">
        <v>10.029199999999999</v>
      </c>
      <c r="N1144" s="582">
        <v>10.0366</v>
      </c>
      <c r="O1144" s="582">
        <v>10.0494</v>
      </c>
      <c r="P1144" s="582">
        <v>98.388499999999993</v>
      </c>
      <c r="Q1144" s="582">
        <f t="shared" si="134"/>
        <v>10.060169096468591</v>
      </c>
      <c r="R1144" s="582">
        <f t="shared" si="135"/>
        <v>0</v>
      </c>
      <c r="S1144" s="582">
        <f t="shared" si="136"/>
        <v>0.61903090353140811</v>
      </c>
      <c r="T1144" s="582">
        <f t="shared" si="137"/>
        <v>0.16643090353140855</v>
      </c>
      <c r="U1144" s="582">
        <f t="shared" si="138"/>
        <v>0.25923090353140882</v>
      </c>
    </row>
    <row r="1145" spans="10:21">
      <c r="J1145" s="580">
        <v>41547</v>
      </c>
      <c r="K1145" s="581">
        <v>0.97916666666666663</v>
      </c>
      <c r="L1145" s="582">
        <v>10.0136</v>
      </c>
      <c r="M1145" s="582">
        <v>10.0281</v>
      </c>
      <c r="N1145" s="582">
        <v>10.036099999999999</v>
      </c>
      <c r="O1145" s="582">
        <v>10.0486</v>
      </c>
      <c r="P1145" s="582">
        <v>98.374600000000001</v>
      </c>
      <c r="Q1145" s="582">
        <f t="shared" si="134"/>
        <v>10.05874782924284</v>
      </c>
      <c r="R1145" s="582">
        <f t="shared" si="135"/>
        <v>0</v>
      </c>
      <c r="S1145" s="582">
        <f t="shared" si="136"/>
        <v>0.61935217075716031</v>
      </c>
      <c r="T1145" s="582">
        <f t="shared" si="137"/>
        <v>0.16735217075715936</v>
      </c>
      <c r="U1145" s="582">
        <f t="shared" si="138"/>
        <v>0.25985217075716033</v>
      </c>
    </row>
    <row r="1146" spans="10:21">
      <c r="J1146" s="580">
        <v>41548</v>
      </c>
      <c r="K1146" s="581">
        <v>0.97916666666666663</v>
      </c>
      <c r="L1146" s="582">
        <v>10.024800000000001</v>
      </c>
      <c r="M1146" s="582">
        <v>10.039899999999999</v>
      </c>
      <c r="N1146" s="582">
        <v>10.046799999999999</v>
      </c>
      <c r="O1146" s="582">
        <v>10.0604</v>
      </c>
      <c r="P1146" s="582">
        <v>98.469099999999997</v>
      </c>
      <c r="Q1146" s="582">
        <f t="shared" si="134"/>
        <v>10.068410401389141</v>
      </c>
      <c r="R1146" s="582">
        <f t="shared" si="135"/>
        <v>0</v>
      </c>
      <c r="S1146" s="582">
        <f t="shared" si="136"/>
        <v>0.62148959861085884</v>
      </c>
      <c r="T1146" s="582">
        <f t="shared" si="137"/>
        <v>0.16838959861085867</v>
      </c>
      <c r="U1146" s="582">
        <f t="shared" si="138"/>
        <v>0.26198959861085885</v>
      </c>
    </row>
    <row r="1147" spans="10:21">
      <c r="J1147" s="580">
        <v>41549</v>
      </c>
      <c r="K1147" s="581">
        <v>0.97916666666666663</v>
      </c>
      <c r="L1147" s="582">
        <v>10.036799999999999</v>
      </c>
      <c r="M1147" s="582">
        <v>10.048400000000001</v>
      </c>
      <c r="N1147" s="582">
        <v>10.057399999999999</v>
      </c>
      <c r="O1147" s="582">
        <v>10.069599999999999</v>
      </c>
      <c r="P1147" s="582">
        <v>98.581500000000005</v>
      </c>
      <c r="Q1147" s="582">
        <f t="shared" si="134"/>
        <v>10.079903238524</v>
      </c>
      <c r="R1147" s="582">
        <f t="shared" si="135"/>
        <v>0</v>
      </c>
      <c r="S1147" s="582">
        <f t="shared" si="136"/>
        <v>0.61849676147600063</v>
      </c>
      <c r="T1147" s="582">
        <f t="shared" si="137"/>
        <v>0.16749676147599912</v>
      </c>
      <c r="U1147" s="582">
        <f t="shared" si="138"/>
        <v>0.25969676147599902</v>
      </c>
    </row>
    <row r="1148" spans="10:21">
      <c r="J1148" s="580">
        <v>41550</v>
      </c>
      <c r="K1148" s="581">
        <v>0.97916666666666663</v>
      </c>
      <c r="L1148" s="582">
        <v>10.0402</v>
      </c>
      <c r="M1148" s="582">
        <v>10.0525</v>
      </c>
      <c r="N1148" s="582">
        <v>10.061</v>
      </c>
      <c r="O1148" s="582">
        <v>10.073700000000001</v>
      </c>
      <c r="P1148" s="582">
        <v>98.615300000000005</v>
      </c>
      <c r="Q1148" s="582">
        <f t="shared" si="134"/>
        <v>10.083359269619715</v>
      </c>
      <c r="R1148" s="582">
        <f t="shared" si="135"/>
        <v>0</v>
      </c>
      <c r="S1148" s="582">
        <f t="shared" si="136"/>
        <v>0.61914073038028561</v>
      </c>
      <c r="T1148" s="582">
        <f t="shared" si="137"/>
        <v>0.16764073038028526</v>
      </c>
      <c r="U1148" s="582">
        <f t="shared" si="138"/>
        <v>0.26034073038028577</v>
      </c>
    </row>
    <row r="1149" spans="10:21">
      <c r="J1149" s="580">
        <v>41551</v>
      </c>
      <c r="K1149" s="581">
        <v>0.97916666666666663</v>
      </c>
      <c r="L1149" s="582">
        <v>10.0532</v>
      </c>
      <c r="M1149" s="582">
        <v>10.063800000000001</v>
      </c>
      <c r="N1149" s="582">
        <v>10.072800000000001</v>
      </c>
      <c r="O1149" s="582">
        <v>10.0846</v>
      </c>
      <c r="P1149" s="582">
        <v>98.733400000000003</v>
      </c>
      <c r="Q1149" s="582">
        <f t="shared" si="134"/>
        <v>10.095434928566572</v>
      </c>
      <c r="R1149" s="582">
        <f t="shared" si="135"/>
        <v>0</v>
      </c>
      <c r="S1149" s="582">
        <f t="shared" si="136"/>
        <v>0.61836507143342856</v>
      </c>
      <c r="T1149" s="582">
        <f t="shared" si="137"/>
        <v>0.16736507143342882</v>
      </c>
      <c r="U1149" s="582">
        <f t="shared" si="138"/>
        <v>0.25916507143342787</v>
      </c>
    </row>
    <row r="1150" spans="10:21">
      <c r="J1150" s="580">
        <v>41552</v>
      </c>
      <c r="K1150" s="581">
        <v>0.97916666666666663</v>
      </c>
      <c r="L1150" s="582">
        <v>10.0456</v>
      </c>
      <c r="M1150" s="582">
        <v>10.0564</v>
      </c>
      <c r="N1150" s="582">
        <v>10.065099999999999</v>
      </c>
      <c r="O1150" s="582">
        <v>10.078799999999999</v>
      </c>
      <c r="P1150" s="582">
        <v>98.667400000000001</v>
      </c>
      <c r="Q1150" s="582">
        <f t="shared" si="134"/>
        <v>10.088686465480267</v>
      </c>
      <c r="R1150" s="582">
        <f t="shared" si="135"/>
        <v>0</v>
      </c>
      <c r="S1150" s="582">
        <f t="shared" si="136"/>
        <v>0.61771353451973332</v>
      </c>
      <c r="T1150" s="582">
        <f t="shared" si="137"/>
        <v>0.16641353451973251</v>
      </c>
      <c r="U1150" s="582">
        <f t="shared" si="138"/>
        <v>0.26011353451973246</v>
      </c>
    </row>
    <row r="1151" spans="10:21">
      <c r="J1151" s="580">
        <v>41553</v>
      </c>
      <c r="K1151" s="581">
        <v>0.97916666666666663</v>
      </c>
      <c r="L1151" s="582">
        <v>10.045</v>
      </c>
      <c r="M1151" s="582">
        <v>10.0557</v>
      </c>
      <c r="N1151" s="582">
        <v>10.064299999999999</v>
      </c>
      <c r="O1151" s="582">
        <v>10.078200000000001</v>
      </c>
      <c r="P1151" s="582">
        <v>98.650400000000005</v>
      </c>
      <c r="Q1151" s="582">
        <f t="shared" si="134"/>
        <v>10.08694822498834</v>
      </c>
      <c r="R1151" s="582">
        <f t="shared" si="135"/>
        <v>0</v>
      </c>
      <c r="S1151" s="582">
        <f t="shared" si="136"/>
        <v>0.61875177501165957</v>
      </c>
      <c r="T1151" s="582">
        <f t="shared" si="137"/>
        <v>0.16735177501165899</v>
      </c>
      <c r="U1151" s="582">
        <f t="shared" si="138"/>
        <v>0.26125177501166025</v>
      </c>
    </row>
    <row r="1152" spans="10:21">
      <c r="J1152" s="580">
        <v>41554</v>
      </c>
      <c r="K1152" s="581">
        <v>0.97916666666666663</v>
      </c>
      <c r="L1152" s="582">
        <v>10.052199999999999</v>
      </c>
      <c r="M1152" s="582">
        <v>10.063800000000001</v>
      </c>
      <c r="N1152" s="582">
        <v>10.071400000000001</v>
      </c>
      <c r="O1152" s="582">
        <v>10.085900000000001</v>
      </c>
      <c r="P1152" s="582">
        <v>98.729799999999997</v>
      </c>
      <c r="Q1152" s="582">
        <f t="shared" si="134"/>
        <v>10.095066830580047</v>
      </c>
      <c r="R1152" s="582">
        <f t="shared" si="135"/>
        <v>0</v>
      </c>
      <c r="S1152" s="582">
        <f t="shared" si="136"/>
        <v>0.61873316941995404</v>
      </c>
      <c r="T1152" s="582">
        <f t="shared" si="137"/>
        <v>0.16633316941995402</v>
      </c>
      <c r="U1152" s="582">
        <f t="shared" si="138"/>
        <v>0.26083316941995388</v>
      </c>
    </row>
    <row r="1153" spans="10:21">
      <c r="J1153" s="580">
        <v>41555</v>
      </c>
      <c r="K1153" s="581">
        <v>0.97916666666666663</v>
      </c>
      <c r="L1153" s="582">
        <v>10.0541</v>
      </c>
      <c r="M1153" s="582">
        <v>10.0679</v>
      </c>
      <c r="N1153" s="582">
        <v>10.0733</v>
      </c>
      <c r="O1153" s="582">
        <v>10.088200000000001</v>
      </c>
      <c r="P1153" s="582">
        <v>98.782799999999995</v>
      </c>
      <c r="Q1153" s="582">
        <f t="shared" si="134"/>
        <v>10.10048605093723</v>
      </c>
      <c r="R1153" s="582">
        <f t="shared" si="135"/>
        <v>0</v>
      </c>
      <c r="S1153" s="582">
        <f t="shared" si="136"/>
        <v>0.61741394906277036</v>
      </c>
      <c r="T1153" s="582">
        <f t="shared" si="137"/>
        <v>0.16281394906277014</v>
      </c>
      <c r="U1153" s="582">
        <f t="shared" si="138"/>
        <v>0.25771394906277084</v>
      </c>
    </row>
    <row r="1154" spans="10:21">
      <c r="J1154" s="580">
        <v>41556</v>
      </c>
      <c r="K1154" s="581">
        <v>0.97916666666666663</v>
      </c>
      <c r="L1154" s="582">
        <v>10.047800000000001</v>
      </c>
      <c r="M1154" s="582">
        <v>10.0618</v>
      </c>
      <c r="N1154" s="582">
        <v>10.0684</v>
      </c>
      <c r="O1154" s="582">
        <v>10.081899999999999</v>
      </c>
      <c r="P1154" s="582">
        <v>98.711200000000005</v>
      </c>
      <c r="Q1154" s="582">
        <f t="shared" si="134"/>
        <v>10.093164990982997</v>
      </c>
      <c r="R1154" s="582">
        <f t="shared" si="135"/>
        <v>0</v>
      </c>
      <c r="S1154" s="582">
        <f t="shared" si="136"/>
        <v>0.61863500901700319</v>
      </c>
      <c r="T1154" s="582">
        <f t="shared" si="137"/>
        <v>0.16523500901700372</v>
      </c>
      <c r="U1154" s="582">
        <f t="shared" si="138"/>
        <v>0.25873500901700236</v>
      </c>
    </row>
    <row r="1155" spans="10:21">
      <c r="J1155" s="580">
        <v>41557</v>
      </c>
      <c r="K1155" s="581">
        <v>0.97916666666666663</v>
      </c>
      <c r="L1155" s="582">
        <v>10.053900000000001</v>
      </c>
      <c r="M1155" s="582">
        <v>10.068099999999999</v>
      </c>
      <c r="N1155" s="582">
        <v>10.074</v>
      </c>
      <c r="O1155" s="582">
        <v>10.085599999999999</v>
      </c>
      <c r="P1155" s="582">
        <v>98.759</v>
      </c>
      <c r="Q1155" s="582">
        <f t="shared" si="134"/>
        <v>10.098052514248533</v>
      </c>
      <c r="R1155" s="582">
        <f t="shared" si="135"/>
        <v>0</v>
      </c>
      <c r="S1155" s="582">
        <f t="shared" si="136"/>
        <v>0.62004748575146684</v>
      </c>
      <c r="T1155" s="582">
        <f t="shared" si="137"/>
        <v>0.16594748575146723</v>
      </c>
      <c r="U1155" s="582">
        <f t="shared" si="138"/>
        <v>0.25754748575146674</v>
      </c>
    </row>
    <row r="1156" spans="10:21">
      <c r="J1156" s="580">
        <v>41558</v>
      </c>
      <c r="K1156" s="581">
        <v>0.97916666666666663</v>
      </c>
      <c r="L1156" s="582">
        <v>10.033200000000001</v>
      </c>
      <c r="M1156" s="582">
        <v>10.0481</v>
      </c>
      <c r="N1156" s="582">
        <v>10.053800000000001</v>
      </c>
      <c r="O1156" s="582">
        <v>10.0661</v>
      </c>
      <c r="P1156" s="582">
        <v>98.5715</v>
      </c>
      <c r="Q1156" s="582">
        <f t="shared" si="134"/>
        <v>10.078880744116985</v>
      </c>
      <c r="R1156" s="582">
        <f t="shared" si="135"/>
        <v>0</v>
      </c>
      <c r="S1156" s="582">
        <f t="shared" si="136"/>
        <v>0.61921925588301518</v>
      </c>
      <c r="T1156" s="582">
        <f t="shared" si="137"/>
        <v>0.16491925588301604</v>
      </c>
      <c r="U1156" s="582">
        <f t="shared" si="138"/>
        <v>0.2572192558830157</v>
      </c>
    </row>
    <row r="1157" spans="10:21">
      <c r="J1157" s="580">
        <v>41559</v>
      </c>
      <c r="K1157" s="581">
        <v>0.97916666666666663</v>
      </c>
      <c r="L1157" s="582">
        <v>10.022</v>
      </c>
      <c r="M1157" s="582">
        <v>10.034800000000001</v>
      </c>
      <c r="N1157" s="582">
        <v>10.0418</v>
      </c>
      <c r="O1157" s="582">
        <v>10.053000000000001</v>
      </c>
      <c r="P1157" s="582">
        <v>98.422799999999995</v>
      </c>
      <c r="Q1157" s="582">
        <f t="shared" si="134"/>
        <v>10.063676252284656</v>
      </c>
      <c r="R1157" s="582">
        <f t="shared" si="135"/>
        <v>0</v>
      </c>
      <c r="S1157" s="582">
        <f t="shared" si="136"/>
        <v>0.6211237477153444</v>
      </c>
      <c r="T1157" s="582">
        <f t="shared" si="137"/>
        <v>0.168123747715344</v>
      </c>
      <c r="U1157" s="582">
        <f t="shared" si="138"/>
        <v>0.25932374771534444</v>
      </c>
    </row>
    <row r="1158" spans="10:21">
      <c r="J1158" s="580">
        <v>41560</v>
      </c>
      <c r="K1158" s="581">
        <v>0.97916666666666663</v>
      </c>
      <c r="L1158" s="582">
        <v>10.030900000000001</v>
      </c>
      <c r="M1158" s="582">
        <v>10.0425</v>
      </c>
      <c r="N1158" s="582">
        <v>10.052</v>
      </c>
      <c r="O1158" s="582">
        <v>10.0648</v>
      </c>
      <c r="P1158" s="582">
        <v>98.517700000000005</v>
      </c>
      <c r="Q1158" s="582">
        <f t="shared" si="134"/>
        <v>10.073379724207239</v>
      </c>
      <c r="R1158" s="582">
        <f t="shared" si="135"/>
        <v>0</v>
      </c>
      <c r="S1158" s="582">
        <f t="shared" si="136"/>
        <v>0.61912027579276141</v>
      </c>
      <c r="T1158" s="582">
        <f t="shared" si="137"/>
        <v>0.16862027579276051</v>
      </c>
      <c r="U1158" s="582">
        <f t="shared" si="138"/>
        <v>0.26142027579276078</v>
      </c>
    </row>
    <row r="1159" spans="10:21">
      <c r="J1159" s="580">
        <v>41561</v>
      </c>
      <c r="K1159" s="581">
        <v>0.97916666666666663</v>
      </c>
      <c r="L1159" s="582">
        <v>10.049300000000001</v>
      </c>
      <c r="M1159" s="582">
        <v>10.061</v>
      </c>
      <c r="N1159" s="582">
        <v>10.0694</v>
      </c>
      <c r="O1159" s="582">
        <v>10.0809</v>
      </c>
      <c r="P1159" s="582">
        <v>98.696600000000004</v>
      </c>
      <c r="Q1159" s="582">
        <f t="shared" si="134"/>
        <v>10.091672149148753</v>
      </c>
      <c r="R1159" s="582">
        <f t="shared" si="135"/>
        <v>0</v>
      </c>
      <c r="S1159" s="582">
        <f t="shared" si="136"/>
        <v>0.6193278508512472</v>
      </c>
      <c r="T1159" s="582">
        <f t="shared" si="137"/>
        <v>0.16772785085124708</v>
      </c>
      <c r="U1159" s="582">
        <f t="shared" si="138"/>
        <v>0.25922785085124683</v>
      </c>
    </row>
    <row r="1160" spans="10:21">
      <c r="J1160" s="580">
        <v>41562</v>
      </c>
      <c r="K1160" s="581">
        <v>0.97916666666666663</v>
      </c>
      <c r="L1160" s="582">
        <v>12.6225</v>
      </c>
      <c r="M1160" s="582">
        <v>12.402699999999999</v>
      </c>
      <c r="N1160" s="582">
        <v>13.0589</v>
      </c>
      <c r="O1160" s="582">
        <v>12.994300000000001</v>
      </c>
      <c r="P1160" s="582">
        <v>98.787899999999993</v>
      </c>
      <c r="Q1160" s="582">
        <f t="shared" si="134"/>
        <v>10.101007523084808</v>
      </c>
      <c r="R1160" s="582">
        <f t="shared" si="135"/>
        <v>2.336492476915192</v>
      </c>
      <c r="S1160" s="582">
        <f t="shared" si="136"/>
        <v>2.9516924769151913</v>
      </c>
      <c r="T1160" s="582">
        <f t="shared" si="137"/>
        <v>3.1478924769151915</v>
      </c>
      <c r="U1160" s="582">
        <f t="shared" si="138"/>
        <v>3.163292476915192</v>
      </c>
    </row>
    <row r="1161" spans="10:21">
      <c r="J1161" s="580">
        <v>41563</v>
      </c>
      <c r="K1161" s="581">
        <v>0.97916666666666663</v>
      </c>
      <c r="L1161" s="582">
        <v>13.254099999999999</v>
      </c>
      <c r="M1161" s="582">
        <v>12.6144</v>
      </c>
      <c r="N1161" s="582">
        <v>13.3004</v>
      </c>
      <c r="O1161" s="582">
        <v>13.248699999999999</v>
      </c>
      <c r="P1161" s="582">
        <v>98.743799999999993</v>
      </c>
      <c r="Q1161" s="582">
        <f t="shared" si="134"/>
        <v>10.096498322749868</v>
      </c>
      <c r="R1161" s="582">
        <f t="shared" si="135"/>
        <v>2.9726016772501311</v>
      </c>
      <c r="S1161" s="582">
        <f t="shared" si="136"/>
        <v>3.1679016772501321</v>
      </c>
      <c r="T1161" s="582">
        <f t="shared" si="137"/>
        <v>3.393901677250132</v>
      </c>
      <c r="U1161" s="582">
        <f t="shared" si="138"/>
        <v>3.4222016772501309</v>
      </c>
    </row>
    <row r="1162" spans="10:21">
      <c r="J1162" s="580">
        <v>41564</v>
      </c>
      <c r="K1162" s="581">
        <v>0.97916666666666663</v>
      </c>
      <c r="L1162" s="582">
        <v>13.3157</v>
      </c>
      <c r="M1162" s="582">
        <v>12.7265</v>
      </c>
      <c r="N1162" s="582">
        <v>13.5078</v>
      </c>
      <c r="O1162" s="582">
        <v>13.3249</v>
      </c>
      <c r="P1162" s="582">
        <v>98.807599999999994</v>
      </c>
      <c r="Q1162" s="582">
        <f t="shared" si="134"/>
        <v>10.103021837066629</v>
      </c>
      <c r="R1162" s="582">
        <f t="shared" si="135"/>
        <v>3.0276781629333702</v>
      </c>
      <c r="S1162" s="582">
        <f t="shared" si="136"/>
        <v>3.2734781629333707</v>
      </c>
      <c r="T1162" s="582">
        <f t="shared" si="137"/>
        <v>3.5947781629333706</v>
      </c>
      <c r="U1162" s="582">
        <f t="shared" si="138"/>
        <v>3.4918781629333697</v>
      </c>
    </row>
    <row r="1163" spans="10:21">
      <c r="J1163" s="580">
        <v>41565</v>
      </c>
      <c r="K1163" s="581">
        <v>0.97916666666666663</v>
      </c>
      <c r="L1163" s="582">
        <v>13.469799999999999</v>
      </c>
      <c r="M1163" s="582">
        <v>12.79</v>
      </c>
      <c r="N1163" s="582">
        <v>13.631</v>
      </c>
      <c r="O1163" s="582">
        <v>13.4049</v>
      </c>
      <c r="P1163" s="582">
        <v>98.842100000000002</v>
      </c>
      <c r="Q1163" s="582">
        <f t="shared" si="134"/>
        <v>10.106549442770834</v>
      </c>
      <c r="R1163" s="582">
        <f t="shared" si="135"/>
        <v>3.1782505572291648</v>
      </c>
      <c r="S1163" s="582">
        <f t="shared" si="136"/>
        <v>3.3334505572291651</v>
      </c>
      <c r="T1163" s="582">
        <f t="shared" si="137"/>
        <v>3.7144505572291662</v>
      </c>
      <c r="U1163" s="582">
        <f t="shared" si="138"/>
        <v>3.5683505572291647</v>
      </c>
    </row>
    <row r="1164" spans="10:21">
      <c r="J1164" s="580">
        <v>41566</v>
      </c>
      <c r="K1164" s="581">
        <v>0.97916666666666663</v>
      </c>
      <c r="L1164" s="582">
        <v>13.475099999999999</v>
      </c>
      <c r="M1164" s="582">
        <v>12.862399999999999</v>
      </c>
      <c r="N1164" s="582">
        <v>13.8575</v>
      </c>
      <c r="O1164" s="582">
        <v>13.512600000000001</v>
      </c>
      <c r="P1164" s="582">
        <v>98.953400000000002</v>
      </c>
      <c r="Q1164" s="582">
        <f t="shared" si="134"/>
        <v>10.117929805520923</v>
      </c>
      <c r="R1164" s="582">
        <f t="shared" si="135"/>
        <v>3.1721701944790763</v>
      </c>
      <c r="S1164" s="582">
        <f t="shared" si="136"/>
        <v>3.3944701944790765</v>
      </c>
      <c r="T1164" s="582">
        <f t="shared" si="137"/>
        <v>3.9295701944790773</v>
      </c>
      <c r="U1164" s="582">
        <f t="shared" si="138"/>
        <v>3.6646701944790774</v>
      </c>
    </row>
    <row r="1165" spans="10:21">
      <c r="J1165" s="580">
        <v>41567</v>
      </c>
      <c r="K1165" s="581">
        <v>0.97916666666666663</v>
      </c>
      <c r="L1165" s="582">
        <v>13.3986</v>
      </c>
      <c r="M1165" s="582">
        <v>12.853400000000001</v>
      </c>
      <c r="N1165" s="582">
        <v>13.963100000000001</v>
      </c>
      <c r="O1165" s="582">
        <v>13.3064</v>
      </c>
      <c r="P1165" s="582">
        <v>98.608400000000003</v>
      </c>
      <c r="Q1165" s="582">
        <f t="shared" si="134"/>
        <v>10.082653748478874</v>
      </c>
      <c r="R1165" s="582">
        <f t="shared" si="135"/>
        <v>3.1309462515211259</v>
      </c>
      <c r="S1165" s="582">
        <f t="shared" si="136"/>
        <v>3.4207462515211269</v>
      </c>
      <c r="T1165" s="582">
        <f t="shared" si="137"/>
        <v>4.070446251521127</v>
      </c>
      <c r="U1165" s="582">
        <f t="shared" si="138"/>
        <v>3.4937462515211255</v>
      </c>
    </row>
    <row r="1166" spans="10:21">
      <c r="J1166" s="580">
        <v>41568</v>
      </c>
      <c r="K1166" s="581">
        <v>0.97916666666666663</v>
      </c>
      <c r="L1166" s="582">
        <v>13.3317</v>
      </c>
      <c r="M1166" s="582">
        <v>12.817399999999999</v>
      </c>
      <c r="N1166" s="582">
        <v>13.9068</v>
      </c>
      <c r="O1166" s="582">
        <v>13.2933</v>
      </c>
      <c r="P1166" s="582">
        <v>98.371799999999993</v>
      </c>
      <c r="Q1166" s="582">
        <f t="shared" si="134"/>
        <v>10.058461530808875</v>
      </c>
      <c r="R1166" s="582">
        <f t="shared" si="135"/>
        <v>3.0882384691911242</v>
      </c>
      <c r="S1166" s="582">
        <f t="shared" si="136"/>
        <v>3.4089384691911242</v>
      </c>
      <c r="T1166" s="582">
        <f t="shared" si="137"/>
        <v>4.0383384691911255</v>
      </c>
      <c r="U1166" s="582">
        <f t="shared" si="138"/>
        <v>3.5048384691911245</v>
      </c>
    </row>
    <row r="1167" spans="10:21">
      <c r="J1167" s="580">
        <v>41569</v>
      </c>
      <c r="K1167" s="581">
        <v>0.97916666666666663</v>
      </c>
      <c r="L1167" s="582">
        <v>13.2857</v>
      </c>
      <c r="M1167" s="582">
        <v>12.7997</v>
      </c>
      <c r="N1167" s="582">
        <v>13.855600000000001</v>
      </c>
      <c r="O1167" s="582">
        <v>13.2583</v>
      </c>
      <c r="P1167" s="582">
        <v>98.370800000000003</v>
      </c>
      <c r="Q1167" s="582">
        <f t="shared" si="134"/>
        <v>10.058359281368174</v>
      </c>
      <c r="R1167" s="582">
        <f t="shared" si="135"/>
        <v>3.0423407186318259</v>
      </c>
      <c r="S1167" s="582">
        <f t="shared" si="136"/>
        <v>3.3913407186318256</v>
      </c>
      <c r="T1167" s="582">
        <f t="shared" si="137"/>
        <v>3.9872407186318268</v>
      </c>
      <c r="U1167" s="582">
        <f t="shared" si="138"/>
        <v>3.4699407186318254</v>
      </c>
    </row>
    <row r="1168" spans="10:21">
      <c r="J1168" s="580">
        <v>41570</v>
      </c>
      <c r="K1168" s="581">
        <v>0.97916666666666663</v>
      </c>
      <c r="L1168" s="582">
        <v>13.2506</v>
      </c>
      <c r="M1168" s="582">
        <v>12.7864</v>
      </c>
      <c r="N1168" s="582">
        <v>13.812099999999999</v>
      </c>
      <c r="O1168" s="582">
        <v>13.2341</v>
      </c>
      <c r="P1168" s="582">
        <v>98.431600000000003</v>
      </c>
      <c r="Q1168" s="582">
        <f t="shared" si="134"/>
        <v>10.064576047362833</v>
      </c>
      <c r="R1168" s="582">
        <f t="shared" si="135"/>
        <v>3.0010239526371678</v>
      </c>
      <c r="S1168" s="582">
        <f t="shared" si="136"/>
        <v>3.3718239526371683</v>
      </c>
      <c r="T1168" s="582">
        <f t="shared" si="137"/>
        <v>3.937523952637167</v>
      </c>
      <c r="U1168" s="582">
        <f t="shared" si="138"/>
        <v>3.4395239526371668</v>
      </c>
    </row>
    <row r="1169" spans="10:21">
      <c r="J1169" s="580">
        <v>41571</v>
      </c>
      <c r="K1169" s="581">
        <v>0.97916666666666663</v>
      </c>
      <c r="L1169" s="582">
        <v>13.2075</v>
      </c>
      <c r="M1169" s="582">
        <v>12.7631</v>
      </c>
      <c r="N1169" s="582">
        <v>13.7546</v>
      </c>
      <c r="O1169" s="582">
        <v>13.2113</v>
      </c>
      <c r="P1169" s="582">
        <v>98.396799999999999</v>
      </c>
      <c r="Q1169" s="582">
        <f t="shared" si="134"/>
        <v>10.061017766826415</v>
      </c>
      <c r="R1169" s="582">
        <f t="shared" si="135"/>
        <v>2.9614822331735842</v>
      </c>
      <c r="S1169" s="582">
        <f t="shared" si="136"/>
        <v>3.3520822331735847</v>
      </c>
      <c r="T1169" s="582">
        <f t="shared" si="137"/>
        <v>3.883582233173585</v>
      </c>
      <c r="U1169" s="582">
        <f t="shared" si="138"/>
        <v>3.4202822331735838</v>
      </c>
    </row>
    <row r="1170" spans="10:21">
      <c r="J1170" s="580">
        <v>41572</v>
      </c>
      <c r="K1170" s="581">
        <v>0.97916666666666663</v>
      </c>
      <c r="L1170" s="582">
        <v>13.17</v>
      </c>
      <c r="M1170" s="582">
        <v>12.7493</v>
      </c>
      <c r="N1170" s="582">
        <v>13.706</v>
      </c>
      <c r="O1170" s="582">
        <v>13.2057</v>
      </c>
      <c r="P1170" s="582">
        <v>98.453599999999994</v>
      </c>
      <c r="Q1170" s="582">
        <f t="shared" si="134"/>
        <v>10.066825535058266</v>
      </c>
      <c r="R1170" s="582">
        <f t="shared" si="135"/>
        <v>2.918174464941734</v>
      </c>
      <c r="S1170" s="582">
        <f t="shared" si="136"/>
        <v>3.3324744649417344</v>
      </c>
      <c r="T1170" s="582">
        <f t="shared" si="137"/>
        <v>3.8291744649417341</v>
      </c>
      <c r="U1170" s="582">
        <f t="shared" si="138"/>
        <v>3.408874464941734</v>
      </c>
    </row>
    <row r="1171" spans="10:21">
      <c r="J1171" s="580">
        <v>41573</v>
      </c>
      <c r="K1171" s="581">
        <v>0.97916666666666663</v>
      </c>
      <c r="L1171" s="582">
        <v>13.1547</v>
      </c>
      <c r="M1171" s="582">
        <v>12.754799999999999</v>
      </c>
      <c r="N1171" s="582">
        <v>13.6912</v>
      </c>
      <c r="O1171" s="582">
        <v>13.209300000000001</v>
      </c>
      <c r="P1171" s="582">
        <v>98.699700000000007</v>
      </c>
      <c r="Q1171" s="582">
        <f t="shared" si="134"/>
        <v>10.09198912241493</v>
      </c>
      <c r="R1171" s="582">
        <f t="shared" si="135"/>
        <v>2.8777108775850704</v>
      </c>
      <c r="S1171" s="582">
        <f t="shared" si="136"/>
        <v>3.3128108775850702</v>
      </c>
      <c r="T1171" s="582">
        <f t="shared" si="137"/>
        <v>3.789210877585071</v>
      </c>
      <c r="U1171" s="582">
        <f t="shared" si="138"/>
        <v>3.3873108775850707</v>
      </c>
    </row>
    <row r="1172" spans="10:21">
      <c r="J1172" s="580">
        <v>41574</v>
      </c>
      <c r="K1172" s="581">
        <v>0.97916666666666663</v>
      </c>
      <c r="L1172" s="582">
        <v>13.1243</v>
      </c>
      <c r="M1172" s="582">
        <v>12.7417</v>
      </c>
      <c r="N1172" s="582">
        <v>13.645899999999999</v>
      </c>
      <c r="O1172" s="582">
        <v>13.193899999999999</v>
      </c>
      <c r="P1172" s="582">
        <v>98.767200000000003</v>
      </c>
      <c r="Q1172" s="582">
        <f t="shared" si="134"/>
        <v>10.098890959662286</v>
      </c>
      <c r="R1172" s="582">
        <f t="shared" si="135"/>
        <v>2.8404090403377134</v>
      </c>
      <c r="S1172" s="582">
        <f t="shared" si="136"/>
        <v>3.2928090403377137</v>
      </c>
      <c r="T1172" s="582">
        <f t="shared" si="137"/>
        <v>3.7370090403377132</v>
      </c>
      <c r="U1172" s="582">
        <f t="shared" si="138"/>
        <v>3.3650090403377124</v>
      </c>
    </row>
    <row r="1173" spans="10:21">
      <c r="J1173" s="580">
        <v>41575</v>
      </c>
      <c r="K1173" s="581">
        <v>0.97916666666666663</v>
      </c>
      <c r="L1173" s="582">
        <v>13.097300000000001</v>
      </c>
      <c r="M1173" s="582">
        <v>12.7348</v>
      </c>
      <c r="N1173" s="582">
        <v>13.612</v>
      </c>
      <c r="O1173" s="582">
        <v>13.1805</v>
      </c>
      <c r="P1173" s="582">
        <v>98.902699999999996</v>
      </c>
      <c r="Q1173" s="582">
        <f t="shared" si="134"/>
        <v>10.112745758877351</v>
      </c>
      <c r="R1173" s="582">
        <f t="shared" si="135"/>
        <v>2.7995542411226499</v>
      </c>
      <c r="S1173" s="582">
        <f t="shared" si="136"/>
        <v>3.2720542411226496</v>
      </c>
      <c r="T1173" s="582">
        <f t="shared" si="137"/>
        <v>3.6892542411226499</v>
      </c>
      <c r="U1173" s="582">
        <f t="shared" si="138"/>
        <v>3.3377542411226493</v>
      </c>
    </row>
    <row r="1174" spans="10:21">
      <c r="J1174" s="580">
        <v>41576</v>
      </c>
      <c r="K1174" s="581">
        <v>0.97916666666666663</v>
      </c>
      <c r="L1174" s="582">
        <v>13.0692</v>
      </c>
      <c r="M1174" s="582">
        <v>12.7256</v>
      </c>
      <c r="N1174" s="582">
        <v>13.5954</v>
      </c>
      <c r="O1174" s="582">
        <v>13.1723</v>
      </c>
      <c r="P1174" s="582">
        <v>99.005399999999995</v>
      </c>
      <c r="Q1174" s="582">
        <f t="shared" si="134"/>
        <v>10.123246776437405</v>
      </c>
      <c r="R1174" s="582">
        <f t="shared" si="135"/>
        <v>2.7609532235625953</v>
      </c>
      <c r="S1174" s="582">
        <f t="shared" si="136"/>
        <v>3.2523532235625954</v>
      </c>
      <c r="T1174" s="582">
        <f t="shared" si="137"/>
        <v>3.6621532235625951</v>
      </c>
      <c r="U1174" s="582">
        <f t="shared" si="138"/>
        <v>3.3190532235625945</v>
      </c>
    </row>
    <row r="1175" spans="10:21">
      <c r="J1175" s="580">
        <v>41577</v>
      </c>
      <c r="K1175" s="581">
        <v>0.97916666666666663</v>
      </c>
      <c r="L1175" s="582">
        <v>13.031499999999999</v>
      </c>
      <c r="M1175" s="582">
        <v>12.706300000000001</v>
      </c>
      <c r="N1175" s="582">
        <v>13.5495</v>
      </c>
      <c r="O1175" s="582">
        <v>13.1541</v>
      </c>
      <c r="P1175" s="582">
        <v>99.007800000000003</v>
      </c>
      <c r="Q1175" s="582">
        <f t="shared" si="134"/>
        <v>10.123492175095089</v>
      </c>
      <c r="R1175" s="582">
        <f t="shared" si="135"/>
        <v>2.7230078249049101</v>
      </c>
      <c r="S1175" s="582">
        <f t="shared" si="136"/>
        <v>3.2328078249049117</v>
      </c>
      <c r="T1175" s="582">
        <f t="shared" si="137"/>
        <v>3.6160078249049112</v>
      </c>
      <c r="U1175" s="582">
        <f t="shared" si="138"/>
        <v>3.30060782490491</v>
      </c>
    </row>
    <row r="1176" spans="10:21">
      <c r="J1176" s="580">
        <v>41578</v>
      </c>
      <c r="K1176" s="581">
        <v>0.97916666666666663</v>
      </c>
      <c r="L1176" s="582">
        <v>13.003500000000001</v>
      </c>
      <c r="M1176" s="582">
        <v>12.685499999999999</v>
      </c>
      <c r="N1176" s="582">
        <v>13.4985</v>
      </c>
      <c r="O1176" s="582">
        <v>13.1358</v>
      </c>
      <c r="P1176" s="582">
        <v>98.997299999999996</v>
      </c>
      <c r="Q1176" s="582">
        <f t="shared" si="134"/>
        <v>10.122418555967721</v>
      </c>
      <c r="R1176" s="582">
        <f t="shared" si="135"/>
        <v>2.6960814440322793</v>
      </c>
      <c r="S1176" s="582">
        <f t="shared" si="136"/>
        <v>3.2130814440322784</v>
      </c>
      <c r="T1176" s="582">
        <f t="shared" si="137"/>
        <v>3.566081444032279</v>
      </c>
      <c r="U1176" s="582">
        <f t="shared" si="138"/>
        <v>3.2833814440322779</v>
      </c>
    </row>
    <row r="1177" spans="10:21">
      <c r="J1177" s="580">
        <v>41579</v>
      </c>
      <c r="K1177" s="581">
        <v>0.97916666666666663</v>
      </c>
      <c r="L1177" s="582">
        <v>12.9596</v>
      </c>
      <c r="M1177" s="582">
        <v>12.659000000000001</v>
      </c>
      <c r="N1177" s="582">
        <v>13.440200000000001</v>
      </c>
      <c r="O1177" s="582">
        <v>13.108000000000001</v>
      </c>
      <c r="P1177" s="582">
        <v>98.930999999999997</v>
      </c>
      <c r="Q1177" s="582">
        <f t="shared" si="134"/>
        <v>10.115639418049206</v>
      </c>
      <c r="R1177" s="582">
        <f t="shared" si="135"/>
        <v>2.6589605819507942</v>
      </c>
      <c r="S1177" s="582">
        <f t="shared" si="136"/>
        <v>3.1933605819507953</v>
      </c>
      <c r="T1177" s="582">
        <f t="shared" si="137"/>
        <v>3.5145605819507955</v>
      </c>
      <c r="U1177" s="582">
        <f t="shared" si="138"/>
        <v>3.2623605819507944</v>
      </c>
    </row>
    <row r="1178" spans="10:21">
      <c r="J1178" s="580">
        <v>41580</v>
      </c>
      <c r="K1178" s="581">
        <v>0.97916666666666663</v>
      </c>
      <c r="L1178" s="582">
        <v>12.924899999999999</v>
      </c>
      <c r="M1178" s="582">
        <v>12.6419</v>
      </c>
      <c r="N1178" s="582">
        <v>13.4063</v>
      </c>
      <c r="O1178" s="582">
        <v>13.089600000000001</v>
      </c>
      <c r="P1178" s="582">
        <v>98.91</v>
      </c>
      <c r="Q1178" s="582">
        <f t="shared" si="134"/>
        <v>10.113492179794473</v>
      </c>
      <c r="R1178" s="582">
        <f t="shared" si="135"/>
        <v>2.6264078202055257</v>
      </c>
      <c r="S1178" s="582">
        <f t="shared" si="136"/>
        <v>3.1784078202055266</v>
      </c>
      <c r="T1178" s="582">
        <f t="shared" si="137"/>
        <v>3.4828078202055268</v>
      </c>
      <c r="U1178" s="582">
        <f t="shared" si="138"/>
        <v>3.2461078202055269</v>
      </c>
    </row>
    <row r="1179" spans="10:21">
      <c r="J1179" s="580">
        <v>41581</v>
      </c>
      <c r="K1179" s="581">
        <v>0.97916666666666663</v>
      </c>
      <c r="L1179" s="582">
        <v>12.896100000000001</v>
      </c>
      <c r="M1179" s="582">
        <v>12.629799999999999</v>
      </c>
      <c r="N1179" s="582">
        <v>13.379</v>
      </c>
      <c r="O1179" s="582">
        <v>13.077400000000001</v>
      </c>
      <c r="P1179" s="582">
        <v>98.975499999999997</v>
      </c>
      <c r="Q1179" s="582">
        <f t="shared" si="134"/>
        <v>10.120189518160426</v>
      </c>
      <c r="R1179" s="582">
        <f t="shared" si="135"/>
        <v>2.5909104818395741</v>
      </c>
      <c r="S1179" s="582">
        <f t="shared" si="136"/>
        <v>3.1596104818395734</v>
      </c>
      <c r="T1179" s="582">
        <f t="shared" si="137"/>
        <v>3.4488104818395735</v>
      </c>
      <c r="U1179" s="582">
        <f t="shared" si="138"/>
        <v>3.2272104818395739</v>
      </c>
    </row>
    <row r="1180" spans="10:21">
      <c r="J1180" s="580">
        <v>41582</v>
      </c>
      <c r="K1180" s="581">
        <v>0.97916666666666663</v>
      </c>
      <c r="L1180" s="582">
        <v>12.926500000000001</v>
      </c>
      <c r="M1180" s="582">
        <v>12.6485</v>
      </c>
      <c r="N1180" s="582">
        <v>13.3856</v>
      </c>
      <c r="O1180" s="582">
        <v>13.100099999999999</v>
      </c>
      <c r="P1180" s="582">
        <v>99.071700000000007</v>
      </c>
      <c r="Q1180" s="582">
        <f t="shared" si="134"/>
        <v>10.130025914355921</v>
      </c>
      <c r="R1180" s="582">
        <f t="shared" si="135"/>
        <v>2.6114740856440801</v>
      </c>
      <c r="S1180" s="582">
        <f t="shared" si="136"/>
        <v>3.1684740856440801</v>
      </c>
      <c r="T1180" s="582">
        <f t="shared" si="137"/>
        <v>3.44557408564408</v>
      </c>
      <c r="U1180" s="582">
        <f t="shared" si="138"/>
        <v>3.2400740856440784</v>
      </c>
    </row>
    <row r="1181" spans="10:21">
      <c r="J1181" s="580">
        <v>41583</v>
      </c>
      <c r="K1181" s="581">
        <v>0.97916666666666663</v>
      </c>
      <c r="L1181" s="582">
        <v>12.914400000000001</v>
      </c>
      <c r="M1181" s="582">
        <v>12.6472</v>
      </c>
      <c r="N1181" s="582">
        <v>13.359400000000001</v>
      </c>
      <c r="O1181" s="582">
        <v>13.088699999999999</v>
      </c>
      <c r="P1181" s="582">
        <v>99.053899999999999</v>
      </c>
      <c r="Q1181" s="582">
        <f t="shared" si="134"/>
        <v>10.128205874311432</v>
      </c>
      <c r="R1181" s="582">
        <f t="shared" si="135"/>
        <v>2.6011941256885689</v>
      </c>
      <c r="S1181" s="582">
        <f t="shared" si="136"/>
        <v>3.1689941256885685</v>
      </c>
      <c r="T1181" s="582">
        <f t="shared" si="137"/>
        <v>3.4211941256885696</v>
      </c>
      <c r="U1181" s="582">
        <f t="shared" si="138"/>
        <v>3.2304941256885673</v>
      </c>
    </row>
    <row r="1182" spans="10:21">
      <c r="J1182" s="580">
        <v>41584</v>
      </c>
      <c r="K1182" s="581">
        <v>0.97916666666666663</v>
      </c>
      <c r="L1182" s="582">
        <v>12.874000000000001</v>
      </c>
      <c r="M1182" s="582">
        <v>12.620200000000001</v>
      </c>
      <c r="N1182" s="582">
        <v>13.3187</v>
      </c>
      <c r="O1182" s="582">
        <v>13.061400000000001</v>
      </c>
      <c r="P1182" s="582">
        <v>98.994299999999996</v>
      </c>
      <c r="Q1182" s="582">
        <f t="shared" si="134"/>
        <v>10.122111807645616</v>
      </c>
      <c r="R1182" s="582">
        <f t="shared" si="135"/>
        <v>2.566888192354384</v>
      </c>
      <c r="S1182" s="582">
        <f t="shared" si="136"/>
        <v>3.1480881923543844</v>
      </c>
      <c r="T1182" s="582">
        <f t="shared" si="137"/>
        <v>3.3865881923543837</v>
      </c>
      <c r="U1182" s="582">
        <f t="shared" si="138"/>
        <v>3.2092881923543839</v>
      </c>
    </row>
    <row r="1183" spans="10:21">
      <c r="J1183" s="580">
        <v>41585</v>
      </c>
      <c r="K1183" s="581">
        <v>0.97916666666666663</v>
      </c>
      <c r="L1183" s="582">
        <v>12.832599999999999</v>
      </c>
      <c r="M1183" s="582">
        <v>12.595499999999999</v>
      </c>
      <c r="N1183" s="582">
        <v>13.2738</v>
      </c>
      <c r="O1183" s="582">
        <v>13.032400000000001</v>
      </c>
      <c r="P1183" s="582">
        <v>98.925299999999993</v>
      </c>
      <c r="Q1183" s="582">
        <f t="shared" si="134"/>
        <v>10.115056596237206</v>
      </c>
      <c r="R1183" s="582">
        <f t="shared" si="135"/>
        <v>2.532543403762793</v>
      </c>
      <c r="S1183" s="582">
        <f t="shared" si="136"/>
        <v>3.1304434037627935</v>
      </c>
      <c r="T1183" s="582">
        <f t="shared" si="137"/>
        <v>3.3487434037627937</v>
      </c>
      <c r="U1183" s="582">
        <f t="shared" si="138"/>
        <v>3.1873434037627941</v>
      </c>
    </row>
    <row r="1184" spans="10:21">
      <c r="J1184" s="580">
        <v>41586</v>
      </c>
      <c r="K1184" s="581">
        <v>0.97916666666666663</v>
      </c>
      <c r="L1184" s="582">
        <v>12.789300000000001</v>
      </c>
      <c r="M1184" s="582">
        <v>12.564</v>
      </c>
      <c r="N1184" s="582">
        <v>13.222300000000001</v>
      </c>
      <c r="O1184" s="582">
        <v>12.9964</v>
      </c>
      <c r="P1184" s="582">
        <v>98.818200000000004</v>
      </c>
      <c r="Q1184" s="582">
        <f t="shared" si="134"/>
        <v>10.104105681138067</v>
      </c>
      <c r="R1184" s="582">
        <f t="shared" si="135"/>
        <v>2.5001943188619333</v>
      </c>
      <c r="S1184" s="582">
        <f t="shared" si="136"/>
        <v>3.109894318861933</v>
      </c>
      <c r="T1184" s="582">
        <f t="shared" si="137"/>
        <v>3.3081943188619336</v>
      </c>
      <c r="U1184" s="582">
        <f t="shared" si="138"/>
        <v>3.1622943188619317</v>
      </c>
    </row>
    <row r="1185" spans="10:21">
      <c r="J1185" s="580">
        <v>41587</v>
      </c>
      <c r="K1185" s="581">
        <v>0.97916666666666663</v>
      </c>
      <c r="L1185" s="582">
        <v>12.7469</v>
      </c>
      <c r="M1185" s="582">
        <v>12.5402</v>
      </c>
      <c r="N1185" s="582">
        <v>13.177</v>
      </c>
      <c r="O1185" s="582">
        <v>12.966900000000001</v>
      </c>
      <c r="P1185" s="582">
        <v>98.757099999999994</v>
      </c>
      <c r="Q1185" s="582">
        <f t="shared" si="134"/>
        <v>10.097858240311199</v>
      </c>
      <c r="R1185" s="582">
        <f t="shared" si="135"/>
        <v>2.4640417596888011</v>
      </c>
      <c r="S1185" s="582">
        <f t="shared" si="136"/>
        <v>3.0923417596888019</v>
      </c>
      <c r="T1185" s="582">
        <f t="shared" si="137"/>
        <v>3.2691417596888011</v>
      </c>
      <c r="U1185" s="582">
        <f t="shared" si="138"/>
        <v>3.1390417596888014</v>
      </c>
    </row>
    <row r="1186" spans="10:21">
      <c r="J1186" s="580">
        <v>41588</v>
      </c>
      <c r="K1186" s="581">
        <v>0.97916666666666663</v>
      </c>
      <c r="L1186" s="582">
        <v>12.7127</v>
      </c>
      <c r="M1186" s="582">
        <v>12.5229</v>
      </c>
      <c r="N1186" s="582">
        <v>13.139799999999999</v>
      </c>
      <c r="O1186" s="582">
        <v>12.944000000000001</v>
      </c>
      <c r="P1186" s="582">
        <v>98.790400000000005</v>
      </c>
      <c r="Q1186" s="582">
        <f t="shared" si="134"/>
        <v>10.101263146686563</v>
      </c>
      <c r="R1186" s="582">
        <f t="shared" si="135"/>
        <v>2.4264368533134371</v>
      </c>
      <c r="S1186" s="582">
        <f t="shared" si="136"/>
        <v>3.0716368533134375</v>
      </c>
      <c r="T1186" s="582">
        <f t="shared" si="137"/>
        <v>3.2285368533134369</v>
      </c>
      <c r="U1186" s="582">
        <f t="shared" si="138"/>
        <v>3.1127368533134376</v>
      </c>
    </row>
    <row r="1187" spans="10:21">
      <c r="J1187" s="580">
        <v>41589</v>
      </c>
      <c r="K1187" s="581">
        <v>0.97916666666666663</v>
      </c>
      <c r="L1187" s="582">
        <v>12.6671</v>
      </c>
      <c r="M1187" s="582">
        <v>12.4932</v>
      </c>
      <c r="N1187" s="582">
        <v>13.0906</v>
      </c>
      <c r="O1187" s="582">
        <v>12.896599999999999</v>
      </c>
      <c r="P1187" s="582">
        <v>98.716800000000006</v>
      </c>
      <c r="Q1187" s="582">
        <f t="shared" si="134"/>
        <v>10.093737587850926</v>
      </c>
      <c r="R1187" s="582">
        <f t="shared" si="135"/>
        <v>2.3883624121490734</v>
      </c>
      <c r="S1187" s="582">
        <f t="shared" si="136"/>
        <v>3.0494624121490741</v>
      </c>
      <c r="T1187" s="582">
        <f t="shared" si="137"/>
        <v>3.1868624121490745</v>
      </c>
      <c r="U1187" s="582">
        <f t="shared" si="138"/>
        <v>3.0728624121490729</v>
      </c>
    </row>
    <row r="1188" spans="10:21">
      <c r="J1188" s="580">
        <v>41590</v>
      </c>
      <c r="K1188" s="581">
        <v>0.97916666666666663</v>
      </c>
      <c r="L1188" s="582">
        <v>12.635999999999999</v>
      </c>
      <c r="M1188" s="582">
        <v>12.474399999999999</v>
      </c>
      <c r="N1188" s="582">
        <v>13.059799999999999</v>
      </c>
      <c r="O1188" s="582">
        <v>12.879099999999999</v>
      </c>
      <c r="P1188" s="582">
        <v>98.756299999999996</v>
      </c>
      <c r="Q1188" s="582">
        <f t="shared" si="134"/>
        <v>10.097776440758638</v>
      </c>
      <c r="R1188" s="582">
        <f t="shared" si="135"/>
        <v>2.3532235592413611</v>
      </c>
      <c r="S1188" s="582">
        <f t="shared" si="136"/>
        <v>3.0266235592413615</v>
      </c>
      <c r="T1188" s="582">
        <f t="shared" si="137"/>
        <v>3.1520235592413615</v>
      </c>
      <c r="U1188" s="582">
        <f t="shared" si="138"/>
        <v>3.0513235592413608</v>
      </c>
    </row>
    <row r="1189" spans="10:21">
      <c r="J1189" s="580">
        <v>41591</v>
      </c>
      <c r="K1189" s="581">
        <v>0.97916666666666663</v>
      </c>
      <c r="L1189" s="582">
        <v>12.614800000000001</v>
      </c>
      <c r="M1189" s="582">
        <v>12.4627</v>
      </c>
      <c r="N1189" s="582">
        <v>13.037699999999999</v>
      </c>
      <c r="O1189" s="582">
        <v>12.8683</v>
      </c>
      <c r="P1189" s="582">
        <v>98.846500000000006</v>
      </c>
      <c r="Q1189" s="582">
        <f t="shared" si="134"/>
        <v>10.106999340309923</v>
      </c>
      <c r="R1189" s="582">
        <f t="shared" si="135"/>
        <v>2.3228006596900781</v>
      </c>
      <c r="S1189" s="582">
        <f t="shared" si="136"/>
        <v>3.0057006596900777</v>
      </c>
      <c r="T1189" s="582">
        <f t="shared" si="137"/>
        <v>3.120700659690077</v>
      </c>
      <c r="U1189" s="582">
        <f t="shared" si="138"/>
        <v>3.0313006596900767</v>
      </c>
    </row>
    <row r="1190" spans="10:21">
      <c r="J1190" s="580">
        <v>41592</v>
      </c>
      <c r="K1190" s="581">
        <v>0.97916666666666663</v>
      </c>
      <c r="L1190" s="582">
        <v>12.578099999999999</v>
      </c>
      <c r="M1190" s="582">
        <v>12.4407</v>
      </c>
      <c r="N1190" s="582">
        <v>13.006</v>
      </c>
      <c r="O1190" s="582">
        <v>12.849299999999999</v>
      </c>
      <c r="P1190" s="582">
        <v>98.886099999999999</v>
      </c>
      <c r="Q1190" s="582">
        <f t="shared" si="134"/>
        <v>10.111048418161705</v>
      </c>
      <c r="R1190" s="582">
        <f t="shared" si="135"/>
        <v>2.2820515818382945</v>
      </c>
      <c r="S1190" s="582">
        <f t="shared" si="136"/>
        <v>2.9796515818382954</v>
      </c>
      <c r="T1190" s="582">
        <f t="shared" si="137"/>
        <v>3.084951581838296</v>
      </c>
      <c r="U1190" s="582">
        <f t="shared" si="138"/>
        <v>3.0082515818382944</v>
      </c>
    </row>
    <row r="1191" spans="10:21">
      <c r="J1191" s="580">
        <v>41593</v>
      </c>
      <c r="K1191" s="581">
        <v>0.97916666666666663</v>
      </c>
      <c r="L1191" s="582">
        <v>12.5161</v>
      </c>
      <c r="M1191" s="582">
        <v>12.3987</v>
      </c>
      <c r="N1191" s="582">
        <v>12.944599999999999</v>
      </c>
      <c r="O1191" s="582">
        <v>12.793799999999999</v>
      </c>
      <c r="P1191" s="582">
        <v>98.698999999999998</v>
      </c>
      <c r="Q1191" s="582">
        <f t="shared" si="134"/>
        <v>10.091917547806437</v>
      </c>
      <c r="R1191" s="582">
        <f t="shared" si="135"/>
        <v>2.2391824521935626</v>
      </c>
      <c r="S1191" s="582">
        <f t="shared" si="136"/>
        <v>2.9567824521935631</v>
      </c>
      <c r="T1191" s="582">
        <f t="shared" si="137"/>
        <v>3.0426824521935627</v>
      </c>
      <c r="U1191" s="582">
        <f t="shared" si="138"/>
        <v>2.9718824521935616</v>
      </c>
    </row>
    <row r="1192" spans="10:21">
      <c r="J1192" s="580">
        <v>41594</v>
      </c>
      <c r="K1192" s="581">
        <v>0.97916666666666663</v>
      </c>
      <c r="L1192" s="582">
        <v>12.4627</v>
      </c>
      <c r="M1192" s="582">
        <v>12.364699999999999</v>
      </c>
      <c r="N1192" s="582">
        <v>12.897500000000001</v>
      </c>
      <c r="O1192" s="582">
        <v>12.7501</v>
      </c>
      <c r="P1192" s="582">
        <v>98.639099999999999</v>
      </c>
      <c r="Q1192" s="582">
        <f t="shared" si="134"/>
        <v>10.085792806308412</v>
      </c>
      <c r="R1192" s="582">
        <f t="shared" si="135"/>
        <v>2.1919071936915882</v>
      </c>
      <c r="S1192" s="582">
        <f t="shared" si="136"/>
        <v>2.9289071936915878</v>
      </c>
      <c r="T1192" s="582">
        <f t="shared" si="137"/>
        <v>3.0017071936915896</v>
      </c>
      <c r="U1192" s="582">
        <f t="shared" si="138"/>
        <v>2.9343071936915877</v>
      </c>
    </row>
    <row r="1193" spans="10:21">
      <c r="J1193" s="580">
        <v>41595</v>
      </c>
      <c r="K1193" s="581">
        <v>0.97916666666666663</v>
      </c>
      <c r="L1193" s="582">
        <v>12.547800000000001</v>
      </c>
      <c r="M1193" s="582">
        <v>12.687099999999999</v>
      </c>
      <c r="N1193" s="582">
        <v>13.7012</v>
      </c>
      <c r="O1193" s="582">
        <v>13.2865</v>
      </c>
      <c r="P1193" s="582">
        <v>98.843199999999996</v>
      </c>
      <c r="Q1193" s="582">
        <f t="shared" si="134"/>
        <v>10.106661917155606</v>
      </c>
      <c r="R1193" s="582">
        <f t="shared" si="135"/>
        <v>2.2561380828443949</v>
      </c>
      <c r="S1193" s="582">
        <f t="shared" si="136"/>
        <v>3.2304380828443939</v>
      </c>
      <c r="T1193" s="582">
        <f t="shared" si="137"/>
        <v>3.7845380828443949</v>
      </c>
      <c r="U1193" s="582">
        <f t="shared" si="138"/>
        <v>3.4498380828443942</v>
      </c>
    </row>
    <row r="1194" spans="10:21">
      <c r="J1194" s="580">
        <v>41596</v>
      </c>
      <c r="K1194" s="581">
        <v>0.97916666666666663</v>
      </c>
      <c r="L1194" s="582">
        <v>12.5235</v>
      </c>
      <c r="M1194" s="582">
        <v>12.686500000000001</v>
      </c>
      <c r="N1194" s="582">
        <v>13.7136</v>
      </c>
      <c r="O1194" s="582">
        <v>13.2874</v>
      </c>
      <c r="P1194" s="582">
        <v>99.026899999999998</v>
      </c>
      <c r="Q1194" s="582">
        <f t="shared" si="134"/>
        <v>10.12544513941249</v>
      </c>
      <c r="R1194" s="582">
        <f t="shared" si="135"/>
        <v>2.2130548605875107</v>
      </c>
      <c r="S1194" s="582">
        <f t="shared" si="136"/>
        <v>3.2110548605875113</v>
      </c>
      <c r="T1194" s="582">
        <f t="shared" si="137"/>
        <v>3.7781548605875104</v>
      </c>
      <c r="U1194" s="582">
        <f t="shared" si="138"/>
        <v>3.4319548605875099</v>
      </c>
    </row>
    <row r="1195" spans="10:21">
      <c r="J1195" s="580">
        <v>41597</v>
      </c>
      <c r="K1195" s="581">
        <v>0.97916666666666663</v>
      </c>
      <c r="L1195" s="582">
        <v>12.468</v>
      </c>
      <c r="M1195" s="582">
        <v>12.6553</v>
      </c>
      <c r="N1195" s="582">
        <v>13.6645</v>
      </c>
      <c r="O1195" s="582">
        <v>13.2516</v>
      </c>
      <c r="P1195" s="582">
        <v>98.904200000000003</v>
      </c>
      <c r="Q1195" s="582">
        <f t="shared" si="134"/>
        <v>10.112899133038404</v>
      </c>
      <c r="R1195" s="582">
        <f t="shared" si="135"/>
        <v>2.170100866961596</v>
      </c>
      <c r="S1195" s="582">
        <f t="shared" si="136"/>
        <v>3.1924008669615969</v>
      </c>
      <c r="T1195" s="582">
        <f t="shared" si="137"/>
        <v>3.7416008669615968</v>
      </c>
      <c r="U1195" s="582">
        <f t="shared" si="138"/>
        <v>3.4087008669615955</v>
      </c>
    </row>
    <row r="1196" spans="10:21">
      <c r="J1196" s="580">
        <v>41598</v>
      </c>
      <c r="K1196" s="581">
        <v>0.97916666666666663</v>
      </c>
      <c r="L1196" s="582">
        <v>12.3918</v>
      </c>
      <c r="M1196" s="582">
        <v>12.6037</v>
      </c>
      <c r="N1196" s="582">
        <v>13.5923</v>
      </c>
      <c r="O1196" s="582">
        <v>13.1952</v>
      </c>
      <c r="P1196" s="582">
        <v>98.595799999999997</v>
      </c>
      <c r="Q1196" s="582">
        <f t="shared" si="134"/>
        <v>10.081365405526032</v>
      </c>
      <c r="R1196" s="582">
        <f t="shared" si="135"/>
        <v>2.1254345944739677</v>
      </c>
      <c r="S1196" s="582">
        <f t="shared" si="136"/>
        <v>3.172334594473968</v>
      </c>
      <c r="T1196" s="582">
        <f t="shared" si="137"/>
        <v>3.700934594473968</v>
      </c>
      <c r="U1196" s="582">
        <f t="shared" si="138"/>
        <v>3.3838345944739672</v>
      </c>
    </row>
    <row r="1197" spans="10:21">
      <c r="J1197" s="580">
        <v>41599</v>
      </c>
      <c r="K1197" s="581">
        <v>0.97916666666666663</v>
      </c>
      <c r="L1197" s="582">
        <v>12.34</v>
      </c>
      <c r="M1197" s="582">
        <v>12.5838</v>
      </c>
      <c r="N1197" s="582">
        <v>13.5557</v>
      </c>
      <c r="O1197" s="582">
        <v>13.173299999999999</v>
      </c>
      <c r="P1197" s="582">
        <v>98.628600000000006</v>
      </c>
      <c r="Q1197" s="582">
        <f t="shared" si="134"/>
        <v>10.084719187181046</v>
      </c>
      <c r="R1197" s="582">
        <f t="shared" si="135"/>
        <v>2.0702808128189543</v>
      </c>
      <c r="S1197" s="582">
        <f t="shared" si="136"/>
        <v>3.1490808128189549</v>
      </c>
      <c r="T1197" s="582">
        <f t="shared" si="137"/>
        <v>3.6609808128189547</v>
      </c>
      <c r="U1197" s="582">
        <f t="shared" si="138"/>
        <v>3.3585808128189534</v>
      </c>
    </row>
    <row r="1198" spans="10:21">
      <c r="J1198" s="580">
        <v>41600</v>
      </c>
      <c r="K1198" s="581">
        <v>0.97916666666666663</v>
      </c>
      <c r="L1198" s="582">
        <v>12.2986</v>
      </c>
      <c r="M1198" s="582">
        <v>12.572900000000001</v>
      </c>
      <c r="N1198" s="582">
        <v>13.5303</v>
      </c>
      <c r="O1198" s="582">
        <v>13.1592</v>
      </c>
      <c r="P1198" s="582">
        <v>98.755799999999994</v>
      </c>
      <c r="Q1198" s="582">
        <f t="shared" si="134"/>
        <v>10.097725316038288</v>
      </c>
      <c r="R1198" s="582">
        <f t="shared" si="135"/>
        <v>2.0158746839617128</v>
      </c>
      <c r="S1198" s="582">
        <f t="shared" si="136"/>
        <v>3.1251746839617134</v>
      </c>
      <c r="T1198" s="582">
        <f t="shared" si="137"/>
        <v>3.6225746839617132</v>
      </c>
      <c r="U1198" s="582">
        <f t="shared" si="138"/>
        <v>3.3314746839617122</v>
      </c>
    </row>
    <row r="1199" spans="10:21">
      <c r="J1199" s="580">
        <v>41601</v>
      </c>
      <c r="K1199" s="581">
        <v>0.97916666666666663</v>
      </c>
      <c r="L1199" s="582">
        <v>12.257099999999999</v>
      </c>
      <c r="M1199" s="582">
        <v>12.560600000000001</v>
      </c>
      <c r="N1199" s="582">
        <v>13.4964</v>
      </c>
      <c r="O1199" s="582">
        <v>13.1417</v>
      </c>
      <c r="P1199" s="582">
        <v>98.825299999999999</v>
      </c>
      <c r="Q1199" s="582">
        <f t="shared" si="134"/>
        <v>10.104831652167048</v>
      </c>
      <c r="R1199" s="582">
        <f t="shared" si="135"/>
        <v>1.9672683478329511</v>
      </c>
      <c r="S1199" s="582">
        <f t="shared" si="136"/>
        <v>3.105768347832953</v>
      </c>
      <c r="T1199" s="582">
        <f t="shared" si="137"/>
        <v>3.5815683478329516</v>
      </c>
      <c r="U1199" s="582">
        <f t="shared" si="138"/>
        <v>3.3068683478329515</v>
      </c>
    </row>
    <row r="1200" spans="10:21">
      <c r="J1200" s="580">
        <v>41602</v>
      </c>
      <c r="K1200" s="581">
        <v>0.97916666666666663</v>
      </c>
      <c r="L1200" s="582">
        <v>12.219099999999999</v>
      </c>
      <c r="M1200" s="582">
        <v>12.545</v>
      </c>
      <c r="N1200" s="582">
        <v>13.4635</v>
      </c>
      <c r="O1200" s="582">
        <v>13.124700000000001</v>
      </c>
      <c r="P1200" s="582">
        <v>98.907600000000002</v>
      </c>
      <c r="Q1200" s="582">
        <f t="shared" si="134"/>
        <v>10.113246781136789</v>
      </c>
      <c r="R1200" s="582">
        <f t="shared" si="135"/>
        <v>1.9208532188632099</v>
      </c>
      <c r="S1200" s="582">
        <f t="shared" si="136"/>
        <v>3.0817532188632111</v>
      </c>
      <c r="T1200" s="582">
        <f t="shared" si="137"/>
        <v>3.540253218863211</v>
      </c>
      <c r="U1200" s="582">
        <f t="shared" si="138"/>
        <v>3.2814532188632111</v>
      </c>
    </row>
    <row r="1201" spans="10:21">
      <c r="J1201" s="580">
        <v>41603</v>
      </c>
      <c r="K1201" s="581">
        <v>0.97916666666666663</v>
      </c>
      <c r="L1201" s="582">
        <v>12.1578</v>
      </c>
      <c r="M1201" s="582">
        <v>12.5017</v>
      </c>
      <c r="N1201" s="582">
        <v>13.4091</v>
      </c>
      <c r="O1201" s="582">
        <v>13.0848</v>
      </c>
      <c r="P1201" s="582">
        <v>98.754300000000001</v>
      </c>
      <c r="Q1201" s="582">
        <f t="shared" si="134"/>
        <v>10.097571941877236</v>
      </c>
      <c r="R1201" s="582">
        <f t="shared" si="135"/>
        <v>1.8752280581227638</v>
      </c>
      <c r="S1201" s="582">
        <f t="shared" si="136"/>
        <v>3.0541280581227639</v>
      </c>
      <c r="T1201" s="582">
        <f t="shared" si="137"/>
        <v>3.5015280581227648</v>
      </c>
      <c r="U1201" s="582">
        <f t="shared" si="138"/>
        <v>3.2572280581227631</v>
      </c>
    </row>
    <row r="1202" spans="10:21">
      <c r="J1202" s="580">
        <v>41604</v>
      </c>
      <c r="K1202" s="581">
        <v>0.97916666666666663</v>
      </c>
      <c r="L1202" s="582">
        <v>12.1182</v>
      </c>
      <c r="M1202" s="582">
        <v>12.471</v>
      </c>
      <c r="N1202" s="582">
        <v>13.370799999999999</v>
      </c>
      <c r="O1202" s="582">
        <v>13.057600000000001</v>
      </c>
      <c r="P1202" s="582">
        <v>98.742000000000004</v>
      </c>
      <c r="Q1202" s="582">
        <f t="shared" si="134"/>
        <v>10.096314273756606</v>
      </c>
      <c r="R1202" s="582">
        <f t="shared" si="135"/>
        <v>1.8368857262433935</v>
      </c>
      <c r="S1202" s="582">
        <f t="shared" si="136"/>
        <v>3.0246857262433942</v>
      </c>
      <c r="T1202" s="582">
        <f t="shared" si="137"/>
        <v>3.4644857262433932</v>
      </c>
      <c r="U1202" s="582">
        <f t="shared" si="138"/>
        <v>3.2312857262433941</v>
      </c>
    </row>
    <row r="1203" spans="10:21">
      <c r="J1203" s="580">
        <v>41605</v>
      </c>
      <c r="K1203" s="581">
        <v>0.97916666666666663</v>
      </c>
      <c r="L1203" s="582">
        <v>12.0901</v>
      </c>
      <c r="M1203" s="582">
        <v>12.451700000000001</v>
      </c>
      <c r="N1203" s="582">
        <v>13.3338</v>
      </c>
      <c r="O1203" s="582">
        <v>13.039099999999999</v>
      </c>
      <c r="P1203" s="582">
        <v>98.823599999999999</v>
      </c>
      <c r="Q1203" s="582">
        <f t="shared" si="134"/>
        <v>10.104657828117855</v>
      </c>
      <c r="R1203" s="582">
        <f t="shared" si="135"/>
        <v>1.8004421718821448</v>
      </c>
      <c r="S1203" s="582">
        <f t="shared" si="136"/>
        <v>2.9970421718821463</v>
      </c>
      <c r="T1203" s="582">
        <f t="shared" si="137"/>
        <v>3.4191421718821458</v>
      </c>
      <c r="U1203" s="582">
        <f t="shared" si="138"/>
        <v>3.2044421718821443</v>
      </c>
    </row>
    <row r="1204" spans="10:21">
      <c r="J1204" s="580">
        <v>41606</v>
      </c>
      <c r="K1204" s="581">
        <v>0.97916666666666663</v>
      </c>
      <c r="L1204" s="582">
        <v>12.0692</v>
      </c>
      <c r="M1204" s="582">
        <v>12.442600000000001</v>
      </c>
      <c r="N1204" s="582">
        <v>13.3042</v>
      </c>
      <c r="O1204" s="582">
        <v>13.027100000000001</v>
      </c>
      <c r="P1204" s="582">
        <v>98.969300000000004</v>
      </c>
      <c r="Q1204" s="582">
        <f t="shared" si="134"/>
        <v>10.119555571628078</v>
      </c>
      <c r="R1204" s="582">
        <f t="shared" si="135"/>
        <v>1.764644428371922</v>
      </c>
      <c r="S1204" s="582">
        <f t="shared" si="136"/>
        <v>2.9730444283719226</v>
      </c>
      <c r="T1204" s="582">
        <f t="shared" si="137"/>
        <v>3.3746444283719219</v>
      </c>
      <c r="U1204" s="582">
        <f t="shared" si="138"/>
        <v>3.1775444283719221</v>
      </c>
    </row>
    <row r="1205" spans="10:21">
      <c r="J1205" s="580">
        <v>41607</v>
      </c>
      <c r="K1205" s="581">
        <v>0.97916666666666663</v>
      </c>
      <c r="L1205" s="582">
        <v>12.026400000000001</v>
      </c>
      <c r="M1205" s="582">
        <v>12.426</v>
      </c>
      <c r="N1205" s="582">
        <v>13.2758</v>
      </c>
      <c r="O1205" s="582">
        <v>13.007099999999999</v>
      </c>
      <c r="P1205" s="582">
        <v>99.029499999999999</v>
      </c>
      <c r="Q1205" s="582">
        <f t="shared" ref="Q1205:Q1268" si="139">P1205/($G$8*$H$8)</f>
        <v>10.125710987958314</v>
      </c>
      <c r="R1205" s="582">
        <f t="shared" ref="R1205:R1268" si="140">IF((L1205-Q1205-$D$8+$E$8)&lt;0,0,(L1205-Q1205-$D$8+$E$8))</f>
        <v>1.7156890120416866</v>
      </c>
      <c r="S1205" s="582">
        <f t="shared" ref="S1205:S1214" si="141">M1205-Q1205-$D$9+$E$9</f>
        <v>2.9502890120416865</v>
      </c>
      <c r="T1205" s="582">
        <f t="shared" ref="T1205:T1268" si="142">N1205-Q1205-$D$10+$E$10</f>
        <v>3.3400890120416866</v>
      </c>
      <c r="U1205" s="582">
        <f t="shared" ref="U1205:U1268" si="143">O1205-Q1205-$D$11+$E$11</f>
        <v>3.151389012041685</v>
      </c>
    </row>
    <row r="1206" spans="10:21">
      <c r="J1206" s="580">
        <v>41608</v>
      </c>
      <c r="K1206" s="581">
        <v>0.97916666666666663</v>
      </c>
      <c r="L1206" s="582">
        <v>11.9795</v>
      </c>
      <c r="M1206" s="582">
        <v>12.3954</v>
      </c>
      <c r="N1206" s="582">
        <v>13.2439</v>
      </c>
      <c r="O1206" s="582">
        <v>12.9755</v>
      </c>
      <c r="P1206" s="582">
        <v>98.979699999999994</v>
      </c>
      <c r="Q1206" s="582">
        <f t="shared" si="139"/>
        <v>10.120618965811374</v>
      </c>
      <c r="R1206" s="582">
        <f t="shared" si="140"/>
        <v>1.6738810341886254</v>
      </c>
      <c r="S1206" s="582">
        <f t="shared" si="141"/>
        <v>2.9247810341886264</v>
      </c>
      <c r="T1206" s="582">
        <f t="shared" si="142"/>
        <v>3.3132810341886261</v>
      </c>
      <c r="U1206" s="582">
        <f t="shared" si="143"/>
        <v>3.1248810341886255</v>
      </c>
    </row>
    <row r="1207" spans="10:21">
      <c r="J1207" s="580">
        <v>41609</v>
      </c>
      <c r="K1207" s="581">
        <v>0.97916666666666663</v>
      </c>
      <c r="L1207" s="582">
        <v>11.9488</v>
      </c>
      <c r="M1207" s="582">
        <v>12.3771</v>
      </c>
      <c r="N1207" s="582">
        <v>13.211</v>
      </c>
      <c r="O1207" s="582">
        <v>12.9536</v>
      </c>
      <c r="P1207" s="582">
        <v>99.023200000000003</v>
      </c>
      <c r="Q1207" s="582">
        <f t="shared" si="139"/>
        <v>10.125066816481894</v>
      </c>
      <c r="R1207" s="582">
        <f t="shared" si="140"/>
        <v>1.6387331835181063</v>
      </c>
      <c r="S1207" s="582">
        <f t="shared" si="141"/>
        <v>2.9020331835181068</v>
      </c>
      <c r="T1207" s="582">
        <f t="shared" si="142"/>
        <v>3.2759331835181067</v>
      </c>
      <c r="U1207" s="582">
        <f t="shared" si="143"/>
        <v>3.0985331835181054</v>
      </c>
    </row>
    <row r="1208" spans="10:21">
      <c r="J1208" s="580">
        <v>41610</v>
      </c>
      <c r="K1208" s="581">
        <v>0.97916666666666663</v>
      </c>
      <c r="L1208" s="582">
        <v>11.9421</v>
      </c>
      <c r="M1208" s="582">
        <v>12.376099999999999</v>
      </c>
      <c r="N1208" s="582">
        <v>13.202500000000001</v>
      </c>
      <c r="O1208" s="582">
        <v>12.9496</v>
      </c>
      <c r="P1208" s="582">
        <v>99.108999999999995</v>
      </c>
      <c r="Q1208" s="582">
        <f t="shared" si="139"/>
        <v>10.133839818494089</v>
      </c>
      <c r="R1208" s="582">
        <f t="shared" si="140"/>
        <v>1.6232601815059113</v>
      </c>
      <c r="S1208" s="582">
        <f t="shared" si="141"/>
        <v>2.892260181505911</v>
      </c>
      <c r="T1208" s="582">
        <f t="shared" si="142"/>
        <v>3.2586601815059124</v>
      </c>
      <c r="U1208" s="582">
        <f t="shared" si="143"/>
        <v>3.0857601815059112</v>
      </c>
    </row>
    <row r="1209" spans="10:21">
      <c r="J1209" s="580">
        <v>41611</v>
      </c>
      <c r="K1209" s="581">
        <v>0.97916666666666663</v>
      </c>
      <c r="L1209" s="582">
        <v>11.8895</v>
      </c>
      <c r="M1209" s="582">
        <v>12.3325</v>
      </c>
      <c r="N1209" s="582">
        <v>13.150700000000001</v>
      </c>
      <c r="O1209" s="582">
        <v>12.9026</v>
      </c>
      <c r="P1209" s="582">
        <v>98.838800000000006</v>
      </c>
      <c r="Q1209" s="582">
        <f t="shared" si="139"/>
        <v>10.106212019616521</v>
      </c>
      <c r="R1209" s="582">
        <f t="shared" si="140"/>
        <v>1.5982879803834789</v>
      </c>
      <c r="S1209" s="582">
        <f t="shared" si="141"/>
        <v>2.8762879803834789</v>
      </c>
      <c r="T1209" s="582">
        <f t="shared" si="142"/>
        <v>3.2344879803834798</v>
      </c>
      <c r="U1209" s="582">
        <f t="shared" si="143"/>
        <v>3.0663879803834782</v>
      </c>
    </row>
    <row r="1210" spans="10:21">
      <c r="J1210" s="580">
        <v>41612</v>
      </c>
      <c r="K1210" s="581">
        <v>0.97916666666666663</v>
      </c>
      <c r="L1210" s="582">
        <v>11.852600000000001</v>
      </c>
      <c r="M1210" s="582">
        <v>12.299099999999999</v>
      </c>
      <c r="N1210" s="582">
        <v>13.1136</v>
      </c>
      <c r="O1210" s="582">
        <v>12.871499999999999</v>
      </c>
      <c r="P1210" s="582">
        <v>98.778300000000002</v>
      </c>
      <c r="Q1210" s="582">
        <f t="shared" si="139"/>
        <v>10.100025928454073</v>
      </c>
      <c r="R1210" s="582">
        <f t="shared" si="140"/>
        <v>1.5675740715459274</v>
      </c>
      <c r="S1210" s="582">
        <f t="shared" si="141"/>
        <v>2.8490740715459264</v>
      </c>
      <c r="T1210" s="582">
        <f t="shared" si="142"/>
        <v>3.2035740715459271</v>
      </c>
      <c r="U1210" s="582">
        <f t="shared" si="143"/>
        <v>3.0414740715459256</v>
      </c>
    </row>
    <row r="1211" spans="10:21">
      <c r="J1211" s="580">
        <v>41613</v>
      </c>
      <c r="K1211" s="581">
        <v>0.97916666666666663</v>
      </c>
      <c r="L1211" s="582">
        <v>11.803599999999999</v>
      </c>
      <c r="M1211" s="582">
        <v>12.2506</v>
      </c>
      <c r="N1211" s="582">
        <v>13.058999999999999</v>
      </c>
      <c r="O1211" s="582">
        <v>12.823499999999999</v>
      </c>
      <c r="P1211" s="582">
        <v>98.608400000000003</v>
      </c>
      <c r="Q1211" s="582">
        <f t="shared" si="139"/>
        <v>10.082653748478874</v>
      </c>
      <c r="R1211" s="582">
        <f t="shared" si="140"/>
        <v>1.5359462515211253</v>
      </c>
      <c r="S1211" s="582">
        <f t="shared" si="141"/>
        <v>2.8179462515211267</v>
      </c>
      <c r="T1211" s="582">
        <f t="shared" si="142"/>
        <v>3.1663462515211256</v>
      </c>
      <c r="U1211" s="582">
        <f t="shared" si="143"/>
        <v>3.0108462515211247</v>
      </c>
    </row>
    <row r="1212" spans="10:21">
      <c r="J1212" s="580">
        <v>41614</v>
      </c>
      <c r="K1212" s="581">
        <v>0.97916666666666663</v>
      </c>
      <c r="L1212" s="582">
        <v>11.770899999999999</v>
      </c>
      <c r="M1212" s="582">
        <v>12.2126</v>
      </c>
      <c r="N1212" s="582">
        <v>13.0185</v>
      </c>
      <c r="O1212" s="582">
        <v>12.7858</v>
      </c>
      <c r="P1212" s="582">
        <v>98.601699999999994</v>
      </c>
      <c r="Q1212" s="582">
        <f t="shared" si="139"/>
        <v>10.081968677226172</v>
      </c>
      <c r="R1212" s="582">
        <f t="shared" si="140"/>
        <v>1.5039313227738274</v>
      </c>
      <c r="S1212" s="582">
        <f t="shared" si="141"/>
        <v>2.7806313227738286</v>
      </c>
      <c r="T1212" s="582">
        <f t="shared" si="142"/>
        <v>3.1265313227738281</v>
      </c>
      <c r="U1212" s="582">
        <f t="shared" si="143"/>
        <v>2.9738313227738278</v>
      </c>
    </row>
    <row r="1213" spans="10:21">
      <c r="J1213" s="580">
        <v>41615</v>
      </c>
      <c r="K1213" s="581">
        <v>0.97916666666666663</v>
      </c>
      <c r="L1213" s="582">
        <v>11.746600000000001</v>
      </c>
      <c r="M1213" s="582">
        <v>12.181100000000001</v>
      </c>
      <c r="N1213" s="582">
        <v>12.991899999999999</v>
      </c>
      <c r="O1213" s="582">
        <v>12.753</v>
      </c>
      <c r="P1213" s="582">
        <v>98.627700000000004</v>
      </c>
      <c r="Q1213" s="582">
        <f t="shared" si="139"/>
        <v>10.084627162684415</v>
      </c>
      <c r="R1213" s="582">
        <f t="shared" si="140"/>
        <v>1.4769728373155862</v>
      </c>
      <c r="S1213" s="582">
        <f t="shared" si="141"/>
        <v>2.7464728373155864</v>
      </c>
      <c r="T1213" s="582">
        <f t="shared" si="142"/>
        <v>3.0972728373155851</v>
      </c>
      <c r="U1213" s="582">
        <f t="shared" si="143"/>
        <v>2.9383728373155851</v>
      </c>
    </row>
    <row r="1214" spans="10:21">
      <c r="J1214" s="580">
        <v>41616</v>
      </c>
      <c r="K1214" s="581">
        <v>0.97916666666666663</v>
      </c>
      <c r="L1214" s="582">
        <v>11.723800000000001</v>
      </c>
      <c r="M1214" s="582">
        <v>12.151300000000001</v>
      </c>
      <c r="N1214" s="582">
        <v>12.970599999999999</v>
      </c>
      <c r="O1214" s="582">
        <v>12.722899999999999</v>
      </c>
      <c r="P1214" s="582">
        <v>98.684700000000007</v>
      </c>
      <c r="Q1214" s="582">
        <f t="shared" si="139"/>
        <v>10.090455380804405</v>
      </c>
      <c r="R1214" s="582">
        <f t="shared" si="140"/>
        <v>1.4483446191955953</v>
      </c>
      <c r="S1214" s="582">
        <f t="shared" si="141"/>
        <v>2.7108446191955959</v>
      </c>
      <c r="T1214" s="582">
        <f t="shared" si="142"/>
        <v>3.0701446191955943</v>
      </c>
      <c r="U1214" s="582">
        <f t="shared" si="143"/>
        <v>2.9024446191955935</v>
      </c>
    </row>
    <row r="1215" spans="10:21">
      <c r="J1215" s="580">
        <v>41617</v>
      </c>
      <c r="K1215" s="581">
        <v>0.97916666666666663</v>
      </c>
      <c r="L1215" s="582">
        <v>11.687099999999999</v>
      </c>
      <c r="M1215" s="582">
        <v>12.105700000000001</v>
      </c>
      <c r="N1215" s="582">
        <v>12.922599999999999</v>
      </c>
      <c r="O1215" s="582">
        <v>12.677899999999999</v>
      </c>
      <c r="P1215" s="582">
        <v>98.590100000000007</v>
      </c>
      <c r="Q1215" s="582">
        <f t="shared" si="139"/>
        <v>10.080782583714035</v>
      </c>
      <c r="R1215" s="582">
        <f t="shared" si="140"/>
        <v>1.4213174162859645</v>
      </c>
      <c r="S1215" s="582">
        <v>2.6751174162859659</v>
      </c>
      <c r="T1215" s="582">
        <f t="shared" si="142"/>
        <v>3.031817416285965</v>
      </c>
      <c r="U1215" s="582">
        <f t="shared" si="143"/>
        <v>2.8671174162859643</v>
      </c>
    </row>
    <row r="1216" spans="10:21">
      <c r="J1216" s="580">
        <v>41618</v>
      </c>
      <c r="K1216" s="581">
        <v>0.97916666666666663</v>
      </c>
      <c r="L1216" s="582">
        <v>11.668100000000001</v>
      </c>
      <c r="M1216" s="582">
        <v>12.073600000000001</v>
      </c>
      <c r="N1216" s="582">
        <v>12.895099999999999</v>
      </c>
      <c r="O1216" s="582">
        <v>12.6501</v>
      </c>
      <c r="P1216" s="582">
        <v>98.6678</v>
      </c>
      <c r="Q1216" s="582">
        <f t="shared" si="139"/>
        <v>10.088727365256547</v>
      </c>
      <c r="R1216" s="582">
        <f t="shared" si="140"/>
        <v>1.3943726347434535</v>
      </c>
      <c r="S1216" s="582">
        <v>2.635272634743453</v>
      </c>
      <c r="T1216" s="582">
        <f t="shared" si="142"/>
        <v>2.9963726347434525</v>
      </c>
      <c r="U1216" s="582">
        <f t="shared" si="143"/>
        <v>2.8313726347434525</v>
      </c>
    </row>
    <row r="1217" spans="10:21">
      <c r="J1217" s="580">
        <v>41619</v>
      </c>
      <c r="K1217" s="581">
        <v>0.97916666666666663</v>
      </c>
      <c r="L1217" s="582">
        <v>11.6294</v>
      </c>
      <c r="M1217" s="582">
        <v>12.015599999999999</v>
      </c>
      <c r="N1217" s="582">
        <v>12.8376</v>
      </c>
      <c r="O1217" s="582">
        <v>12.595499999999999</v>
      </c>
      <c r="P1217" s="582">
        <v>98.513199999999998</v>
      </c>
      <c r="Q1217" s="582">
        <f t="shared" si="139"/>
        <v>10.072919601724081</v>
      </c>
      <c r="R1217" s="582">
        <f t="shared" si="140"/>
        <v>1.3714803982759194</v>
      </c>
      <c r="S1217" s="582">
        <f t="shared" ref="S1217:S1280" si="144">M1217-Q1217-$D$9+$E$9</f>
        <v>2.5926803982759186</v>
      </c>
      <c r="T1217" s="582">
        <f t="shared" si="142"/>
        <v>2.9546803982759196</v>
      </c>
      <c r="U1217" s="582">
        <f t="shared" si="143"/>
        <v>2.7925803982759181</v>
      </c>
    </row>
    <row r="1218" spans="10:21">
      <c r="J1218" s="580">
        <v>41620</v>
      </c>
      <c r="K1218" s="581">
        <v>0.97916666666666663</v>
      </c>
      <c r="L1218" s="582">
        <v>11.6091</v>
      </c>
      <c r="M1218" s="582">
        <v>11.994999999999999</v>
      </c>
      <c r="N1218" s="582">
        <v>12.814</v>
      </c>
      <c r="O1218" s="582">
        <v>12.577199999999999</v>
      </c>
      <c r="P1218" s="582">
        <v>98.383499999999998</v>
      </c>
      <c r="Q1218" s="582">
        <f t="shared" si="139"/>
        <v>10.059657849265085</v>
      </c>
      <c r="R1218" s="582">
        <f t="shared" si="140"/>
        <v>1.3644421507349151</v>
      </c>
      <c r="S1218" s="582">
        <f t="shared" si="144"/>
        <v>2.585342150734915</v>
      </c>
      <c r="T1218" s="582">
        <f t="shared" si="142"/>
        <v>2.9443421507349159</v>
      </c>
      <c r="U1218" s="582">
        <f t="shared" si="143"/>
        <v>2.7875421507349145</v>
      </c>
    </row>
    <row r="1219" spans="10:21">
      <c r="J1219" s="580">
        <v>41621</v>
      </c>
      <c r="K1219" s="581">
        <v>0.97916666666666663</v>
      </c>
      <c r="L1219" s="582">
        <v>11.6661</v>
      </c>
      <c r="M1219" s="582">
        <v>12.0785</v>
      </c>
      <c r="N1219" s="582">
        <v>12.874599999999999</v>
      </c>
      <c r="O1219" s="582">
        <v>12.6486</v>
      </c>
      <c r="P1219" s="582">
        <v>98.835099999999997</v>
      </c>
      <c r="Q1219" s="582">
        <f t="shared" si="139"/>
        <v>10.105833696685924</v>
      </c>
      <c r="R1219" s="582">
        <f t="shared" si="140"/>
        <v>1.3752663033140764</v>
      </c>
      <c r="S1219" s="582">
        <f t="shared" si="144"/>
        <v>2.6226663033140767</v>
      </c>
      <c r="T1219" s="582">
        <f t="shared" si="142"/>
        <v>2.9587663033140759</v>
      </c>
      <c r="U1219" s="582">
        <f t="shared" si="143"/>
        <v>2.812766303314076</v>
      </c>
    </row>
    <row r="1220" spans="10:21">
      <c r="J1220" s="580">
        <v>41622</v>
      </c>
      <c r="K1220" s="581">
        <v>0.97916666666666663</v>
      </c>
      <c r="L1220" s="582">
        <v>11.645799999999999</v>
      </c>
      <c r="M1220" s="582">
        <v>12.061500000000001</v>
      </c>
      <c r="N1220" s="582">
        <v>12.865500000000001</v>
      </c>
      <c r="O1220" s="582">
        <v>12.634600000000001</v>
      </c>
      <c r="P1220" s="582">
        <v>98.918300000000002</v>
      </c>
      <c r="Q1220" s="582">
        <f t="shared" si="139"/>
        <v>10.114340850152297</v>
      </c>
      <c r="R1220" s="582">
        <f t="shared" si="140"/>
        <v>1.3464591498477021</v>
      </c>
      <c r="S1220" s="582">
        <f t="shared" si="144"/>
        <v>2.5971591498477036</v>
      </c>
      <c r="T1220" s="582">
        <f t="shared" si="142"/>
        <v>2.9411591498477039</v>
      </c>
      <c r="U1220" s="582">
        <f t="shared" si="143"/>
        <v>2.790259149847703</v>
      </c>
    </row>
    <row r="1221" spans="10:21">
      <c r="J1221" s="580">
        <v>41623</v>
      </c>
      <c r="K1221" s="581">
        <v>0.97916666666666663</v>
      </c>
      <c r="L1221" s="582">
        <v>11.621600000000001</v>
      </c>
      <c r="M1221" s="582">
        <v>12.045199999999999</v>
      </c>
      <c r="N1221" s="582">
        <v>12.839600000000001</v>
      </c>
      <c r="O1221" s="582">
        <v>12.6143</v>
      </c>
      <c r="P1221" s="582">
        <v>98.970699999999994</v>
      </c>
      <c r="Q1221" s="582">
        <f t="shared" si="139"/>
        <v>10.11969872084506</v>
      </c>
      <c r="R1221" s="582">
        <f t="shared" si="140"/>
        <v>1.316901279154941</v>
      </c>
      <c r="S1221" s="582">
        <f t="shared" si="144"/>
        <v>2.5755012791549401</v>
      </c>
      <c r="T1221" s="582">
        <f t="shared" si="142"/>
        <v>2.9099012791549415</v>
      </c>
      <c r="U1221" s="582">
        <f t="shared" si="143"/>
        <v>2.7646012791549399</v>
      </c>
    </row>
    <row r="1222" spans="10:21">
      <c r="J1222" s="580">
        <v>41624</v>
      </c>
      <c r="K1222" s="581">
        <v>0.97916666666666663</v>
      </c>
      <c r="L1222" s="582">
        <v>11.5938</v>
      </c>
      <c r="M1222" s="582">
        <v>12.0245</v>
      </c>
      <c r="N1222" s="582">
        <v>12.8126</v>
      </c>
      <c r="O1222" s="582">
        <v>12.5861</v>
      </c>
      <c r="P1222" s="582">
        <v>98.983800000000002</v>
      </c>
      <c r="Q1222" s="582">
        <f t="shared" si="139"/>
        <v>10.12103818851825</v>
      </c>
      <c r="R1222" s="582">
        <f t="shared" si="140"/>
        <v>1.2877618114817495</v>
      </c>
      <c r="S1222" s="582">
        <f t="shared" si="144"/>
        <v>2.5534618114817498</v>
      </c>
      <c r="T1222" s="582">
        <f t="shared" si="142"/>
        <v>2.8815618114817498</v>
      </c>
      <c r="U1222" s="582">
        <f t="shared" si="143"/>
        <v>2.7350618114817493</v>
      </c>
    </row>
    <row r="1223" spans="10:21">
      <c r="J1223" s="580">
        <v>41625</v>
      </c>
      <c r="K1223" s="581">
        <v>0.97916666666666663</v>
      </c>
      <c r="L1223" s="582">
        <v>11.553100000000001</v>
      </c>
      <c r="M1223" s="582">
        <v>11.9862</v>
      </c>
      <c r="N1223" s="582">
        <v>12.764099999999999</v>
      </c>
      <c r="O1223" s="582">
        <v>12.536</v>
      </c>
      <c r="P1223" s="582">
        <v>98.860299999999995</v>
      </c>
      <c r="Q1223" s="582">
        <f t="shared" si="139"/>
        <v>10.108410382591604</v>
      </c>
      <c r="R1223" s="582">
        <f t="shared" si="140"/>
        <v>1.2596896174083967</v>
      </c>
      <c r="S1223" s="582">
        <f t="shared" si="144"/>
        <v>2.5277896174083967</v>
      </c>
      <c r="T1223" s="582">
        <f t="shared" si="142"/>
        <v>2.8456896174083957</v>
      </c>
      <c r="U1223" s="582">
        <f t="shared" si="143"/>
        <v>2.6975896174083958</v>
      </c>
    </row>
    <row r="1224" spans="10:21">
      <c r="J1224" s="580">
        <v>41626</v>
      </c>
      <c r="K1224" s="581">
        <v>0.97916666666666663</v>
      </c>
      <c r="L1224" s="582">
        <v>11.521599999999999</v>
      </c>
      <c r="M1224" s="582">
        <v>11.9506</v>
      </c>
      <c r="N1224" s="582">
        <v>12.722200000000001</v>
      </c>
      <c r="O1224" s="582">
        <v>12.4961</v>
      </c>
      <c r="P1224" s="582">
        <v>98.829700000000003</v>
      </c>
      <c r="Q1224" s="582">
        <f t="shared" si="139"/>
        <v>10.105281549706136</v>
      </c>
      <c r="R1224" s="582">
        <f t="shared" si="140"/>
        <v>1.231318450293863</v>
      </c>
      <c r="S1224" s="582">
        <f t="shared" si="144"/>
        <v>2.4953184502938637</v>
      </c>
      <c r="T1224" s="582">
        <f t="shared" si="142"/>
        <v>2.8069184502938649</v>
      </c>
      <c r="U1224" s="582">
        <f t="shared" si="143"/>
        <v>2.6608184502938639</v>
      </c>
    </row>
    <row r="1225" spans="10:21">
      <c r="J1225" s="580">
        <v>41627</v>
      </c>
      <c r="K1225" s="581">
        <v>0.97916666666666663</v>
      </c>
      <c r="L1225" s="582">
        <v>11.5008</v>
      </c>
      <c r="M1225" s="582">
        <v>11.9175</v>
      </c>
      <c r="N1225" s="582">
        <v>12.686299999999999</v>
      </c>
      <c r="O1225" s="582">
        <v>12.446199999999999</v>
      </c>
      <c r="P1225" s="582">
        <v>98.873900000000006</v>
      </c>
      <c r="Q1225" s="582">
        <f t="shared" si="139"/>
        <v>10.109800974985147</v>
      </c>
      <c r="R1225" s="582">
        <f t="shared" si="140"/>
        <v>1.2059990250148531</v>
      </c>
      <c r="S1225" s="582">
        <f t="shared" si="144"/>
        <v>2.457699025014854</v>
      </c>
      <c r="T1225" s="582">
        <f t="shared" si="142"/>
        <v>2.7664990250148529</v>
      </c>
      <c r="U1225" s="582">
        <f t="shared" si="143"/>
        <v>2.6063990250148525</v>
      </c>
    </row>
    <row r="1226" spans="10:21">
      <c r="J1226" s="580">
        <v>41628</v>
      </c>
      <c r="K1226" s="581">
        <v>0.97916666666666663</v>
      </c>
      <c r="L1226" s="582">
        <v>11.4925</v>
      </c>
      <c r="M1226" s="582">
        <v>11.9031</v>
      </c>
      <c r="N1226" s="582">
        <v>12.659800000000001</v>
      </c>
      <c r="O1226" s="582">
        <v>12.3782</v>
      </c>
      <c r="P1226" s="582">
        <v>99.030799999999999</v>
      </c>
      <c r="Q1226" s="582">
        <f t="shared" si="139"/>
        <v>10.125843912231225</v>
      </c>
      <c r="R1226" s="582">
        <f t="shared" si="140"/>
        <v>1.1816560877687743</v>
      </c>
      <c r="S1226" s="582">
        <f t="shared" si="144"/>
        <v>2.4272560877687752</v>
      </c>
      <c r="T1226" s="582">
        <f t="shared" si="142"/>
        <v>2.7239560877687756</v>
      </c>
      <c r="U1226" s="582">
        <f t="shared" si="143"/>
        <v>2.5223560877687743</v>
      </c>
    </row>
    <row r="1227" spans="10:21">
      <c r="J1227" s="580">
        <v>41629</v>
      </c>
      <c r="K1227" s="581">
        <v>0.97916666666666663</v>
      </c>
      <c r="L1227" s="582">
        <v>11.476699999999999</v>
      </c>
      <c r="M1227" s="582">
        <v>11.88</v>
      </c>
      <c r="N1227" s="582">
        <v>12.6248</v>
      </c>
      <c r="O1227" s="582">
        <v>12.3025</v>
      </c>
      <c r="P1227" s="582">
        <v>99.132199999999997</v>
      </c>
      <c r="Q1227" s="582">
        <f t="shared" si="139"/>
        <v>10.136212005518367</v>
      </c>
      <c r="R1227" s="582">
        <f t="shared" si="140"/>
        <v>1.1554879944816325</v>
      </c>
      <c r="S1227" s="582">
        <f t="shared" si="144"/>
        <v>2.3937879944816345</v>
      </c>
      <c r="T1227" s="582">
        <f t="shared" si="142"/>
        <v>2.6785879944816342</v>
      </c>
      <c r="U1227" s="582">
        <f t="shared" si="143"/>
        <v>2.4362879944816336</v>
      </c>
    </row>
    <row r="1228" spans="10:21">
      <c r="J1228" s="580">
        <v>41630</v>
      </c>
      <c r="K1228" s="581">
        <v>0.97916666666666663</v>
      </c>
      <c r="L1228" s="582">
        <v>11.4541</v>
      </c>
      <c r="M1228" s="582">
        <v>11.8401</v>
      </c>
      <c r="N1228" s="582">
        <v>12.5939</v>
      </c>
      <c r="O1228" s="582">
        <v>12.236499999999999</v>
      </c>
      <c r="P1228" s="582">
        <v>99.156999999999996</v>
      </c>
      <c r="Q1228" s="582">
        <f t="shared" si="139"/>
        <v>10.138747791647766</v>
      </c>
      <c r="R1228" s="582">
        <f t="shared" si="140"/>
        <v>1.1303522083522339</v>
      </c>
      <c r="S1228" s="582">
        <f t="shared" si="144"/>
        <v>2.3513522083522336</v>
      </c>
      <c r="T1228" s="582">
        <f t="shared" si="142"/>
        <v>2.6451522083522336</v>
      </c>
      <c r="U1228" s="582">
        <f t="shared" si="143"/>
        <v>2.3677522083522331</v>
      </c>
    </row>
    <row r="1229" spans="10:21">
      <c r="J1229" s="580">
        <v>41631</v>
      </c>
      <c r="K1229" s="581">
        <v>0.97916666666666663</v>
      </c>
      <c r="L1229" s="582">
        <v>11.4313</v>
      </c>
      <c r="M1229" s="582">
        <v>11.8057</v>
      </c>
      <c r="N1229" s="582">
        <v>12.5671</v>
      </c>
      <c r="O1229" s="582">
        <v>12.1877</v>
      </c>
      <c r="P1229" s="582">
        <v>99.204999999999998</v>
      </c>
      <c r="Q1229" s="582">
        <f t="shared" si="139"/>
        <v>10.143655764801442</v>
      </c>
      <c r="R1229" s="582">
        <f t="shared" si="140"/>
        <v>1.1026442351985577</v>
      </c>
      <c r="S1229" s="582">
        <f t="shared" si="144"/>
        <v>2.3120442351985577</v>
      </c>
      <c r="T1229" s="582">
        <f t="shared" si="142"/>
        <v>2.6134442351985578</v>
      </c>
      <c r="U1229" s="582">
        <f t="shared" si="143"/>
        <v>2.3140442351985571</v>
      </c>
    </row>
    <row r="1230" spans="10:21">
      <c r="J1230" s="580">
        <v>41632</v>
      </c>
      <c r="K1230" s="581">
        <v>0.97916666666666663</v>
      </c>
      <c r="L1230" s="582">
        <v>11.4147</v>
      </c>
      <c r="M1230" s="582">
        <v>11.7783</v>
      </c>
      <c r="N1230" s="582">
        <v>12.5396</v>
      </c>
      <c r="O1230" s="582">
        <v>12.148300000000001</v>
      </c>
      <c r="P1230" s="582">
        <v>99.271900000000002</v>
      </c>
      <c r="Q1230" s="582">
        <f t="shared" si="139"/>
        <v>10.150496252384379</v>
      </c>
      <c r="R1230" s="582">
        <f t="shared" si="140"/>
        <v>1.0792037476156211</v>
      </c>
      <c r="S1230" s="582">
        <f t="shared" si="144"/>
        <v>2.2778037476156214</v>
      </c>
      <c r="T1230" s="582">
        <f t="shared" si="142"/>
        <v>2.5791037476156218</v>
      </c>
      <c r="U1230" s="582">
        <f t="shared" si="143"/>
        <v>2.2678037476156221</v>
      </c>
    </row>
    <row r="1231" spans="10:21">
      <c r="J1231" s="580">
        <v>41633</v>
      </c>
      <c r="K1231" s="581">
        <v>0.97916666666666663</v>
      </c>
      <c r="L1231" s="582">
        <v>11.390599999999999</v>
      </c>
      <c r="M1231" s="582">
        <v>11.745799999999999</v>
      </c>
      <c r="N1231" s="582">
        <v>12.509600000000001</v>
      </c>
      <c r="O1231" s="582">
        <v>12.1198</v>
      </c>
      <c r="P1231" s="582">
        <v>99.298599999999993</v>
      </c>
      <c r="Q1231" s="582">
        <f t="shared" si="139"/>
        <v>10.15322631245111</v>
      </c>
      <c r="R1231" s="582">
        <f t="shared" si="140"/>
        <v>1.0523736875488887</v>
      </c>
      <c r="S1231" s="582">
        <f t="shared" si="144"/>
        <v>2.2425736875488891</v>
      </c>
      <c r="T1231" s="582">
        <f t="shared" si="142"/>
        <v>2.5463736875488907</v>
      </c>
      <c r="U1231" s="582">
        <f t="shared" si="143"/>
        <v>2.2365736875488893</v>
      </c>
    </row>
    <row r="1232" spans="10:21">
      <c r="J1232" s="580">
        <v>41634</v>
      </c>
      <c r="K1232" s="581">
        <v>0.97916666666666663</v>
      </c>
      <c r="L1232" s="582">
        <v>11.347200000000001</v>
      </c>
      <c r="M1232" s="582">
        <v>11.6965</v>
      </c>
      <c r="N1232" s="582">
        <v>12.458399999999999</v>
      </c>
      <c r="O1232" s="582">
        <v>12.0863</v>
      </c>
      <c r="P1232" s="582">
        <v>99.171300000000002</v>
      </c>
      <c r="Q1232" s="582">
        <f t="shared" si="139"/>
        <v>10.1402099586498</v>
      </c>
      <c r="R1232" s="582">
        <f t="shared" si="140"/>
        <v>1.0219900413502008</v>
      </c>
      <c r="S1232" s="582">
        <f t="shared" si="144"/>
        <v>2.2062900413502007</v>
      </c>
      <c r="T1232" s="582">
        <f t="shared" si="142"/>
        <v>2.5081900413501996</v>
      </c>
      <c r="U1232" s="582">
        <f t="shared" si="143"/>
        <v>2.2160900413501996</v>
      </c>
    </row>
    <row r="1233" spans="10:21">
      <c r="J1233" s="580">
        <v>41635</v>
      </c>
      <c r="K1233" s="581">
        <v>0.97916666666666663</v>
      </c>
      <c r="L1233" s="582">
        <v>11.316700000000001</v>
      </c>
      <c r="M1233" s="582">
        <v>11.6595</v>
      </c>
      <c r="N1233" s="582">
        <v>12.4186</v>
      </c>
      <c r="O1233" s="582">
        <v>12.066599999999999</v>
      </c>
      <c r="P1233" s="582">
        <v>99.165499999999994</v>
      </c>
      <c r="Q1233" s="582">
        <f t="shared" si="139"/>
        <v>10.139616911893729</v>
      </c>
      <c r="R1233" s="582">
        <f t="shared" si="140"/>
        <v>0.99208308810627222</v>
      </c>
      <c r="S1233" s="582">
        <f t="shared" si="144"/>
        <v>2.1698830881062712</v>
      </c>
      <c r="T1233" s="582">
        <f t="shared" si="142"/>
        <v>2.4689830881062713</v>
      </c>
      <c r="U1233" s="582">
        <f t="shared" si="143"/>
        <v>2.1969830881062706</v>
      </c>
    </row>
    <row r="1234" spans="10:21">
      <c r="J1234" s="580">
        <v>41636</v>
      </c>
      <c r="K1234" s="581">
        <v>0.97916666666666663</v>
      </c>
      <c r="L1234" s="582">
        <v>11.2865</v>
      </c>
      <c r="M1234" s="582">
        <v>11.6136</v>
      </c>
      <c r="N1234" s="582">
        <v>12.3759</v>
      </c>
      <c r="O1234" s="582">
        <v>12.0442</v>
      </c>
      <c r="P1234" s="582">
        <v>99.119299999999996</v>
      </c>
      <c r="Q1234" s="582">
        <f t="shared" si="139"/>
        <v>10.134892987733316</v>
      </c>
      <c r="R1234" s="582">
        <f t="shared" si="140"/>
        <v>0.966607012266684</v>
      </c>
      <c r="S1234" s="582">
        <f t="shared" si="144"/>
        <v>2.128707012266684</v>
      </c>
      <c r="T1234" s="582">
        <f t="shared" si="142"/>
        <v>2.4310070122666838</v>
      </c>
      <c r="U1234" s="582">
        <f t="shared" si="143"/>
        <v>2.1793070122666838</v>
      </c>
    </row>
    <row r="1235" spans="10:21">
      <c r="J1235" s="580">
        <v>41637</v>
      </c>
      <c r="K1235" s="581">
        <v>0.97916666666666663</v>
      </c>
      <c r="L1235" s="582">
        <v>11.2661</v>
      </c>
      <c r="M1235" s="582">
        <v>11.573600000000001</v>
      </c>
      <c r="N1235" s="582">
        <v>12.338800000000001</v>
      </c>
      <c r="O1235" s="582">
        <v>12.010300000000001</v>
      </c>
      <c r="P1235" s="582">
        <v>99.113</v>
      </c>
      <c r="Q1235" s="582">
        <f t="shared" si="139"/>
        <v>10.134248816256896</v>
      </c>
      <c r="R1235" s="582">
        <f t="shared" si="140"/>
        <v>0.94685118374310362</v>
      </c>
      <c r="S1235" s="582">
        <f t="shared" si="144"/>
        <v>2.0893511837431049</v>
      </c>
      <c r="T1235" s="582">
        <f t="shared" si="142"/>
        <v>2.394551183743105</v>
      </c>
      <c r="U1235" s="582">
        <f t="shared" si="143"/>
        <v>2.1460511837431047</v>
      </c>
    </row>
    <row r="1236" spans="10:21">
      <c r="J1236" s="580">
        <v>41638</v>
      </c>
      <c r="K1236" s="581">
        <v>0.97916666666666663</v>
      </c>
      <c r="L1236" s="582">
        <v>11.2498</v>
      </c>
      <c r="M1236" s="582">
        <v>11.536300000000001</v>
      </c>
      <c r="N1236" s="582">
        <v>12.2982</v>
      </c>
      <c r="O1236" s="582">
        <v>11.974500000000001</v>
      </c>
      <c r="P1236" s="582">
        <v>99.144400000000005</v>
      </c>
      <c r="Q1236" s="582">
        <f t="shared" si="139"/>
        <v>10.137459448694926</v>
      </c>
      <c r="R1236" s="582">
        <f t="shared" si="140"/>
        <v>0.9273405513050742</v>
      </c>
      <c r="S1236" s="582">
        <f t="shared" si="144"/>
        <v>2.0488405513050747</v>
      </c>
      <c r="T1236" s="582">
        <f t="shared" si="142"/>
        <v>2.3507405513050736</v>
      </c>
      <c r="U1236" s="582">
        <f t="shared" si="143"/>
        <v>2.1070405513050745</v>
      </c>
    </row>
    <row r="1237" spans="10:21">
      <c r="J1237" s="580">
        <v>41639</v>
      </c>
      <c r="K1237" s="581">
        <v>0.97916666666666663</v>
      </c>
      <c r="L1237" s="582">
        <v>11.223699999999999</v>
      </c>
      <c r="M1237" s="582">
        <v>11.487</v>
      </c>
      <c r="N1237" s="582">
        <v>12.244</v>
      </c>
      <c r="O1237" s="582">
        <v>11.9314</v>
      </c>
      <c r="P1237" s="582">
        <v>99.086699999999993</v>
      </c>
      <c r="Q1237" s="582">
        <f t="shared" si="139"/>
        <v>10.131559655966443</v>
      </c>
      <c r="R1237" s="582">
        <f t="shared" si="140"/>
        <v>0.90714034403355603</v>
      </c>
      <c r="S1237" s="582">
        <f t="shared" si="144"/>
        <v>2.0054403440335573</v>
      </c>
      <c r="T1237" s="582">
        <f t="shared" si="142"/>
        <v>2.302440344033557</v>
      </c>
      <c r="U1237" s="582">
        <f t="shared" si="143"/>
        <v>2.0698403440335569</v>
      </c>
    </row>
    <row r="1238" spans="10:21">
      <c r="J1238" s="580">
        <v>41640</v>
      </c>
      <c r="K1238" s="581">
        <v>0.97916666666666663</v>
      </c>
      <c r="L1238" s="582">
        <v>11.2042</v>
      </c>
      <c r="M1238" s="582">
        <v>11.465</v>
      </c>
      <c r="N1238" s="582">
        <v>12.212999999999999</v>
      </c>
      <c r="O1238" s="582">
        <v>11.898400000000001</v>
      </c>
      <c r="P1238" s="582">
        <v>99.101600000000005</v>
      </c>
      <c r="Q1238" s="582">
        <f t="shared" si="139"/>
        <v>10.133083172632899</v>
      </c>
      <c r="R1238" s="582">
        <f t="shared" si="140"/>
        <v>0.88611682736710107</v>
      </c>
      <c r="S1238" s="582">
        <f t="shared" si="144"/>
        <v>1.9819168273671008</v>
      </c>
      <c r="T1238" s="582">
        <f t="shared" si="142"/>
        <v>2.2699168273671004</v>
      </c>
      <c r="U1238" s="582">
        <f t="shared" si="143"/>
        <v>2.0353168273671014</v>
      </c>
    </row>
    <row r="1239" spans="10:21">
      <c r="J1239" s="580">
        <v>41641</v>
      </c>
      <c r="K1239" s="581">
        <v>0.97916666666666663</v>
      </c>
      <c r="L1239" s="582">
        <v>11.1738</v>
      </c>
      <c r="M1239" s="582">
        <v>11.4406</v>
      </c>
      <c r="N1239" s="582">
        <v>12.183</v>
      </c>
      <c r="O1239" s="582">
        <v>11.8704</v>
      </c>
      <c r="P1239" s="582">
        <v>99.0989</v>
      </c>
      <c r="Q1239" s="582">
        <f t="shared" si="139"/>
        <v>10.132807099143005</v>
      </c>
      <c r="R1239" s="582">
        <f t="shared" si="140"/>
        <v>0.85599290085699542</v>
      </c>
      <c r="S1239" s="582">
        <f t="shared" si="144"/>
        <v>1.9577929008569954</v>
      </c>
      <c r="T1239" s="582">
        <f t="shared" si="142"/>
        <v>2.2401929008569956</v>
      </c>
      <c r="U1239" s="582">
        <f t="shared" si="143"/>
        <v>2.0075929008569955</v>
      </c>
    </row>
    <row r="1240" spans="10:21">
      <c r="J1240" s="580">
        <v>41642</v>
      </c>
      <c r="K1240" s="581">
        <v>0.97916666666666663</v>
      </c>
      <c r="L1240" s="582">
        <v>11.1394</v>
      </c>
      <c r="M1240" s="582">
        <v>11.412699999999999</v>
      </c>
      <c r="N1240" s="582">
        <v>12.1486</v>
      </c>
      <c r="O1240" s="582">
        <v>11.839600000000001</v>
      </c>
      <c r="P1240" s="582">
        <v>99.042100000000005</v>
      </c>
      <c r="Q1240" s="582">
        <f t="shared" si="139"/>
        <v>10.126999330911154</v>
      </c>
      <c r="R1240" s="582">
        <f t="shared" si="140"/>
        <v>0.82740066908884613</v>
      </c>
      <c r="S1240" s="582">
        <f t="shared" si="144"/>
        <v>1.9357006690888452</v>
      </c>
      <c r="T1240" s="582">
        <f t="shared" si="142"/>
        <v>2.2116006690888463</v>
      </c>
      <c r="U1240" s="582">
        <f t="shared" si="143"/>
        <v>1.9826006690888467</v>
      </c>
    </row>
    <row r="1241" spans="10:21">
      <c r="J1241" s="580">
        <v>41643</v>
      </c>
      <c r="K1241" s="581">
        <v>0.97916666666666663</v>
      </c>
      <c r="L1241" s="582">
        <v>11.094900000000001</v>
      </c>
      <c r="M1241" s="582">
        <v>11.3767</v>
      </c>
      <c r="N1241" s="582">
        <v>12.11</v>
      </c>
      <c r="O1241" s="582">
        <v>11.8095</v>
      </c>
      <c r="P1241" s="582">
        <v>98.927000000000007</v>
      </c>
      <c r="Q1241" s="582">
        <f t="shared" si="139"/>
        <v>10.115230420286402</v>
      </c>
      <c r="R1241" s="582">
        <f t="shared" si="140"/>
        <v>0.79466957971359931</v>
      </c>
      <c r="S1241" s="582">
        <f t="shared" si="144"/>
        <v>1.9114695797135981</v>
      </c>
      <c r="T1241" s="582">
        <f t="shared" si="142"/>
        <v>2.1847695797135982</v>
      </c>
      <c r="U1241" s="582">
        <f t="shared" si="143"/>
        <v>1.9642695797135983</v>
      </c>
    </row>
    <row r="1242" spans="10:21">
      <c r="J1242" s="580">
        <v>41644</v>
      </c>
      <c r="K1242" s="581">
        <v>0.97916666666666663</v>
      </c>
      <c r="L1242" s="582">
        <v>11.0473</v>
      </c>
      <c r="M1242" s="582">
        <v>11.335100000000001</v>
      </c>
      <c r="N1242" s="582">
        <v>12.060600000000001</v>
      </c>
      <c r="O1242" s="582">
        <v>11.771800000000001</v>
      </c>
      <c r="P1242" s="582">
        <v>98.752099999999999</v>
      </c>
      <c r="Q1242" s="582">
        <f t="shared" si="139"/>
        <v>10.097346993107692</v>
      </c>
      <c r="R1242" s="582">
        <f t="shared" si="140"/>
        <v>0.76495300689230794</v>
      </c>
      <c r="S1242" s="582">
        <f t="shared" si="144"/>
        <v>1.8877530068923087</v>
      </c>
      <c r="T1242" s="582">
        <f t="shared" si="142"/>
        <v>2.1532530068923093</v>
      </c>
      <c r="U1242" s="582">
        <f t="shared" si="143"/>
        <v>1.9444530068923087</v>
      </c>
    </row>
    <row r="1243" spans="10:21">
      <c r="J1243" s="580">
        <v>41645</v>
      </c>
      <c r="K1243" s="581">
        <v>0.97916666666666663</v>
      </c>
      <c r="L1243" s="582">
        <v>11.0322</v>
      </c>
      <c r="M1243" s="582">
        <v>11.3238</v>
      </c>
      <c r="N1243" s="582">
        <v>12.036</v>
      </c>
      <c r="O1243" s="582">
        <v>11.758100000000001</v>
      </c>
      <c r="P1243" s="582">
        <v>98.816400000000002</v>
      </c>
      <c r="Q1243" s="582">
        <f t="shared" si="139"/>
        <v>10.103921632144804</v>
      </c>
      <c r="R1243" s="582">
        <f t="shared" si="140"/>
        <v>0.74327836785519574</v>
      </c>
      <c r="S1243" s="582">
        <f t="shared" si="144"/>
        <v>1.8698783678551967</v>
      </c>
      <c r="T1243" s="582">
        <f t="shared" si="142"/>
        <v>2.1220783678551962</v>
      </c>
      <c r="U1243" s="582">
        <f t="shared" si="143"/>
        <v>1.9241783678551969</v>
      </c>
    </row>
    <row r="1244" spans="10:21">
      <c r="J1244" s="580">
        <v>41646</v>
      </c>
      <c r="K1244" s="581">
        <v>0.97916666666666663</v>
      </c>
      <c r="L1244" s="582">
        <v>11.0342</v>
      </c>
      <c r="M1244" s="582">
        <v>11.116</v>
      </c>
      <c r="N1244" s="582">
        <v>12.0313</v>
      </c>
      <c r="O1244" s="582">
        <v>11.761200000000001</v>
      </c>
      <c r="P1244" s="582">
        <v>99.005200000000002</v>
      </c>
      <c r="Q1244" s="582">
        <f t="shared" si="139"/>
        <v>10.123226326549265</v>
      </c>
      <c r="R1244" s="582">
        <f t="shared" si="140"/>
        <v>0.72597367345073538</v>
      </c>
      <c r="S1244" s="582">
        <f t="shared" si="144"/>
        <v>1.642773673450735</v>
      </c>
      <c r="T1244" s="582">
        <f t="shared" si="142"/>
        <v>2.0980736734507355</v>
      </c>
      <c r="U1244" s="582">
        <f t="shared" si="143"/>
        <v>1.9079736734507358</v>
      </c>
    </row>
    <row r="1245" spans="10:21">
      <c r="J1245" s="580">
        <v>41647</v>
      </c>
      <c r="K1245" s="581">
        <v>0.97916666666666663</v>
      </c>
      <c r="L1245" s="582">
        <v>11.0343</v>
      </c>
      <c r="M1245" s="582">
        <v>11.2843</v>
      </c>
      <c r="N1245" s="582">
        <v>12.02</v>
      </c>
      <c r="O1245" s="582">
        <v>11.7622</v>
      </c>
      <c r="P1245" s="582">
        <v>99.057500000000005</v>
      </c>
      <c r="Q1245" s="582">
        <f t="shared" si="139"/>
        <v>10.128573972297959</v>
      </c>
      <c r="R1245" s="582">
        <f t="shared" si="140"/>
        <v>0.72072602770204108</v>
      </c>
      <c r="S1245" s="582">
        <f t="shared" si="144"/>
        <v>1.8057260277020413</v>
      </c>
      <c r="T1245" s="582">
        <f t="shared" si="142"/>
        <v>2.0814260277020411</v>
      </c>
      <c r="U1245" s="582">
        <f t="shared" si="143"/>
        <v>1.9036260277020411</v>
      </c>
    </row>
    <row r="1246" spans="10:21">
      <c r="J1246" s="580">
        <v>41648</v>
      </c>
      <c r="K1246" s="581">
        <v>0.97916666666666663</v>
      </c>
      <c r="L1246" s="582">
        <v>11.017099999999999</v>
      </c>
      <c r="M1246" s="582">
        <v>11.277799999999999</v>
      </c>
      <c r="N1246" s="582">
        <v>11.9938</v>
      </c>
      <c r="O1246" s="582">
        <v>11.7445</v>
      </c>
      <c r="P1246" s="582">
        <v>99.045199999999994</v>
      </c>
      <c r="Q1246" s="582">
        <f t="shared" si="139"/>
        <v>10.127316304177327</v>
      </c>
      <c r="R1246" s="582">
        <f t="shared" si="140"/>
        <v>0.70478369582267186</v>
      </c>
      <c r="S1246" s="582">
        <f t="shared" si="144"/>
        <v>1.800483695822672</v>
      </c>
      <c r="T1246" s="582">
        <f t="shared" si="142"/>
        <v>2.0564836958226733</v>
      </c>
      <c r="U1246" s="582">
        <f t="shared" si="143"/>
        <v>1.8871836958226731</v>
      </c>
    </row>
    <row r="1247" spans="10:21">
      <c r="J1247" s="580">
        <v>41649</v>
      </c>
      <c r="K1247" s="581">
        <v>0.97916666666666663</v>
      </c>
      <c r="L1247" s="582">
        <v>10.9993</v>
      </c>
      <c r="M1247" s="582">
        <v>11.254899999999999</v>
      </c>
      <c r="N1247" s="582">
        <v>11.970499999999999</v>
      </c>
      <c r="O1247" s="582">
        <v>11.731199999999999</v>
      </c>
      <c r="P1247" s="582">
        <v>99.087699999999998</v>
      </c>
      <c r="Q1247" s="582">
        <f t="shared" si="139"/>
        <v>10.131661905407146</v>
      </c>
      <c r="R1247" s="582">
        <f t="shared" si="140"/>
        <v>0.68263809459285385</v>
      </c>
      <c r="S1247" s="582">
        <f t="shared" si="144"/>
        <v>1.7732380945928534</v>
      </c>
      <c r="T1247" s="582">
        <f t="shared" si="142"/>
        <v>2.0288380945928539</v>
      </c>
      <c r="U1247" s="582">
        <f t="shared" si="143"/>
        <v>1.8695380945928535</v>
      </c>
    </row>
    <row r="1248" spans="10:21">
      <c r="J1248" s="580">
        <v>41650</v>
      </c>
      <c r="K1248" s="581">
        <v>0.97916666666666663</v>
      </c>
      <c r="L1248" s="582">
        <v>10.9815</v>
      </c>
      <c r="M1248" s="582">
        <v>10.653</v>
      </c>
      <c r="N1248" s="582">
        <v>11.949</v>
      </c>
      <c r="O1248" s="582">
        <v>11.7232</v>
      </c>
      <c r="P1248" s="582">
        <v>99.153999999999996</v>
      </c>
      <c r="Q1248" s="582">
        <f t="shared" si="139"/>
        <v>10.138441043325662</v>
      </c>
      <c r="R1248" s="582">
        <f t="shared" si="140"/>
        <v>0.65805895667433889</v>
      </c>
      <c r="S1248" s="582">
        <f t="shared" si="144"/>
        <v>1.1645589566743391</v>
      </c>
      <c r="T1248" s="582">
        <f t="shared" si="142"/>
        <v>2.0005589566743387</v>
      </c>
      <c r="U1248" s="582">
        <f t="shared" si="143"/>
        <v>1.8547589566743388</v>
      </c>
    </row>
    <row r="1249" spans="10:21">
      <c r="J1249" s="580">
        <v>41651</v>
      </c>
      <c r="K1249" s="581">
        <v>0.97916666666666663</v>
      </c>
      <c r="L1249" s="582">
        <v>10.9384</v>
      </c>
      <c r="M1249" s="582">
        <v>10.609400000000001</v>
      </c>
      <c r="N1249" s="582">
        <v>11.9224</v>
      </c>
      <c r="O1249" s="582">
        <v>11.7074</v>
      </c>
      <c r="P1249" s="582">
        <v>99.174000000000007</v>
      </c>
      <c r="Q1249" s="582">
        <f t="shared" si="139"/>
        <v>10.140486032139695</v>
      </c>
      <c r="R1249" s="582">
        <f t="shared" si="140"/>
        <v>0.61291396786030505</v>
      </c>
      <c r="S1249" s="582">
        <f t="shared" si="144"/>
        <v>1.1189139678603064</v>
      </c>
      <c r="T1249" s="582">
        <f t="shared" si="142"/>
        <v>1.9719139678603053</v>
      </c>
      <c r="U1249" s="582">
        <f t="shared" si="143"/>
        <v>1.8369139678603053</v>
      </c>
    </row>
    <row r="1250" spans="10:21">
      <c r="J1250" s="580">
        <v>41652</v>
      </c>
      <c r="K1250" s="581">
        <v>0.97916666666666663</v>
      </c>
      <c r="L1250" s="582">
        <v>10.8621</v>
      </c>
      <c r="M1250" s="582">
        <v>10.5785</v>
      </c>
      <c r="N1250" s="582">
        <v>11.8942</v>
      </c>
      <c r="O1250" s="582">
        <v>11.687099999999999</v>
      </c>
      <c r="P1250" s="582">
        <v>99.154899999999998</v>
      </c>
      <c r="Q1250" s="582">
        <f t="shared" si="139"/>
        <v>10.138533067822292</v>
      </c>
      <c r="R1250" s="582">
        <f t="shared" si="140"/>
        <v>0.53856693217770735</v>
      </c>
      <c r="S1250" s="582">
        <f t="shared" si="144"/>
        <v>1.0899669321777077</v>
      </c>
      <c r="T1250" s="582">
        <f t="shared" si="142"/>
        <v>1.9456669321777074</v>
      </c>
      <c r="U1250" s="582">
        <f t="shared" si="143"/>
        <v>1.8185669321777067</v>
      </c>
    </row>
    <row r="1251" spans="10:21">
      <c r="J1251" s="580">
        <v>41653</v>
      </c>
      <c r="K1251" s="581">
        <v>0.97916666666666663</v>
      </c>
      <c r="L1251" s="582">
        <v>10.7766</v>
      </c>
      <c r="M1251" s="582">
        <v>10.5776</v>
      </c>
      <c r="N1251" s="582">
        <v>11.865399999999999</v>
      </c>
      <c r="O1251" s="582">
        <v>11.666</v>
      </c>
      <c r="P1251" s="582">
        <v>99.125</v>
      </c>
      <c r="Q1251" s="582">
        <f t="shared" si="139"/>
        <v>10.135475809545316</v>
      </c>
      <c r="R1251" s="582">
        <f t="shared" si="140"/>
        <v>0.4561241904546845</v>
      </c>
      <c r="S1251" s="582">
        <f t="shared" si="144"/>
        <v>1.0921241904546848</v>
      </c>
      <c r="T1251" s="582">
        <f t="shared" si="142"/>
        <v>1.9199241904546838</v>
      </c>
      <c r="U1251" s="582">
        <f t="shared" si="143"/>
        <v>1.8005241904546847</v>
      </c>
    </row>
    <row r="1252" spans="10:21">
      <c r="J1252" s="580">
        <v>41654</v>
      </c>
      <c r="K1252" s="581">
        <v>0.97916666666666663</v>
      </c>
      <c r="L1252" s="582">
        <v>10.735300000000001</v>
      </c>
      <c r="M1252" s="582">
        <v>10.589499999999999</v>
      </c>
      <c r="N1252" s="582">
        <v>11.8443</v>
      </c>
      <c r="O1252" s="582">
        <v>11.655200000000001</v>
      </c>
      <c r="P1252" s="582">
        <v>99.200400000000002</v>
      </c>
      <c r="Q1252" s="582">
        <f t="shared" si="139"/>
        <v>10.143185417374216</v>
      </c>
      <c r="R1252" s="582">
        <f t="shared" si="140"/>
        <v>0.40711458262578454</v>
      </c>
      <c r="S1252" s="582">
        <f t="shared" si="144"/>
        <v>1.0963145826257834</v>
      </c>
      <c r="T1252" s="582">
        <f t="shared" si="142"/>
        <v>1.8911145826257847</v>
      </c>
      <c r="U1252" s="582">
        <f t="shared" si="143"/>
        <v>1.7820145826257847</v>
      </c>
    </row>
    <row r="1253" spans="10:21">
      <c r="J1253" s="580">
        <v>41655</v>
      </c>
      <c r="K1253" s="581">
        <v>0.97916666666666663</v>
      </c>
      <c r="L1253" s="582">
        <v>10.639699999999999</v>
      </c>
      <c r="M1253" s="582">
        <v>10.591100000000001</v>
      </c>
      <c r="N1253" s="582">
        <v>11.8209</v>
      </c>
      <c r="O1253" s="582">
        <v>11.639099999999999</v>
      </c>
      <c r="P1253" s="582">
        <v>99.221199999999996</v>
      </c>
      <c r="Q1253" s="582">
        <f t="shared" si="139"/>
        <v>10.145312205740808</v>
      </c>
      <c r="R1253" s="582">
        <f t="shared" si="140"/>
        <v>0.30938779425919144</v>
      </c>
      <c r="S1253" s="582">
        <f t="shared" si="144"/>
        <v>1.0957877942591929</v>
      </c>
      <c r="T1253" s="582">
        <f t="shared" si="142"/>
        <v>1.8655877942591921</v>
      </c>
      <c r="U1253" s="582">
        <f t="shared" si="143"/>
        <v>1.7637877942591911</v>
      </c>
    </row>
    <row r="1254" spans="10:21">
      <c r="J1254" s="580">
        <v>41656</v>
      </c>
      <c r="K1254" s="581">
        <v>0.97916666666666663</v>
      </c>
      <c r="L1254" s="582">
        <v>10.5342</v>
      </c>
      <c r="M1254" s="582">
        <v>10.5778</v>
      </c>
      <c r="N1254" s="582">
        <v>11.790699999999999</v>
      </c>
      <c r="O1254" s="582">
        <v>11.611800000000001</v>
      </c>
      <c r="P1254" s="582">
        <v>99.136499999999998</v>
      </c>
      <c r="Q1254" s="582">
        <f t="shared" si="139"/>
        <v>10.136651678113383</v>
      </c>
      <c r="R1254" s="582">
        <f t="shared" si="140"/>
        <v>0.21254832188661738</v>
      </c>
      <c r="S1254" s="582">
        <f t="shared" si="144"/>
        <v>1.0911483218866171</v>
      </c>
      <c r="T1254" s="582">
        <f t="shared" si="142"/>
        <v>1.8440483218866166</v>
      </c>
      <c r="U1254" s="582">
        <f t="shared" si="143"/>
        <v>1.7451483218866177</v>
      </c>
    </row>
    <row r="1255" spans="10:21">
      <c r="J1255" s="580">
        <v>41657</v>
      </c>
      <c r="K1255" s="581">
        <v>0.97916666666666663</v>
      </c>
      <c r="L1255" s="582">
        <v>10.5512</v>
      </c>
      <c r="M1255" s="582">
        <v>10.597099999999999</v>
      </c>
      <c r="N1255" s="582">
        <v>11.7851</v>
      </c>
      <c r="O1255" s="582">
        <v>11.610200000000001</v>
      </c>
      <c r="P1255" s="582">
        <v>99.317899999999995</v>
      </c>
      <c r="Q1255" s="582">
        <f t="shared" si="139"/>
        <v>10.155199726656653</v>
      </c>
      <c r="R1255" s="582">
        <f t="shared" si="140"/>
        <v>0.21100027334334698</v>
      </c>
      <c r="S1255" s="582">
        <f t="shared" si="144"/>
        <v>1.0919002733433467</v>
      </c>
      <c r="T1255" s="582">
        <f t="shared" si="142"/>
        <v>1.8199002733433474</v>
      </c>
      <c r="U1255" s="582">
        <f t="shared" si="143"/>
        <v>1.725000273343348</v>
      </c>
    </row>
    <row r="1256" spans="10:21">
      <c r="J1256" s="580">
        <v>41658</v>
      </c>
      <c r="K1256" s="581">
        <v>0.97916666666666663</v>
      </c>
      <c r="L1256" s="582">
        <v>10.5482</v>
      </c>
      <c r="M1256" s="582">
        <v>10.5929</v>
      </c>
      <c r="N1256" s="582">
        <v>11.7651</v>
      </c>
      <c r="O1256" s="582">
        <v>11.5923</v>
      </c>
      <c r="P1256" s="582">
        <v>99.340199999999996</v>
      </c>
      <c r="Q1256" s="582">
        <f t="shared" si="139"/>
        <v>10.157479889184298</v>
      </c>
      <c r="R1256" s="582">
        <f t="shared" si="140"/>
        <v>0.20572011081570146</v>
      </c>
      <c r="S1256" s="582">
        <f t="shared" si="144"/>
        <v>1.0854201108157022</v>
      </c>
      <c r="T1256" s="582">
        <f t="shared" si="142"/>
        <v>1.7976201108157024</v>
      </c>
      <c r="U1256" s="582">
        <f t="shared" si="143"/>
        <v>1.7048201108157017</v>
      </c>
    </row>
    <row r="1257" spans="10:21">
      <c r="J1257" s="580">
        <v>41659</v>
      </c>
      <c r="K1257" s="581">
        <v>0.97916666666666663</v>
      </c>
      <c r="L1257" s="582">
        <v>10.1874</v>
      </c>
      <c r="M1257" s="582">
        <v>10.1951</v>
      </c>
      <c r="N1257" s="582">
        <v>11.7447</v>
      </c>
      <c r="O1257" s="582">
        <v>11.574299999999999</v>
      </c>
      <c r="P1257" s="582">
        <v>99.367800000000003</v>
      </c>
      <c r="Q1257" s="582">
        <f t="shared" si="139"/>
        <v>10.160301973747663</v>
      </c>
      <c r="R1257" s="582">
        <f t="shared" si="140"/>
        <v>0</v>
      </c>
      <c r="S1257" s="582">
        <f t="shared" si="144"/>
        <v>0.68479802625233765</v>
      </c>
      <c r="T1257" s="582">
        <f t="shared" si="142"/>
        <v>1.7743980262523376</v>
      </c>
      <c r="U1257" s="582">
        <f t="shared" si="143"/>
        <v>1.6839980262523366</v>
      </c>
    </row>
    <row r="1258" spans="10:21">
      <c r="J1258" s="580">
        <v>41660</v>
      </c>
      <c r="K1258" s="581">
        <v>0.97916666666666663</v>
      </c>
      <c r="L1258" s="582">
        <v>10.1812</v>
      </c>
      <c r="M1258" s="582">
        <v>10.1783</v>
      </c>
      <c r="N1258" s="582">
        <v>11.702999999999999</v>
      </c>
      <c r="O1258" s="582">
        <v>11.5342</v>
      </c>
      <c r="P1258" s="582">
        <v>99.182699999999997</v>
      </c>
      <c r="Q1258" s="582">
        <f t="shared" si="139"/>
        <v>10.141375602273797</v>
      </c>
      <c r="R1258" s="582">
        <f t="shared" si="140"/>
        <v>0</v>
      </c>
      <c r="S1258" s="582">
        <f t="shared" si="144"/>
        <v>0.68692439772620317</v>
      </c>
      <c r="T1258" s="582">
        <f t="shared" si="142"/>
        <v>1.7516243977262025</v>
      </c>
      <c r="U1258" s="582">
        <f t="shared" si="143"/>
        <v>1.6628243977262032</v>
      </c>
    </row>
    <row r="1259" spans="10:21">
      <c r="J1259" s="580">
        <v>41661</v>
      </c>
      <c r="K1259" s="581">
        <v>0.97916666666666663</v>
      </c>
      <c r="L1259" s="582">
        <v>10.1892</v>
      </c>
      <c r="M1259" s="582">
        <v>10.177199999999999</v>
      </c>
      <c r="N1259" s="582">
        <v>11.6854</v>
      </c>
      <c r="O1259" s="582">
        <v>11.5176</v>
      </c>
      <c r="P1259" s="582">
        <v>99.2393</v>
      </c>
      <c r="Q1259" s="582">
        <f t="shared" si="139"/>
        <v>10.147162920617507</v>
      </c>
      <c r="R1259" s="582">
        <f t="shared" si="140"/>
        <v>0</v>
      </c>
      <c r="S1259" s="582">
        <f t="shared" si="144"/>
        <v>0.68003707938249192</v>
      </c>
      <c r="T1259" s="582">
        <f t="shared" si="142"/>
        <v>1.7282370793824924</v>
      </c>
      <c r="U1259" s="582">
        <f t="shared" si="143"/>
        <v>1.6404370793824925</v>
      </c>
    </row>
    <row r="1260" spans="10:21">
      <c r="J1260" s="580">
        <v>41662</v>
      </c>
      <c r="K1260" s="581">
        <v>0.97916666666666663</v>
      </c>
      <c r="L1260" s="582">
        <v>10.187200000000001</v>
      </c>
      <c r="M1260" s="582">
        <v>10.174300000000001</v>
      </c>
      <c r="N1260" s="582">
        <v>11.6631</v>
      </c>
      <c r="O1260" s="582">
        <v>11.494899999999999</v>
      </c>
      <c r="P1260" s="582">
        <v>99.235799999999998</v>
      </c>
      <c r="Q1260" s="582">
        <f t="shared" si="139"/>
        <v>10.146805047575052</v>
      </c>
      <c r="R1260" s="582">
        <f t="shared" si="140"/>
        <v>0</v>
      </c>
      <c r="S1260" s="582">
        <f t="shared" si="144"/>
        <v>0.67749495242494873</v>
      </c>
      <c r="T1260" s="582">
        <f t="shared" si="142"/>
        <v>1.7062949524249482</v>
      </c>
      <c r="U1260" s="582">
        <f t="shared" si="143"/>
        <v>1.6180949524249475</v>
      </c>
    </row>
    <row r="1261" spans="10:21">
      <c r="J1261" s="580">
        <v>41663</v>
      </c>
      <c r="K1261" s="581">
        <v>0.97916666666666663</v>
      </c>
      <c r="L1261" s="582">
        <v>10.173500000000001</v>
      </c>
      <c r="M1261" s="582">
        <v>10.1601</v>
      </c>
      <c r="N1261" s="582">
        <v>11.624499999999999</v>
      </c>
      <c r="O1261" s="582">
        <v>11.4556</v>
      </c>
      <c r="P1261" s="582">
        <v>99.071299999999994</v>
      </c>
      <c r="Q1261" s="582">
        <f t="shared" si="139"/>
        <v>10.129985014579638</v>
      </c>
      <c r="R1261" s="582">
        <f t="shared" si="140"/>
        <v>0</v>
      </c>
      <c r="S1261" s="582">
        <f t="shared" si="144"/>
        <v>0.68011498542036164</v>
      </c>
      <c r="T1261" s="582">
        <f t="shared" si="142"/>
        <v>1.6845149854203612</v>
      </c>
      <c r="U1261" s="582">
        <f t="shared" si="143"/>
        <v>1.5956149854203621</v>
      </c>
    </row>
    <row r="1262" spans="10:21">
      <c r="J1262" s="580">
        <v>41664</v>
      </c>
      <c r="K1262" s="581">
        <v>0.97916666666666663</v>
      </c>
      <c r="L1262" s="582">
        <v>10.1716</v>
      </c>
      <c r="M1262" s="582">
        <v>10.157400000000001</v>
      </c>
      <c r="N1262" s="582">
        <v>11.600300000000001</v>
      </c>
      <c r="O1262" s="582">
        <v>11.4284</v>
      </c>
      <c r="P1262" s="582">
        <v>99.0304</v>
      </c>
      <c r="Q1262" s="582">
        <f t="shared" si="139"/>
        <v>10.125803012454945</v>
      </c>
      <c r="R1262" s="582">
        <f t="shared" si="140"/>
        <v>0</v>
      </c>
      <c r="S1262" s="582">
        <f t="shared" si="144"/>
        <v>0.68159698754505604</v>
      </c>
      <c r="T1262" s="582">
        <f t="shared" si="142"/>
        <v>1.6644969875450559</v>
      </c>
      <c r="U1262" s="582">
        <f t="shared" si="143"/>
        <v>1.5725969875450549</v>
      </c>
    </row>
    <row r="1263" spans="10:21">
      <c r="J1263" s="580">
        <v>41665</v>
      </c>
      <c r="K1263" s="581">
        <v>0.97916666666666663</v>
      </c>
      <c r="L1263" s="582">
        <v>10.1739</v>
      </c>
      <c r="M1263" s="582">
        <v>10.1601</v>
      </c>
      <c r="N1263" s="582">
        <v>11.582000000000001</v>
      </c>
      <c r="O1263" s="582">
        <v>11.4093</v>
      </c>
      <c r="P1263" s="582">
        <v>99.070999999999998</v>
      </c>
      <c r="Q1263" s="582">
        <f t="shared" si="139"/>
        <v>10.12995433974743</v>
      </c>
      <c r="R1263" s="582">
        <f t="shared" si="140"/>
        <v>0</v>
      </c>
      <c r="S1263" s="582">
        <f t="shared" si="144"/>
        <v>0.68014566025257017</v>
      </c>
      <c r="T1263" s="582">
        <f t="shared" si="142"/>
        <v>1.642045660252571</v>
      </c>
      <c r="U1263" s="582">
        <f t="shared" si="143"/>
        <v>1.5493456602525701</v>
      </c>
    </row>
    <row r="1264" spans="10:21">
      <c r="J1264" s="580">
        <v>41666</v>
      </c>
      <c r="K1264" s="581">
        <v>0.97916666666666663</v>
      </c>
      <c r="L1264" s="582">
        <v>10.172599999999999</v>
      </c>
      <c r="M1264" s="582">
        <v>10.160299999999999</v>
      </c>
      <c r="N1264" s="582">
        <v>11.5609</v>
      </c>
      <c r="O1264" s="582">
        <v>11.385899999999999</v>
      </c>
      <c r="P1264" s="582">
        <v>99.068899999999999</v>
      </c>
      <c r="Q1264" s="582">
        <f t="shared" si="139"/>
        <v>10.129739615921956</v>
      </c>
      <c r="R1264" s="582">
        <f t="shared" si="140"/>
        <v>0</v>
      </c>
      <c r="S1264" s="582">
        <f t="shared" si="144"/>
        <v>0.68056038407804365</v>
      </c>
      <c r="T1264" s="582">
        <f t="shared" si="142"/>
        <v>1.6211603840780444</v>
      </c>
      <c r="U1264" s="582">
        <f t="shared" si="143"/>
        <v>1.5261603840780436</v>
      </c>
    </row>
    <row r="1265" spans="10:21">
      <c r="J1265" s="580">
        <v>41667</v>
      </c>
      <c r="K1265" s="581">
        <v>0.97916666666666663</v>
      </c>
      <c r="L1265" s="582">
        <v>10.174899999999999</v>
      </c>
      <c r="M1265" s="582">
        <v>10.163</v>
      </c>
      <c r="N1265" s="582">
        <v>11.539099999999999</v>
      </c>
      <c r="O1265" s="582">
        <v>11.363</v>
      </c>
      <c r="P1265" s="582">
        <v>99.074600000000004</v>
      </c>
      <c r="Q1265" s="582">
        <f t="shared" si="139"/>
        <v>10.130322437733955</v>
      </c>
      <c r="R1265" s="582">
        <f t="shared" si="140"/>
        <v>0</v>
      </c>
      <c r="S1265" s="582">
        <f t="shared" si="144"/>
        <v>0.68267756226604503</v>
      </c>
      <c r="T1265" s="582">
        <f t="shared" si="142"/>
        <v>1.5987775622660443</v>
      </c>
      <c r="U1265" s="582">
        <f t="shared" si="143"/>
        <v>1.5026775622660442</v>
      </c>
    </row>
    <row r="1266" spans="10:21">
      <c r="J1266" s="580">
        <v>41668</v>
      </c>
      <c r="K1266" s="581">
        <v>0.97916666666666663</v>
      </c>
      <c r="L1266" s="582">
        <v>10.1815</v>
      </c>
      <c r="M1266" s="582">
        <v>10.1685</v>
      </c>
      <c r="N1266" s="582">
        <v>11.5276</v>
      </c>
      <c r="O1266" s="582">
        <v>11.3477</v>
      </c>
      <c r="P1266" s="582">
        <v>99.172300000000007</v>
      </c>
      <c r="Q1266" s="582">
        <f t="shared" si="139"/>
        <v>10.140312208090501</v>
      </c>
      <c r="R1266" s="582">
        <f t="shared" si="140"/>
        <v>0</v>
      </c>
      <c r="S1266" s="582">
        <f t="shared" si="144"/>
        <v>0.67818779190949896</v>
      </c>
      <c r="T1266" s="582">
        <f t="shared" si="142"/>
        <v>1.5772877919094987</v>
      </c>
      <c r="U1266" s="582">
        <f t="shared" si="143"/>
        <v>1.4773877919094986</v>
      </c>
    </row>
    <row r="1267" spans="10:21">
      <c r="J1267" s="580">
        <v>41669</v>
      </c>
      <c r="K1267" s="581">
        <v>0.97916666666666663</v>
      </c>
      <c r="L1267" s="582">
        <v>10.1814</v>
      </c>
      <c r="M1267" s="582">
        <v>10.167899999999999</v>
      </c>
      <c r="N1267" s="582">
        <v>11.5039</v>
      </c>
      <c r="O1267" s="582">
        <v>11.320499999999999</v>
      </c>
      <c r="P1267" s="582">
        <v>99.1494</v>
      </c>
      <c r="Q1267" s="582">
        <f t="shared" si="139"/>
        <v>10.137970695898435</v>
      </c>
      <c r="R1267" s="582">
        <f t="shared" si="140"/>
        <v>0</v>
      </c>
      <c r="S1267" s="582">
        <f t="shared" si="144"/>
        <v>0.6799293041015646</v>
      </c>
      <c r="T1267" s="582">
        <f t="shared" si="142"/>
        <v>1.5559293041015649</v>
      </c>
      <c r="U1267" s="582">
        <f t="shared" si="143"/>
        <v>1.4525293041015641</v>
      </c>
    </row>
    <row r="1268" spans="10:21">
      <c r="J1268" s="580">
        <v>41670</v>
      </c>
      <c r="K1268" s="581">
        <v>0.97916666666666663</v>
      </c>
      <c r="L1268" s="582">
        <v>10.165100000000001</v>
      </c>
      <c r="M1268" s="582">
        <v>10.1515</v>
      </c>
      <c r="N1268" s="582">
        <v>11.467599999999999</v>
      </c>
      <c r="O1268" s="582">
        <v>11.280200000000001</v>
      </c>
      <c r="P1268" s="582">
        <v>98.997799999999998</v>
      </c>
      <c r="Q1268" s="582">
        <f t="shared" si="139"/>
        <v>10.122469680688072</v>
      </c>
      <c r="R1268" s="582">
        <f t="shared" si="140"/>
        <v>0</v>
      </c>
      <c r="S1268" s="582">
        <f t="shared" si="144"/>
        <v>0.6790303193119287</v>
      </c>
      <c r="T1268" s="582">
        <f t="shared" si="142"/>
        <v>1.5351303193119272</v>
      </c>
      <c r="U1268" s="582">
        <f t="shared" si="143"/>
        <v>1.4277303193119288</v>
      </c>
    </row>
    <row r="1269" spans="10:21">
      <c r="J1269" s="580">
        <v>41671</v>
      </c>
      <c r="K1269" s="581">
        <v>0.97916666666666663</v>
      </c>
      <c r="L1269" s="582">
        <v>10.1778</v>
      </c>
      <c r="M1269" s="582">
        <v>10.164</v>
      </c>
      <c r="N1269" s="582">
        <v>11.4597</v>
      </c>
      <c r="O1269" s="582">
        <v>11.266500000000001</v>
      </c>
      <c r="P1269" s="582">
        <v>99.112700000000004</v>
      </c>
      <c r="Q1269" s="582">
        <f t="shared" ref="Q1269:Q1332" si="145">P1269/($G$8*$H$8)</f>
        <v>10.134218141424686</v>
      </c>
      <c r="R1269" s="582">
        <f t="shared" ref="R1269:R1332" si="146">IF((L1269-Q1269-$D$8+$E$8)&lt;0,0,(L1269-Q1269-$D$8+$E$8))</f>
        <v>0</v>
      </c>
      <c r="S1269" s="582">
        <f t="shared" si="144"/>
        <v>0.67978185857531392</v>
      </c>
      <c r="T1269" s="582">
        <f t="shared" ref="T1269:T1332" si="147">N1269-Q1269-$D$10+$E$10</f>
        <v>1.5154818585753138</v>
      </c>
      <c r="U1269" s="582">
        <f t="shared" ref="U1269:U1332" si="148">O1269-Q1269-$D$11+$E$11</f>
        <v>1.4022818585753147</v>
      </c>
    </row>
    <row r="1270" spans="10:21">
      <c r="J1270" s="580">
        <v>41672</v>
      </c>
      <c r="K1270" s="581">
        <v>0.97916666666666663</v>
      </c>
      <c r="L1270" s="582">
        <v>10.1614</v>
      </c>
      <c r="M1270" s="582">
        <v>10.1478</v>
      </c>
      <c r="N1270" s="582">
        <v>11.422800000000001</v>
      </c>
      <c r="O1270" s="582">
        <v>11.2271</v>
      </c>
      <c r="P1270" s="582">
        <v>98.953500000000005</v>
      </c>
      <c r="Q1270" s="582">
        <f t="shared" si="145"/>
        <v>10.117940030464993</v>
      </c>
      <c r="R1270" s="582">
        <f t="shared" si="146"/>
        <v>0</v>
      </c>
      <c r="S1270" s="582">
        <f t="shared" si="144"/>
        <v>0.67985996953500716</v>
      </c>
      <c r="T1270" s="582">
        <f t="shared" si="147"/>
        <v>1.4948599695350073</v>
      </c>
      <c r="U1270" s="582">
        <f t="shared" si="148"/>
        <v>1.379159969535007</v>
      </c>
    </row>
    <row r="1271" spans="10:21">
      <c r="J1271" s="580">
        <v>41673</v>
      </c>
      <c r="K1271" s="581">
        <v>0.97916666666666663</v>
      </c>
      <c r="L1271" s="582">
        <v>10.151300000000001</v>
      </c>
      <c r="M1271" s="582">
        <v>10.1395</v>
      </c>
      <c r="N1271" s="582">
        <v>11.3917</v>
      </c>
      <c r="O1271" s="582">
        <v>11.194599999999999</v>
      </c>
      <c r="P1271" s="582">
        <v>98.863</v>
      </c>
      <c r="Q1271" s="582">
        <f t="shared" si="145"/>
        <v>10.108686456081498</v>
      </c>
      <c r="R1271" s="582">
        <f t="shared" si="146"/>
        <v>0</v>
      </c>
      <c r="S1271" s="582">
        <f t="shared" si="144"/>
        <v>0.68081354391850168</v>
      </c>
      <c r="T1271" s="582">
        <f t="shared" si="147"/>
        <v>1.4730135439185017</v>
      </c>
      <c r="U1271" s="582">
        <f t="shared" si="148"/>
        <v>1.3559135439185011</v>
      </c>
    </row>
    <row r="1272" spans="10:21">
      <c r="J1272" s="580">
        <v>41674</v>
      </c>
      <c r="K1272" s="581">
        <v>0.97916666666666663</v>
      </c>
      <c r="L1272" s="582">
        <v>10.1388</v>
      </c>
      <c r="M1272" s="582">
        <v>10.126200000000001</v>
      </c>
      <c r="N1272" s="582">
        <v>11.3567</v>
      </c>
      <c r="O1272" s="582">
        <v>11.154299999999999</v>
      </c>
      <c r="P1272" s="582">
        <v>98.719499999999996</v>
      </c>
      <c r="Q1272" s="582">
        <f t="shared" si="145"/>
        <v>10.094013661340819</v>
      </c>
      <c r="R1272" s="582">
        <f t="shared" si="146"/>
        <v>0</v>
      </c>
      <c r="S1272" s="582">
        <f t="shared" si="144"/>
        <v>0.68218633865918199</v>
      </c>
      <c r="T1272" s="582">
        <f t="shared" si="147"/>
        <v>1.4526863386591811</v>
      </c>
      <c r="U1272" s="582">
        <f t="shared" si="148"/>
        <v>1.3302863386591803</v>
      </c>
    </row>
    <row r="1273" spans="10:21">
      <c r="J1273" s="580">
        <v>41675</v>
      </c>
      <c r="K1273" s="581">
        <v>0.97916666666666663</v>
      </c>
      <c r="L1273" s="582">
        <v>10.148400000000001</v>
      </c>
      <c r="M1273" s="582">
        <v>10.135</v>
      </c>
      <c r="N1273" s="582">
        <v>11.3446</v>
      </c>
      <c r="O1273" s="582">
        <v>11.1393</v>
      </c>
      <c r="P1273" s="582">
        <v>98.808300000000003</v>
      </c>
      <c r="Q1273" s="582">
        <f t="shared" si="145"/>
        <v>10.103093411675122</v>
      </c>
      <c r="R1273" s="582">
        <f t="shared" si="146"/>
        <v>0</v>
      </c>
      <c r="S1273" s="582">
        <f t="shared" si="144"/>
        <v>0.68190658832487805</v>
      </c>
      <c r="T1273" s="582">
        <f t="shared" si="147"/>
        <v>1.4315065883248779</v>
      </c>
      <c r="U1273" s="582">
        <f t="shared" si="148"/>
        <v>1.3062065883248786</v>
      </c>
    </row>
    <row r="1274" spans="10:21">
      <c r="J1274" s="580">
        <v>41676</v>
      </c>
      <c r="K1274" s="581">
        <v>0.97916666666666663</v>
      </c>
      <c r="L1274" s="582">
        <v>10.141</v>
      </c>
      <c r="M1274" s="582">
        <v>10.1289</v>
      </c>
      <c r="N1274" s="582">
        <v>11.316599999999999</v>
      </c>
      <c r="O1274" s="582">
        <v>11.1107</v>
      </c>
      <c r="P1274" s="582">
        <v>98.739900000000006</v>
      </c>
      <c r="Q1274" s="582">
        <f t="shared" si="145"/>
        <v>10.096099549931132</v>
      </c>
      <c r="R1274" s="582">
        <f t="shared" si="146"/>
        <v>0</v>
      </c>
      <c r="S1274" s="582">
        <f t="shared" si="144"/>
        <v>0.68280045006886758</v>
      </c>
      <c r="T1274" s="582">
        <f t="shared" si="147"/>
        <v>1.4105004500688669</v>
      </c>
      <c r="U1274" s="582">
        <f t="shared" si="148"/>
        <v>1.2846004500688673</v>
      </c>
    </row>
    <row r="1275" spans="10:21">
      <c r="J1275" s="580">
        <v>41677</v>
      </c>
      <c r="K1275" s="581">
        <v>0.97916666666666663</v>
      </c>
      <c r="L1275" s="582">
        <v>10.1486</v>
      </c>
      <c r="M1275" s="582">
        <v>10.137</v>
      </c>
      <c r="N1275" s="582">
        <v>11.303100000000001</v>
      </c>
      <c r="O1275" s="582">
        <v>11.096</v>
      </c>
      <c r="P1275" s="582">
        <v>98.824600000000004</v>
      </c>
      <c r="Q1275" s="582">
        <f t="shared" si="145"/>
        <v>10.104760077558558</v>
      </c>
      <c r="R1275" s="582">
        <f t="shared" si="146"/>
        <v>0</v>
      </c>
      <c r="S1275" s="582">
        <f t="shared" si="144"/>
        <v>0.68223992244144305</v>
      </c>
      <c r="T1275" s="582">
        <f t="shared" si="147"/>
        <v>1.388339922441443</v>
      </c>
      <c r="U1275" s="582">
        <f t="shared" si="148"/>
        <v>1.2612399224414426</v>
      </c>
    </row>
    <row r="1276" spans="10:21">
      <c r="J1276" s="580">
        <v>41678</v>
      </c>
      <c r="K1276" s="581">
        <v>0.97916666666666663</v>
      </c>
      <c r="L1276" s="582">
        <v>10.1403</v>
      </c>
      <c r="M1276" s="582">
        <v>10.1275</v>
      </c>
      <c r="N1276" s="582">
        <v>11.2719</v>
      </c>
      <c r="O1276" s="582">
        <v>11.060600000000001</v>
      </c>
      <c r="P1276" s="582">
        <v>98.727500000000006</v>
      </c>
      <c r="Q1276" s="582">
        <f t="shared" si="145"/>
        <v>10.094831656866432</v>
      </c>
      <c r="R1276" s="582">
        <f t="shared" si="146"/>
        <v>0</v>
      </c>
      <c r="S1276" s="582">
        <f t="shared" si="144"/>
        <v>0.68266834313356717</v>
      </c>
      <c r="T1276" s="582">
        <f t="shared" si="147"/>
        <v>1.367068343133568</v>
      </c>
      <c r="U1276" s="582">
        <f t="shared" si="148"/>
        <v>1.2357683431335684</v>
      </c>
    </row>
    <row r="1277" spans="10:21">
      <c r="J1277" s="580">
        <v>41679</v>
      </c>
      <c r="K1277" s="581">
        <v>0.97916666666666663</v>
      </c>
      <c r="L1277" s="582">
        <v>10.1464</v>
      </c>
      <c r="M1277" s="582">
        <v>10.1334</v>
      </c>
      <c r="N1277" s="582">
        <v>11.2567</v>
      </c>
      <c r="O1277" s="582">
        <v>11.041499999999999</v>
      </c>
      <c r="P1277" s="582">
        <v>98.780600000000007</v>
      </c>
      <c r="Q1277" s="582">
        <f t="shared" si="145"/>
        <v>10.100261102167687</v>
      </c>
      <c r="R1277" s="582">
        <f t="shared" si="146"/>
        <v>0</v>
      </c>
      <c r="S1277" s="582">
        <f t="shared" si="144"/>
        <v>0.68313889783231274</v>
      </c>
      <c r="T1277" s="582">
        <f t="shared" si="147"/>
        <v>1.346438897832313</v>
      </c>
      <c r="U1277" s="582">
        <f t="shared" si="148"/>
        <v>1.2112388978323119</v>
      </c>
    </row>
    <row r="1278" spans="10:21">
      <c r="J1278" s="580">
        <v>41680</v>
      </c>
      <c r="K1278" s="581">
        <v>0.97916666666666663</v>
      </c>
      <c r="L1278" s="582">
        <v>10.144</v>
      </c>
      <c r="M1278" s="582">
        <v>10.131</v>
      </c>
      <c r="N1278" s="582">
        <v>11.2334</v>
      </c>
      <c r="O1278" s="582">
        <v>11.010899999999999</v>
      </c>
      <c r="P1278" s="582">
        <v>98.747500000000002</v>
      </c>
      <c r="Q1278" s="582">
        <f t="shared" si="145"/>
        <v>10.096876645680464</v>
      </c>
      <c r="R1278" s="582">
        <f t="shared" si="146"/>
        <v>0</v>
      </c>
      <c r="S1278" s="582">
        <f t="shared" si="144"/>
        <v>0.68412335431953664</v>
      </c>
      <c r="T1278" s="582">
        <f t="shared" si="147"/>
        <v>1.3265233543195358</v>
      </c>
      <c r="U1278" s="582">
        <f t="shared" si="148"/>
        <v>1.1840233543195358</v>
      </c>
    </row>
    <row r="1279" spans="10:21">
      <c r="J1279" s="580">
        <v>41681</v>
      </c>
      <c r="K1279" s="581">
        <v>0.97916666666666663</v>
      </c>
      <c r="L1279" s="582">
        <v>10.1282</v>
      </c>
      <c r="M1279" s="582">
        <v>10.114000000000001</v>
      </c>
      <c r="N1279" s="582">
        <v>11.196999999999999</v>
      </c>
      <c r="O1279" s="582">
        <v>10.9695</v>
      </c>
      <c r="P1279" s="582">
        <v>98.600300000000004</v>
      </c>
      <c r="Q1279" s="582">
        <f t="shared" si="145"/>
        <v>10.08182552800919</v>
      </c>
      <c r="R1279" s="582">
        <f t="shared" si="146"/>
        <v>0</v>
      </c>
      <c r="S1279" s="582">
        <f t="shared" si="144"/>
        <v>0.68217447199081049</v>
      </c>
      <c r="T1279" s="582">
        <f t="shared" si="147"/>
        <v>1.3051744719908087</v>
      </c>
      <c r="U1279" s="582">
        <f t="shared" si="148"/>
        <v>1.1576744719908096</v>
      </c>
    </row>
    <row r="1280" spans="10:21">
      <c r="J1280" s="580">
        <v>41682</v>
      </c>
      <c r="K1280" s="581">
        <v>0.97916666666666663</v>
      </c>
      <c r="L1280" s="582">
        <v>10.1447</v>
      </c>
      <c r="M1280" s="582">
        <v>10.1304</v>
      </c>
      <c r="N1280" s="582">
        <v>11.1942</v>
      </c>
      <c r="O1280" s="582">
        <v>10.9627</v>
      </c>
      <c r="P1280" s="582">
        <v>98.773700000000005</v>
      </c>
      <c r="Q1280" s="582">
        <f t="shared" si="145"/>
        <v>10.099555581026847</v>
      </c>
      <c r="R1280" s="582">
        <f t="shared" si="146"/>
        <v>0</v>
      </c>
      <c r="S1280" s="582">
        <f t="shared" si="144"/>
        <v>0.68084441897315329</v>
      </c>
      <c r="T1280" s="582">
        <f t="shared" si="147"/>
        <v>1.2846444189731536</v>
      </c>
      <c r="U1280" s="582">
        <f t="shared" si="148"/>
        <v>1.1331444189731532</v>
      </c>
    </row>
    <row r="1281" spans="10:21">
      <c r="J1281" s="580">
        <v>41683</v>
      </c>
      <c r="K1281" s="581">
        <v>0.97916666666666663</v>
      </c>
      <c r="L1281" s="582">
        <v>10.1632</v>
      </c>
      <c r="M1281" s="582">
        <v>10.149900000000001</v>
      </c>
      <c r="N1281" s="582">
        <v>11.1913</v>
      </c>
      <c r="O1281" s="582">
        <v>10.953900000000001</v>
      </c>
      <c r="P1281" s="582">
        <v>98.96</v>
      </c>
      <c r="Q1281" s="582">
        <f t="shared" si="145"/>
        <v>10.118604651829552</v>
      </c>
      <c r="R1281" s="582">
        <f t="shared" si="146"/>
        <v>0</v>
      </c>
      <c r="S1281" s="582">
        <f t="shared" ref="S1281:S1344" si="149">M1281-Q1281-$D$9+$E$9</f>
        <v>0.68129534817044912</v>
      </c>
      <c r="T1281" s="582">
        <f t="shared" si="147"/>
        <v>1.2626953481704484</v>
      </c>
      <c r="U1281" s="582">
        <f t="shared" si="148"/>
        <v>1.1052953481704493</v>
      </c>
    </row>
    <row r="1282" spans="10:21">
      <c r="J1282" s="580">
        <v>41684</v>
      </c>
      <c r="K1282" s="581">
        <v>0.97916666666666663</v>
      </c>
      <c r="L1282" s="582">
        <v>10.157999999999999</v>
      </c>
      <c r="M1282" s="582">
        <v>10.1433</v>
      </c>
      <c r="N1282" s="582">
        <v>11.165100000000001</v>
      </c>
      <c r="O1282" s="582">
        <v>10.9222</v>
      </c>
      <c r="P1282" s="582">
        <v>98.903000000000006</v>
      </c>
      <c r="Q1282" s="582">
        <f t="shared" si="145"/>
        <v>10.112776433709563</v>
      </c>
      <c r="R1282" s="582">
        <f t="shared" si="146"/>
        <v>0</v>
      </c>
      <c r="S1282" s="582">
        <f t="shared" si="149"/>
        <v>0.68052356629043742</v>
      </c>
      <c r="T1282" s="582">
        <f t="shared" si="147"/>
        <v>1.2423235662904379</v>
      </c>
      <c r="U1282" s="582">
        <f t="shared" si="148"/>
        <v>1.0794235662904375</v>
      </c>
    </row>
    <row r="1283" spans="10:21">
      <c r="J1283" s="580">
        <v>41685</v>
      </c>
      <c r="K1283" s="581">
        <v>0.97916666666666663</v>
      </c>
      <c r="L1283" s="582">
        <v>10.142300000000001</v>
      </c>
      <c r="M1283" s="582">
        <v>10.1256</v>
      </c>
      <c r="N1283" s="582">
        <v>11.1295</v>
      </c>
      <c r="O1283" s="582">
        <v>10.882099999999999</v>
      </c>
      <c r="P1283" s="582">
        <v>98.748500000000007</v>
      </c>
      <c r="Q1283" s="582">
        <f t="shared" si="145"/>
        <v>10.096978895121167</v>
      </c>
      <c r="R1283" s="582">
        <f t="shared" si="146"/>
        <v>0</v>
      </c>
      <c r="S1283" s="582">
        <f t="shared" si="149"/>
        <v>0.67862110487883398</v>
      </c>
      <c r="T1283" s="582">
        <f t="shared" si="147"/>
        <v>1.2225211048788336</v>
      </c>
      <c r="U1283" s="582">
        <f t="shared" si="148"/>
        <v>1.0551211048788329</v>
      </c>
    </row>
    <row r="1284" spans="10:21">
      <c r="J1284" s="580">
        <v>41686</v>
      </c>
      <c r="K1284" s="581">
        <v>0.97916666666666663</v>
      </c>
      <c r="L1284" s="582">
        <v>10.1539</v>
      </c>
      <c r="M1284" s="582">
        <v>10.1357</v>
      </c>
      <c r="N1284" s="582">
        <v>11.1204</v>
      </c>
      <c r="O1284" s="582">
        <v>10.8695</v>
      </c>
      <c r="P1284" s="582">
        <v>98.854900000000001</v>
      </c>
      <c r="Q1284" s="582">
        <f t="shared" si="145"/>
        <v>10.107858235611815</v>
      </c>
      <c r="R1284" s="582">
        <f t="shared" si="146"/>
        <v>0</v>
      </c>
      <c r="S1284" s="582">
        <f t="shared" si="149"/>
        <v>0.67784176438818533</v>
      </c>
      <c r="T1284" s="582">
        <f t="shared" si="147"/>
        <v>1.2025417643881853</v>
      </c>
      <c r="U1284" s="582">
        <f t="shared" si="148"/>
        <v>1.0316417643881857</v>
      </c>
    </row>
    <row r="1285" spans="10:21">
      <c r="J1285" s="580">
        <v>41687</v>
      </c>
      <c r="K1285" s="581">
        <v>0.97916666666666663</v>
      </c>
      <c r="L1285" s="582">
        <v>10.1745</v>
      </c>
      <c r="M1285" s="582">
        <v>10.1571</v>
      </c>
      <c r="N1285" s="582">
        <v>11.1197</v>
      </c>
      <c r="O1285" s="582">
        <v>10.864800000000001</v>
      </c>
      <c r="P1285" s="582">
        <v>99.064599999999999</v>
      </c>
      <c r="Q1285" s="582">
        <f t="shared" si="145"/>
        <v>10.12929994332694</v>
      </c>
      <c r="R1285" s="582">
        <f t="shared" si="146"/>
        <v>0</v>
      </c>
      <c r="S1285" s="582">
        <f t="shared" si="149"/>
        <v>0.6778000566730602</v>
      </c>
      <c r="T1285" s="582">
        <f t="shared" si="147"/>
        <v>1.1804000566730601</v>
      </c>
      <c r="U1285" s="582">
        <f t="shared" si="148"/>
        <v>1.005500056673061</v>
      </c>
    </row>
    <row r="1286" spans="10:21">
      <c r="J1286" s="580">
        <v>41688</v>
      </c>
      <c r="K1286" s="581">
        <v>0.97916666666666663</v>
      </c>
      <c r="L1286" s="582">
        <v>10.179399999999999</v>
      </c>
      <c r="M1286" s="582">
        <v>10.1616</v>
      </c>
      <c r="N1286" s="582">
        <v>11.112299999999999</v>
      </c>
      <c r="O1286" s="582">
        <v>10.853300000000001</v>
      </c>
      <c r="P1286" s="582">
        <v>99.132800000000003</v>
      </c>
      <c r="Q1286" s="582">
        <f t="shared" si="145"/>
        <v>10.136273355182787</v>
      </c>
      <c r="R1286" s="582">
        <f t="shared" si="146"/>
        <v>0</v>
      </c>
      <c r="S1286" s="582">
        <f t="shared" si="149"/>
        <v>0.67532664481721283</v>
      </c>
      <c r="T1286" s="582">
        <f t="shared" si="147"/>
        <v>1.1660266448172121</v>
      </c>
      <c r="U1286" s="582">
        <f t="shared" si="148"/>
        <v>0.98702664481721358</v>
      </c>
    </row>
    <row r="1287" spans="10:21">
      <c r="J1287" s="580">
        <v>41689</v>
      </c>
      <c r="K1287" s="581">
        <v>0.97916666666666663</v>
      </c>
      <c r="L1287" s="582">
        <v>10.164099999999999</v>
      </c>
      <c r="M1287" s="582">
        <v>10.1479</v>
      </c>
      <c r="N1287" s="582">
        <v>11.075900000000001</v>
      </c>
      <c r="O1287" s="582">
        <v>10.8146</v>
      </c>
      <c r="P1287" s="582">
        <v>98.993499999999997</v>
      </c>
      <c r="Q1287" s="582">
        <f t="shared" si="145"/>
        <v>10.122030008093056</v>
      </c>
      <c r="R1287" s="582">
        <f t="shared" si="146"/>
        <v>0</v>
      </c>
      <c r="S1287" s="582">
        <f t="shared" si="149"/>
        <v>0.67586999190694441</v>
      </c>
      <c r="T1287" s="582">
        <f t="shared" si="147"/>
        <v>1.143869991906945</v>
      </c>
      <c r="U1287" s="582">
        <f t="shared" si="148"/>
        <v>0.96256999190694481</v>
      </c>
    </row>
    <row r="1288" spans="10:21">
      <c r="J1288" s="580">
        <v>41690</v>
      </c>
      <c r="K1288" s="581">
        <v>0.97916666666666663</v>
      </c>
      <c r="L1288" s="582">
        <v>10.181100000000001</v>
      </c>
      <c r="M1288" s="582">
        <v>10.164</v>
      </c>
      <c r="N1288" s="582">
        <v>11.0722</v>
      </c>
      <c r="O1288" s="582">
        <v>10.6866</v>
      </c>
      <c r="P1288" s="582">
        <v>99.154399999999995</v>
      </c>
      <c r="Q1288" s="582">
        <f t="shared" si="145"/>
        <v>10.138481943101942</v>
      </c>
      <c r="R1288" s="582">
        <f t="shared" si="146"/>
        <v>0</v>
      </c>
      <c r="S1288" s="582">
        <f t="shared" si="149"/>
        <v>0.67551805689805788</v>
      </c>
      <c r="T1288" s="582">
        <f t="shared" si="147"/>
        <v>1.1237180568980585</v>
      </c>
      <c r="U1288" s="582">
        <f t="shared" si="148"/>
        <v>0.81811805689805839</v>
      </c>
    </row>
    <row r="1289" spans="10:21">
      <c r="J1289" s="580">
        <v>41691</v>
      </c>
      <c r="K1289" s="581">
        <v>0.97916666666666663</v>
      </c>
      <c r="L1289" s="582">
        <v>10.1808</v>
      </c>
      <c r="M1289" s="582">
        <v>10.1632</v>
      </c>
      <c r="N1289" s="582">
        <v>11.051399999999999</v>
      </c>
      <c r="O1289" s="582">
        <v>10.620100000000001</v>
      </c>
      <c r="P1289" s="582">
        <v>99.1511</v>
      </c>
      <c r="Q1289" s="582">
        <f t="shared" si="145"/>
        <v>10.138144519947627</v>
      </c>
      <c r="R1289" s="582">
        <f t="shared" si="146"/>
        <v>0</v>
      </c>
      <c r="S1289" s="582">
        <f t="shared" si="149"/>
        <v>0.67505548005237315</v>
      </c>
      <c r="T1289" s="582">
        <f t="shared" si="147"/>
        <v>1.1032554800523724</v>
      </c>
      <c r="U1289" s="582">
        <f t="shared" si="148"/>
        <v>0.751955480052374</v>
      </c>
    </row>
    <row r="1290" spans="10:21">
      <c r="J1290" s="580">
        <v>41692</v>
      </c>
      <c r="K1290" s="581">
        <v>0.97916666666666663</v>
      </c>
      <c r="L1290" s="582">
        <v>10.1768</v>
      </c>
      <c r="M1290" s="582">
        <v>10.1578</v>
      </c>
      <c r="N1290" s="582">
        <v>11.0268</v>
      </c>
      <c r="O1290" s="582">
        <v>10.541399999999999</v>
      </c>
      <c r="P1290" s="582">
        <v>99.112700000000004</v>
      </c>
      <c r="Q1290" s="582">
        <f t="shared" si="145"/>
        <v>10.134218141424686</v>
      </c>
      <c r="R1290" s="582">
        <f t="shared" si="146"/>
        <v>0</v>
      </c>
      <c r="S1290" s="582">
        <f t="shared" si="149"/>
        <v>0.67358185857531416</v>
      </c>
      <c r="T1290" s="582">
        <f t="shared" si="147"/>
        <v>1.0825818585753137</v>
      </c>
      <c r="U1290" s="582">
        <f t="shared" si="148"/>
        <v>0.67718185857531354</v>
      </c>
    </row>
    <row r="1291" spans="10:21">
      <c r="J1291" s="580">
        <v>41693</v>
      </c>
      <c r="K1291" s="581">
        <v>0.97916666666666663</v>
      </c>
      <c r="L1291" s="582">
        <v>10.1739</v>
      </c>
      <c r="M1291" s="582">
        <v>10.1578</v>
      </c>
      <c r="N1291" s="582">
        <v>11.0059</v>
      </c>
      <c r="O1291" s="582">
        <v>10.541</v>
      </c>
      <c r="P1291" s="582">
        <v>99.090199999999996</v>
      </c>
      <c r="Q1291" s="582">
        <f t="shared" si="145"/>
        <v>10.1319175290089</v>
      </c>
      <c r="R1291" s="582">
        <f t="shared" si="146"/>
        <v>0</v>
      </c>
      <c r="S1291" s="582">
        <f t="shared" si="149"/>
        <v>0.67588247099109977</v>
      </c>
      <c r="T1291" s="582">
        <f t="shared" si="147"/>
        <v>1.0639824709911001</v>
      </c>
      <c r="U1291" s="582">
        <f t="shared" si="148"/>
        <v>0.67908247099110008</v>
      </c>
    </row>
    <row r="1292" spans="10:21">
      <c r="J1292" s="580">
        <v>41694</v>
      </c>
      <c r="K1292" s="581">
        <v>0.97916666666666663</v>
      </c>
      <c r="L1292" s="582">
        <v>10.181699999999999</v>
      </c>
      <c r="M1292" s="582">
        <v>10.168100000000001</v>
      </c>
      <c r="N1292" s="582">
        <v>10.9983</v>
      </c>
      <c r="O1292" s="582">
        <v>10.5532</v>
      </c>
      <c r="P1292" s="582">
        <v>99.136899999999997</v>
      </c>
      <c r="Q1292" s="582">
        <f t="shared" si="145"/>
        <v>10.136692577889663</v>
      </c>
      <c r="R1292" s="582">
        <f t="shared" si="146"/>
        <v>0</v>
      </c>
      <c r="S1292" s="582">
        <f t="shared" si="149"/>
        <v>0.68140742211033767</v>
      </c>
      <c r="T1292" s="582">
        <f t="shared" si="147"/>
        <v>1.0516074221103371</v>
      </c>
      <c r="U1292" s="582">
        <f t="shared" si="148"/>
        <v>0.68650742211033711</v>
      </c>
    </row>
    <row r="1293" spans="10:21">
      <c r="J1293" s="580">
        <v>41695</v>
      </c>
      <c r="K1293" s="581">
        <v>0.97916666666666663</v>
      </c>
      <c r="L1293" s="582">
        <v>10.180899999999999</v>
      </c>
      <c r="M1293" s="582">
        <v>10.1675</v>
      </c>
      <c r="N1293" s="582">
        <v>10.976800000000001</v>
      </c>
      <c r="O1293" s="582">
        <v>10.545199999999999</v>
      </c>
      <c r="P1293" s="582">
        <v>99.166600000000003</v>
      </c>
      <c r="Q1293" s="582">
        <f t="shared" si="145"/>
        <v>10.139729386278502</v>
      </c>
      <c r="R1293" s="582">
        <f t="shared" si="146"/>
        <v>0</v>
      </c>
      <c r="S1293" s="582">
        <f t="shared" si="149"/>
        <v>0.67777061372149894</v>
      </c>
      <c r="T1293" s="582">
        <f t="shared" si="147"/>
        <v>1.0270706137214991</v>
      </c>
      <c r="U1293" s="582">
        <f t="shared" si="148"/>
        <v>0.67547061372149786</v>
      </c>
    </row>
    <row r="1294" spans="10:21">
      <c r="J1294" s="580">
        <v>41696</v>
      </c>
      <c r="K1294" s="581">
        <v>0.97916666666666663</v>
      </c>
      <c r="L1294" s="582">
        <v>10.1746</v>
      </c>
      <c r="M1294" s="582">
        <v>10.1607</v>
      </c>
      <c r="N1294" s="582">
        <v>10.9482</v>
      </c>
      <c r="O1294" s="582">
        <v>10.539400000000001</v>
      </c>
      <c r="P1294" s="582">
        <v>99.118499999999997</v>
      </c>
      <c r="Q1294" s="582">
        <f t="shared" si="145"/>
        <v>10.134811188180755</v>
      </c>
      <c r="R1294" s="582">
        <f t="shared" si="146"/>
        <v>0</v>
      </c>
      <c r="S1294" s="582">
        <f t="shared" si="149"/>
        <v>0.67588881181924498</v>
      </c>
      <c r="T1294" s="582">
        <f t="shared" si="147"/>
        <v>1.0033888118192444</v>
      </c>
      <c r="U1294" s="582">
        <f t="shared" si="148"/>
        <v>0.67458881181924513</v>
      </c>
    </row>
    <row r="1295" spans="10:21">
      <c r="J1295" s="580">
        <v>41697</v>
      </c>
      <c r="K1295" s="581">
        <v>0.97916666666666663</v>
      </c>
      <c r="L1295" s="582">
        <v>10.1716</v>
      </c>
      <c r="M1295" s="582">
        <v>10.157500000000001</v>
      </c>
      <c r="N1295" s="582">
        <v>10.922599999999999</v>
      </c>
      <c r="O1295" s="582">
        <v>10.532</v>
      </c>
      <c r="P1295" s="582">
        <v>99.059799999999996</v>
      </c>
      <c r="Q1295" s="582">
        <f t="shared" si="145"/>
        <v>10.128809146011571</v>
      </c>
      <c r="R1295" s="582">
        <f t="shared" si="146"/>
        <v>0</v>
      </c>
      <c r="S1295" s="582">
        <f t="shared" si="149"/>
        <v>0.67869085398842954</v>
      </c>
      <c r="T1295" s="582">
        <f t="shared" si="147"/>
        <v>0.98379085398842803</v>
      </c>
      <c r="U1295" s="582">
        <f t="shared" si="148"/>
        <v>0.67319085398842882</v>
      </c>
    </row>
    <row r="1296" spans="10:21">
      <c r="J1296" s="580">
        <v>41698</v>
      </c>
      <c r="K1296" s="581">
        <v>0.97916666666666663</v>
      </c>
      <c r="L1296" s="582">
        <v>10.1663</v>
      </c>
      <c r="M1296" s="582">
        <v>10.150600000000001</v>
      </c>
      <c r="N1296" s="582">
        <v>10.892200000000001</v>
      </c>
      <c r="O1296" s="582">
        <v>10.524900000000001</v>
      </c>
      <c r="P1296" s="582">
        <v>98.996799999999993</v>
      </c>
      <c r="Q1296" s="582">
        <f t="shared" si="145"/>
        <v>10.122367431247371</v>
      </c>
      <c r="R1296" s="582">
        <f t="shared" si="146"/>
        <v>0</v>
      </c>
      <c r="S1296" s="582">
        <f t="shared" si="149"/>
        <v>0.67823256875263005</v>
      </c>
      <c r="T1296" s="582">
        <f t="shared" si="147"/>
        <v>0.95983256875263001</v>
      </c>
      <c r="U1296" s="582">
        <f t="shared" si="148"/>
        <v>0.67253256875262979</v>
      </c>
    </row>
    <row r="1297" spans="10:21">
      <c r="J1297" s="580">
        <v>41699</v>
      </c>
      <c r="K1297" s="581">
        <v>0.97916666666666663</v>
      </c>
      <c r="L1297" s="582">
        <v>10.166700000000001</v>
      </c>
      <c r="M1297" s="582">
        <v>10.152100000000001</v>
      </c>
      <c r="N1297" s="582">
        <v>10.9359</v>
      </c>
      <c r="O1297" s="582">
        <v>10.603</v>
      </c>
      <c r="P1297" s="582">
        <v>99.012500000000003</v>
      </c>
      <c r="Q1297" s="582">
        <f t="shared" si="145"/>
        <v>10.123972747466386</v>
      </c>
      <c r="R1297" s="582">
        <f t="shared" si="146"/>
        <v>0</v>
      </c>
      <c r="S1297" s="582">
        <f t="shared" si="149"/>
        <v>0.67812725253361505</v>
      </c>
      <c r="T1297" s="582">
        <f t="shared" si="147"/>
        <v>1.0019272525336143</v>
      </c>
      <c r="U1297" s="582">
        <f t="shared" si="148"/>
        <v>0.74902725253361391</v>
      </c>
    </row>
    <row r="1298" spans="10:21">
      <c r="J1298" s="580">
        <v>41700</v>
      </c>
      <c r="K1298" s="581">
        <v>0.97916666666666663</v>
      </c>
      <c r="L1298" s="582">
        <v>10.161899999999999</v>
      </c>
      <c r="M1298" s="582">
        <v>10.146699999999999</v>
      </c>
      <c r="N1298" s="582">
        <v>10.915800000000001</v>
      </c>
      <c r="O1298" s="582">
        <v>10.631399999999999</v>
      </c>
      <c r="P1298" s="582">
        <v>98.954099999999997</v>
      </c>
      <c r="Q1298" s="582">
        <f t="shared" si="145"/>
        <v>10.118001380129414</v>
      </c>
      <c r="R1298" s="582">
        <f t="shared" si="146"/>
        <v>0</v>
      </c>
      <c r="S1298" s="582">
        <f t="shared" si="149"/>
        <v>0.67869861987058555</v>
      </c>
      <c r="T1298" s="582">
        <f t="shared" si="147"/>
        <v>0.98779861987058715</v>
      </c>
      <c r="U1298" s="582">
        <f t="shared" si="148"/>
        <v>0.78339861987058557</v>
      </c>
    </row>
    <row r="1299" spans="10:21">
      <c r="J1299" s="580">
        <v>41701</v>
      </c>
      <c r="K1299" s="581">
        <v>0.97916666666666663</v>
      </c>
      <c r="L1299" s="582">
        <v>10.1615</v>
      </c>
      <c r="M1299" s="582">
        <v>10.1433</v>
      </c>
      <c r="N1299" s="582">
        <v>10.8971</v>
      </c>
      <c r="O1299" s="582">
        <v>10.5326</v>
      </c>
      <c r="P1299" s="582">
        <v>98.957400000000007</v>
      </c>
      <c r="Q1299" s="582">
        <f t="shared" si="145"/>
        <v>10.118338803283729</v>
      </c>
      <c r="R1299" s="582">
        <f t="shared" si="146"/>
        <v>0</v>
      </c>
      <c r="S1299" s="582">
        <f t="shared" si="149"/>
        <v>0.67496119671627119</v>
      </c>
      <c r="T1299" s="582">
        <f t="shared" si="147"/>
        <v>0.96876119671627114</v>
      </c>
      <c r="U1299" s="582">
        <f t="shared" si="148"/>
        <v>0.6842611967162715</v>
      </c>
    </row>
    <row r="1300" spans="10:21">
      <c r="J1300" s="580">
        <v>41702</v>
      </c>
      <c r="K1300" s="581">
        <v>0.97916666666666663</v>
      </c>
      <c r="L1300" s="582">
        <v>10.1745</v>
      </c>
      <c r="M1300" s="582">
        <v>10.1555</v>
      </c>
      <c r="N1300" s="582">
        <v>10.9298</v>
      </c>
      <c r="O1300" s="582">
        <v>10.542400000000001</v>
      </c>
      <c r="P1300" s="582">
        <v>99.091899999999995</v>
      </c>
      <c r="Q1300" s="582">
        <f t="shared" si="145"/>
        <v>10.132091353058092</v>
      </c>
      <c r="R1300" s="582">
        <f t="shared" si="146"/>
        <v>0</v>
      </c>
      <c r="S1300" s="582">
        <f t="shared" si="149"/>
        <v>0.67340864694190805</v>
      </c>
      <c r="T1300" s="582">
        <f t="shared" si="147"/>
        <v>0.98770864694190819</v>
      </c>
      <c r="U1300" s="582">
        <f t="shared" si="148"/>
        <v>0.68030864694190862</v>
      </c>
    </row>
    <row r="1301" spans="10:21">
      <c r="J1301" s="580">
        <v>41703</v>
      </c>
      <c r="K1301" s="581">
        <v>0.97916666666666663</v>
      </c>
      <c r="L1301" s="582">
        <v>10.170400000000001</v>
      </c>
      <c r="M1301" s="582">
        <v>10.151400000000001</v>
      </c>
      <c r="N1301" s="582">
        <v>10.8347</v>
      </c>
      <c r="O1301" s="582">
        <v>10.5382</v>
      </c>
      <c r="P1301" s="582">
        <v>99.044700000000006</v>
      </c>
      <c r="Q1301" s="582">
        <f t="shared" si="145"/>
        <v>10.127265179456979</v>
      </c>
      <c r="R1301" s="582">
        <f t="shared" si="146"/>
        <v>0</v>
      </c>
      <c r="S1301" s="582">
        <f t="shared" si="149"/>
        <v>0.67413482054302221</v>
      </c>
      <c r="T1301" s="582">
        <f t="shared" si="147"/>
        <v>0.89743482054302126</v>
      </c>
      <c r="U1301" s="582">
        <f t="shared" si="148"/>
        <v>0.68093482054302124</v>
      </c>
    </row>
    <row r="1302" spans="10:21">
      <c r="J1302" s="580">
        <v>41704</v>
      </c>
      <c r="K1302" s="581">
        <v>0.97916666666666663</v>
      </c>
      <c r="L1302" s="582">
        <v>10.166600000000001</v>
      </c>
      <c r="M1302" s="582">
        <v>10.147600000000001</v>
      </c>
      <c r="N1302" s="582">
        <v>10.5595</v>
      </c>
      <c r="O1302" s="582">
        <v>10.534599999999999</v>
      </c>
      <c r="P1302" s="582">
        <v>99.017099999999999</v>
      </c>
      <c r="Q1302" s="582">
        <f t="shared" si="145"/>
        <v>10.124443094893614</v>
      </c>
      <c r="R1302" s="582">
        <f t="shared" si="146"/>
        <v>0</v>
      </c>
      <c r="S1302" s="582">
        <f t="shared" si="149"/>
        <v>0.67315690510638659</v>
      </c>
      <c r="T1302" s="582">
        <f t="shared" si="147"/>
        <v>0.62505690510638579</v>
      </c>
      <c r="U1302" s="582">
        <f t="shared" si="148"/>
        <v>0.68015690510638516</v>
      </c>
    </row>
    <row r="1303" spans="10:21">
      <c r="J1303" s="580">
        <v>41543</v>
      </c>
      <c r="K1303" s="581">
        <v>0.98263888888888884</v>
      </c>
      <c r="L1303" s="582">
        <v>10.057600000000001</v>
      </c>
      <c r="M1303" s="582">
        <v>10.072100000000001</v>
      </c>
      <c r="N1303" s="582">
        <v>10.0809</v>
      </c>
      <c r="O1303" s="582">
        <v>10.0923</v>
      </c>
      <c r="P1303" s="582">
        <v>98.805700000000002</v>
      </c>
      <c r="Q1303" s="582">
        <f t="shared" si="145"/>
        <v>10.102827563129297</v>
      </c>
      <c r="R1303" s="582">
        <f t="shared" si="146"/>
        <v>0</v>
      </c>
      <c r="S1303" s="582">
        <f t="shared" si="149"/>
        <v>0.61927243687070344</v>
      </c>
      <c r="T1303" s="582">
        <f t="shared" si="147"/>
        <v>0.16807243687070239</v>
      </c>
      <c r="U1303" s="582">
        <f t="shared" si="148"/>
        <v>0.25947243687070237</v>
      </c>
    </row>
    <row r="1304" spans="10:21">
      <c r="J1304" s="580">
        <v>41544</v>
      </c>
      <c r="K1304" s="581">
        <v>0.98263888888888884</v>
      </c>
      <c r="L1304" s="582">
        <v>10.055</v>
      </c>
      <c r="M1304" s="582">
        <v>10.0702</v>
      </c>
      <c r="N1304" s="582">
        <v>10.0792</v>
      </c>
      <c r="O1304" s="582">
        <v>10.0908</v>
      </c>
      <c r="P1304" s="582">
        <v>98.785700000000006</v>
      </c>
      <c r="Q1304" s="582">
        <f t="shared" si="145"/>
        <v>10.100782574315266</v>
      </c>
      <c r="R1304" s="582">
        <f t="shared" si="146"/>
        <v>0</v>
      </c>
      <c r="S1304" s="582">
        <f t="shared" si="149"/>
        <v>0.61941742568473379</v>
      </c>
      <c r="T1304" s="582">
        <f t="shared" si="147"/>
        <v>0.16841742568473406</v>
      </c>
      <c r="U1304" s="582">
        <f t="shared" si="148"/>
        <v>0.26001742568473357</v>
      </c>
    </row>
    <row r="1305" spans="10:21">
      <c r="J1305" s="580">
        <v>41545</v>
      </c>
      <c r="K1305" s="581">
        <v>0.98263888888888884</v>
      </c>
      <c r="L1305" s="582">
        <v>10.0349</v>
      </c>
      <c r="M1305" s="582">
        <v>10.0502</v>
      </c>
      <c r="N1305" s="582">
        <v>10.0578</v>
      </c>
      <c r="O1305" s="582">
        <v>10.0702</v>
      </c>
      <c r="P1305" s="582">
        <v>98.584400000000002</v>
      </c>
      <c r="Q1305" s="582">
        <f t="shared" si="145"/>
        <v>10.080199761902035</v>
      </c>
      <c r="R1305" s="582">
        <f t="shared" si="146"/>
        <v>0</v>
      </c>
      <c r="S1305" s="582">
        <f t="shared" si="149"/>
        <v>0.62000023809796523</v>
      </c>
      <c r="T1305" s="582">
        <f t="shared" si="147"/>
        <v>0.1676002380979652</v>
      </c>
      <c r="U1305" s="582">
        <f t="shared" si="148"/>
        <v>0.26000023809796463</v>
      </c>
    </row>
    <row r="1306" spans="10:21">
      <c r="J1306" s="580">
        <v>41546</v>
      </c>
      <c r="K1306" s="581">
        <v>0.98263888888888884</v>
      </c>
      <c r="L1306" s="582">
        <v>10.0145</v>
      </c>
      <c r="M1306" s="582">
        <v>10.0288</v>
      </c>
      <c r="N1306" s="582">
        <v>10.0365</v>
      </c>
      <c r="O1306" s="582">
        <v>10.0495</v>
      </c>
      <c r="P1306" s="582">
        <v>98.383099999999999</v>
      </c>
      <c r="Q1306" s="582">
        <f t="shared" si="145"/>
        <v>10.059616949488804</v>
      </c>
      <c r="R1306" s="582">
        <f t="shared" si="146"/>
        <v>0</v>
      </c>
      <c r="S1306" s="582">
        <f t="shared" si="149"/>
        <v>0.61918305051119638</v>
      </c>
      <c r="T1306" s="582">
        <f t="shared" si="147"/>
        <v>0.16688305051119612</v>
      </c>
      <c r="U1306" s="582">
        <f t="shared" si="148"/>
        <v>0.25988305051119592</v>
      </c>
    </row>
    <row r="1307" spans="10:21">
      <c r="J1307" s="580">
        <v>41547</v>
      </c>
      <c r="K1307" s="581">
        <v>0.98263888888888884</v>
      </c>
      <c r="L1307" s="582">
        <v>10.0137</v>
      </c>
      <c r="M1307" s="582">
        <v>10.0274</v>
      </c>
      <c r="N1307" s="582">
        <v>10.0358</v>
      </c>
      <c r="O1307" s="582">
        <v>10.0479</v>
      </c>
      <c r="P1307" s="582">
        <v>98.37</v>
      </c>
      <c r="Q1307" s="582">
        <f t="shared" si="145"/>
        <v>10.058277481815614</v>
      </c>
      <c r="R1307" s="582">
        <f t="shared" si="146"/>
        <v>0</v>
      </c>
      <c r="S1307" s="582">
        <f t="shared" si="149"/>
        <v>0.61912251818438668</v>
      </c>
      <c r="T1307" s="582">
        <f t="shared" si="147"/>
        <v>0.16752251818438657</v>
      </c>
      <c r="U1307" s="582">
        <f t="shared" si="148"/>
        <v>0.2596225181843867</v>
      </c>
    </row>
    <row r="1308" spans="10:21">
      <c r="J1308" s="580">
        <v>41548</v>
      </c>
      <c r="K1308" s="581">
        <v>0.98263888888888884</v>
      </c>
      <c r="L1308" s="582">
        <v>10.0237</v>
      </c>
      <c r="M1308" s="582">
        <v>10.036899999999999</v>
      </c>
      <c r="N1308" s="582">
        <v>10.045199999999999</v>
      </c>
      <c r="O1308" s="582">
        <v>10.059100000000001</v>
      </c>
      <c r="P1308" s="582">
        <v>98.451599999999999</v>
      </c>
      <c r="Q1308" s="582">
        <f t="shared" si="145"/>
        <v>10.066621036176864</v>
      </c>
      <c r="R1308" s="582">
        <f t="shared" si="146"/>
        <v>0</v>
      </c>
      <c r="S1308" s="582">
        <f t="shared" si="149"/>
        <v>0.62027896382313563</v>
      </c>
      <c r="T1308" s="582">
        <f t="shared" si="147"/>
        <v>0.16857896382313575</v>
      </c>
      <c r="U1308" s="582">
        <f t="shared" si="148"/>
        <v>0.26247896382313701</v>
      </c>
    </row>
    <row r="1309" spans="10:21">
      <c r="J1309" s="580">
        <v>41549</v>
      </c>
      <c r="K1309" s="581">
        <v>0.98263888888888884</v>
      </c>
      <c r="L1309" s="582">
        <v>10.037599999999999</v>
      </c>
      <c r="M1309" s="582">
        <v>10.049200000000001</v>
      </c>
      <c r="N1309" s="582">
        <v>10.057600000000001</v>
      </c>
      <c r="O1309" s="582">
        <v>10.070399999999999</v>
      </c>
      <c r="P1309" s="582">
        <v>98.578800000000001</v>
      </c>
      <c r="Q1309" s="582">
        <f t="shared" si="145"/>
        <v>10.079627165034106</v>
      </c>
      <c r="R1309" s="582">
        <f t="shared" si="146"/>
        <v>0</v>
      </c>
      <c r="S1309" s="582">
        <f t="shared" si="149"/>
        <v>0.6195728349658951</v>
      </c>
      <c r="T1309" s="582">
        <f t="shared" si="147"/>
        <v>0.16797283496589499</v>
      </c>
      <c r="U1309" s="582">
        <f t="shared" si="148"/>
        <v>0.26077283496589349</v>
      </c>
    </row>
    <row r="1310" spans="10:21">
      <c r="J1310" s="580">
        <v>41550</v>
      </c>
      <c r="K1310" s="581">
        <v>0.98263888888888884</v>
      </c>
      <c r="L1310" s="582">
        <v>10.0405</v>
      </c>
      <c r="M1310" s="582">
        <v>10.0535</v>
      </c>
      <c r="N1310" s="582">
        <v>10.0609</v>
      </c>
      <c r="O1310" s="582">
        <v>10.0733</v>
      </c>
      <c r="P1310" s="582">
        <v>98.619900000000001</v>
      </c>
      <c r="Q1310" s="582">
        <f t="shared" si="145"/>
        <v>10.083829617046941</v>
      </c>
      <c r="R1310" s="582">
        <f t="shared" si="146"/>
        <v>0</v>
      </c>
      <c r="S1310" s="582">
        <f t="shared" si="149"/>
        <v>0.61967038295305854</v>
      </c>
      <c r="T1310" s="582">
        <f t="shared" si="147"/>
        <v>0.16707038295305898</v>
      </c>
      <c r="U1310" s="582">
        <f t="shared" si="148"/>
        <v>0.25947038295305841</v>
      </c>
    </row>
    <row r="1311" spans="10:21">
      <c r="J1311" s="580">
        <v>41551</v>
      </c>
      <c r="K1311" s="581">
        <v>0.98263888888888884</v>
      </c>
      <c r="L1311" s="582">
        <v>10.052899999999999</v>
      </c>
      <c r="M1311" s="582">
        <v>10.062900000000001</v>
      </c>
      <c r="N1311" s="582">
        <v>10.0722</v>
      </c>
      <c r="O1311" s="582">
        <v>10.084199999999999</v>
      </c>
      <c r="P1311" s="582">
        <v>98.727599999999995</v>
      </c>
      <c r="Q1311" s="582">
        <f t="shared" si="145"/>
        <v>10.094841881810503</v>
      </c>
      <c r="R1311" s="582">
        <f t="shared" si="146"/>
        <v>0</v>
      </c>
      <c r="S1311" s="582">
        <f t="shared" si="149"/>
        <v>0.61805811818949841</v>
      </c>
      <c r="T1311" s="582">
        <f t="shared" si="147"/>
        <v>0.16735811818949797</v>
      </c>
      <c r="U1311" s="582">
        <f t="shared" si="148"/>
        <v>0.25935811818949656</v>
      </c>
    </row>
    <row r="1312" spans="10:21">
      <c r="J1312" s="580">
        <v>41552</v>
      </c>
      <c r="K1312" s="581">
        <v>0.98263888888888884</v>
      </c>
      <c r="L1312" s="582">
        <v>10.045400000000001</v>
      </c>
      <c r="M1312" s="582">
        <v>10.0549</v>
      </c>
      <c r="N1312" s="582">
        <v>10.064</v>
      </c>
      <c r="O1312" s="582">
        <v>10.0783</v>
      </c>
      <c r="P1312" s="582">
        <v>98.660200000000003</v>
      </c>
      <c r="Q1312" s="582">
        <f t="shared" si="145"/>
        <v>10.087950269507216</v>
      </c>
      <c r="R1312" s="582">
        <f t="shared" si="146"/>
        <v>0</v>
      </c>
      <c r="S1312" s="582">
        <f t="shared" si="149"/>
        <v>0.61694973049278423</v>
      </c>
      <c r="T1312" s="582">
        <f t="shared" si="147"/>
        <v>0.16604973049278426</v>
      </c>
      <c r="U1312" s="582">
        <f t="shared" si="148"/>
        <v>0.26034973049278459</v>
      </c>
    </row>
    <row r="1313" spans="10:21">
      <c r="J1313" s="580">
        <v>41553</v>
      </c>
      <c r="K1313" s="581">
        <v>0.98263888888888884</v>
      </c>
      <c r="L1313" s="582">
        <v>10.0443</v>
      </c>
      <c r="M1313" s="582">
        <v>10.0555</v>
      </c>
      <c r="N1313" s="582">
        <v>10.063499999999999</v>
      </c>
      <c r="O1313" s="582">
        <v>10.0771</v>
      </c>
      <c r="P1313" s="582">
        <v>98.649699999999996</v>
      </c>
      <c r="Q1313" s="582">
        <f t="shared" si="145"/>
        <v>10.086876650379848</v>
      </c>
      <c r="R1313" s="582">
        <f t="shared" si="146"/>
        <v>0</v>
      </c>
      <c r="S1313" s="582">
        <f t="shared" si="149"/>
        <v>0.61862334962015253</v>
      </c>
      <c r="T1313" s="582">
        <f t="shared" si="147"/>
        <v>0.16662334962015157</v>
      </c>
      <c r="U1313" s="582">
        <f t="shared" si="148"/>
        <v>0.26022334962015176</v>
      </c>
    </row>
    <row r="1314" spans="10:21">
      <c r="J1314" s="580">
        <v>41554</v>
      </c>
      <c r="K1314" s="581">
        <v>0.98263888888888884</v>
      </c>
      <c r="L1314" s="582">
        <v>10.051600000000001</v>
      </c>
      <c r="M1314" s="582">
        <v>10.063000000000001</v>
      </c>
      <c r="N1314" s="582">
        <v>10.070600000000001</v>
      </c>
      <c r="O1314" s="582">
        <v>10.0853</v>
      </c>
      <c r="P1314" s="582">
        <v>98.726399999999998</v>
      </c>
      <c r="Q1314" s="582">
        <f t="shared" si="145"/>
        <v>10.094719182481661</v>
      </c>
      <c r="R1314" s="582">
        <f t="shared" si="146"/>
        <v>0</v>
      </c>
      <c r="S1314" s="582">
        <f t="shared" si="149"/>
        <v>0.61828081751833941</v>
      </c>
      <c r="T1314" s="582">
        <f t="shared" si="147"/>
        <v>0.16588081751833939</v>
      </c>
      <c r="U1314" s="582">
        <f t="shared" si="148"/>
        <v>0.26058081751833878</v>
      </c>
    </row>
    <row r="1315" spans="10:21">
      <c r="J1315" s="580">
        <v>41555</v>
      </c>
      <c r="K1315" s="581">
        <v>0.98263888888888884</v>
      </c>
      <c r="L1315" s="582">
        <v>10.0532</v>
      </c>
      <c r="M1315" s="582">
        <v>10.0671</v>
      </c>
      <c r="N1315" s="582">
        <v>10.072699999999999</v>
      </c>
      <c r="O1315" s="582">
        <v>10.087300000000001</v>
      </c>
      <c r="P1315" s="582">
        <v>98.771900000000002</v>
      </c>
      <c r="Q1315" s="582">
        <f t="shared" si="145"/>
        <v>10.099371532033583</v>
      </c>
      <c r="R1315" s="582">
        <f t="shared" si="146"/>
        <v>0</v>
      </c>
      <c r="S1315" s="582">
        <f t="shared" si="149"/>
        <v>0.61772846796641701</v>
      </c>
      <c r="T1315" s="582">
        <f t="shared" si="147"/>
        <v>0.16332846796641631</v>
      </c>
      <c r="U1315" s="582">
        <f t="shared" si="148"/>
        <v>0.25792846796641772</v>
      </c>
    </row>
    <row r="1316" spans="10:21">
      <c r="J1316" s="580">
        <v>41556</v>
      </c>
      <c r="K1316" s="581">
        <v>0.98263888888888884</v>
      </c>
      <c r="L1316" s="582">
        <v>10.0473</v>
      </c>
      <c r="M1316" s="582">
        <v>10.0611</v>
      </c>
      <c r="N1316" s="582">
        <v>10.068300000000001</v>
      </c>
      <c r="O1316" s="582">
        <v>10.0814</v>
      </c>
      <c r="P1316" s="582">
        <v>98.706699999999998</v>
      </c>
      <c r="Q1316" s="582">
        <f t="shared" si="145"/>
        <v>10.092704868499839</v>
      </c>
      <c r="R1316" s="582">
        <f t="shared" si="146"/>
        <v>0</v>
      </c>
      <c r="S1316" s="582">
        <f t="shared" si="149"/>
        <v>0.61839513150016123</v>
      </c>
      <c r="T1316" s="582">
        <f t="shared" si="147"/>
        <v>0.16559513150016214</v>
      </c>
      <c r="U1316" s="582">
        <f t="shared" si="148"/>
        <v>0.25869513150016171</v>
      </c>
    </row>
    <row r="1317" spans="10:21">
      <c r="J1317" s="580">
        <v>41557</v>
      </c>
      <c r="K1317" s="581">
        <v>0.98263888888888884</v>
      </c>
      <c r="L1317" s="582">
        <v>10.0528</v>
      </c>
      <c r="M1317" s="582">
        <v>10.0672</v>
      </c>
      <c r="N1317" s="582">
        <v>10.0733</v>
      </c>
      <c r="O1317" s="582">
        <v>10.085000000000001</v>
      </c>
      <c r="P1317" s="582">
        <v>98.754400000000004</v>
      </c>
      <c r="Q1317" s="582">
        <f t="shared" si="145"/>
        <v>10.097582166821306</v>
      </c>
      <c r="R1317" s="582">
        <f t="shared" si="146"/>
        <v>0</v>
      </c>
      <c r="S1317" s="582">
        <f t="shared" si="149"/>
        <v>0.61961783317869368</v>
      </c>
      <c r="T1317" s="582">
        <f t="shared" si="147"/>
        <v>0.1657178331786936</v>
      </c>
      <c r="U1317" s="582">
        <f t="shared" si="148"/>
        <v>0.25741783317869465</v>
      </c>
    </row>
    <row r="1318" spans="10:21">
      <c r="J1318" s="580">
        <v>41558</v>
      </c>
      <c r="K1318" s="581">
        <v>0.98263888888888884</v>
      </c>
      <c r="L1318" s="582">
        <v>10.033099999999999</v>
      </c>
      <c r="M1318" s="582">
        <v>10.0471</v>
      </c>
      <c r="N1318" s="582">
        <v>10.0525</v>
      </c>
      <c r="O1318" s="582">
        <v>10.0654</v>
      </c>
      <c r="P1318" s="582">
        <v>98.558599999999998</v>
      </c>
      <c r="Q1318" s="582">
        <f t="shared" si="145"/>
        <v>10.077561726331933</v>
      </c>
      <c r="R1318" s="582">
        <f t="shared" si="146"/>
        <v>0</v>
      </c>
      <c r="S1318" s="582">
        <f t="shared" si="149"/>
        <v>0.61953827366806791</v>
      </c>
      <c r="T1318" s="582">
        <f t="shared" si="147"/>
        <v>0.16493827366806768</v>
      </c>
      <c r="U1318" s="582">
        <f t="shared" si="148"/>
        <v>0.25783827366806772</v>
      </c>
    </row>
    <row r="1319" spans="10:21">
      <c r="J1319" s="580">
        <v>41559</v>
      </c>
      <c r="K1319" s="581">
        <v>0.98263888888888884</v>
      </c>
      <c r="L1319" s="582">
        <v>10.021800000000001</v>
      </c>
      <c r="M1319" s="582">
        <v>10.0345</v>
      </c>
      <c r="N1319" s="582">
        <v>10.0419</v>
      </c>
      <c r="O1319" s="582">
        <v>10.054600000000001</v>
      </c>
      <c r="P1319" s="582">
        <v>98.422799999999995</v>
      </c>
      <c r="Q1319" s="582">
        <f t="shared" si="145"/>
        <v>10.063676252284656</v>
      </c>
      <c r="R1319" s="582">
        <f t="shared" si="146"/>
        <v>0</v>
      </c>
      <c r="S1319" s="582">
        <f t="shared" si="149"/>
        <v>0.62082374771534332</v>
      </c>
      <c r="T1319" s="582">
        <f t="shared" si="147"/>
        <v>0.16822374771534376</v>
      </c>
      <c r="U1319" s="582">
        <f t="shared" si="148"/>
        <v>0.26092374771534427</v>
      </c>
    </row>
    <row r="1320" spans="10:21">
      <c r="J1320" s="580">
        <v>41560</v>
      </c>
      <c r="K1320" s="581">
        <v>0.98263888888888884</v>
      </c>
      <c r="L1320" s="582">
        <v>10.0305</v>
      </c>
      <c r="M1320" s="582">
        <v>10.041700000000001</v>
      </c>
      <c r="N1320" s="582">
        <v>10.051399999999999</v>
      </c>
      <c r="O1320" s="582">
        <v>10.064399999999999</v>
      </c>
      <c r="P1320" s="582">
        <v>98.513300000000001</v>
      </c>
      <c r="Q1320" s="582">
        <f t="shared" si="145"/>
        <v>10.072929826668151</v>
      </c>
      <c r="R1320" s="582">
        <f t="shared" si="146"/>
        <v>0</v>
      </c>
      <c r="S1320" s="582">
        <f t="shared" si="149"/>
        <v>0.61877017333184958</v>
      </c>
      <c r="T1320" s="582">
        <f t="shared" si="147"/>
        <v>0.16847017333184822</v>
      </c>
      <c r="U1320" s="582">
        <f t="shared" si="148"/>
        <v>0.26147017333184802</v>
      </c>
    </row>
    <row r="1321" spans="10:21">
      <c r="J1321" s="580">
        <v>41561</v>
      </c>
      <c r="K1321" s="581">
        <v>0.98263888888888884</v>
      </c>
      <c r="L1321" s="582">
        <v>10.047700000000001</v>
      </c>
      <c r="M1321" s="582">
        <v>10.059900000000001</v>
      </c>
      <c r="N1321" s="582">
        <v>10.0686</v>
      </c>
      <c r="O1321" s="582">
        <v>10.0808</v>
      </c>
      <c r="P1321" s="582">
        <v>98.685699999999997</v>
      </c>
      <c r="Q1321" s="582">
        <f t="shared" si="145"/>
        <v>10.090557630245106</v>
      </c>
      <c r="R1321" s="582">
        <f t="shared" si="146"/>
        <v>0</v>
      </c>
      <c r="S1321" s="582">
        <f t="shared" si="149"/>
        <v>0.61934236975489454</v>
      </c>
      <c r="T1321" s="582">
        <f t="shared" si="147"/>
        <v>0.16804236975489373</v>
      </c>
      <c r="U1321" s="582">
        <f t="shared" si="148"/>
        <v>0.26024236975489362</v>
      </c>
    </row>
    <row r="1322" spans="10:21">
      <c r="J1322" s="580">
        <v>41562</v>
      </c>
      <c r="K1322" s="581">
        <v>0.98263888888888884</v>
      </c>
      <c r="L1322" s="582">
        <v>12.6221</v>
      </c>
      <c r="M1322" s="582">
        <v>12.4032</v>
      </c>
      <c r="N1322" s="582">
        <v>13.057499999999999</v>
      </c>
      <c r="O1322" s="582">
        <v>12.9946</v>
      </c>
      <c r="P1322" s="582">
        <v>98.769199999999998</v>
      </c>
      <c r="Q1322" s="582">
        <f t="shared" si="145"/>
        <v>10.099095458543689</v>
      </c>
      <c r="R1322" s="582">
        <f t="shared" si="146"/>
        <v>2.3380045414563111</v>
      </c>
      <c r="S1322" s="582">
        <f t="shared" si="149"/>
        <v>2.9541045414563118</v>
      </c>
      <c r="T1322" s="582">
        <f t="shared" si="147"/>
        <v>3.1484045414563111</v>
      </c>
      <c r="U1322" s="582">
        <f t="shared" si="148"/>
        <v>3.1655045414563112</v>
      </c>
    </row>
    <row r="1323" spans="10:21">
      <c r="J1323" s="580">
        <v>41563</v>
      </c>
      <c r="K1323" s="581">
        <v>0.98263888888888884</v>
      </c>
      <c r="L1323" s="582">
        <v>13.2597</v>
      </c>
      <c r="M1323" s="582">
        <v>12.6166</v>
      </c>
      <c r="N1323" s="582">
        <v>13.303000000000001</v>
      </c>
      <c r="O1323" s="582">
        <v>13.251799999999999</v>
      </c>
      <c r="P1323" s="582">
        <v>98.752700000000004</v>
      </c>
      <c r="Q1323" s="582">
        <f t="shared" si="145"/>
        <v>10.097408342772113</v>
      </c>
      <c r="R1323" s="582">
        <f t="shared" si="146"/>
        <v>2.9772916572278878</v>
      </c>
      <c r="S1323" s="582">
        <f t="shared" si="149"/>
        <v>3.1691916572278878</v>
      </c>
      <c r="T1323" s="582">
        <f t="shared" si="147"/>
        <v>3.3955916572278886</v>
      </c>
      <c r="U1323" s="582">
        <f t="shared" si="148"/>
        <v>3.4243916572278863</v>
      </c>
    </row>
    <row r="1324" spans="10:21">
      <c r="J1324" s="580">
        <v>41564</v>
      </c>
      <c r="K1324" s="581">
        <v>0.98263888888888884</v>
      </c>
      <c r="L1324" s="582">
        <v>13.3148</v>
      </c>
      <c r="M1324" s="582">
        <v>12.7264</v>
      </c>
      <c r="N1324" s="582">
        <v>13.5067</v>
      </c>
      <c r="O1324" s="582">
        <v>13.3249</v>
      </c>
      <c r="P1324" s="582">
        <v>98.792900000000003</v>
      </c>
      <c r="Q1324" s="582">
        <f t="shared" si="145"/>
        <v>10.101518770288317</v>
      </c>
      <c r="R1324" s="582">
        <f t="shared" si="146"/>
        <v>3.0282812297116828</v>
      </c>
      <c r="S1324" s="582">
        <f t="shared" si="149"/>
        <v>3.2748812297116832</v>
      </c>
      <c r="T1324" s="582">
        <f t="shared" si="147"/>
        <v>3.5951812297116836</v>
      </c>
      <c r="U1324" s="582">
        <f t="shared" si="148"/>
        <v>3.493381229711682</v>
      </c>
    </row>
    <row r="1325" spans="10:21">
      <c r="J1325" s="580">
        <v>41565</v>
      </c>
      <c r="K1325" s="581">
        <v>0.98263888888888884</v>
      </c>
      <c r="L1325" s="582">
        <v>13.470499999999999</v>
      </c>
      <c r="M1325" s="582">
        <v>12.79</v>
      </c>
      <c r="N1325" s="582">
        <v>13.630800000000001</v>
      </c>
      <c r="O1325" s="582">
        <v>13.404</v>
      </c>
      <c r="P1325" s="582">
        <v>98.836299999999994</v>
      </c>
      <c r="Q1325" s="582">
        <f t="shared" si="145"/>
        <v>10.105956396014765</v>
      </c>
      <c r="R1325" s="582">
        <f t="shared" si="146"/>
        <v>3.1795436039852345</v>
      </c>
      <c r="S1325" s="582">
        <f t="shared" si="149"/>
        <v>3.3340436039852346</v>
      </c>
      <c r="T1325" s="582">
        <f t="shared" si="147"/>
        <v>3.7148436039852362</v>
      </c>
      <c r="U1325" s="582">
        <f t="shared" si="148"/>
        <v>3.5680436039852346</v>
      </c>
    </row>
    <row r="1326" spans="10:21">
      <c r="J1326" s="580">
        <v>41566</v>
      </c>
      <c r="K1326" s="581">
        <v>0.98263888888888884</v>
      </c>
      <c r="L1326" s="582">
        <v>13.475</v>
      </c>
      <c r="M1326" s="582">
        <v>12.863</v>
      </c>
      <c r="N1326" s="582">
        <v>13.863099999999999</v>
      </c>
      <c r="O1326" s="582">
        <v>13.519</v>
      </c>
      <c r="P1326" s="582">
        <v>98.9452</v>
      </c>
      <c r="Q1326" s="582">
        <f t="shared" si="145"/>
        <v>10.117091360107169</v>
      </c>
      <c r="R1326" s="582">
        <f t="shared" si="146"/>
        <v>3.1729086398928303</v>
      </c>
      <c r="S1326" s="582">
        <f t="shared" si="149"/>
        <v>3.3959086398928306</v>
      </c>
      <c r="T1326" s="582">
        <f t="shared" si="147"/>
        <v>3.9360086398928305</v>
      </c>
      <c r="U1326" s="582">
        <f t="shared" si="148"/>
        <v>3.6719086398928305</v>
      </c>
    </row>
    <row r="1327" spans="10:21">
      <c r="J1327" s="580">
        <v>41567</v>
      </c>
      <c r="K1327" s="581">
        <v>0.98263888888888884</v>
      </c>
      <c r="L1327" s="582">
        <v>13.398099999999999</v>
      </c>
      <c r="M1327" s="582">
        <v>12.8521</v>
      </c>
      <c r="N1327" s="582">
        <v>13.9619</v>
      </c>
      <c r="O1327" s="582">
        <v>13.3055</v>
      </c>
      <c r="P1327" s="582">
        <v>98.597999999999999</v>
      </c>
      <c r="Q1327" s="582">
        <f t="shared" si="145"/>
        <v>10.081590354295576</v>
      </c>
      <c r="R1327" s="582">
        <f t="shared" si="146"/>
        <v>3.1315096457044231</v>
      </c>
      <c r="S1327" s="582">
        <f t="shared" si="149"/>
        <v>3.4205096457044242</v>
      </c>
      <c r="T1327" s="582">
        <f t="shared" si="147"/>
        <v>4.0703096457044241</v>
      </c>
      <c r="U1327" s="582">
        <f t="shared" si="148"/>
        <v>3.4939096457044236</v>
      </c>
    </row>
    <row r="1328" spans="10:21">
      <c r="J1328" s="580">
        <v>41568</v>
      </c>
      <c r="K1328" s="581">
        <v>0.98263888888888884</v>
      </c>
      <c r="L1328" s="582">
        <v>13.331300000000001</v>
      </c>
      <c r="M1328" s="582">
        <v>12.817</v>
      </c>
      <c r="N1328" s="582">
        <v>13.9064</v>
      </c>
      <c r="O1328" s="582">
        <v>13.2936</v>
      </c>
      <c r="P1328" s="582">
        <v>98.373999999999995</v>
      </c>
      <c r="Q1328" s="582">
        <f t="shared" si="145"/>
        <v>10.058686479578419</v>
      </c>
      <c r="R1328" s="582">
        <f t="shared" si="146"/>
        <v>3.0876135204215811</v>
      </c>
      <c r="S1328" s="582">
        <f t="shared" si="149"/>
        <v>3.4083135204215811</v>
      </c>
      <c r="T1328" s="582">
        <f t="shared" si="147"/>
        <v>4.0377135204215806</v>
      </c>
      <c r="U1328" s="582">
        <f t="shared" si="148"/>
        <v>3.5049135204215798</v>
      </c>
    </row>
    <row r="1329" spans="10:21">
      <c r="J1329" s="580">
        <v>41569</v>
      </c>
      <c r="K1329" s="581">
        <v>0.98263888888888884</v>
      </c>
      <c r="L1329" s="582">
        <v>13.284599999999999</v>
      </c>
      <c r="M1329" s="582">
        <v>12.799099999999999</v>
      </c>
      <c r="N1329" s="582">
        <v>13.854799999999999</v>
      </c>
      <c r="O1329" s="582">
        <v>13.2575</v>
      </c>
      <c r="P1329" s="582">
        <v>98.358500000000006</v>
      </c>
      <c r="Q1329" s="582">
        <f t="shared" si="145"/>
        <v>10.057101613247546</v>
      </c>
      <c r="R1329" s="582">
        <f t="shared" si="146"/>
        <v>3.0424983867524529</v>
      </c>
      <c r="S1329" s="582">
        <f t="shared" si="149"/>
        <v>3.3919983867524532</v>
      </c>
      <c r="T1329" s="582">
        <f t="shared" si="147"/>
        <v>3.9876983867524531</v>
      </c>
      <c r="U1329" s="582">
        <f t="shared" si="148"/>
        <v>3.4703983867524535</v>
      </c>
    </row>
    <row r="1330" spans="10:21">
      <c r="J1330" s="580">
        <v>41570</v>
      </c>
      <c r="K1330" s="581">
        <v>0.98263888888888884</v>
      </c>
      <c r="L1330" s="582">
        <v>13.2498</v>
      </c>
      <c r="M1330" s="582">
        <v>12.786099999999999</v>
      </c>
      <c r="N1330" s="582">
        <v>13.8117</v>
      </c>
      <c r="O1330" s="582">
        <v>13.233499999999999</v>
      </c>
      <c r="P1330" s="582">
        <v>98.429400000000001</v>
      </c>
      <c r="Q1330" s="582">
        <f t="shared" si="145"/>
        <v>10.064351098593288</v>
      </c>
      <c r="R1330" s="582">
        <f t="shared" si="146"/>
        <v>3.0004489014067119</v>
      </c>
      <c r="S1330" s="582">
        <f t="shared" si="149"/>
        <v>3.3717489014067112</v>
      </c>
      <c r="T1330" s="582">
        <f t="shared" si="147"/>
        <v>3.937348901406712</v>
      </c>
      <c r="U1330" s="582">
        <f t="shared" si="148"/>
        <v>3.4391489014067105</v>
      </c>
    </row>
    <row r="1331" spans="10:21">
      <c r="J1331" s="580">
        <v>41571</v>
      </c>
      <c r="K1331" s="581">
        <v>0.98263888888888884</v>
      </c>
      <c r="L1331" s="582">
        <v>13.207800000000001</v>
      </c>
      <c r="M1331" s="582">
        <v>12.7623</v>
      </c>
      <c r="N1331" s="582">
        <v>13.754</v>
      </c>
      <c r="O1331" s="582">
        <v>13.2111</v>
      </c>
      <c r="P1331" s="582">
        <v>98.394499999999994</v>
      </c>
      <c r="Q1331" s="582">
        <f t="shared" si="145"/>
        <v>10.060782593112801</v>
      </c>
      <c r="R1331" s="582">
        <f t="shared" si="146"/>
        <v>2.9620174068871994</v>
      </c>
      <c r="S1331" s="582">
        <f t="shared" si="149"/>
        <v>3.3515174068871989</v>
      </c>
      <c r="T1331" s="582">
        <f t="shared" si="147"/>
        <v>3.8832174068871987</v>
      </c>
      <c r="U1331" s="582">
        <f t="shared" si="148"/>
        <v>3.4203174068871984</v>
      </c>
    </row>
    <row r="1332" spans="10:21">
      <c r="J1332" s="580">
        <v>41572</v>
      </c>
      <c r="K1332" s="581">
        <v>0.98263888888888884</v>
      </c>
      <c r="L1332" s="582">
        <v>13.1685</v>
      </c>
      <c r="M1332" s="582">
        <v>12.747999999999999</v>
      </c>
      <c r="N1332" s="582">
        <v>13.7052</v>
      </c>
      <c r="O1332" s="582">
        <v>13.2051</v>
      </c>
      <c r="P1332" s="582">
        <v>98.446600000000004</v>
      </c>
      <c r="Q1332" s="582">
        <f t="shared" si="145"/>
        <v>10.066109788973355</v>
      </c>
      <c r="R1332" s="582">
        <f t="shared" si="146"/>
        <v>2.9173902110266448</v>
      </c>
      <c r="S1332" s="582">
        <f t="shared" si="149"/>
        <v>3.3318902110266446</v>
      </c>
      <c r="T1332" s="582">
        <f t="shared" si="147"/>
        <v>3.8290902110266449</v>
      </c>
      <c r="U1332" s="582">
        <f t="shared" si="148"/>
        <v>3.4089902110266443</v>
      </c>
    </row>
    <row r="1333" spans="10:21">
      <c r="J1333" s="580">
        <v>41573</v>
      </c>
      <c r="K1333" s="581">
        <v>0.98263888888888884</v>
      </c>
      <c r="L1333" s="582">
        <v>13.1547</v>
      </c>
      <c r="M1333" s="582">
        <v>12.7546</v>
      </c>
      <c r="N1333" s="582">
        <v>13.6904</v>
      </c>
      <c r="O1333" s="582">
        <v>13.2089</v>
      </c>
      <c r="P1333" s="582">
        <v>98.697999999999993</v>
      </c>
      <c r="Q1333" s="582">
        <f t="shared" ref="Q1333:Q1396" si="150">P1333/($G$8*$H$8)</f>
        <v>10.091815298365734</v>
      </c>
      <c r="R1333" s="582">
        <f t="shared" ref="R1333:R1396" si="151">IF((L1333-Q1333-$D$8+$E$8)&lt;0,0,(L1333-Q1333-$D$8+$E$8))</f>
        <v>2.8778847016342657</v>
      </c>
      <c r="S1333" s="582">
        <f t="shared" si="149"/>
        <v>3.312784701634266</v>
      </c>
      <c r="T1333" s="582">
        <f t="shared" ref="T1333:T1396" si="152">N1333-Q1333-$D$10+$E$10</f>
        <v>3.7885847016342664</v>
      </c>
      <c r="U1333" s="582">
        <f t="shared" ref="U1333:U1396" si="153">O1333-Q1333-$D$11+$E$11</f>
        <v>3.3870847016342651</v>
      </c>
    </row>
    <row r="1334" spans="10:21">
      <c r="J1334" s="580">
        <v>41574</v>
      </c>
      <c r="K1334" s="581">
        <v>0.98263888888888884</v>
      </c>
      <c r="L1334" s="582">
        <v>13.124700000000001</v>
      </c>
      <c r="M1334" s="582">
        <v>12.7416</v>
      </c>
      <c r="N1334" s="582">
        <v>13.6455</v>
      </c>
      <c r="O1334" s="582">
        <v>13.1935</v>
      </c>
      <c r="P1334" s="582">
        <v>98.764700000000005</v>
      </c>
      <c r="Q1334" s="582">
        <f t="shared" si="150"/>
        <v>10.098635336060532</v>
      </c>
      <c r="R1334" s="582">
        <f t="shared" si="151"/>
        <v>2.8410646639394685</v>
      </c>
      <c r="S1334" s="582">
        <f t="shared" si="149"/>
        <v>3.2929646639394683</v>
      </c>
      <c r="T1334" s="582">
        <f t="shared" si="152"/>
        <v>3.7368646639394685</v>
      </c>
      <c r="U1334" s="582">
        <f t="shared" si="153"/>
        <v>3.3648646639394677</v>
      </c>
    </row>
    <row r="1335" spans="10:21">
      <c r="J1335" s="580">
        <v>41575</v>
      </c>
      <c r="K1335" s="581">
        <v>0.98263888888888884</v>
      </c>
      <c r="L1335" s="582">
        <v>13.0967</v>
      </c>
      <c r="M1335" s="582">
        <v>12.7346</v>
      </c>
      <c r="N1335" s="582">
        <v>13.6119</v>
      </c>
      <c r="O1335" s="582">
        <v>13.18</v>
      </c>
      <c r="P1335" s="582">
        <v>98.903199999999998</v>
      </c>
      <c r="Q1335" s="582">
        <f t="shared" si="150"/>
        <v>10.112796883597703</v>
      </c>
      <c r="R1335" s="582">
        <f t="shared" si="151"/>
        <v>2.7989031164022973</v>
      </c>
      <c r="S1335" s="582">
        <f t="shared" si="149"/>
        <v>3.2718031164022978</v>
      </c>
      <c r="T1335" s="582">
        <f t="shared" si="152"/>
        <v>3.6891031164022978</v>
      </c>
      <c r="U1335" s="582">
        <f t="shared" si="153"/>
        <v>3.3372031164022964</v>
      </c>
    </row>
    <row r="1336" spans="10:21">
      <c r="J1336" s="580">
        <v>41576</v>
      </c>
      <c r="K1336" s="581">
        <v>0.98263888888888884</v>
      </c>
      <c r="L1336" s="582">
        <v>13.068</v>
      </c>
      <c r="M1336" s="582">
        <v>12.725300000000001</v>
      </c>
      <c r="N1336" s="582">
        <v>13.593999999999999</v>
      </c>
      <c r="O1336" s="582">
        <v>13.171900000000001</v>
      </c>
      <c r="P1336" s="582">
        <v>98.995400000000004</v>
      </c>
      <c r="Q1336" s="582">
        <f t="shared" si="150"/>
        <v>10.122224282030389</v>
      </c>
      <c r="R1336" s="582">
        <f t="shared" si="151"/>
        <v>2.7607757179696102</v>
      </c>
      <c r="S1336" s="582">
        <f t="shared" si="149"/>
        <v>3.2530757179696117</v>
      </c>
      <c r="T1336" s="582">
        <f t="shared" si="152"/>
        <v>3.6617757179696104</v>
      </c>
      <c r="U1336" s="582">
        <f t="shared" si="153"/>
        <v>3.319675717969611</v>
      </c>
    </row>
    <row r="1337" spans="10:21">
      <c r="J1337" s="580">
        <v>41577</v>
      </c>
      <c r="K1337" s="581">
        <v>0.98263888888888884</v>
      </c>
      <c r="L1337" s="582">
        <v>13.0311</v>
      </c>
      <c r="M1337" s="582">
        <v>12.706</v>
      </c>
      <c r="N1337" s="582">
        <v>13.549099999999999</v>
      </c>
      <c r="O1337" s="582">
        <v>13.154</v>
      </c>
      <c r="P1337" s="582">
        <v>99.004199999999997</v>
      </c>
      <c r="Q1337" s="582">
        <f t="shared" si="150"/>
        <v>10.123124077108562</v>
      </c>
      <c r="R1337" s="582">
        <f t="shared" si="151"/>
        <v>2.7229759228914383</v>
      </c>
      <c r="S1337" s="582">
        <f t="shared" si="149"/>
        <v>3.2328759228914379</v>
      </c>
      <c r="T1337" s="582">
        <f t="shared" si="152"/>
        <v>3.6159759228914377</v>
      </c>
      <c r="U1337" s="582">
        <f t="shared" si="153"/>
        <v>3.3008759228914375</v>
      </c>
    </row>
    <row r="1338" spans="10:21">
      <c r="J1338" s="580">
        <v>41578</v>
      </c>
      <c r="K1338" s="581">
        <v>0.98263888888888884</v>
      </c>
      <c r="L1338" s="582">
        <v>13.003299999999999</v>
      </c>
      <c r="M1338" s="582">
        <v>12.6851</v>
      </c>
      <c r="N1338" s="582">
        <v>13.497299999999999</v>
      </c>
      <c r="O1338" s="582">
        <v>13.135300000000001</v>
      </c>
      <c r="P1338" s="582">
        <v>98.986900000000006</v>
      </c>
      <c r="Q1338" s="582">
        <f t="shared" si="150"/>
        <v>10.121355161784425</v>
      </c>
      <c r="R1338" s="582">
        <f t="shared" si="151"/>
        <v>2.6969448382155741</v>
      </c>
      <c r="S1338" s="582">
        <f t="shared" si="149"/>
        <v>3.2137448382155753</v>
      </c>
      <c r="T1338" s="582">
        <f t="shared" si="152"/>
        <v>3.5659448382155743</v>
      </c>
      <c r="U1338" s="582">
        <f t="shared" si="153"/>
        <v>3.2839448382155751</v>
      </c>
    </row>
    <row r="1339" spans="10:21">
      <c r="J1339" s="580">
        <v>41579</v>
      </c>
      <c r="K1339" s="581">
        <v>0.98263888888888884</v>
      </c>
      <c r="L1339" s="582">
        <v>12.958399999999999</v>
      </c>
      <c r="M1339" s="582">
        <v>12.6585</v>
      </c>
      <c r="N1339" s="582">
        <v>13.439399999999999</v>
      </c>
      <c r="O1339" s="582">
        <v>13.1076</v>
      </c>
      <c r="P1339" s="582">
        <v>98.919700000000006</v>
      </c>
      <c r="Q1339" s="582">
        <f t="shared" si="150"/>
        <v>10.114483999369279</v>
      </c>
      <c r="R1339" s="582">
        <f t="shared" si="151"/>
        <v>2.6589160006307204</v>
      </c>
      <c r="S1339" s="582">
        <f t="shared" si="149"/>
        <v>3.1940160006307217</v>
      </c>
      <c r="T1339" s="582">
        <f t="shared" si="152"/>
        <v>3.5149160006307207</v>
      </c>
      <c r="U1339" s="582">
        <f t="shared" si="153"/>
        <v>3.2631160006307205</v>
      </c>
    </row>
    <row r="1340" spans="10:21">
      <c r="J1340" s="580">
        <v>41580</v>
      </c>
      <c r="K1340" s="581">
        <v>0.98263888888888884</v>
      </c>
      <c r="L1340" s="582">
        <v>12.923500000000001</v>
      </c>
      <c r="M1340" s="582">
        <v>12.6403</v>
      </c>
      <c r="N1340" s="582">
        <v>13.404500000000001</v>
      </c>
      <c r="O1340" s="582">
        <v>13.0883</v>
      </c>
      <c r="P1340" s="582">
        <v>98.8917</v>
      </c>
      <c r="Q1340" s="582">
        <f t="shared" si="150"/>
        <v>10.111621015029634</v>
      </c>
      <c r="R1340" s="582">
        <f t="shared" si="151"/>
        <v>2.6268789849703666</v>
      </c>
      <c r="S1340" s="582">
        <f t="shared" si="149"/>
        <v>3.1786789849703663</v>
      </c>
      <c r="T1340" s="582">
        <f t="shared" si="152"/>
        <v>3.482878984970367</v>
      </c>
      <c r="U1340" s="582">
        <f t="shared" si="153"/>
        <v>3.2466789849703659</v>
      </c>
    </row>
    <row r="1341" spans="10:21">
      <c r="J1341" s="580">
        <v>41581</v>
      </c>
      <c r="K1341" s="581">
        <v>0.98263888888888884</v>
      </c>
      <c r="L1341" s="582">
        <v>12.895799999999999</v>
      </c>
      <c r="M1341" s="582">
        <v>12.6297</v>
      </c>
      <c r="N1341" s="582">
        <v>13.3787</v>
      </c>
      <c r="O1341" s="582">
        <v>13.0769</v>
      </c>
      <c r="P1341" s="582">
        <v>98.974199999999996</v>
      </c>
      <c r="Q1341" s="582">
        <f t="shared" si="150"/>
        <v>10.120056593887515</v>
      </c>
      <c r="R1341" s="582">
        <f t="shared" si="151"/>
        <v>2.5907434061124843</v>
      </c>
      <c r="S1341" s="582">
        <f t="shared" si="149"/>
        <v>3.159643406112485</v>
      </c>
      <c r="T1341" s="582">
        <f t="shared" si="152"/>
        <v>3.4486434061124855</v>
      </c>
      <c r="U1341" s="582">
        <f t="shared" si="153"/>
        <v>3.2268434061124847</v>
      </c>
    </row>
    <row r="1342" spans="10:21">
      <c r="J1342" s="580">
        <v>41582</v>
      </c>
      <c r="K1342" s="581">
        <v>0.98263888888888884</v>
      </c>
      <c r="L1342" s="582">
        <v>12.927099999999999</v>
      </c>
      <c r="M1342" s="582">
        <v>12.6493</v>
      </c>
      <c r="N1342" s="582">
        <v>13.386799999999999</v>
      </c>
      <c r="O1342" s="582">
        <v>13.101000000000001</v>
      </c>
      <c r="P1342" s="582">
        <v>99.082400000000007</v>
      </c>
      <c r="Q1342" s="582">
        <f t="shared" si="150"/>
        <v>10.131119983371429</v>
      </c>
      <c r="R1342" s="582">
        <f t="shared" si="151"/>
        <v>2.6109800166285706</v>
      </c>
      <c r="S1342" s="582">
        <f t="shared" si="149"/>
        <v>3.1681800166285718</v>
      </c>
      <c r="T1342" s="582">
        <f t="shared" si="152"/>
        <v>3.4456800166285708</v>
      </c>
      <c r="U1342" s="582">
        <f t="shared" si="153"/>
        <v>3.2398800166285717</v>
      </c>
    </row>
    <row r="1343" spans="10:21">
      <c r="J1343" s="580">
        <v>41583</v>
      </c>
      <c r="K1343" s="581">
        <v>0.98263888888888884</v>
      </c>
      <c r="L1343" s="582">
        <v>12.9139</v>
      </c>
      <c r="M1343" s="582">
        <v>12.6472</v>
      </c>
      <c r="N1343" s="582">
        <v>13.3592</v>
      </c>
      <c r="O1343" s="582">
        <v>13.0886</v>
      </c>
      <c r="P1343" s="582">
        <v>99.051400000000001</v>
      </c>
      <c r="Q1343" s="582">
        <f t="shared" si="150"/>
        <v>10.127950250709679</v>
      </c>
      <c r="R1343" s="582">
        <f t="shared" si="151"/>
        <v>2.6009497492903209</v>
      </c>
      <c r="S1343" s="582">
        <f t="shared" si="149"/>
        <v>3.1692497492903211</v>
      </c>
      <c r="T1343" s="582">
        <f t="shared" si="152"/>
        <v>3.4212497492903209</v>
      </c>
      <c r="U1343" s="582">
        <f t="shared" si="153"/>
        <v>3.2306497492903201</v>
      </c>
    </row>
    <row r="1344" spans="10:21">
      <c r="J1344" s="580">
        <v>41584</v>
      </c>
      <c r="K1344" s="581">
        <v>0.98263888888888884</v>
      </c>
      <c r="L1344" s="582">
        <v>12.8733</v>
      </c>
      <c r="M1344" s="582">
        <v>12.6198</v>
      </c>
      <c r="N1344" s="582">
        <v>13.319000000000001</v>
      </c>
      <c r="O1344" s="582">
        <v>13.061400000000001</v>
      </c>
      <c r="P1344" s="582">
        <v>98.992999999999995</v>
      </c>
      <c r="Q1344" s="582">
        <f t="shared" si="150"/>
        <v>10.121978883372705</v>
      </c>
      <c r="R1344" s="582">
        <f t="shared" si="151"/>
        <v>2.5663211166272952</v>
      </c>
      <c r="S1344" s="582">
        <f t="shared" si="149"/>
        <v>3.1478211166272949</v>
      </c>
      <c r="T1344" s="582">
        <f t="shared" si="152"/>
        <v>3.3870211166272961</v>
      </c>
      <c r="U1344" s="582">
        <f t="shared" si="153"/>
        <v>3.2094211166272952</v>
      </c>
    </row>
    <row r="1345" spans="10:21">
      <c r="J1345" s="580">
        <v>41585</v>
      </c>
      <c r="K1345" s="581">
        <v>0.98263888888888884</v>
      </c>
      <c r="L1345" s="582">
        <v>12.8323</v>
      </c>
      <c r="M1345" s="582">
        <v>12.5959</v>
      </c>
      <c r="N1345" s="582">
        <v>13.273899999999999</v>
      </c>
      <c r="O1345" s="582">
        <v>13.032400000000001</v>
      </c>
      <c r="P1345" s="582">
        <v>98.926199999999994</v>
      </c>
      <c r="Q1345" s="582">
        <f t="shared" si="150"/>
        <v>10.115148620733839</v>
      </c>
      <c r="R1345" s="582">
        <f t="shared" si="151"/>
        <v>2.532151379266161</v>
      </c>
      <c r="S1345" s="582">
        <f t="shared" ref="S1345:S1376" si="154">M1345-Q1345-$D$9+$E$9</f>
        <v>3.1307513792661616</v>
      </c>
      <c r="T1345" s="582">
        <f t="shared" si="152"/>
        <v>3.3487513792661607</v>
      </c>
      <c r="U1345" s="582">
        <f t="shared" si="153"/>
        <v>3.1872513792661614</v>
      </c>
    </row>
    <row r="1346" spans="10:21">
      <c r="J1346" s="580">
        <v>41586</v>
      </c>
      <c r="K1346" s="581">
        <v>0.98263888888888884</v>
      </c>
      <c r="L1346" s="582">
        <v>12.789099999999999</v>
      </c>
      <c r="M1346" s="582">
        <v>12.5641</v>
      </c>
      <c r="N1346" s="582">
        <v>13.222099999999999</v>
      </c>
      <c r="O1346" s="582">
        <v>12.996499999999999</v>
      </c>
      <c r="P1346" s="582">
        <v>98.812399999999997</v>
      </c>
      <c r="Q1346" s="582">
        <f t="shared" si="150"/>
        <v>10.103512634381998</v>
      </c>
      <c r="R1346" s="582">
        <f t="shared" si="151"/>
        <v>2.5005873656180015</v>
      </c>
      <c r="S1346" s="582">
        <f t="shared" si="154"/>
        <v>3.1105873656180023</v>
      </c>
      <c r="T1346" s="582">
        <f t="shared" si="152"/>
        <v>3.3085873656180018</v>
      </c>
      <c r="U1346" s="582">
        <f t="shared" si="153"/>
        <v>3.162987365618001</v>
      </c>
    </row>
    <row r="1347" spans="10:21">
      <c r="J1347" s="580">
        <v>41587</v>
      </c>
      <c r="K1347" s="581">
        <v>0.98263888888888884</v>
      </c>
      <c r="L1347" s="582">
        <v>12.746499999999999</v>
      </c>
      <c r="M1347" s="582">
        <v>12.5395</v>
      </c>
      <c r="N1347" s="582">
        <v>13.176299999999999</v>
      </c>
      <c r="O1347" s="582">
        <v>12.966699999999999</v>
      </c>
      <c r="P1347" s="582">
        <v>98.752600000000001</v>
      </c>
      <c r="Q1347" s="582">
        <f t="shared" si="150"/>
        <v>10.097398117828043</v>
      </c>
      <c r="R1347" s="582">
        <f t="shared" si="151"/>
        <v>2.4641018821719567</v>
      </c>
      <c r="S1347" s="582">
        <f t="shared" si="154"/>
        <v>3.0921018821719581</v>
      </c>
      <c r="T1347" s="582">
        <f t="shared" si="152"/>
        <v>3.2689018821719573</v>
      </c>
      <c r="U1347" s="582">
        <f t="shared" si="153"/>
        <v>3.1393018821719565</v>
      </c>
    </row>
    <row r="1348" spans="10:21">
      <c r="J1348" s="580">
        <v>41588</v>
      </c>
      <c r="K1348" s="581">
        <v>0.98263888888888884</v>
      </c>
      <c r="L1348" s="582">
        <v>12.712</v>
      </c>
      <c r="M1348" s="582">
        <v>12.5229</v>
      </c>
      <c r="N1348" s="582">
        <v>13.139699999999999</v>
      </c>
      <c r="O1348" s="582">
        <v>12.9436</v>
      </c>
      <c r="P1348" s="582">
        <v>98.790700000000001</v>
      </c>
      <c r="Q1348" s="582">
        <f t="shared" si="150"/>
        <v>10.101293821518773</v>
      </c>
      <c r="R1348" s="582">
        <f t="shared" si="151"/>
        <v>2.4257061784812266</v>
      </c>
      <c r="S1348" s="582">
        <f t="shared" si="154"/>
        <v>3.0716061784812272</v>
      </c>
      <c r="T1348" s="582">
        <f t="shared" si="152"/>
        <v>3.2284061784812268</v>
      </c>
      <c r="U1348" s="582">
        <f t="shared" si="153"/>
        <v>3.1123061784812265</v>
      </c>
    </row>
    <row r="1349" spans="10:21">
      <c r="J1349" s="580">
        <v>41589</v>
      </c>
      <c r="K1349" s="581">
        <v>0.98263888888888884</v>
      </c>
      <c r="L1349" s="582">
        <v>12.6668</v>
      </c>
      <c r="M1349" s="582">
        <v>12.492800000000001</v>
      </c>
      <c r="N1349" s="582">
        <v>13.0898</v>
      </c>
      <c r="O1349" s="582">
        <v>12.8963</v>
      </c>
      <c r="P1349" s="582">
        <v>98.709599999999995</v>
      </c>
      <c r="Q1349" s="582">
        <f t="shared" si="150"/>
        <v>10.093001391877873</v>
      </c>
      <c r="R1349" s="582">
        <f t="shared" si="151"/>
        <v>2.3887986081221269</v>
      </c>
      <c r="S1349" s="582">
        <f t="shared" si="154"/>
        <v>3.0497986081221278</v>
      </c>
      <c r="T1349" s="582">
        <f t="shared" si="152"/>
        <v>3.1867986081221273</v>
      </c>
      <c r="U1349" s="582">
        <f t="shared" si="153"/>
        <v>3.0732986081221263</v>
      </c>
    </row>
    <row r="1350" spans="10:21">
      <c r="J1350" s="580">
        <v>41590</v>
      </c>
      <c r="K1350" s="581">
        <v>0.98263888888888884</v>
      </c>
      <c r="L1350" s="582">
        <v>12.6351</v>
      </c>
      <c r="M1350" s="582">
        <v>12.473599999999999</v>
      </c>
      <c r="N1350" s="582">
        <v>13.0588</v>
      </c>
      <c r="O1350" s="582">
        <v>12.8779</v>
      </c>
      <c r="P1350" s="582">
        <v>98.746300000000005</v>
      </c>
      <c r="Q1350" s="582">
        <f t="shared" si="150"/>
        <v>10.096753946351622</v>
      </c>
      <c r="R1350" s="582">
        <f t="shared" si="151"/>
        <v>2.353346053648377</v>
      </c>
      <c r="S1350" s="582">
        <f t="shared" si="154"/>
        <v>3.0268460536483772</v>
      </c>
      <c r="T1350" s="582">
        <f t="shared" si="152"/>
        <v>3.1520460536483776</v>
      </c>
      <c r="U1350" s="582">
        <f t="shared" si="153"/>
        <v>3.0511460536483774</v>
      </c>
    </row>
    <row r="1351" spans="10:21">
      <c r="J1351" s="580">
        <v>41591</v>
      </c>
      <c r="K1351" s="581">
        <v>0.98263888888888884</v>
      </c>
      <c r="L1351" s="582">
        <v>12.614599999999999</v>
      </c>
      <c r="M1351" s="582">
        <v>12.4621</v>
      </c>
      <c r="N1351" s="582">
        <v>13.037000000000001</v>
      </c>
      <c r="O1351" s="582">
        <v>12.867599999999999</v>
      </c>
      <c r="P1351" s="582">
        <v>98.837000000000003</v>
      </c>
      <c r="Q1351" s="582">
        <f t="shared" si="150"/>
        <v>10.106027970623257</v>
      </c>
      <c r="R1351" s="582">
        <f t="shared" si="151"/>
        <v>2.3235720293767419</v>
      </c>
      <c r="S1351" s="582">
        <f t="shared" si="154"/>
        <v>3.0060720293767424</v>
      </c>
      <c r="T1351" s="582">
        <f t="shared" si="152"/>
        <v>3.1209720293767438</v>
      </c>
      <c r="U1351" s="582">
        <f t="shared" si="153"/>
        <v>3.0315720293767416</v>
      </c>
    </row>
    <row r="1352" spans="10:21">
      <c r="J1352" s="580">
        <v>41592</v>
      </c>
      <c r="K1352" s="581">
        <v>0.98263888888888884</v>
      </c>
      <c r="L1352" s="582">
        <v>12.577199999999999</v>
      </c>
      <c r="M1352" s="582">
        <v>12.4398</v>
      </c>
      <c r="N1352" s="582">
        <v>13.0055</v>
      </c>
      <c r="O1352" s="582">
        <v>12.848599999999999</v>
      </c>
      <c r="P1352" s="582">
        <v>98.884200000000007</v>
      </c>
      <c r="Q1352" s="582">
        <f t="shared" si="150"/>
        <v>10.110854144224373</v>
      </c>
      <c r="R1352" s="582">
        <f t="shared" si="151"/>
        <v>2.2813458557756268</v>
      </c>
      <c r="S1352" s="582">
        <f t="shared" si="154"/>
        <v>2.9789458557756276</v>
      </c>
      <c r="T1352" s="582">
        <f t="shared" si="152"/>
        <v>3.0846458557756273</v>
      </c>
      <c r="U1352" s="582">
        <f t="shared" si="153"/>
        <v>3.0077458557756263</v>
      </c>
    </row>
    <row r="1353" spans="10:21">
      <c r="J1353" s="580">
        <v>41593</v>
      </c>
      <c r="K1353" s="581">
        <v>0.98263888888888884</v>
      </c>
      <c r="L1353" s="582">
        <v>12.514799999999999</v>
      </c>
      <c r="M1353" s="582">
        <v>12.3979</v>
      </c>
      <c r="N1353" s="582">
        <v>12.9434</v>
      </c>
      <c r="O1353" s="582">
        <v>12.7935</v>
      </c>
      <c r="P1353" s="582">
        <v>98.692599999999999</v>
      </c>
      <c r="Q1353" s="582">
        <f t="shared" si="150"/>
        <v>10.091263151385947</v>
      </c>
      <c r="R1353" s="582">
        <f t="shared" si="151"/>
        <v>2.2385368486140522</v>
      </c>
      <c r="S1353" s="582">
        <f t="shared" si="154"/>
        <v>2.9566368486140533</v>
      </c>
      <c r="T1353" s="582">
        <f t="shared" si="152"/>
        <v>3.0421368486140539</v>
      </c>
      <c r="U1353" s="582">
        <f t="shared" si="153"/>
        <v>2.9722368486140525</v>
      </c>
    </row>
    <row r="1354" spans="10:21">
      <c r="J1354" s="580">
        <v>41594</v>
      </c>
      <c r="K1354" s="581">
        <v>0.98263888888888884</v>
      </c>
      <c r="L1354" s="582">
        <v>12.462199999999999</v>
      </c>
      <c r="M1354" s="582">
        <v>12.3645</v>
      </c>
      <c r="N1354" s="582">
        <v>12.8971</v>
      </c>
      <c r="O1354" s="582">
        <v>12.7491</v>
      </c>
      <c r="P1354" s="582">
        <v>98.635999999999996</v>
      </c>
      <c r="Q1354" s="582">
        <f t="shared" si="150"/>
        <v>10.085475833042237</v>
      </c>
      <c r="R1354" s="582">
        <f t="shared" si="151"/>
        <v>2.1917241669577625</v>
      </c>
      <c r="S1354" s="582">
        <f t="shared" si="154"/>
        <v>2.9290241669577632</v>
      </c>
      <c r="T1354" s="582">
        <f t="shared" si="152"/>
        <v>3.0016241669577637</v>
      </c>
      <c r="U1354" s="582">
        <f t="shared" si="153"/>
        <v>2.9336241669577632</v>
      </c>
    </row>
    <row r="1355" spans="10:21">
      <c r="J1355" s="580">
        <v>41595</v>
      </c>
      <c r="K1355" s="581">
        <v>0.98263888888888884</v>
      </c>
      <c r="L1355" s="582">
        <v>12.547700000000001</v>
      </c>
      <c r="M1355" s="582">
        <v>12.687099999999999</v>
      </c>
      <c r="N1355" s="582">
        <v>13.701000000000001</v>
      </c>
      <c r="O1355" s="582">
        <v>13.286300000000001</v>
      </c>
      <c r="P1355" s="582">
        <v>98.842799999999997</v>
      </c>
      <c r="Q1355" s="582">
        <f t="shared" si="150"/>
        <v>10.106621017379325</v>
      </c>
      <c r="R1355" s="582">
        <f t="shared" si="151"/>
        <v>2.2560789826206755</v>
      </c>
      <c r="S1355" s="582">
        <f t="shared" si="154"/>
        <v>3.2304789826206743</v>
      </c>
      <c r="T1355" s="582">
        <f t="shared" si="152"/>
        <v>3.7843789826206757</v>
      </c>
      <c r="U1355" s="582">
        <f t="shared" si="153"/>
        <v>3.4496789826206751</v>
      </c>
    </row>
    <row r="1356" spans="10:21">
      <c r="J1356" s="580">
        <v>41596</v>
      </c>
      <c r="K1356" s="581">
        <v>0.98263888888888884</v>
      </c>
      <c r="L1356" s="582">
        <v>12.523199999999999</v>
      </c>
      <c r="M1356" s="582">
        <v>12.6861</v>
      </c>
      <c r="N1356" s="582">
        <v>13.713699999999999</v>
      </c>
      <c r="O1356" s="582">
        <v>13.287000000000001</v>
      </c>
      <c r="P1356" s="582">
        <v>99.022999999999996</v>
      </c>
      <c r="Q1356" s="582">
        <f t="shared" si="150"/>
        <v>10.125046366593752</v>
      </c>
      <c r="R1356" s="582">
        <f t="shared" si="151"/>
        <v>2.2131536334062472</v>
      </c>
      <c r="S1356" s="582">
        <f t="shared" si="154"/>
        <v>3.2110536334062481</v>
      </c>
      <c r="T1356" s="582">
        <f t="shared" si="152"/>
        <v>3.7786536334062477</v>
      </c>
      <c r="U1356" s="582">
        <f t="shared" si="153"/>
        <v>3.4319536334062484</v>
      </c>
    </row>
    <row r="1357" spans="10:21">
      <c r="J1357" s="580">
        <v>41597</v>
      </c>
      <c r="K1357" s="581">
        <v>0.98263888888888884</v>
      </c>
      <c r="L1357" s="582">
        <v>12.467700000000001</v>
      </c>
      <c r="M1357" s="582">
        <v>12.655099999999999</v>
      </c>
      <c r="N1357" s="582">
        <v>13.6639</v>
      </c>
      <c r="O1357" s="582">
        <v>13.251099999999999</v>
      </c>
      <c r="P1357" s="582">
        <v>98.902900000000002</v>
      </c>
      <c r="Q1357" s="582">
        <f t="shared" si="150"/>
        <v>10.112766208765493</v>
      </c>
      <c r="R1357" s="582">
        <f t="shared" si="151"/>
        <v>2.169933791234508</v>
      </c>
      <c r="S1357" s="582">
        <f t="shared" si="154"/>
        <v>3.1923337912345069</v>
      </c>
      <c r="T1357" s="582">
        <f t="shared" si="152"/>
        <v>3.7411337912345077</v>
      </c>
      <c r="U1357" s="582">
        <f t="shared" si="153"/>
        <v>3.4083337912345062</v>
      </c>
    </row>
    <row r="1358" spans="10:21">
      <c r="J1358" s="580">
        <v>41598</v>
      </c>
      <c r="K1358" s="581">
        <v>0.98263888888888884</v>
      </c>
      <c r="L1358" s="582">
        <v>12.391400000000001</v>
      </c>
      <c r="M1358" s="582">
        <v>12.6027</v>
      </c>
      <c r="N1358" s="582">
        <v>13.5915</v>
      </c>
      <c r="O1358" s="582">
        <v>13.1945</v>
      </c>
      <c r="P1358" s="582">
        <v>98.590400000000002</v>
      </c>
      <c r="Q1358" s="582">
        <f t="shared" si="150"/>
        <v>10.080813258546245</v>
      </c>
      <c r="R1358" s="582">
        <f t="shared" si="151"/>
        <v>2.1255867414537559</v>
      </c>
      <c r="S1358" s="582">
        <f t="shared" si="154"/>
        <v>3.1718867414537559</v>
      </c>
      <c r="T1358" s="582">
        <f t="shared" si="152"/>
        <v>3.7006867414537554</v>
      </c>
      <c r="U1358" s="582">
        <f t="shared" si="153"/>
        <v>3.3836867414537544</v>
      </c>
    </row>
    <row r="1359" spans="10:21">
      <c r="J1359" s="580">
        <v>41599</v>
      </c>
      <c r="K1359" s="581">
        <v>0.98263888888888884</v>
      </c>
      <c r="L1359" s="582">
        <v>12.338900000000001</v>
      </c>
      <c r="M1359" s="582">
        <v>12.582599999999999</v>
      </c>
      <c r="N1359" s="582">
        <v>13.554399999999999</v>
      </c>
      <c r="O1359" s="582">
        <v>13.1713</v>
      </c>
      <c r="P1359" s="582">
        <v>98.617699999999999</v>
      </c>
      <c r="Q1359" s="582">
        <f t="shared" si="150"/>
        <v>10.083604668277397</v>
      </c>
      <c r="R1359" s="582">
        <f t="shared" si="151"/>
        <v>2.0702953317226034</v>
      </c>
      <c r="S1359" s="582">
        <f t="shared" si="154"/>
        <v>3.1489953317226025</v>
      </c>
      <c r="T1359" s="582">
        <f t="shared" si="152"/>
        <v>3.6607953317226025</v>
      </c>
      <c r="U1359" s="582">
        <f t="shared" si="153"/>
        <v>3.3576953317226028</v>
      </c>
    </row>
    <row r="1360" spans="10:21">
      <c r="J1360" s="580">
        <v>41600</v>
      </c>
      <c r="K1360" s="581">
        <v>0.98263888888888884</v>
      </c>
      <c r="L1360" s="582">
        <v>12.298</v>
      </c>
      <c r="M1360" s="582">
        <v>12.5723</v>
      </c>
      <c r="N1360" s="582">
        <v>13.5297</v>
      </c>
      <c r="O1360" s="582">
        <v>13.1586</v>
      </c>
      <c r="P1360" s="582">
        <v>98.751499999999993</v>
      </c>
      <c r="Q1360" s="582">
        <f t="shared" si="150"/>
        <v>10.09728564344327</v>
      </c>
      <c r="R1360" s="582">
        <f t="shared" si="151"/>
        <v>2.0157143565567304</v>
      </c>
      <c r="S1360" s="582">
        <f t="shared" si="154"/>
        <v>3.125014356556731</v>
      </c>
      <c r="T1360" s="582">
        <f t="shared" si="152"/>
        <v>3.6224143565567308</v>
      </c>
      <c r="U1360" s="582">
        <f t="shared" si="153"/>
        <v>3.3313143565567298</v>
      </c>
    </row>
    <row r="1361" spans="10:21">
      <c r="J1361" s="580">
        <v>41601</v>
      </c>
      <c r="K1361" s="581">
        <v>0.98263888888888884</v>
      </c>
      <c r="L1361" s="582">
        <v>12.257899999999999</v>
      </c>
      <c r="M1361" s="582">
        <v>12.5604</v>
      </c>
      <c r="N1361" s="582">
        <v>13.496499999999999</v>
      </c>
      <c r="O1361" s="582">
        <v>13.141500000000001</v>
      </c>
      <c r="P1361" s="582">
        <v>98.828100000000006</v>
      </c>
      <c r="Q1361" s="582">
        <f t="shared" si="150"/>
        <v>10.105117950601013</v>
      </c>
      <c r="R1361" s="582">
        <f t="shared" si="151"/>
        <v>1.9677820493989864</v>
      </c>
      <c r="S1361" s="582">
        <f t="shared" si="154"/>
        <v>3.105282049398987</v>
      </c>
      <c r="T1361" s="582">
        <f t="shared" si="152"/>
        <v>3.5813820493989867</v>
      </c>
      <c r="U1361" s="582">
        <f t="shared" si="153"/>
        <v>3.3063820493989873</v>
      </c>
    </row>
    <row r="1362" spans="10:21">
      <c r="J1362" s="580">
        <v>41602</v>
      </c>
      <c r="K1362" s="581">
        <v>0.98263888888888884</v>
      </c>
      <c r="L1362" s="582">
        <v>12.2178</v>
      </c>
      <c r="M1362" s="582">
        <v>12.5442</v>
      </c>
      <c r="N1362" s="582">
        <v>13.4633</v>
      </c>
      <c r="O1362" s="582">
        <v>13.124499999999999</v>
      </c>
      <c r="P1362" s="582">
        <v>98.907700000000006</v>
      </c>
      <c r="Q1362" s="582">
        <f t="shared" si="150"/>
        <v>10.113257006080859</v>
      </c>
      <c r="R1362" s="582">
        <f t="shared" si="151"/>
        <v>1.9195429939191411</v>
      </c>
      <c r="S1362" s="582">
        <f t="shared" si="154"/>
        <v>3.0809429939191411</v>
      </c>
      <c r="T1362" s="582">
        <f t="shared" si="152"/>
        <v>3.5400429939191413</v>
      </c>
      <c r="U1362" s="582">
        <f t="shared" si="153"/>
        <v>3.2812429939191396</v>
      </c>
    </row>
    <row r="1363" spans="10:21">
      <c r="J1363" s="580">
        <v>41603</v>
      </c>
      <c r="K1363" s="581">
        <v>0.98263888888888884</v>
      </c>
      <c r="L1363" s="582">
        <v>12.157299999999999</v>
      </c>
      <c r="M1363" s="582">
        <v>12.501899999999999</v>
      </c>
      <c r="N1363" s="582">
        <v>13.4086</v>
      </c>
      <c r="O1363" s="582">
        <v>13.084899999999999</v>
      </c>
      <c r="P1363" s="582">
        <v>98.753100000000003</v>
      </c>
      <c r="Q1363" s="582">
        <f t="shared" si="150"/>
        <v>10.097449242548393</v>
      </c>
      <c r="R1363" s="582">
        <f t="shared" si="151"/>
        <v>1.8748507574516062</v>
      </c>
      <c r="S1363" s="582">
        <f t="shared" si="154"/>
        <v>3.0544507574516064</v>
      </c>
      <c r="T1363" s="582">
        <f t="shared" si="152"/>
        <v>3.5011507574516072</v>
      </c>
      <c r="U1363" s="582">
        <f t="shared" si="153"/>
        <v>3.2574507574516058</v>
      </c>
    </row>
    <row r="1364" spans="10:21">
      <c r="J1364" s="580">
        <v>41604</v>
      </c>
      <c r="K1364" s="581">
        <v>0.98263888888888884</v>
      </c>
      <c r="L1364" s="582">
        <v>12.1182</v>
      </c>
      <c r="M1364" s="582">
        <v>12.470599999999999</v>
      </c>
      <c r="N1364" s="582">
        <v>13.3706</v>
      </c>
      <c r="O1364" s="582">
        <v>13.0579</v>
      </c>
      <c r="P1364" s="582">
        <v>98.742800000000003</v>
      </c>
      <c r="Q1364" s="582">
        <f t="shared" si="150"/>
        <v>10.096396073309167</v>
      </c>
      <c r="R1364" s="582">
        <f t="shared" si="151"/>
        <v>1.8368039266908327</v>
      </c>
      <c r="S1364" s="582">
        <f t="shared" si="154"/>
        <v>3.0242039266908325</v>
      </c>
      <c r="T1364" s="582">
        <f t="shared" si="152"/>
        <v>3.4642039266908329</v>
      </c>
      <c r="U1364" s="582">
        <f t="shared" si="153"/>
        <v>3.2315039266908325</v>
      </c>
    </row>
    <row r="1365" spans="10:21">
      <c r="J1365" s="580">
        <v>41605</v>
      </c>
      <c r="K1365" s="581">
        <v>0.98263888888888884</v>
      </c>
      <c r="L1365" s="582">
        <v>12.090299999999999</v>
      </c>
      <c r="M1365" s="582">
        <v>12.4514</v>
      </c>
      <c r="N1365" s="582">
        <v>13.333399999999999</v>
      </c>
      <c r="O1365" s="582">
        <v>13.0388</v>
      </c>
      <c r="P1365" s="582">
        <v>98.823599999999999</v>
      </c>
      <c r="Q1365" s="582">
        <f t="shared" si="150"/>
        <v>10.104657828117855</v>
      </c>
      <c r="R1365" s="582">
        <f t="shared" si="151"/>
        <v>1.8006421718821444</v>
      </c>
      <c r="S1365" s="582">
        <f t="shared" si="154"/>
        <v>2.9967421718821452</v>
      </c>
      <c r="T1365" s="582">
        <f t="shared" si="152"/>
        <v>3.4187421718821449</v>
      </c>
      <c r="U1365" s="582">
        <f t="shared" si="153"/>
        <v>3.204142171882145</v>
      </c>
    </row>
    <row r="1366" spans="10:21">
      <c r="J1366" s="580">
        <v>41606</v>
      </c>
      <c r="K1366" s="581">
        <v>0.98263888888888884</v>
      </c>
      <c r="L1366" s="582">
        <v>12.0686</v>
      </c>
      <c r="M1366" s="582">
        <v>12.442399999999999</v>
      </c>
      <c r="N1366" s="582">
        <v>13.303900000000001</v>
      </c>
      <c r="O1366" s="582">
        <v>13.026899999999999</v>
      </c>
      <c r="P1366" s="582">
        <v>98.968599999999995</v>
      </c>
      <c r="Q1366" s="582">
        <f t="shared" si="150"/>
        <v>10.119483997019586</v>
      </c>
      <c r="R1366" s="582">
        <f t="shared" si="151"/>
        <v>1.7641160029804142</v>
      </c>
      <c r="S1366" s="582">
        <f t="shared" si="154"/>
        <v>2.9729160029804138</v>
      </c>
      <c r="T1366" s="582">
        <f t="shared" si="152"/>
        <v>3.3744160029804151</v>
      </c>
      <c r="U1366" s="582">
        <f t="shared" si="153"/>
        <v>3.1774160029804133</v>
      </c>
    </row>
    <row r="1367" spans="10:21">
      <c r="J1367" s="580">
        <v>41607</v>
      </c>
      <c r="K1367" s="581">
        <v>0.98263888888888884</v>
      </c>
      <c r="L1367" s="582">
        <v>12.026400000000001</v>
      </c>
      <c r="M1367" s="582">
        <v>12.425800000000001</v>
      </c>
      <c r="N1367" s="582">
        <v>13.2759</v>
      </c>
      <c r="O1367" s="582">
        <v>13.006399999999999</v>
      </c>
      <c r="P1367" s="582">
        <v>99.031899999999993</v>
      </c>
      <c r="Q1367" s="582">
        <f t="shared" si="150"/>
        <v>10.125956386615997</v>
      </c>
      <c r="R1367" s="582">
        <f t="shared" si="151"/>
        <v>1.7154436133840041</v>
      </c>
      <c r="S1367" s="582">
        <f t="shared" si="154"/>
        <v>2.9498436133840045</v>
      </c>
      <c r="T1367" s="582">
        <f t="shared" si="152"/>
        <v>3.3399436133840039</v>
      </c>
      <c r="U1367" s="582">
        <f t="shared" si="153"/>
        <v>3.1504436133840024</v>
      </c>
    </row>
    <row r="1368" spans="10:21">
      <c r="J1368" s="580">
        <v>41608</v>
      </c>
      <c r="K1368" s="581">
        <v>0.98263888888888884</v>
      </c>
      <c r="L1368" s="582">
        <v>11.978199999999999</v>
      </c>
      <c r="M1368" s="582">
        <v>12.395200000000001</v>
      </c>
      <c r="N1368" s="582">
        <v>13.2439</v>
      </c>
      <c r="O1368" s="582">
        <v>12.9758</v>
      </c>
      <c r="P1368" s="582">
        <v>98.983900000000006</v>
      </c>
      <c r="Q1368" s="582">
        <f t="shared" si="150"/>
        <v>10.12104841346232</v>
      </c>
      <c r="R1368" s="582">
        <f t="shared" si="151"/>
        <v>1.6721515865376788</v>
      </c>
      <c r="S1368" s="582">
        <f t="shared" si="154"/>
        <v>2.9241515865376808</v>
      </c>
      <c r="T1368" s="582">
        <f t="shared" si="152"/>
        <v>3.31285158653768</v>
      </c>
      <c r="U1368" s="582">
        <f t="shared" si="153"/>
        <v>3.1247515865376787</v>
      </c>
    </row>
    <row r="1369" spans="10:21">
      <c r="J1369" s="580">
        <v>41609</v>
      </c>
      <c r="K1369" s="581">
        <v>0.98263888888888884</v>
      </c>
      <c r="L1369" s="582">
        <v>11.949199999999999</v>
      </c>
      <c r="M1369" s="582">
        <v>12.376799999999999</v>
      </c>
      <c r="N1369" s="582">
        <v>13.2103</v>
      </c>
      <c r="O1369" s="582">
        <v>12.9537</v>
      </c>
      <c r="P1369" s="582">
        <v>99.020300000000006</v>
      </c>
      <c r="Q1369" s="582">
        <f t="shared" si="150"/>
        <v>10.124770293103859</v>
      </c>
      <c r="R1369" s="582">
        <f t="shared" si="151"/>
        <v>1.6394297068961401</v>
      </c>
      <c r="S1369" s="582">
        <f t="shared" si="154"/>
        <v>2.9020297068961405</v>
      </c>
      <c r="T1369" s="582">
        <f t="shared" si="152"/>
        <v>3.2755297068961413</v>
      </c>
      <c r="U1369" s="582">
        <f t="shared" si="153"/>
        <v>3.0989297068961399</v>
      </c>
    </row>
    <row r="1370" spans="10:21">
      <c r="J1370" s="580">
        <v>41610</v>
      </c>
      <c r="K1370" s="581">
        <v>0.98263888888888884</v>
      </c>
      <c r="L1370" s="582">
        <v>11.943300000000001</v>
      </c>
      <c r="M1370" s="582">
        <v>12.377000000000001</v>
      </c>
      <c r="N1370" s="582">
        <v>13.203099999999999</v>
      </c>
      <c r="O1370" s="582">
        <v>12.9496</v>
      </c>
      <c r="P1370" s="582">
        <v>99.106800000000007</v>
      </c>
      <c r="Q1370" s="582">
        <f t="shared" si="150"/>
        <v>10.133614869724546</v>
      </c>
      <c r="R1370" s="582">
        <f t="shared" si="151"/>
        <v>1.6246851302754544</v>
      </c>
      <c r="S1370" s="582">
        <f t="shared" si="154"/>
        <v>2.8933851302754547</v>
      </c>
      <c r="T1370" s="582">
        <f t="shared" si="152"/>
        <v>3.2594851302754533</v>
      </c>
      <c r="U1370" s="582">
        <f t="shared" si="153"/>
        <v>3.0859851302754535</v>
      </c>
    </row>
    <row r="1371" spans="10:21">
      <c r="J1371" s="580">
        <v>41611</v>
      </c>
      <c r="K1371" s="581">
        <v>0.98263888888888884</v>
      </c>
      <c r="L1371" s="582">
        <v>11.889799999999999</v>
      </c>
      <c r="M1371" s="582">
        <v>12.3323</v>
      </c>
      <c r="N1371" s="582">
        <v>13.1501</v>
      </c>
      <c r="O1371" s="582">
        <v>12.9025</v>
      </c>
      <c r="P1371" s="582">
        <v>98.835599999999999</v>
      </c>
      <c r="Q1371" s="582">
        <f t="shared" si="150"/>
        <v>10.105884821406274</v>
      </c>
      <c r="R1371" s="582">
        <f t="shared" si="151"/>
        <v>1.598915178593725</v>
      </c>
      <c r="S1371" s="582">
        <f t="shared" si="154"/>
        <v>2.8764151785937262</v>
      </c>
      <c r="T1371" s="582">
        <f t="shared" si="152"/>
        <v>3.2342151785937263</v>
      </c>
      <c r="U1371" s="582">
        <f t="shared" si="153"/>
        <v>3.0666151785937252</v>
      </c>
    </row>
    <row r="1372" spans="10:21">
      <c r="J1372" s="580">
        <v>41612</v>
      </c>
      <c r="K1372" s="581">
        <v>0.98263888888888884</v>
      </c>
      <c r="L1372" s="582">
        <v>11.853</v>
      </c>
      <c r="M1372" s="582">
        <v>12.2987</v>
      </c>
      <c r="N1372" s="582">
        <v>13.113300000000001</v>
      </c>
      <c r="O1372" s="582">
        <v>12.8714</v>
      </c>
      <c r="P1372" s="582">
        <v>98.781199999999998</v>
      </c>
      <c r="Q1372" s="582">
        <f t="shared" si="150"/>
        <v>10.100322451832108</v>
      </c>
      <c r="R1372" s="582">
        <f t="shared" si="151"/>
        <v>1.5676775481678917</v>
      </c>
      <c r="S1372" s="582">
        <f t="shared" si="154"/>
        <v>2.8483775481678926</v>
      </c>
      <c r="T1372" s="582">
        <f t="shared" si="152"/>
        <v>3.202977548167893</v>
      </c>
      <c r="U1372" s="582">
        <f t="shared" si="153"/>
        <v>3.0410775481678911</v>
      </c>
    </row>
    <row r="1373" spans="10:21">
      <c r="J1373" s="580">
        <v>41613</v>
      </c>
      <c r="K1373" s="581">
        <v>0.98263888888888884</v>
      </c>
      <c r="L1373" s="582">
        <v>11.8028</v>
      </c>
      <c r="M1373" s="582">
        <v>12.250500000000001</v>
      </c>
      <c r="N1373" s="582">
        <v>13.0587</v>
      </c>
      <c r="O1373" s="582">
        <v>12.823399999999999</v>
      </c>
      <c r="P1373" s="582">
        <v>98.611199999999997</v>
      </c>
      <c r="Q1373" s="582">
        <f t="shared" si="150"/>
        <v>10.082940046912837</v>
      </c>
      <c r="R1373" s="582">
        <f t="shared" si="151"/>
        <v>1.5348599530871625</v>
      </c>
      <c r="S1373" s="582">
        <f t="shared" si="154"/>
        <v>2.817559953087164</v>
      </c>
      <c r="T1373" s="582">
        <f t="shared" si="152"/>
        <v>3.1657599530871634</v>
      </c>
      <c r="U1373" s="582">
        <f t="shared" si="153"/>
        <v>3.0104599530871621</v>
      </c>
    </row>
    <row r="1374" spans="10:21">
      <c r="J1374" s="580">
        <v>41614</v>
      </c>
      <c r="K1374" s="581">
        <v>0.98263888888888884</v>
      </c>
      <c r="L1374" s="582">
        <v>11.771100000000001</v>
      </c>
      <c r="M1374" s="582">
        <v>12.2126</v>
      </c>
      <c r="N1374" s="582">
        <v>13.0177</v>
      </c>
      <c r="O1374" s="582">
        <v>12.7844</v>
      </c>
      <c r="P1374" s="582">
        <v>98.593800000000002</v>
      </c>
      <c r="Q1374" s="582">
        <f t="shared" si="150"/>
        <v>10.08116090664463</v>
      </c>
      <c r="R1374" s="582">
        <f t="shared" si="151"/>
        <v>1.5049390933553703</v>
      </c>
      <c r="S1374" s="582">
        <f t="shared" si="154"/>
        <v>2.7814390933553703</v>
      </c>
      <c r="T1374" s="582">
        <f t="shared" si="152"/>
        <v>3.1265390933553698</v>
      </c>
      <c r="U1374" s="582">
        <f t="shared" si="153"/>
        <v>2.9732390933553692</v>
      </c>
    </row>
    <row r="1375" spans="10:21">
      <c r="J1375" s="580">
        <v>41615</v>
      </c>
      <c r="K1375" s="581">
        <v>0.98263888888888884</v>
      </c>
      <c r="L1375" s="582">
        <v>11.746600000000001</v>
      </c>
      <c r="M1375" s="582">
        <v>12.180199999999999</v>
      </c>
      <c r="N1375" s="582">
        <v>12.9908</v>
      </c>
      <c r="O1375" s="582">
        <v>12.751799999999999</v>
      </c>
      <c r="P1375" s="582">
        <v>98.616500000000002</v>
      </c>
      <c r="Q1375" s="582">
        <f t="shared" si="150"/>
        <v>10.083481968948556</v>
      </c>
      <c r="R1375" s="582">
        <f t="shared" si="151"/>
        <v>1.4781180310514448</v>
      </c>
      <c r="S1375" s="582">
        <f t="shared" si="154"/>
        <v>2.7467180310514436</v>
      </c>
      <c r="T1375" s="582">
        <f t="shared" si="152"/>
        <v>3.0973180310514445</v>
      </c>
      <c r="U1375" s="582">
        <f t="shared" si="153"/>
        <v>2.938318031051443</v>
      </c>
    </row>
    <row r="1376" spans="10:21">
      <c r="J1376" s="580">
        <v>41616</v>
      </c>
      <c r="K1376" s="581">
        <v>0.98263888888888884</v>
      </c>
      <c r="L1376" s="582">
        <v>11.723800000000001</v>
      </c>
      <c r="M1376" s="582">
        <v>12.150700000000001</v>
      </c>
      <c r="N1376" s="582">
        <v>12.969900000000001</v>
      </c>
      <c r="O1376" s="582">
        <v>12.722</v>
      </c>
      <c r="P1376" s="582">
        <v>98.679199999999994</v>
      </c>
      <c r="Q1376" s="582">
        <f t="shared" si="150"/>
        <v>10.089893008880544</v>
      </c>
      <c r="R1376" s="582">
        <f t="shared" si="151"/>
        <v>1.4489069911194563</v>
      </c>
      <c r="S1376" s="582">
        <f t="shared" si="154"/>
        <v>2.7108069911194566</v>
      </c>
      <c r="T1376" s="582">
        <f t="shared" si="152"/>
        <v>3.070006991119457</v>
      </c>
      <c r="U1376" s="582">
        <f t="shared" si="153"/>
        <v>2.9021069911194548</v>
      </c>
    </row>
    <row r="1377" spans="10:21">
      <c r="J1377" s="580">
        <v>41617</v>
      </c>
      <c r="K1377" s="581">
        <v>0.98263888888888884</v>
      </c>
      <c r="L1377" s="582">
        <v>11.6873</v>
      </c>
      <c r="M1377" s="582">
        <v>12.105499999999999</v>
      </c>
      <c r="N1377" s="582">
        <v>12.9223</v>
      </c>
      <c r="O1377" s="582">
        <v>12.6777</v>
      </c>
      <c r="P1377" s="582">
        <v>98.591099999999997</v>
      </c>
      <c r="Q1377" s="582">
        <f t="shared" si="150"/>
        <v>10.080884833154736</v>
      </c>
      <c r="R1377" s="582">
        <f t="shared" si="151"/>
        <v>1.4214151668452648</v>
      </c>
      <c r="S1377" s="582">
        <v>2.6748151668452653</v>
      </c>
      <c r="T1377" s="582">
        <f t="shared" si="152"/>
        <v>3.0314151668452647</v>
      </c>
      <c r="U1377" s="582">
        <f t="shared" si="153"/>
        <v>2.8668151668452637</v>
      </c>
    </row>
    <row r="1378" spans="10:21">
      <c r="J1378" s="580">
        <v>41618</v>
      </c>
      <c r="K1378" s="581">
        <v>0.98263888888888884</v>
      </c>
      <c r="L1378" s="582">
        <v>11.667999999999999</v>
      </c>
      <c r="M1378" s="582">
        <v>12.073700000000001</v>
      </c>
      <c r="N1378" s="582">
        <v>12.894500000000001</v>
      </c>
      <c r="O1378" s="582">
        <v>12.648999999999999</v>
      </c>
      <c r="P1378" s="582">
        <v>98.665400000000005</v>
      </c>
      <c r="Q1378" s="582">
        <f t="shared" si="150"/>
        <v>10.088481966598865</v>
      </c>
      <c r="R1378" s="582">
        <f t="shared" si="151"/>
        <v>1.3945180334011344</v>
      </c>
      <c r="S1378" s="582">
        <v>2.6351180334011364</v>
      </c>
      <c r="T1378" s="582">
        <f t="shared" si="152"/>
        <v>2.9960180334011364</v>
      </c>
      <c r="U1378" s="582">
        <f t="shared" si="153"/>
        <v>2.8305180334011339</v>
      </c>
    </row>
    <row r="1379" spans="10:21">
      <c r="J1379" s="580">
        <v>41619</v>
      </c>
      <c r="K1379" s="581">
        <v>0.98263888888888884</v>
      </c>
      <c r="L1379" s="582">
        <v>11.6288</v>
      </c>
      <c r="M1379" s="582">
        <v>12.014200000000001</v>
      </c>
      <c r="N1379" s="582">
        <v>12.836600000000001</v>
      </c>
      <c r="O1379" s="582">
        <v>12.595000000000001</v>
      </c>
      <c r="P1379" s="582">
        <v>98.505300000000005</v>
      </c>
      <c r="Q1379" s="582">
        <f t="shared" si="150"/>
        <v>10.072111831142539</v>
      </c>
      <c r="R1379" s="582">
        <f t="shared" si="151"/>
        <v>1.3716881688574607</v>
      </c>
      <c r="S1379" s="582">
        <f t="shared" ref="S1379:S1442" si="155">M1379-Q1379-$D$9+$E$9</f>
        <v>2.5920881688574617</v>
      </c>
      <c r="T1379" s="582">
        <f t="shared" si="152"/>
        <v>2.9544881688574618</v>
      </c>
      <c r="U1379" s="582">
        <f t="shared" si="153"/>
        <v>2.7928881688574609</v>
      </c>
    </row>
    <row r="1380" spans="10:21">
      <c r="J1380" s="580">
        <v>41620</v>
      </c>
      <c r="K1380" s="581">
        <v>0.98263888888888884</v>
      </c>
      <c r="L1380" s="582">
        <v>11.61</v>
      </c>
      <c r="M1380" s="582">
        <v>11.995100000000001</v>
      </c>
      <c r="N1380" s="582">
        <v>12.8134</v>
      </c>
      <c r="O1380" s="582">
        <v>12.576499999999999</v>
      </c>
      <c r="P1380" s="582">
        <v>98.378399999999999</v>
      </c>
      <c r="Q1380" s="582">
        <f t="shared" si="150"/>
        <v>10.059136377117508</v>
      </c>
      <c r="R1380" s="582">
        <f t="shared" si="151"/>
        <v>1.3658636228824919</v>
      </c>
      <c r="S1380" s="582">
        <f t="shared" si="155"/>
        <v>2.5859636228824936</v>
      </c>
      <c r="T1380" s="582">
        <f t="shared" si="152"/>
        <v>2.9442636228824925</v>
      </c>
      <c r="U1380" s="582">
        <f t="shared" si="153"/>
        <v>2.7873636228824914</v>
      </c>
    </row>
    <row r="1381" spans="10:21">
      <c r="J1381" s="580">
        <v>41621</v>
      </c>
      <c r="K1381" s="581">
        <v>0.98263888888888884</v>
      </c>
      <c r="L1381" s="582">
        <v>11.664899999999999</v>
      </c>
      <c r="M1381" s="582">
        <v>12.078099999999999</v>
      </c>
      <c r="N1381" s="582">
        <v>12.8742</v>
      </c>
      <c r="O1381" s="582">
        <v>12.647600000000001</v>
      </c>
      <c r="P1381" s="582">
        <v>98.827399999999997</v>
      </c>
      <c r="Q1381" s="582">
        <f t="shared" si="150"/>
        <v>10.10504637599252</v>
      </c>
      <c r="R1381" s="582">
        <f t="shared" si="151"/>
        <v>1.3748536240074789</v>
      </c>
      <c r="S1381" s="582">
        <f t="shared" si="155"/>
        <v>2.6230536240074791</v>
      </c>
      <c r="T1381" s="582">
        <f t="shared" si="152"/>
        <v>2.9591536240074801</v>
      </c>
      <c r="U1381" s="582">
        <f t="shared" si="153"/>
        <v>2.8125536240074798</v>
      </c>
    </row>
    <row r="1382" spans="10:21">
      <c r="J1382" s="580">
        <v>41622</v>
      </c>
      <c r="K1382" s="581">
        <v>0.98263888888888884</v>
      </c>
      <c r="L1382" s="582">
        <v>11.645200000000001</v>
      </c>
      <c r="M1382" s="582">
        <v>12.061299999999999</v>
      </c>
      <c r="N1382" s="582">
        <v>12.864800000000001</v>
      </c>
      <c r="O1382" s="582">
        <v>12.634600000000001</v>
      </c>
      <c r="P1382" s="582">
        <v>98.916200000000003</v>
      </c>
      <c r="Q1382" s="582">
        <f t="shared" si="150"/>
        <v>10.114126126326823</v>
      </c>
      <c r="R1382" s="582">
        <f t="shared" si="151"/>
        <v>1.3460738736731774</v>
      </c>
      <c r="S1382" s="582">
        <f t="shared" si="155"/>
        <v>2.5971738736731762</v>
      </c>
      <c r="T1382" s="582">
        <f t="shared" si="152"/>
        <v>2.9406738736731777</v>
      </c>
      <c r="U1382" s="582">
        <f t="shared" si="153"/>
        <v>2.7904738736731769</v>
      </c>
    </row>
    <row r="1383" spans="10:21">
      <c r="J1383" s="580">
        <v>41623</v>
      </c>
      <c r="K1383" s="581">
        <v>0.98263888888888884</v>
      </c>
      <c r="L1383" s="582">
        <v>11.621600000000001</v>
      </c>
      <c r="M1383" s="582">
        <v>12.0451</v>
      </c>
      <c r="N1383" s="582">
        <v>12.839399999999999</v>
      </c>
      <c r="O1383" s="582">
        <v>12.6142</v>
      </c>
      <c r="P1383" s="582">
        <v>98.971299999999999</v>
      </c>
      <c r="Q1383" s="582">
        <f t="shared" si="150"/>
        <v>10.11976007050948</v>
      </c>
      <c r="R1383" s="582">
        <f t="shared" si="151"/>
        <v>1.3168399294905204</v>
      </c>
      <c r="S1383" s="582">
        <f t="shared" si="155"/>
        <v>2.5753399294905197</v>
      </c>
      <c r="T1383" s="582">
        <f t="shared" si="152"/>
        <v>2.9096399294905195</v>
      </c>
      <c r="U1383" s="582">
        <f t="shared" si="153"/>
        <v>2.7644399294905195</v>
      </c>
    </row>
    <row r="1384" spans="10:21">
      <c r="J1384" s="580">
        <v>41624</v>
      </c>
      <c r="K1384" s="581">
        <v>0.98263888888888884</v>
      </c>
      <c r="L1384" s="582">
        <v>11.592700000000001</v>
      </c>
      <c r="M1384" s="582">
        <v>12.0237</v>
      </c>
      <c r="N1384" s="582">
        <v>12.8124</v>
      </c>
      <c r="O1384" s="582">
        <v>12.5854</v>
      </c>
      <c r="P1384" s="582">
        <v>98.976399999999998</v>
      </c>
      <c r="Q1384" s="582">
        <f t="shared" si="150"/>
        <v>10.120281542657059</v>
      </c>
      <c r="R1384" s="582">
        <f t="shared" si="151"/>
        <v>1.2874184573429415</v>
      </c>
      <c r="S1384" s="582">
        <f t="shared" si="155"/>
        <v>2.553418457342941</v>
      </c>
      <c r="T1384" s="582">
        <f t="shared" si="152"/>
        <v>2.8821184573429415</v>
      </c>
      <c r="U1384" s="582">
        <f t="shared" si="153"/>
        <v>2.7351184573429403</v>
      </c>
    </row>
    <row r="1385" spans="10:21">
      <c r="J1385" s="580">
        <v>41625</v>
      </c>
      <c r="K1385" s="581">
        <v>0.98263888888888884</v>
      </c>
      <c r="L1385" s="582">
        <v>11.5528</v>
      </c>
      <c r="M1385" s="582">
        <v>11.9857</v>
      </c>
      <c r="N1385" s="582">
        <v>12.7643</v>
      </c>
      <c r="O1385" s="582">
        <v>12.5357</v>
      </c>
      <c r="P1385" s="582">
        <v>98.86</v>
      </c>
      <c r="Q1385" s="582">
        <f t="shared" si="150"/>
        <v>10.108379707759394</v>
      </c>
      <c r="R1385" s="582">
        <f t="shared" si="151"/>
        <v>1.2594202922406059</v>
      </c>
      <c r="S1385" s="582">
        <f t="shared" si="155"/>
        <v>2.5273202922406064</v>
      </c>
      <c r="T1385" s="582">
        <f t="shared" si="152"/>
        <v>2.8459202922406073</v>
      </c>
      <c r="U1385" s="582">
        <f t="shared" si="153"/>
        <v>2.6973202922406068</v>
      </c>
    </row>
    <row r="1386" spans="10:21">
      <c r="J1386" s="580">
        <v>41626</v>
      </c>
      <c r="K1386" s="581">
        <v>0.98263888888888884</v>
      </c>
      <c r="L1386" s="582">
        <v>11.5219</v>
      </c>
      <c r="M1386" s="582">
        <v>11.9503</v>
      </c>
      <c r="N1386" s="582">
        <v>12.722</v>
      </c>
      <c r="O1386" s="582">
        <v>12.495799999999999</v>
      </c>
      <c r="P1386" s="582">
        <v>98.832700000000003</v>
      </c>
      <c r="Q1386" s="582">
        <f t="shared" si="150"/>
        <v>10.105588298028239</v>
      </c>
      <c r="R1386" s="582">
        <f t="shared" si="151"/>
        <v>1.231311701971761</v>
      </c>
      <c r="S1386" s="582">
        <f t="shared" si="155"/>
        <v>2.4947117019717613</v>
      </c>
      <c r="T1386" s="582">
        <f t="shared" si="152"/>
        <v>2.8064117019717605</v>
      </c>
      <c r="U1386" s="582">
        <f t="shared" si="153"/>
        <v>2.6602117019717597</v>
      </c>
    </row>
    <row r="1387" spans="10:21">
      <c r="J1387" s="580">
        <v>41627</v>
      </c>
      <c r="K1387" s="581">
        <v>0.98263888888888884</v>
      </c>
      <c r="L1387" s="582">
        <v>11.5008</v>
      </c>
      <c r="M1387" s="582">
        <v>11.917400000000001</v>
      </c>
      <c r="N1387" s="582">
        <v>12.6859</v>
      </c>
      <c r="O1387" s="582">
        <v>12.446199999999999</v>
      </c>
      <c r="P1387" s="582">
        <v>98.872200000000007</v>
      </c>
      <c r="Q1387" s="582">
        <f t="shared" si="150"/>
        <v>10.109627150935953</v>
      </c>
      <c r="R1387" s="582">
        <f t="shared" si="151"/>
        <v>1.2061728490640466</v>
      </c>
      <c r="S1387" s="582">
        <f t="shared" si="155"/>
        <v>2.4577728490640478</v>
      </c>
      <c r="T1387" s="582">
        <f t="shared" si="152"/>
        <v>2.7662728490640474</v>
      </c>
      <c r="U1387" s="582">
        <f t="shared" si="153"/>
        <v>2.6065728490640461</v>
      </c>
    </row>
    <row r="1388" spans="10:21">
      <c r="J1388" s="580">
        <v>41628</v>
      </c>
      <c r="K1388" s="581">
        <v>0.98263888888888884</v>
      </c>
      <c r="L1388" s="582">
        <v>11.492699999999999</v>
      </c>
      <c r="M1388" s="582">
        <v>11.9031</v>
      </c>
      <c r="N1388" s="582">
        <v>12.659800000000001</v>
      </c>
      <c r="O1388" s="582">
        <v>12.377599999999999</v>
      </c>
      <c r="P1388" s="582">
        <v>99.032700000000006</v>
      </c>
      <c r="Q1388" s="582">
        <f t="shared" si="150"/>
        <v>10.126038186168559</v>
      </c>
      <c r="R1388" s="582">
        <f t="shared" si="151"/>
        <v>1.1816618138314401</v>
      </c>
      <c r="S1388" s="582">
        <f t="shared" si="155"/>
        <v>2.4270618138314415</v>
      </c>
      <c r="T1388" s="582">
        <f t="shared" si="152"/>
        <v>2.7237618138314419</v>
      </c>
      <c r="U1388" s="582">
        <f t="shared" si="153"/>
        <v>2.5215618138314402</v>
      </c>
    </row>
    <row r="1389" spans="10:21">
      <c r="J1389" s="580">
        <v>41629</v>
      </c>
      <c r="K1389" s="581">
        <v>0.98263888888888884</v>
      </c>
      <c r="L1389" s="582">
        <v>11.4764</v>
      </c>
      <c r="M1389" s="582">
        <v>11.879899999999999</v>
      </c>
      <c r="N1389" s="582">
        <v>12.624499999999999</v>
      </c>
      <c r="O1389" s="582">
        <v>12.302199999999999</v>
      </c>
      <c r="P1389" s="582">
        <v>99.131699999999995</v>
      </c>
      <c r="Q1389" s="582">
        <f t="shared" si="150"/>
        <v>10.136160880798016</v>
      </c>
      <c r="R1389" s="582">
        <f t="shared" si="151"/>
        <v>1.1552391192019837</v>
      </c>
      <c r="S1389" s="582">
        <f t="shared" si="155"/>
        <v>2.3937391192019835</v>
      </c>
      <c r="T1389" s="582">
        <f t="shared" si="152"/>
        <v>2.6783391192019836</v>
      </c>
      <c r="U1389" s="582">
        <f t="shared" si="153"/>
        <v>2.436039119201983</v>
      </c>
    </row>
    <row r="1390" spans="10:21">
      <c r="J1390" s="580">
        <v>41630</v>
      </c>
      <c r="K1390" s="581">
        <v>0.98263888888888884</v>
      </c>
      <c r="L1390" s="582">
        <v>11.453799999999999</v>
      </c>
      <c r="M1390" s="582">
        <v>11.839700000000001</v>
      </c>
      <c r="N1390" s="582">
        <v>12.593999999999999</v>
      </c>
      <c r="O1390" s="582">
        <v>12.2363</v>
      </c>
      <c r="P1390" s="582">
        <v>99.157399999999996</v>
      </c>
      <c r="Q1390" s="582">
        <f t="shared" si="150"/>
        <v>10.138788691424047</v>
      </c>
      <c r="R1390" s="582">
        <f t="shared" si="151"/>
        <v>1.1300113085759524</v>
      </c>
      <c r="S1390" s="582">
        <f t="shared" si="155"/>
        <v>2.3509113085759541</v>
      </c>
      <c r="T1390" s="582">
        <f t="shared" si="152"/>
        <v>2.645211308575953</v>
      </c>
      <c r="U1390" s="582">
        <f t="shared" si="153"/>
        <v>2.3675113085759532</v>
      </c>
    </row>
    <row r="1391" spans="10:21">
      <c r="J1391" s="580">
        <v>41631</v>
      </c>
      <c r="K1391" s="581">
        <v>0.98263888888888884</v>
      </c>
      <c r="L1391" s="582">
        <v>11.4315</v>
      </c>
      <c r="M1391" s="582">
        <v>11.805199999999999</v>
      </c>
      <c r="N1391" s="582">
        <v>12.5671</v>
      </c>
      <c r="O1391" s="582">
        <v>12.1875</v>
      </c>
      <c r="P1391" s="582">
        <v>99.206000000000003</v>
      </c>
      <c r="Q1391" s="582">
        <f t="shared" si="150"/>
        <v>10.143758014242145</v>
      </c>
      <c r="R1391" s="582">
        <f t="shared" si="151"/>
        <v>1.1027419857578544</v>
      </c>
      <c r="S1391" s="582">
        <f t="shared" si="155"/>
        <v>2.3114419857578543</v>
      </c>
      <c r="T1391" s="582">
        <f t="shared" si="152"/>
        <v>2.613341985757855</v>
      </c>
      <c r="U1391" s="582">
        <f t="shared" si="153"/>
        <v>2.3137419857578547</v>
      </c>
    </row>
    <row r="1392" spans="10:21">
      <c r="J1392" s="580">
        <v>41632</v>
      </c>
      <c r="K1392" s="581">
        <v>0.98263888888888884</v>
      </c>
      <c r="L1392" s="582">
        <v>11.414400000000001</v>
      </c>
      <c r="M1392" s="582">
        <v>11.7781</v>
      </c>
      <c r="N1392" s="582">
        <v>12.539199999999999</v>
      </c>
      <c r="O1392" s="582">
        <v>12.1477</v>
      </c>
      <c r="P1392" s="582">
        <v>99.270099999999999</v>
      </c>
      <c r="Q1392" s="582">
        <f t="shared" si="150"/>
        <v>10.150312203391117</v>
      </c>
      <c r="R1392" s="582">
        <f t="shared" si="151"/>
        <v>1.0790877966088837</v>
      </c>
      <c r="S1392" s="582">
        <f t="shared" si="155"/>
        <v>2.2777877966088838</v>
      </c>
      <c r="T1392" s="582">
        <f t="shared" si="152"/>
        <v>2.5788877966088828</v>
      </c>
      <c r="U1392" s="582">
        <f t="shared" si="153"/>
        <v>2.2673877966088836</v>
      </c>
    </row>
    <row r="1393" spans="10:21">
      <c r="J1393" s="580">
        <v>41633</v>
      </c>
      <c r="K1393" s="581">
        <v>0.98263888888888884</v>
      </c>
      <c r="L1393" s="582">
        <v>11.3904</v>
      </c>
      <c r="M1393" s="582">
        <v>11.745900000000001</v>
      </c>
      <c r="N1393" s="582">
        <v>12.509600000000001</v>
      </c>
      <c r="O1393" s="582">
        <v>12.119300000000001</v>
      </c>
      <c r="P1393" s="582">
        <v>99.301100000000005</v>
      </c>
      <c r="Q1393" s="582">
        <f t="shared" si="150"/>
        <v>10.153481936052867</v>
      </c>
      <c r="R1393" s="582">
        <f t="shared" si="151"/>
        <v>1.0519180639471331</v>
      </c>
      <c r="S1393" s="582">
        <f t="shared" si="155"/>
        <v>2.2424180639471345</v>
      </c>
      <c r="T1393" s="582">
        <f t="shared" si="152"/>
        <v>2.5461180639471346</v>
      </c>
      <c r="U1393" s="582">
        <f t="shared" si="153"/>
        <v>2.2358180639471343</v>
      </c>
    </row>
    <row r="1394" spans="10:21">
      <c r="J1394" s="580">
        <v>41634</v>
      </c>
      <c r="K1394" s="581">
        <v>0.98263888888888884</v>
      </c>
      <c r="L1394" s="582">
        <v>11.346500000000001</v>
      </c>
      <c r="M1394" s="582">
        <v>11.6958</v>
      </c>
      <c r="N1394" s="582">
        <v>12.4581</v>
      </c>
      <c r="O1394" s="582">
        <v>12.0854</v>
      </c>
      <c r="P1394" s="582">
        <v>99.168599999999998</v>
      </c>
      <c r="Q1394" s="582">
        <f t="shared" si="150"/>
        <v>10.139933885159905</v>
      </c>
      <c r="R1394" s="582">
        <f t="shared" si="151"/>
        <v>1.0215661148400952</v>
      </c>
      <c r="S1394" s="582">
        <f t="shared" si="155"/>
        <v>2.2058661148400951</v>
      </c>
      <c r="T1394" s="582">
        <f t="shared" si="152"/>
        <v>2.5081661148400949</v>
      </c>
      <c r="U1394" s="582">
        <f t="shared" si="153"/>
        <v>2.2154661148400945</v>
      </c>
    </row>
    <row r="1395" spans="10:21">
      <c r="J1395" s="580">
        <v>41635</v>
      </c>
      <c r="K1395" s="581">
        <v>0.98263888888888884</v>
      </c>
      <c r="L1395" s="582">
        <v>11.3162</v>
      </c>
      <c r="M1395" s="582">
        <v>11.658799999999999</v>
      </c>
      <c r="N1395" s="582">
        <v>12.418200000000001</v>
      </c>
      <c r="O1395" s="582">
        <v>12.0662</v>
      </c>
      <c r="P1395" s="582">
        <v>99.159000000000006</v>
      </c>
      <c r="Q1395" s="582">
        <f t="shared" si="150"/>
        <v>10.13895229052917</v>
      </c>
      <c r="R1395" s="582">
        <f t="shared" si="151"/>
        <v>0.99224770947083007</v>
      </c>
      <c r="S1395" s="582">
        <f t="shared" si="155"/>
        <v>2.1698477094708295</v>
      </c>
      <c r="T1395" s="582">
        <f t="shared" si="152"/>
        <v>2.4692477094708307</v>
      </c>
      <c r="U1395" s="582">
        <f t="shared" si="153"/>
        <v>2.19724770947083</v>
      </c>
    </row>
    <row r="1396" spans="10:21">
      <c r="J1396" s="580">
        <v>41636</v>
      </c>
      <c r="K1396" s="581">
        <v>0.98263888888888884</v>
      </c>
      <c r="L1396" s="582">
        <v>11.286</v>
      </c>
      <c r="M1396" s="582">
        <v>11.613200000000001</v>
      </c>
      <c r="N1396" s="582">
        <v>12.3757</v>
      </c>
      <c r="O1396" s="582">
        <v>12.043900000000001</v>
      </c>
      <c r="P1396" s="582">
        <v>99.112099999999998</v>
      </c>
      <c r="Q1396" s="582">
        <f t="shared" si="150"/>
        <v>10.134156791760265</v>
      </c>
      <c r="R1396" s="582">
        <f t="shared" si="151"/>
        <v>0.96684320823973435</v>
      </c>
      <c r="S1396" s="582">
        <f t="shared" si="155"/>
        <v>2.1290432082397359</v>
      </c>
      <c r="T1396" s="582">
        <f t="shared" si="152"/>
        <v>2.4315432082397352</v>
      </c>
      <c r="U1396" s="582">
        <f t="shared" si="153"/>
        <v>2.1797432082397354</v>
      </c>
    </row>
    <row r="1397" spans="10:21">
      <c r="J1397" s="580">
        <v>41637</v>
      </c>
      <c r="K1397" s="581">
        <v>0.98263888888888884</v>
      </c>
      <c r="L1397" s="582">
        <v>11.2666</v>
      </c>
      <c r="M1397" s="582">
        <v>11.573600000000001</v>
      </c>
      <c r="N1397" s="582">
        <v>12.3384</v>
      </c>
      <c r="O1397" s="582">
        <v>12.0099</v>
      </c>
      <c r="P1397" s="582">
        <v>99.113100000000003</v>
      </c>
      <c r="Q1397" s="582">
        <f t="shared" ref="Q1397:Q1460" si="156">P1397/($G$8*$H$8)</f>
        <v>10.134259041200966</v>
      </c>
      <c r="R1397" s="582">
        <f t="shared" ref="R1397:R1460" si="157">IF((L1397-Q1397-$D$8+$E$8)&lt;0,0,(L1397-Q1397-$D$8+$E$8))</f>
        <v>0.94734095879903413</v>
      </c>
      <c r="S1397" s="582">
        <f t="shared" si="155"/>
        <v>2.0893409587990348</v>
      </c>
      <c r="T1397" s="582">
        <f t="shared" ref="T1397:T1460" si="158">N1397-Q1397-$D$10+$E$10</f>
        <v>2.3941409587990341</v>
      </c>
      <c r="U1397" s="582">
        <f t="shared" ref="U1397:U1460" si="159">O1397-Q1397-$D$11+$E$11</f>
        <v>2.1456409587990337</v>
      </c>
    </row>
    <row r="1398" spans="10:21">
      <c r="J1398" s="580">
        <v>41638</v>
      </c>
      <c r="K1398" s="581">
        <v>0.98263888888888884</v>
      </c>
      <c r="L1398" s="582">
        <v>11.249599999999999</v>
      </c>
      <c r="M1398" s="582">
        <v>11.536300000000001</v>
      </c>
      <c r="N1398" s="582">
        <v>12.298</v>
      </c>
      <c r="O1398" s="582">
        <v>11.9739</v>
      </c>
      <c r="P1398" s="582">
        <v>99.140900000000002</v>
      </c>
      <c r="Q1398" s="582">
        <f t="shared" si="156"/>
        <v>10.137101575652471</v>
      </c>
      <c r="R1398" s="582">
        <f t="shared" si="157"/>
        <v>0.92749842434752827</v>
      </c>
      <c r="S1398" s="582">
        <f t="shared" si="155"/>
        <v>2.0491984243475301</v>
      </c>
      <c r="T1398" s="582">
        <f t="shared" si="158"/>
        <v>2.3508984243475295</v>
      </c>
      <c r="U1398" s="582">
        <f t="shared" si="159"/>
        <v>2.1067984243475295</v>
      </c>
    </row>
    <row r="1399" spans="10:21">
      <c r="J1399" s="580">
        <v>41639</v>
      </c>
      <c r="K1399" s="581">
        <v>0.98263888888888884</v>
      </c>
      <c r="L1399" s="582">
        <v>11.223100000000001</v>
      </c>
      <c r="M1399" s="582">
        <v>11.486499999999999</v>
      </c>
      <c r="N1399" s="582">
        <v>12.2439</v>
      </c>
      <c r="O1399" s="582">
        <v>11.930899999999999</v>
      </c>
      <c r="P1399" s="582">
        <v>99.081599999999995</v>
      </c>
      <c r="Q1399" s="582">
        <f t="shared" si="156"/>
        <v>10.131038183818866</v>
      </c>
      <c r="R1399" s="582">
        <f t="shared" si="157"/>
        <v>0.90706181618113446</v>
      </c>
      <c r="S1399" s="582">
        <f t="shared" si="155"/>
        <v>2.0054618161811337</v>
      </c>
      <c r="T1399" s="582">
        <f t="shared" si="158"/>
        <v>2.3028618161811343</v>
      </c>
      <c r="U1399" s="582">
        <f t="shared" si="159"/>
        <v>2.0698618161811333</v>
      </c>
    </row>
    <row r="1400" spans="10:21">
      <c r="J1400" s="580">
        <v>41640</v>
      </c>
      <c r="K1400" s="581">
        <v>0.98263888888888884</v>
      </c>
      <c r="L1400" s="582">
        <v>11.2042</v>
      </c>
      <c r="M1400" s="582">
        <v>11.4648</v>
      </c>
      <c r="N1400" s="582">
        <v>12.2121</v>
      </c>
      <c r="O1400" s="582">
        <v>11.898099999999999</v>
      </c>
      <c r="P1400" s="582">
        <v>99.098799999999997</v>
      </c>
      <c r="Q1400" s="582">
        <f t="shared" si="156"/>
        <v>10.132796874198933</v>
      </c>
      <c r="R1400" s="582">
        <f t="shared" si="157"/>
        <v>0.8864031258010675</v>
      </c>
      <c r="S1400" s="582">
        <f t="shared" si="155"/>
        <v>1.9820031258010677</v>
      </c>
      <c r="T1400" s="582">
        <f t="shared" si="158"/>
        <v>2.2693031258010672</v>
      </c>
      <c r="U1400" s="582">
        <f t="shared" si="159"/>
        <v>2.0353031258010668</v>
      </c>
    </row>
    <row r="1401" spans="10:21">
      <c r="J1401" s="580">
        <v>41641</v>
      </c>
      <c r="K1401" s="581">
        <v>0.98263888888888884</v>
      </c>
      <c r="L1401" s="582">
        <v>11.174200000000001</v>
      </c>
      <c r="M1401" s="582">
        <v>11.440799999999999</v>
      </c>
      <c r="N1401" s="582">
        <v>12.183299999999999</v>
      </c>
      <c r="O1401" s="582">
        <v>11.8704</v>
      </c>
      <c r="P1401" s="582">
        <v>99.0976</v>
      </c>
      <c r="Q1401" s="582">
        <f t="shared" si="156"/>
        <v>10.132674174870091</v>
      </c>
      <c r="R1401" s="582">
        <f t="shared" si="157"/>
        <v>0.85652582512990938</v>
      </c>
      <c r="S1401" s="582">
        <f t="shared" si="155"/>
        <v>1.9581258251299081</v>
      </c>
      <c r="T1401" s="582">
        <f t="shared" si="158"/>
        <v>2.240625825129908</v>
      </c>
      <c r="U1401" s="582">
        <f t="shared" si="159"/>
        <v>2.0077258251299086</v>
      </c>
    </row>
    <row r="1402" spans="10:21">
      <c r="J1402" s="580">
        <v>41642</v>
      </c>
      <c r="K1402" s="581">
        <v>0.98263888888888884</v>
      </c>
      <c r="L1402" s="582">
        <v>11.1394</v>
      </c>
      <c r="M1402" s="582">
        <v>11.412599999999999</v>
      </c>
      <c r="N1402" s="582">
        <v>12.148099999999999</v>
      </c>
      <c r="O1402" s="582">
        <v>11.839700000000001</v>
      </c>
      <c r="P1402" s="582">
        <v>99.037599999999998</v>
      </c>
      <c r="Q1402" s="582">
        <f t="shared" si="156"/>
        <v>10.126539208427996</v>
      </c>
      <c r="R1402" s="582">
        <f t="shared" si="157"/>
        <v>0.82786079157200432</v>
      </c>
      <c r="S1402" s="582">
        <f t="shared" si="155"/>
        <v>1.9360607915720036</v>
      </c>
      <c r="T1402" s="582">
        <f t="shared" si="158"/>
        <v>2.2115607915720039</v>
      </c>
      <c r="U1402" s="582">
        <f t="shared" si="159"/>
        <v>1.9831607915720046</v>
      </c>
    </row>
    <row r="1403" spans="10:21">
      <c r="J1403" s="580">
        <v>41643</v>
      </c>
      <c r="K1403" s="581">
        <v>0.98263888888888884</v>
      </c>
      <c r="L1403" s="582">
        <v>11.0946</v>
      </c>
      <c r="M1403" s="582">
        <v>11.3764</v>
      </c>
      <c r="N1403" s="582">
        <v>12.1097</v>
      </c>
      <c r="O1403" s="582">
        <v>11.809200000000001</v>
      </c>
      <c r="P1403" s="582">
        <v>98.926299999999998</v>
      </c>
      <c r="Q1403" s="582">
        <f t="shared" si="156"/>
        <v>10.115158845677909</v>
      </c>
      <c r="R1403" s="582">
        <f t="shared" si="157"/>
        <v>0.79444115432209073</v>
      </c>
      <c r="S1403" s="582">
        <f t="shared" si="155"/>
        <v>1.9112411543220913</v>
      </c>
      <c r="T1403" s="582">
        <f t="shared" si="158"/>
        <v>2.1845411543220914</v>
      </c>
      <c r="U1403" s="582">
        <f t="shared" si="159"/>
        <v>1.9640411543220915</v>
      </c>
    </row>
    <row r="1404" spans="10:21">
      <c r="J1404" s="580">
        <v>41644</v>
      </c>
      <c r="K1404" s="581">
        <v>0.98263888888888884</v>
      </c>
      <c r="L1404" s="582">
        <v>11.0471</v>
      </c>
      <c r="M1404" s="582">
        <v>11.3347</v>
      </c>
      <c r="N1404" s="582">
        <v>12.059900000000001</v>
      </c>
      <c r="O1404" s="582">
        <v>11.7714</v>
      </c>
      <c r="P1404" s="582">
        <v>98.749700000000004</v>
      </c>
      <c r="Q1404" s="582">
        <f t="shared" si="156"/>
        <v>10.097101594450008</v>
      </c>
      <c r="R1404" s="582">
        <f t="shared" si="157"/>
        <v>0.76499840554999265</v>
      </c>
      <c r="S1404" s="582">
        <f t="shared" si="155"/>
        <v>1.8875984055499921</v>
      </c>
      <c r="T1404" s="582">
        <f t="shared" si="158"/>
        <v>2.1527984055499934</v>
      </c>
      <c r="U1404" s="582">
        <f t="shared" si="159"/>
        <v>1.9442984055499921</v>
      </c>
    </row>
    <row r="1405" spans="10:21">
      <c r="J1405" s="580">
        <v>41645</v>
      </c>
      <c r="K1405" s="581">
        <v>0.98263888888888884</v>
      </c>
      <c r="L1405" s="582">
        <v>11.0321</v>
      </c>
      <c r="M1405" s="582">
        <v>11.3238</v>
      </c>
      <c r="N1405" s="582">
        <v>12.035399999999999</v>
      </c>
      <c r="O1405" s="582">
        <v>11.757999999999999</v>
      </c>
      <c r="P1405" s="582">
        <v>98.815600000000003</v>
      </c>
      <c r="Q1405" s="582">
        <f t="shared" si="156"/>
        <v>10.103839832592243</v>
      </c>
      <c r="R1405" s="582">
        <f t="shared" si="157"/>
        <v>0.7432601674077568</v>
      </c>
      <c r="S1405" s="582">
        <f t="shared" si="155"/>
        <v>1.8699601674077575</v>
      </c>
      <c r="T1405" s="582">
        <f t="shared" si="158"/>
        <v>2.1215601674077567</v>
      </c>
      <c r="U1405" s="582">
        <f t="shared" si="159"/>
        <v>1.9241601674077562</v>
      </c>
    </row>
    <row r="1406" spans="10:21">
      <c r="J1406" s="580">
        <v>41646</v>
      </c>
      <c r="K1406" s="581">
        <v>0.98263888888888884</v>
      </c>
      <c r="L1406" s="582">
        <v>11.034000000000001</v>
      </c>
      <c r="M1406" s="582">
        <v>11.116300000000001</v>
      </c>
      <c r="N1406" s="582">
        <v>12.0304</v>
      </c>
      <c r="O1406" s="582">
        <v>11.760300000000001</v>
      </c>
      <c r="P1406" s="582">
        <v>98.994</v>
      </c>
      <c r="Q1406" s="582">
        <f t="shared" si="156"/>
        <v>10.122081132813406</v>
      </c>
      <c r="R1406" s="582">
        <f t="shared" si="157"/>
        <v>0.72691886718659449</v>
      </c>
      <c r="S1406" s="582">
        <f t="shared" si="155"/>
        <v>1.6442188671865947</v>
      </c>
      <c r="T1406" s="582">
        <f t="shared" si="158"/>
        <v>2.0983188671865944</v>
      </c>
      <c r="U1406" s="582">
        <f t="shared" si="159"/>
        <v>1.9082188671865947</v>
      </c>
    </row>
    <row r="1407" spans="10:21">
      <c r="J1407" s="580">
        <v>41647</v>
      </c>
      <c r="K1407" s="581">
        <v>0.98263888888888884</v>
      </c>
      <c r="L1407" s="582">
        <v>11.0345</v>
      </c>
      <c r="M1407" s="582">
        <v>11.283899999999999</v>
      </c>
      <c r="N1407" s="582">
        <v>12.019500000000001</v>
      </c>
      <c r="O1407" s="582">
        <v>11.761699999999999</v>
      </c>
      <c r="P1407" s="582">
        <v>99.048000000000002</v>
      </c>
      <c r="Q1407" s="582">
        <f t="shared" si="156"/>
        <v>10.127602602611294</v>
      </c>
      <c r="R1407" s="582">
        <f t="shared" si="157"/>
        <v>0.72189739738870573</v>
      </c>
      <c r="S1407" s="582">
        <f t="shared" si="155"/>
        <v>1.8062973973887055</v>
      </c>
      <c r="T1407" s="582">
        <f t="shared" si="158"/>
        <v>2.0818973973887074</v>
      </c>
      <c r="U1407" s="582">
        <f t="shared" si="159"/>
        <v>1.9040973973887056</v>
      </c>
    </row>
    <row r="1408" spans="10:21">
      <c r="J1408" s="580">
        <v>41648</v>
      </c>
      <c r="K1408" s="581">
        <v>0.98263888888888884</v>
      </c>
      <c r="L1408" s="582">
        <v>11.0168</v>
      </c>
      <c r="M1408" s="582">
        <v>11.2774</v>
      </c>
      <c r="N1408" s="582">
        <v>11.9937</v>
      </c>
      <c r="O1408" s="582">
        <v>11.7447</v>
      </c>
      <c r="P1408" s="582">
        <v>99.042000000000002</v>
      </c>
      <c r="Q1408" s="582">
        <f t="shared" si="156"/>
        <v>10.126989105967084</v>
      </c>
      <c r="R1408" s="582">
        <f t="shared" si="157"/>
        <v>0.70481089403291586</v>
      </c>
      <c r="S1408" s="582">
        <f t="shared" si="155"/>
        <v>1.8004108940329162</v>
      </c>
      <c r="T1408" s="582">
        <f t="shared" si="158"/>
        <v>2.0567108940329168</v>
      </c>
      <c r="U1408" s="582">
        <f t="shared" si="159"/>
        <v>1.8877108940329159</v>
      </c>
    </row>
    <row r="1409" spans="10:21">
      <c r="J1409" s="580">
        <v>41649</v>
      </c>
      <c r="K1409" s="581">
        <v>0.98263888888888884</v>
      </c>
      <c r="L1409" s="582">
        <v>10.999000000000001</v>
      </c>
      <c r="M1409" s="582">
        <v>11.2546</v>
      </c>
      <c r="N1409" s="582">
        <v>11.9701</v>
      </c>
      <c r="O1409" s="582">
        <v>11.7317</v>
      </c>
      <c r="P1409" s="582">
        <v>99.089699999999993</v>
      </c>
      <c r="Q1409" s="582">
        <f t="shared" si="156"/>
        <v>10.131866404288548</v>
      </c>
      <c r="R1409" s="582">
        <f t="shared" si="157"/>
        <v>0.68213359571145249</v>
      </c>
      <c r="S1409" s="582">
        <f t="shared" si="155"/>
        <v>1.7727335957114521</v>
      </c>
      <c r="T1409" s="582">
        <f t="shared" si="158"/>
        <v>2.0282335957114528</v>
      </c>
      <c r="U1409" s="582">
        <f t="shared" si="159"/>
        <v>1.869833595711452</v>
      </c>
    </row>
    <row r="1410" spans="10:21">
      <c r="J1410" s="580">
        <v>41650</v>
      </c>
      <c r="K1410" s="581">
        <v>0.98263888888888884</v>
      </c>
      <c r="L1410" s="582">
        <v>10.981</v>
      </c>
      <c r="M1410" s="582">
        <v>10.653</v>
      </c>
      <c r="N1410" s="582">
        <v>11.9491</v>
      </c>
      <c r="O1410" s="582">
        <v>11.7227</v>
      </c>
      <c r="P1410" s="582">
        <v>99.152600000000007</v>
      </c>
      <c r="Q1410" s="582">
        <f t="shared" si="156"/>
        <v>10.13829789410868</v>
      </c>
      <c r="R1410" s="582">
        <f t="shared" si="157"/>
        <v>0.65770210589131972</v>
      </c>
      <c r="S1410" s="582">
        <f t="shared" si="155"/>
        <v>1.1647021058913205</v>
      </c>
      <c r="T1410" s="582">
        <f t="shared" si="158"/>
        <v>2.0008021058913199</v>
      </c>
      <c r="U1410" s="582">
        <f t="shared" si="159"/>
        <v>1.8544021058913196</v>
      </c>
    </row>
    <row r="1411" spans="10:21">
      <c r="J1411" s="580">
        <v>41651</v>
      </c>
      <c r="K1411" s="581">
        <v>0.98263888888888884</v>
      </c>
      <c r="L1411" s="582">
        <v>10.9383</v>
      </c>
      <c r="M1411" s="582">
        <v>10.6083</v>
      </c>
      <c r="N1411" s="582">
        <v>11.9221</v>
      </c>
      <c r="O1411" s="582">
        <v>11.7072</v>
      </c>
      <c r="P1411" s="582">
        <v>99.165899999999993</v>
      </c>
      <c r="Q1411" s="582">
        <f t="shared" si="156"/>
        <v>10.139657811670009</v>
      </c>
      <c r="R1411" s="582">
        <f t="shared" si="157"/>
        <v>0.61364218832999073</v>
      </c>
      <c r="S1411" s="582">
        <f t="shared" si="155"/>
        <v>1.1186421883299908</v>
      </c>
      <c r="T1411" s="582">
        <f t="shared" si="158"/>
        <v>1.9724421883299914</v>
      </c>
      <c r="U1411" s="582">
        <f t="shared" si="159"/>
        <v>1.8375421883299912</v>
      </c>
    </row>
    <row r="1412" spans="10:21">
      <c r="J1412" s="580">
        <v>41652</v>
      </c>
      <c r="K1412" s="581">
        <v>0.98263888888888884</v>
      </c>
      <c r="L1412" s="582">
        <v>10.8613</v>
      </c>
      <c r="M1412" s="582">
        <v>10.578200000000001</v>
      </c>
      <c r="N1412" s="582">
        <v>11.8933</v>
      </c>
      <c r="O1412" s="582">
        <v>11.686299999999999</v>
      </c>
      <c r="P1412" s="582">
        <v>99.153499999999994</v>
      </c>
      <c r="Q1412" s="582">
        <f t="shared" si="156"/>
        <v>10.138389918605311</v>
      </c>
      <c r="R1412" s="582">
        <f t="shared" si="157"/>
        <v>0.53791008139468888</v>
      </c>
      <c r="S1412" s="582">
        <f t="shared" si="155"/>
        <v>1.0898100813946898</v>
      </c>
      <c r="T1412" s="582">
        <f t="shared" si="158"/>
        <v>1.9449100813946891</v>
      </c>
      <c r="U1412" s="582">
        <f t="shared" si="159"/>
        <v>1.8179100813946882</v>
      </c>
    </row>
    <row r="1413" spans="10:21">
      <c r="J1413" s="580">
        <v>41653</v>
      </c>
      <c r="K1413" s="581">
        <v>0.98263888888888884</v>
      </c>
      <c r="L1413" s="582">
        <v>10.7759</v>
      </c>
      <c r="M1413" s="582">
        <v>10.577500000000001</v>
      </c>
      <c r="N1413" s="582">
        <v>11.8653</v>
      </c>
      <c r="O1413" s="582">
        <v>11.6663</v>
      </c>
      <c r="P1413" s="582">
        <v>99.122100000000003</v>
      </c>
      <c r="Q1413" s="582">
        <f t="shared" si="156"/>
        <v>10.135179286167281</v>
      </c>
      <c r="R1413" s="582">
        <f t="shared" si="157"/>
        <v>0.45572071383271912</v>
      </c>
      <c r="S1413" s="582">
        <f t="shared" si="155"/>
        <v>1.0923207138327198</v>
      </c>
      <c r="T1413" s="582">
        <f t="shared" si="158"/>
        <v>1.9201207138327188</v>
      </c>
      <c r="U1413" s="582">
        <f t="shared" si="159"/>
        <v>1.8011207138327188</v>
      </c>
    </row>
    <row r="1414" spans="10:21">
      <c r="J1414" s="580">
        <v>41654</v>
      </c>
      <c r="K1414" s="581">
        <v>0.98263888888888884</v>
      </c>
      <c r="L1414" s="582">
        <v>10.7347</v>
      </c>
      <c r="M1414" s="582">
        <v>10.589</v>
      </c>
      <c r="N1414" s="582">
        <v>11.844200000000001</v>
      </c>
      <c r="O1414" s="582">
        <v>11.654500000000001</v>
      </c>
      <c r="P1414" s="582">
        <v>99.192899999999995</v>
      </c>
      <c r="Q1414" s="582">
        <f t="shared" si="156"/>
        <v>10.142418546568953</v>
      </c>
      <c r="R1414" s="582">
        <f t="shared" si="157"/>
        <v>0.40728145343104721</v>
      </c>
      <c r="S1414" s="582">
        <f t="shared" si="155"/>
        <v>1.0965814534310476</v>
      </c>
      <c r="T1414" s="582">
        <f t="shared" si="158"/>
        <v>1.891781453431048</v>
      </c>
      <c r="U1414" s="582">
        <f t="shared" si="159"/>
        <v>1.7820814534310476</v>
      </c>
    </row>
    <row r="1415" spans="10:21">
      <c r="J1415" s="580">
        <v>41655</v>
      </c>
      <c r="K1415" s="581">
        <v>0.98263888888888884</v>
      </c>
      <c r="L1415" s="582">
        <v>10.639099999999999</v>
      </c>
      <c r="M1415" s="582">
        <v>10.590999999999999</v>
      </c>
      <c r="N1415" s="582">
        <v>11.82</v>
      </c>
      <c r="O1415" s="582">
        <v>11.6386</v>
      </c>
      <c r="P1415" s="582">
        <v>99.218599999999995</v>
      </c>
      <c r="Q1415" s="582">
        <f t="shared" si="156"/>
        <v>10.145046357194984</v>
      </c>
      <c r="R1415" s="582">
        <f t="shared" si="157"/>
        <v>0.30905364280501552</v>
      </c>
      <c r="S1415" s="582">
        <f t="shared" si="155"/>
        <v>1.0959536428050158</v>
      </c>
      <c r="T1415" s="582">
        <f t="shared" si="158"/>
        <v>1.8649536428050169</v>
      </c>
      <c r="U1415" s="582">
        <f t="shared" si="159"/>
        <v>1.7635536428050167</v>
      </c>
    </row>
    <row r="1416" spans="10:21">
      <c r="J1416" s="580">
        <v>41656</v>
      </c>
      <c r="K1416" s="581">
        <v>0.98263888888888884</v>
      </c>
      <c r="L1416" s="582">
        <v>10.5342</v>
      </c>
      <c r="M1416" s="582">
        <v>10.5777</v>
      </c>
      <c r="N1416" s="582">
        <v>11.7904</v>
      </c>
      <c r="O1416" s="582">
        <v>11.6114</v>
      </c>
      <c r="P1416" s="582">
        <v>99.137699999999995</v>
      </c>
      <c r="Q1416" s="582">
        <f t="shared" si="156"/>
        <v>10.136774377442226</v>
      </c>
      <c r="R1416" s="582">
        <f t="shared" si="157"/>
        <v>0.21242562255777436</v>
      </c>
      <c r="S1416" s="582">
        <f t="shared" si="155"/>
        <v>1.0909256225577744</v>
      </c>
      <c r="T1416" s="582">
        <f t="shared" si="158"/>
        <v>1.8436256225577743</v>
      </c>
      <c r="U1416" s="582">
        <f t="shared" si="159"/>
        <v>1.7446256225577739</v>
      </c>
    </row>
    <row r="1417" spans="10:21">
      <c r="J1417" s="580">
        <v>41657</v>
      </c>
      <c r="K1417" s="581">
        <v>0.98263888888888884</v>
      </c>
      <c r="L1417" s="582">
        <v>10.550800000000001</v>
      </c>
      <c r="M1417" s="582">
        <v>10.5975</v>
      </c>
      <c r="N1417" s="582">
        <v>11.785399999999999</v>
      </c>
      <c r="O1417" s="582">
        <v>11.6097</v>
      </c>
      <c r="P1417" s="582">
        <v>99.319100000000006</v>
      </c>
      <c r="Q1417" s="582">
        <f t="shared" si="156"/>
        <v>10.155322425985496</v>
      </c>
      <c r="R1417" s="582">
        <f t="shared" si="157"/>
        <v>0.2104775740145049</v>
      </c>
      <c r="S1417" s="582">
        <f t="shared" si="155"/>
        <v>1.0921775740145045</v>
      </c>
      <c r="T1417" s="582">
        <f t="shared" si="158"/>
        <v>1.8200775740145037</v>
      </c>
      <c r="U1417" s="582">
        <f t="shared" si="159"/>
        <v>1.7243775740145044</v>
      </c>
    </row>
    <row r="1418" spans="10:21">
      <c r="J1418" s="580">
        <v>41658</v>
      </c>
      <c r="K1418" s="581">
        <v>0.98263888888888884</v>
      </c>
      <c r="L1418" s="582">
        <v>10.548299999999999</v>
      </c>
      <c r="M1418" s="582">
        <v>10.5929</v>
      </c>
      <c r="N1418" s="582">
        <v>11.765000000000001</v>
      </c>
      <c r="O1418" s="582">
        <v>11.592000000000001</v>
      </c>
      <c r="P1418" s="582">
        <v>99.34</v>
      </c>
      <c r="Q1418" s="582">
        <f t="shared" si="156"/>
        <v>10.157459439296158</v>
      </c>
      <c r="R1418" s="582">
        <f t="shared" si="157"/>
        <v>0.20584056070384144</v>
      </c>
      <c r="S1418" s="582">
        <f t="shared" si="155"/>
        <v>1.0854405607038424</v>
      </c>
      <c r="T1418" s="582">
        <f t="shared" si="158"/>
        <v>1.7975405607038428</v>
      </c>
      <c r="U1418" s="582">
        <f t="shared" si="159"/>
        <v>1.7045405607038426</v>
      </c>
    </row>
    <row r="1419" spans="10:21">
      <c r="J1419" s="580">
        <v>41659</v>
      </c>
      <c r="K1419" s="581">
        <v>0.98263888888888884</v>
      </c>
      <c r="L1419" s="582">
        <v>10.185</v>
      </c>
      <c r="M1419" s="582">
        <v>10.194900000000001</v>
      </c>
      <c r="N1419" s="582">
        <v>11.744</v>
      </c>
      <c r="O1419" s="582">
        <v>11.573499999999999</v>
      </c>
      <c r="P1419" s="582">
        <v>99.362499999999997</v>
      </c>
      <c r="Q1419" s="582">
        <f t="shared" si="156"/>
        <v>10.159760051711944</v>
      </c>
      <c r="R1419" s="582">
        <f t="shared" si="157"/>
        <v>0</v>
      </c>
      <c r="S1419" s="582">
        <f t="shared" si="155"/>
        <v>0.68513994828805713</v>
      </c>
      <c r="T1419" s="582">
        <f t="shared" si="158"/>
        <v>1.7742399482880564</v>
      </c>
      <c r="U1419" s="582">
        <f t="shared" si="159"/>
        <v>1.6837399482880557</v>
      </c>
    </row>
    <row r="1420" spans="10:21">
      <c r="J1420" s="580">
        <v>41660</v>
      </c>
      <c r="K1420" s="581">
        <v>0.98263888888888884</v>
      </c>
      <c r="L1420" s="582">
        <v>10.1808</v>
      </c>
      <c r="M1420" s="582">
        <v>10.1776</v>
      </c>
      <c r="N1420" s="582">
        <v>11.7027</v>
      </c>
      <c r="O1420" s="582">
        <v>11.534000000000001</v>
      </c>
      <c r="P1420" s="582">
        <v>99.182500000000005</v>
      </c>
      <c r="Q1420" s="582">
        <f t="shared" si="156"/>
        <v>10.141355152385657</v>
      </c>
      <c r="R1420" s="582">
        <f t="shared" si="157"/>
        <v>0</v>
      </c>
      <c r="S1420" s="582">
        <f t="shared" si="155"/>
        <v>0.68624484761434323</v>
      </c>
      <c r="T1420" s="582">
        <f t="shared" si="158"/>
        <v>1.7513448476143434</v>
      </c>
      <c r="U1420" s="582">
        <f t="shared" si="159"/>
        <v>1.6626448476143438</v>
      </c>
    </row>
    <row r="1421" spans="10:21">
      <c r="J1421" s="580">
        <v>41661</v>
      </c>
      <c r="K1421" s="581">
        <v>0.98263888888888884</v>
      </c>
      <c r="L1421" s="582">
        <v>10.1896</v>
      </c>
      <c r="M1421" s="582">
        <v>10.177</v>
      </c>
      <c r="N1421" s="582">
        <v>11.6851</v>
      </c>
      <c r="O1421" s="582">
        <v>11.517200000000001</v>
      </c>
      <c r="P1421" s="582">
        <v>99.238799999999998</v>
      </c>
      <c r="Q1421" s="582">
        <f t="shared" si="156"/>
        <v>10.147111795897157</v>
      </c>
      <c r="R1421" s="582">
        <f t="shared" si="157"/>
        <v>0</v>
      </c>
      <c r="S1421" s="582">
        <f t="shared" si="155"/>
        <v>0.6798882041028429</v>
      </c>
      <c r="T1421" s="582">
        <f t="shared" si="158"/>
        <v>1.7279882041028436</v>
      </c>
      <c r="U1421" s="582">
        <f t="shared" si="159"/>
        <v>1.6400882041028439</v>
      </c>
    </row>
    <row r="1422" spans="10:21">
      <c r="J1422" s="580">
        <v>41662</v>
      </c>
      <c r="K1422" s="581">
        <v>0.98263888888888884</v>
      </c>
      <c r="L1422" s="582">
        <v>10.1875</v>
      </c>
      <c r="M1422" s="582">
        <v>10.1747</v>
      </c>
      <c r="N1422" s="582">
        <v>11.6632</v>
      </c>
      <c r="O1422" s="582">
        <v>11.4945</v>
      </c>
      <c r="P1422" s="582">
        <v>99.234899999999996</v>
      </c>
      <c r="Q1422" s="582">
        <f t="shared" si="156"/>
        <v>10.146713023078419</v>
      </c>
      <c r="R1422" s="582">
        <f t="shared" si="157"/>
        <v>0</v>
      </c>
      <c r="S1422" s="582">
        <f t="shared" si="155"/>
        <v>0.6779869769215805</v>
      </c>
      <c r="T1422" s="582">
        <f t="shared" si="158"/>
        <v>1.7064869769215807</v>
      </c>
      <c r="U1422" s="582">
        <f t="shared" si="159"/>
        <v>1.6177869769215811</v>
      </c>
    </row>
    <row r="1423" spans="10:21">
      <c r="J1423" s="580">
        <v>41663</v>
      </c>
      <c r="K1423" s="581">
        <v>0.98263888888888884</v>
      </c>
      <c r="L1423" s="582">
        <v>10.173500000000001</v>
      </c>
      <c r="M1423" s="582">
        <v>10.1599</v>
      </c>
      <c r="N1423" s="582">
        <v>11.6242</v>
      </c>
      <c r="O1423" s="582">
        <v>11.4552</v>
      </c>
      <c r="P1423" s="582">
        <v>99.068299999999994</v>
      </c>
      <c r="Q1423" s="582">
        <f t="shared" si="156"/>
        <v>10.129678266257535</v>
      </c>
      <c r="R1423" s="582">
        <f t="shared" si="157"/>
        <v>0</v>
      </c>
      <c r="S1423" s="582">
        <f t="shared" si="155"/>
        <v>0.6802217337424652</v>
      </c>
      <c r="T1423" s="582">
        <f t="shared" si="158"/>
        <v>1.6845217337424649</v>
      </c>
      <c r="U1423" s="582">
        <f t="shared" si="159"/>
        <v>1.5955217337424643</v>
      </c>
    </row>
    <row r="1424" spans="10:21">
      <c r="J1424" s="580">
        <v>41664</v>
      </c>
      <c r="K1424" s="581">
        <v>0.98263888888888884</v>
      </c>
      <c r="L1424" s="582">
        <v>10.1713</v>
      </c>
      <c r="M1424" s="582">
        <v>10.1571</v>
      </c>
      <c r="N1424" s="582">
        <v>11.600300000000001</v>
      </c>
      <c r="O1424" s="582">
        <v>11.428699999999999</v>
      </c>
      <c r="P1424" s="582">
        <v>99.033900000000003</v>
      </c>
      <c r="Q1424" s="582">
        <f t="shared" si="156"/>
        <v>10.1261608854974</v>
      </c>
      <c r="R1424" s="582">
        <f t="shared" si="157"/>
        <v>0</v>
      </c>
      <c r="S1424" s="582">
        <f t="shared" si="155"/>
        <v>0.68093911450259959</v>
      </c>
      <c r="T1424" s="582">
        <f t="shared" si="158"/>
        <v>1.6641391145026005</v>
      </c>
      <c r="U1424" s="582">
        <f t="shared" si="159"/>
        <v>1.5725391145025989</v>
      </c>
    </row>
    <row r="1425" spans="10:21">
      <c r="J1425" s="580">
        <v>41665</v>
      </c>
      <c r="K1425" s="581">
        <v>0.98263888888888884</v>
      </c>
      <c r="L1425" s="582">
        <v>10.1738</v>
      </c>
      <c r="M1425" s="582">
        <v>10.159700000000001</v>
      </c>
      <c r="N1425" s="582">
        <v>11.5815</v>
      </c>
      <c r="O1425" s="582">
        <v>11.4093</v>
      </c>
      <c r="P1425" s="582">
        <v>99.072699999999998</v>
      </c>
      <c r="Q1425" s="582">
        <f t="shared" si="156"/>
        <v>10.130128163796622</v>
      </c>
      <c r="R1425" s="582">
        <f t="shared" si="157"/>
        <v>0</v>
      </c>
      <c r="S1425" s="582">
        <f t="shared" si="155"/>
        <v>0.67957183620337935</v>
      </c>
      <c r="T1425" s="582">
        <f t="shared" si="158"/>
        <v>1.6413718362033787</v>
      </c>
      <c r="U1425" s="582">
        <f t="shared" si="159"/>
        <v>1.5491718362033784</v>
      </c>
    </row>
    <row r="1426" spans="10:21">
      <c r="J1426" s="580">
        <v>41666</v>
      </c>
      <c r="K1426" s="581">
        <v>0.98263888888888884</v>
      </c>
      <c r="L1426" s="582">
        <v>10.1717</v>
      </c>
      <c r="M1426" s="582">
        <v>10.1595</v>
      </c>
      <c r="N1426" s="582">
        <v>11.559699999999999</v>
      </c>
      <c r="O1426" s="582">
        <v>11.3863</v>
      </c>
      <c r="P1426" s="582">
        <v>99.071700000000007</v>
      </c>
      <c r="Q1426" s="582">
        <f t="shared" si="156"/>
        <v>10.130025914355921</v>
      </c>
      <c r="R1426" s="582">
        <f t="shared" si="157"/>
        <v>0</v>
      </c>
      <c r="S1426" s="582">
        <f t="shared" si="155"/>
        <v>0.67947408564407907</v>
      </c>
      <c r="T1426" s="582">
        <f t="shared" si="158"/>
        <v>1.619674085644079</v>
      </c>
      <c r="U1426" s="582">
        <f t="shared" si="159"/>
        <v>1.5262740856440797</v>
      </c>
    </row>
    <row r="1427" spans="10:21">
      <c r="J1427" s="580">
        <v>41667</v>
      </c>
      <c r="K1427" s="581">
        <v>0.98263888888888884</v>
      </c>
      <c r="L1427" s="582">
        <v>10.1752</v>
      </c>
      <c r="M1427" s="582">
        <v>10.162699999999999</v>
      </c>
      <c r="N1427" s="582">
        <v>11.5381</v>
      </c>
      <c r="O1427" s="582">
        <v>11.362399999999999</v>
      </c>
      <c r="P1427" s="582">
        <v>99.069599999999994</v>
      </c>
      <c r="Q1427" s="582">
        <f t="shared" si="156"/>
        <v>10.129811190530447</v>
      </c>
      <c r="R1427" s="582">
        <f t="shared" si="157"/>
        <v>0</v>
      </c>
      <c r="S1427" s="582">
        <f t="shared" si="155"/>
        <v>0.68288880946955266</v>
      </c>
      <c r="T1427" s="582">
        <f t="shared" si="158"/>
        <v>1.5982888094695535</v>
      </c>
      <c r="U1427" s="582">
        <f t="shared" si="159"/>
        <v>1.5025888094695525</v>
      </c>
    </row>
    <row r="1428" spans="10:21">
      <c r="J1428" s="580">
        <v>41668</v>
      </c>
      <c r="K1428" s="581">
        <v>0.98263888888888884</v>
      </c>
      <c r="L1428" s="582">
        <v>10.1807</v>
      </c>
      <c r="M1428" s="582">
        <v>10.1685</v>
      </c>
      <c r="N1428" s="582">
        <v>11.527100000000001</v>
      </c>
      <c r="O1428" s="582">
        <v>11.3476</v>
      </c>
      <c r="P1428" s="582">
        <v>99.169600000000003</v>
      </c>
      <c r="Q1428" s="582">
        <f t="shared" si="156"/>
        <v>10.140036134600606</v>
      </c>
      <c r="R1428" s="582">
        <f t="shared" si="157"/>
        <v>0</v>
      </c>
      <c r="S1428" s="582">
        <f t="shared" si="155"/>
        <v>0.67846386539939352</v>
      </c>
      <c r="T1428" s="582">
        <f t="shared" si="158"/>
        <v>1.5770638653993945</v>
      </c>
      <c r="U1428" s="582">
        <f t="shared" si="159"/>
        <v>1.4775638653993934</v>
      </c>
    </row>
    <row r="1429" spans="10:21">
      <c r="J1429" s="580">
        <v>41669</v>
      </c>
      <c r="K1429" s="581">
        <v>0.98263888888888884</v>
      </c>
      <c r="L1429" s="582">
        <v>10.1814</v>
      </c>
      <c r="M1429" s="582">
        <v>10.168100000000001</v>
      </c>
      <c r="N1429" s="582">
        <v>11.5037</v>
      </c>
      <c r="O1429" s="582">
        <v>11.3201</v>
      </c>
      <c r="P1429" s="582">
        <v>99.142300000000006</v>
      </c>
      <c r="Q1429" s="582">
        <f t="shared" si="156"/>
        <v>10.137244724869454</v>
      </c>
      <c r="R1429" s="582">
        <f t="shared" si="157"/>
        <v>0</v>
      </c>
      <c r="S1429" s="582">
        <f t="shared" si="155"/>
        <v>0.68085527513054678</v>
      </c>
      <c r="T1429" s="582">
        <f t="shared" si="158"/>
        <v>1.5564552751305463</v>
      </c>
      <c r="U1429" s="582">
        <f t="shared" si="159"/>
        <v>1.4528552751305459</v>
      </c>
    </row>
    <row r="1430" spans="10:21">
      <c r="J1430" s="580">
        <v>41670</v>
      </c>
      <c r="K1430" s="581">
        <v>0.98263888888888884</v>
      </c>
      <c r="L1430" s="582">
        <v>10.1656</v>
      </c>
      <c r="M1430" s="582">
        <v>10.1516</v>
      </c>
      <c r="N1430" s="582">
        <v>11.4674</v>
      </c>
      <c r="O1430" s="582">
        <v>11.2799</v>
      </c>
      <c r="P1430" s="582">
        <v>98.994600000000005</v>
      </c>
      <c r="Q1430" s="582">
        <f t="shared" si="156"/>
        <v>10.122142482477829</v>
      </c>
      <c r="R1430" s="582">
        <f t="shared" si="157"/>
        <v>0</v>
      </c>
      <c r="S1430" s="582">
        <f t="shared" si="155"/>
        <v>0.67945751752217176</v>
      </c>
      <c r="T1430" s="582">
        <f t="shared" si="158"/>
        <v>1.535257517522171</v>
      </c>
      <c r="U1430" s="582">
        <f t="shared" si="159"/>
        <v>1.4277575175221711</v>
      </c>
    </row>
    <row r="1431" spans="10:21">
      <c r="J1431" s="580">
        <v>41671</v>
      </c>
      <c r="K1431" s="581">
        <v>0.98263888888888884</v>
      </c>
      <c r="L1431" s="582">
        <v>10.1777</v>
      </c>
      <c r="M1431" s="582">
        <v>10.1638</v>
      </c>
      <c r="N1431" s="582">
        <v>11.4595</v>
      </c>
      <c r="O1431" s="582">
        <v>11.266500000000001</v>
      </c>
      <c r="P1431" s="582">
        <v>99.109800000000007</v>
      </c>
      <c r="Q1431" s="582">
        <f t="shared" si="156"/>
        <v>10.133921618046651</v>
      </c>
      <c r="R1431" s="582">
        <f t="shared" si="157"/>
        <v>0</v>
      </c>
      <c r="S1431" s="582">
        <f t="shared" si="155"/>
        <v>0.67987838195334915</v>
      </c>
      <c r="T1431" s="582">
        <f t="shared" si="158"/>
        <v>1.515578381953349</v>
      </c>
      <c r="U1431" s="582">
        <f t="shared" si="159"/>
        <v>1.4025783819533495</v>
      </c>
    </row>
    <row r="1432" spans="10:21">
      <c r="J1432" s="580">
        <v>41672</v>
      </c>
      <c r="K1432" s="581">
        <v>0.98263888888888884</v>
      </c>
      <c r="L1432" s="582">
        <v>10.161199999999999</v>
      </c>
      <c r="M1432" s="582">
        <v>10.1473</v>
      </c>
      <c r="N1432" s="582">
        <v>11.421900000000001</v>
      </c>
      <c r="O1432" s="582">
        <v>11.226699999999999</v>
      </c>
      <c r="P1432" s="582">
        <v>98.944299999999998</v>
      </c>
      <c r="Q1432" s="582">
        <f t="shared" si="156"/>
        <v>10.116999335610538</v>
      </c>
      <c r="R1432" s="582">
        <f t="shared" si="157"/>
        <v>0</v>
      </c>
      <c r="S1432" s="582">
        <f t="shared" si="155"/>
        <v>0.68030066438946135</v>
      </c>
      <c r="T1432" s="582">
        <f t="shared" si="158"/>
        <v>1.4949006643894625</v>
      </c>
      <c r="U1432" s="582">
        <f t="shared" si="159"/>
        <v>1.3797006643894609</v>
      </c>
    </row>
    <row r="1433" spans="10:21">
      <c r="J1433" s="580">
        <v>41673</v>
      </c>
      <c r="K1433" s="581">
        <v>0.98263888888888884</v>
      </c>
      <c r="L1433" s="582">
        <v>10.151</v>
      </c>
      <c r="M1433" s="582">
        <v>10.138999999999999</v>
      </c>
      <c r="N1433" s="582">
        <v>11.3909</v>
      </c>
      <c r="O1433" s="582">
        <v>11.193899999999999</v>
      </c>
      <c r="P1433" s="582">
        <v>98.860399999999998</v>
      </c>
      <c r="Q1433" s="582">
        <f t="shared" si="156"/>
        <v>10.108420607535674</v>
      </c>
      <c r="R1433" s="582">
        <f t="shared" si="157"/>
        <v>0</v>
      </c>
      <c r="S1433" s="582">
        <f t="shared" si="155"/>
        <v>0.68057939246432553</v>
      </c>
      <c r="T1433" s="582">
        <f t="shared" si="158"/>
        <v>1.4724793924643262</v>
      </c>
      <c r="U1433" s="582">
        <f t="shared" si="159"/>
        <v>1.3554793924643254</v>
      </c>
    </row>
    <row r="1434" spans="10:21">
      <c r="J1434" s="580">
        <v>41674</v>
      </c>
      <c r="K1434" s="581">
        <v>0.98263888888888884</v>
      </c>
      <c r="L1434" s="582">
        <v>10.1386</v>
      </c>
      <c r="M1434" s="582">
        <v>10.1264</v>
      </c>
      <c r="N1434" s="582">
        <v>11.356299999999999</v>
      </c>
      <c r="O1434" s="582">
        <v>11.1539</v>
      </c>
      <c r="P1434" s="582">
        <v>98.715900000000005</v>
      </c>
      <c r="Q1434" s="582">
        <f t="shared" si="156"/>
        <v>10.093645563354295</v>
      </c>
      <c r="R1434" s="582">
        <f t="shared" si="157"/>
        <v>0</v>
      </c>
      <c r="S1434" s="582">
        <f t="shared" si="155"/>
        <v>0.68275443664570523</v>
      </c>
      <c r="T1434" s="582">
        <f t="shared" si="158"/>
        <v>1.4526544366457039</v>
      </c>
      <c r="U1434" s="582">
        <f t="shared" si="159"/>
        <v>1.330254436645705</v>
      </c>
    </row>
    <row r="1435" spans="10:21">
      <c r="J1435" s="580">
        <v>41675</v>
      </c>
      <c r="K1435" s="581">
        <v>0.98263888888888884</v>
      </c>
      <c r="L1435" s="582">
        <v>10.1485</v>
      </c>
      <c r="M1435" s="582">
        <v>10.135</v>
      </c>
      <c r="N1435" s="582">
        <v>11.3445</v>
      </c>
      <c r="O1435" s="582">
        <v>11.1393</v>
      </c>
      <c r="P1435" s="582">
        <v>98.805400000000006</v>
      </c>
      <c r="Q1435" s="582">
        <f t="shared" si="156"/>
        <v>10.102796888297087</v>
      </c>
      <c r="R1435" s="582">
        <f t="shared" si="157"/>
        <v>0</v>
      </c>
      <c r="S1435" s="582">
        <f t="shared" si="155"/>
        <v>0.68220311170291281</v>
      </c>
      <c r="T1435" s="582">
        <f t="shared" si="158"/>
        <v>1.4317031117029129</v>
      </c>
      <c r="U1435" s="582">
        <f t="shared" si="159"/>
        <v>1.3065031117029133</v>
      </c>
    </row>
    <row r="1436" spans="10:21">
      <c r="J1436" s="580">
        <v>41676</v>
      </c>
      <c r="K1436" s="581">
        <v>0.98263888888888884</v>
      </c>
      <c r="L1436" s="582">
        <v>10.1417</v>
      </c>
      <c r="M1436" s="582">
        <v>10.129200000000001</v>
      </c>
      <c r="N1436" s="582">
        <v>11.3161</v>
      </c>
      <c r="O1436" s="582">
        <v>11.1107</v>
      </c>
      <c r="P1436" s="582">
        <v>98.740399999999994</v>
      </c>
      <c r="Q1436" s="582">
        <f t="shared" si="156"/>
        <v>10.096150674651483</v>
      </c>
      <c r="R1436" s="582">
        <f t="shared" si="157"/>
        <v>0</v>
      </c>
      <c r="S1436" s="582">
        <f t="shared" si="155"/>
        <v>0.68304932534851814</v>
      </c>
      <c r="T1436" s="582">
        <f t="shared" si="158"/>
        <v>1.4099493253485176</v>
      </c>
      <c r="U1436" s="582">
        <f t="shared" si="159"/>
        <v>1.2845493253485167</v>
      </c>
    </row>
    <row r="1437" spans="10:21">
      <c r="J1437" s="580">
        <v>41677</v>
      </c>
      <c r="K1437" s="581">
        <v>0.98263888888888884</v>
      </c>
      <c r="L1437" s="582">
        <v>10.148899999999999</v>
      </c>
      <c r="M1437" s="582">
        <v>10.137</v>
      </c>
      <c r="N1437" s="582">
        <v>11.3028</v>
      </c>
      <c r="O1437" s="582">
        <v>11.094900000000001</v>
      </c>
      <c r="P1437" s="582">
        <v>98.819800000000001</v>
      </c>
      <c r="Q1437" s="582">
        <f t="shared" si="156"/>
        <v>10.104269280243189</v>
      </c>
      <c r="R1437" s="582">
        <f t="shared" si="157"/>
        <v>0</v>
      </c>
      <c r="S1437" s="582">
        <f t="shared" si="155"/>
        <v>0.68273071975681154</v>
      </c>
      <c r="T1437" s="582">
        <f t="shared" si="158"/>
        <v>1.3885307197568104</v>
      </c>
      <c r="U1437" s="582">
        <f t="shared" si="159"/>
        <v>1.2606307197568118</v>
      </c>
    </row>
    <row r="1438" spans="10:21">
      <c r="J1438" s="580">
        <v>41678</v>
      </c>
      <c r="K1438" s="581">
        <v>0.98263888888888884</v>
      </c>
      <c r="L1438" s="582">
        <v>10.1396</v>
      </c>
      <c r="M1438" s="582">
        <v>10.126899999999999</v>
      </c>
      <c r="N1438" s="582">
        <v>11.2714</v>
      </c>
      <c r="O1438" s="582">
        <v>11.06</v>
      </c>
      <c r="P1438" s="582">
        <v>98.723200000000006</v>
      </c>
      <c r="Q1438" s="582">
        <f t="shared" si="156"/>
        <v>10.094391984271416</v>
      </c>
      <c r="R1438" s="582">
        <f t="shared" si="157"/>
        <v>0</v>
      </c>
      <c r="S1438" s="582">
        <f t="shared" si="155"/>
        <v>0.682508015728583</v>
      </c>
      <c r="T1438" s="582">
        <f t="shared" si="158"/>
        <v>1.3670080157285835</v>
      </c>
      <c r="U1438" s="582">
        <f t="shared" si="159"/>
        <v>1.2356080157285843</v>
      </c>
    </row>
    <row r="1439" spans="10:21">
      <c r="J1439" s="580">
        <v>41679</v>
      </c>
      <c r="K1439" s="581">
        <v>0.98263888888888884</v>
      </c>
      <c r="L1439" s="582">
        <v>10.1457</v>
      </c>
      <c r="M1439" s="582">
        <v>10.1332</v>
      </c>
      <c r="N1439" s="582">
        <v>11.256500000000001</v>
      </c>
      <c r="O1439" s="582">
        <v>11.0411</v>
      </c>
      <c r="P1439" s="582">
        <v>98.770899999999997</v>
      </c>
      <c r="Q1439" s="582">
        <f t="shared" si="156"/>
        <v>10.099269282592882</v>
      </c>
      <c r="R1439" s="582">
        <f t="shared" si="157"/>
        <v>0</v>
      </c>
      <c r="S1439" s="582">
        <f t="shared" si="155"/>
        <v>0.68393071740711853</v>
      </c>
      <c r="T1439" s="582">
        <f t="shared" si="158"/>
        <v>1.3472307174071187</v>
      </c>
      <c r="U1439" s="582">
        <f t="shared" si="159"/>
        <v>1.2118307174071181</v>
      </c>
    </row>
    <row r="1440" spans="10:21">
      <c r="J1440" s="580">
        <v>41680</v>
      </c>
      <c r="K1440" s="581">
        <v>0.98263888888888884</v>
      </c>
      <c r="L1440" s="582">
        <v>10.144</v>
      </c>
      <c r="M1440" s="582">
        <v>10.1309</v>
      </c>
      <c r="N1440" s="582">
        <v>11.2331</v>
      </c>
      <c r="O1440" s="582">
        <v>11.0108</v>
      </c>
      <c r="P1440" s="582">
        <v>98.751800000000003</v>
      </c>
      <c r="Q1440" s="582">
        <f t="shared" si="156"/>
        <v>10.097316318275482</v>
      </c>
      <c r="R1440" s="582">
        <f t="shared" si="157"/>
        <v>0</v>
      </c>
      <c r="S1440" s="582">
        <f t="shared" si="155"/>
        <v>0.68358368172451889</v>
      </c>
      <c r="T1440" s="582">
        <f t="shared" si="158"/>
        <v>1.3257836817245185</v>
      </c>
      <c r="U1440" s="582">
        <f t="shared" si="159"/>
        <v>1.183483681724518</v>
      </c>
    </row>
    <row r="1441" spans="10:21">
      <c r="J1441" s="580">
        <v>41681</v>
      </c>
      <c r="K1441" s="581">
        <v>0.98263888888888884</v>
      </c>
      <c r="L1441" s="582">
        <v>10.128</v>
      </c>
      <c r="M1441" s="582">
        <v>10.1137</v>
      </c>
      <c r="N1441" s="582">
        <v>11.1966</v>
      </c>
      <c r="O1441" s="582">
        <v>10.9697</v>
      </c>
      <c r="P1441" s="582">
        <v>98.599800000000002</v>
      </c>
      <c r="Q1441" s="582">
        <f t="shared" si="156"/>
        <v>10.08177440328884</v>
      </c>
      <c r="R1441" s="582">
        <f t="shared" si="157"/>
        <v>0</v>
      </c>
      <c r="S1441" s="582">
        <f t="shared" si="155"/>
        <v>0.68192559671115993</v>
      </c>
      <c r="T1441" s="582">
        <f t="shared" si="158"/>
        <v>1.3048255967111602</v>
      </c>
      <c r="U1441" s="582">
        <f t="shared" si="159"/>
        <v>1.1579255967111597</v>
      </c>
    </row>
    <row r="1442" spans="10:21">
      <c r="J1442" s="580">
        <v>41682</v>
      </c>
      <c r="K1442" s="581">
        <v>0.98263888888888884</v>
      </c>
      <c r="L1442" s="582">
        <v>10.1449</v>
      </c>
      <c r="M1442" s="582">
        <v>10.1304</v>
      </c>
      <c r="N1442" s="582">
        <v>11.1935</v>
      </c>
      <c r="O1442" s="582">
        <v>10.962199999999999</v>
      </c>
      <c r="P1442" s="582">
        <v>98.770899999999997</v>
      </c>
      <c r="Q1442" s="582">
        <f t="shared" si="156"/>
        <v>10.099269282592882</v>
      </c>
      <c r="R1442" s="582">
        <f t="shared" si="157"/>
        <v>0</v>
      </c>
      <c r="S1442" s="582">
        <f t="shared" si="155"/>
        <v>0.68113071740711795</v>
      </c>
      <c r="T1442" s="582">
        <f t="shared" si="158"/>
        <v>1.2842307174071181</v>
      </c>
      <c r="U1442" s="582">
        <f t="shared" si="159"/>
        <v>1.1329307174071173</v>
      </c>
    </row>
    <row r="1443" spans="10:21">
      <c r="J1443" s="580">
        <v>41683</v>
      </c>
      <c r="K1443" s="581">
        <v>0.98263888888888884</v>
      </c>
      <c r="L1443" s="582">
        <v>10.163600000000001</v>
      </c>
      <c r="M1443" s="582">
        <v>10.1502</v>
      </c>
      <c r="N1443" s="582">
        <v>11.1907</v>
      </c>
      <c r="O1443" s="582">
        <v>10.953900000000001</v>
      </c>
      <c r="P1443" s="582">
        <v>98.959500000000006</v>
      </c>
      <c r="Q1443" s="582">
        <f t="shared" si="156"/>
        <v>10.118553527109203</v>
      </c>
      <c r="R1443" s="582">
        <f t="shared" si="157"/>
        <v>0</v>
      </c>
      <c r="S1443" s="582">
        <f t="shared" ref="S1443:S1506" si="160">M1443-Q1443-$D$9+$E$9</f>
        <v>0.68164647289079716</v>
      </c>
      <c r="T1443" s="582">
        <f t="shared" si="158"/>
        <v>1.2621464728907967</v>
      </c>
      <c r="U1443" s="582">
        <f t="shared" si="159"/>
        <v>1.105346472890798</v>
      </c>
    </row>
    <row r="1444" spans="10:21">
      <c r="J1444" s="580">
        <v>41684</v>
      </c>
      <c r="K1444" s="581">
        <v>0.98263888888888884</v>
      </c>
      <c r="L1444" s="582">
        <v>10.1577</v>
      </c>
      <c r="M1444" s="582">
        <v>10.1433</v>
      </c>
      <c r="N1444" s="582">
        <v>11.1637</v>
      </c>
      <c r="O1444" s="582">
        <v>10.921799999999999</v>
      </c>
      <c r="P1444" s="582">
        <v>98.905199999999994</v>
      </c>
      <c r="Q1444" s="582">
        <f t="shared" si="156"/>
        <v>10.113001382479105</v>
      </c>
      <c r="R1444" s="582">
        <f t="shared" si="157"/>
        <v>0</v>
      </c>
      <c r="S1444" s="582">
        <f t="shared" si="160"/>
        <v>0.68029861752089515</v>
      </c>
      <c r="T1444" s="582">
        <f t="shared" si="158"/>
        <v>1.2406986175208954</v>
      </c>
      <c r="U1444" s="582">
        <f t="shared" si="159"/>
        <v>1.0787986175208943</v>
      </c>
    </row>
    <row r="1445" spans="10:21">
      <c r="J1445" s="580">
        <v>41685</v>
      </c>
      <c r="K1445" s="581">
        <v>0.98263888888888884</v>
      </c>
      <c r="L1445" s="582">
        <v>10.142300000000001</v>
      </c>
      <c r="M1445" s="582">
        <v>10.1244</v>
      </c>
      <c r="N1445" s="582">
        <v>11.1289</v>
      </c>
      <c r="O1445" s="582">
        <v>10.8817</v>
      </c>
      <c r="P1445" s="582">
        <v>98.747100000000003</v>
      </c>
      <c r="Q1445" s="582">
        <f t="shared" si="156"/>
        <v>10.096835745904183</v>
      </c>
      <c r="R1445" s="582">
        <f t="shared" si="157"/>
        <v>0</v>
      </c>
      <c r="S1445" s="582">
        <f t="shared" si="160"/>
        <v>0.67756425409581644</v>
      </c>
      <c r="T1445" s="582">
        <f t="shared" si="158"/>
        <v>1.2220642540958164</v>
      </c>
      <c r="U1445" s="582">
        <f t="shared" si="159"/>
        <v>1.0548642540958171</v>
      </c>
    </row>
    <row r="1446" spans="10:21">
      <c r="J1446" s="580">
        <v>41686</v>
      </c>
      <c r="K1446" s="581">
        <v>0.98263888888888884</v>
      </c>
      <c r="L1446" s="582">
        <v>10.153</v>
      </c>
      <c r="M1446" s="582">
        <v>10.135199999999999</v>
      </c>
      <c r="N1446" s="582">
        <v>11.120100000000001</v>
      </c>
      <c r="O1446" s="582">
        <v>10.8696</v>
      </c>
      <c r="P1446" s="582">
        <v>98.860399999999998</v>
      </c>
      <c r="Q1446" s="582">
        <f t="shared" si="156"/>
        <v>10.108420607535674</v>
      </c>
      <c r="R1446" s="582">
        <f t="shared" si="157"/>
        <v>0</v>
      </c>
      <c r="S1446" s="582">
        <f t="shared" si="160"/>
        <v>0.6767793924643255</v>
      </c>
      <c r="T1446" s="582">
        <f t="shared" si="158"/>
        <v>1.2016793924643268</v>
      </c>
      <c r="U1446" s="582">
        <f t="shared" si="159"/>
        <v>1.0311793924643262</v>
      </c>
    </row>
    <row r="1447" spans="10:21">
      <c r="J1447" s="580">
        <v>41687</v>
      </c>
      <c r="K1447" s="581">
        <v>0.98263888888888884</v>
      </c>
      <c r="L1447" s="582">
        <v>10.1746</v>
      </c>
      <c r="M1447" s="582">
        <v>10.1572</v>
      </c>
      <c r="N1447" s="582">
        <v>11.12</v>
      </c>
      <c r="O1447" s="582">
        <v>10.864699999999999</v>
      </c>
      <c r="P1447" s="582">
        <v>99.064700000000002</v>
      </c>
      <c r="Q1447" s="582">
        <f t="shared" si="156"/>
        <v>10.12931016827101</v>
      </c>
      <c r="R1447" s="582">
        <f t="shared" si="157"/>
        <v>0</v>
      </c>
      <c r="S1447" s="582">
        <f t="shared" si="160"/>
        <v>0.67788983172898987</v>
      </c>
      <c r="T1447" s="582">
        <f t="shared" si="158"/>
        <v>1.1806898317289893</v>
      </c>
      <c r="U1447" s="582">
        <f t="shared" si="159"/>
        <v>1.0053898317289893</v>
      </c>
    </row>
    <row r="1448" spans="10:21">
      <c r="J1448" s="580">
        <v>41688</v>
      </c>
      <c r="K1448" s="581">
        <v>0.98263888888888884</v>
      </c>
      <c r="L1448" s="582">
        <v>10.178900000000001</v>
      </c>
      <c r="M1448" s="582">
        <v>10.161099999999999</v>
      </c>
      <c r="N1448" s="582">
        <v>11.1122</v>
      </c>
      <c r="O1448" s="582">
        <v>10.852399999999999</v>
      </c>
      <c r="P1448" s="582">
        <v>99.132099999999994</v>
      </c>
      <c r="Q1448" s="582">
        <f t="shared" si="156"/>
        <v>10.136201780574297</v>
      </c>
      <c r="R1448" s="582">
        <f t="shared" si="157"/>
        <v>0</v>
      </c>
      <c r="S1448" s="582">
        <f t="shared" si="160"/>
        <v>0.67489821942570294</v>
      </c>
      <c r="T1448" s="582">
        <f t="shared" si="158"/>
        <v>1.165998219425703</v>
      </c>
      <c r="U1448" s="582">
        <f t="shared" si="159"/>
        <v>0.98619821942570285</v>
      </c>
    </row>
    <row r="1449" spans="10:21">
      <c r="J1449" s="580">
        <v>41689</v>
      </c>
      <c r="K1449" s="581">
        <v>0.98263888888888884</v>
      </c>
      <c r="L1449" s="582">
        <v>10.164400000000001</v>
      </c>
      <c r="M1449" s="582">
        <v>10.147399999999999</v>
      </c>
      <c r="N1449" s="582">
        <v>11.0756</v>
      </c>
      <c r="O1449" s="582">
        <v>10.8141</v>
      </c>
      <c r="P1449" s="582">
        <v>98.996899999999997</v>
      </c>
      <c r="Q1449" s="582">
        <f t="shared" si="156"/>
        <v>10.122377656191441</v>
      </c>
      <c r="R1449" s="582">
        <f t="shared" si="157"/>
        <v>0</v>
      </c>
      <c r="S1449" s="582">
        <f t="shared" si="160"/>
        <v>0.67502234380855852</v>
      </c>
      <c r="T1449" s="582">
        <f t="shared" si="158"/>
        <v>1.1432223438085587</v>
      </c>
      <c r="U1449" s="582">
        <f t="shared" si="159"/>
        <v>0.96172234380855892</v>
      </c>
    </row>
    <row r="1450" spans="10:21">
      <c r="J1450" s="580">
        <v>41690</v>
      </c>
      <c r="K1450" s="581">
        <v>0.98263888888888884</v>
      </c>
      <c r="L1450" s="582">
        <v>10.1813</v>
      </c>
      <c r="M1450" s="582">
        <v>10.164099999999999</v>
      </c>
      <c r="N1450" s="582">
        <v>11.0716</v>
      </c>
      <c r="O1450" s="582">
        <v>10.6868</v>
      </c>
      <c r="P1450" s="582">
        <v>99.153499999999994</v>
      </c>
      <c r="Q1450" s="582">
        <f t="shared" si="156"/>
        <v>10.138389918605311</v>
      </c>
      <c r="R1450" s="582">
        <f t="shared" si="157"/>
        <v>0</v>
      </c>
      <c r="S1450" s="582">
        <f t="shared" si="160"/>
        <v>0.67571008139468858</v>
      </c>
      <c r="T1450" s="582">
        <f t="shared" si="158"/>
        <v>1.123210081394689</v>
      </c>
      <c r="U1450" s="582">
        <f t="shared" si="159"/>
        <v>0.81841008139468885</v>
      </c>
    </row>
    <row r="1451" spans="10:21">
      <c r="J1451" s="580">
        <v>41691</v>
      </c>
      <c r="K1451" s="581">
        <v>0.98263888888888884</v>
      </c>
      <c r="L1451" s="582">
        <v>10.180899999999999</v>
      </c>
      <c r="M1451" s="582">
        <v>10.163399999999999</v>
      </c>
      <c r="N1451" s="582">
        <v>11.0519</v>
      </c>
      <c r="O1451" s="582">
        <v>10.6203</v>
      </c>
      <c r="P1451" s="582">
        <v>99.155199999999994</v>
      </c>
      <c r="Q1451" s="582">
        <f t="shared" si="156"/>
        <v>10.138563742654503</v>
      </c>
      <c r="R1451" s="582">
        <f t="shared" si="157"/>
        <v>0</v>
      </c>
      <c r="S1451" s="582">
        <f t="shared" si="160"/>
        <v>0.67483625734549668</v>
      </c>
      <c r="T1451" s="582">
        <f t="shared" si="158"/>
        <v>1.103336257345497</v>
      </c>
      <c r="U1451" s="582">
        <f t="shared" si="159"/>
        <v>0.75173625734549754</v>
      </c>
    </row>
    <row r="1452" spans="10:21">
      <c r="J1452" s="580">
        <v>41692</v>
      </c>
      <c r="K1452" s="581">
        <v>0.98263888888888884</v>
      </c>
      <c r="L1452" s="582">
        <v>10.177099999999999</v>
      </c>
      <c r="M1452" s="582">
        <v>10.157999999999999</v>
      </c>
      <c r="N1452" s="582">
        <v>11.0266</v>
      </c>
      <c r="O1452" s="582">
        <v>10.540900000000001</v>
      </c>
      <c r="P1452" s="582">
        <v>99.103999999999999</v>
      </c>
      <c r="Q1452" s="582">
        <f t="shared" si="156"/>
        <v>10.133328571290582</v>
      </c>
      <c r="R1452" s="582">
        <f t="shared" si="157"/>
        <v>0</v>
      </c>
      <c r="S1452" s="582">
        <f t="shared" si="160"/>
        <v>0.67467142870941799</v>
      </c>
      <c r="T1452" s="582">
        <f t="shared" si="158"/>
        <v>1.0832714287094185</v>
      </c>
      <c r="U1452" s="582">
        <f t="shared" si="159"/>
        <v>0.677571428709419</v>
      </c>
    </row>
    <row r="1453" spans="10:21">
      <c r="J1453" s="580">
        <v>41693</v>
      </c>
      <c r="K1453" s="581">
        <v>0.98263888888888884</v>
      </c>
      <c r="L1453" s="582">
        <v>10.1737</v>
      </c>
      <c r="M1453" s="582">
        <v>10.1579</v>
      </c>
      <c r="N1453" s="582">
        <v>11.005599999999999</v>
      </c>
      <c r="O1453" s="582">
        <v>10.5411</v>
      </c>
      <c r="P1453" s="582">
        <v>99.094200000000001</v>
      </c>
      <c r="Q1453" s="582">
        <f t="shared" si="156"/>
        <v>10.132326526771706</v>
      </c>
      <c r="R1453" s="582">
        <f t="shared" si="157"/>
        <v>0</v>
      </c>
      <c r="S1453" s="582">
        <f t="shared" si="160"/>
        <v>0.67557347322829364</v>
      </c>
      <c r="T1453" s="582">
        <f t="shared" si="158"/>
        <v>1.0632734732282931</v>
      </c>
      <c r="U1453" s="582">
        <f t="shared" si="159"/>
        <v>0.67877347322829396</v>
      </c>
    </row>
    <row r="1454" spans="10:21">
      <c r="J1454" s="580">
        <v>41694</v>
      </c>
      <c r="K1454" s="581">
        <v>0.98263888888888884</v>
      </c>
      <c r="L1454" s="582">
        <v>10.1807</v>
      </c>
      <c r="M1454" s="582">
        <v>10.167899999999999</v>
      </c>
      <c r="N1454" s="582">
        <v>10.9978</v>
      </c>
      <c r="O1454" s="582">
        <v>10.5532</v>
      </c>
      <c r="P1454" s="582">
        <v>99.138199999999998</v>
      </c>
      <c r="Q1454" s="582">
        <f t="shared" si="156"/>
        <v>10.136825502162576</v>
      </c>
      <c r="R1454" s="582">
        <f t="shared" si="157"/>
        <v>0</v>
      </c>
      <c r="S1454" s="582">
        <f t="shared" si="160"/>
        <v>0.68107449783742324</v>
      </c>
      <c r="T1454" s="582">
        <f t="shared" si="158"/>
        <v>1.0509744978374234</v>
      </c>
      <c r="U1454" s="582">
        <f t="shared" si="159"/>
        <v>0.68637449783742399</v>
      </c>
    </row>
    <row r="1455" spans="10:21">
      <c r="J1455" s="580">
        <v>41695</v>
      </c>
      <c r="K1455" s="581">
        <v>0.98263888888888884</v>
      </c>
      <c r="L1455" s="582">
        <v>10.180899999999999</v>
      </c>
      <c r="M1455" s="582">
        <v>10.1671</v>
      </c>
      <c r="N1455" s="582">
        <v>10.976800000000001</v>
      </c>
      <c r="O1455" s="582">
        <v>10.545299999999999</v>
      </c>
      <c r="P1455" s="582">
        <v>99.165300000000002</v>
      </c>
      <c r="Q1455" s="582">
        <f t="shared" si="156"/>
        <v>10.13959646200559</v>
      </c>
      <c r="R1455" s="582">
        <f t="shared" si="157"/>
        <v>0</v>
      </c>
      <c r="S1455" s="582">
        <f t="shared" si="160"/>
        <v>0.67750353799440943</v>
      </c>
      <c r="T1455" s="582">
        <f t="shared" si="158"/>
        <v>1.0272035379944104</v>
      </c>
      <c r="U1455" s="582">
        <f t="shared" si="159"/>
        <v>0.67570353799440896</v>
      </c>
    </row>
    <row r="1456" spans="10:21">
      <c r="J1456" s="580">
        <v>41696</v>
      </c>
      <c r="K1456" s="581">
        <v>0.98263888888888884</v>
      </c>
      <c r="L1456" s="582">
        <v>10.175000000000001</v>
      </c>
      <c r="M1456" s="582">
        <v>10.160500000000001</v>
      </c>
      <c r="N1456" s="582">
        <v>10.947900000000001</v>
      </c>
      <c r="O1456" s="582">
        <v>10.539099999999999</v>
      </c>
      <c r="P1456" s="582">
        <v>99.112200000000001</v>
      </c>
      <c r="Q1456" s="582">
        <f t="shared" si="156"/>
        <v>10.134167016704335</v>
      </c>
      <c r="R1456" s="582">
        <f t="shared" si="157"/>
        <v>0</v>
      </c>
      <c r="S1456" s="582">
        <f t="shared" si="160"/>
        <v>0.67633298329566549</v>
      </c>
      <c r="T1456" s="582">
        <f t="shared" si="158"/>
        <v>1.0037329832956652</v>
      </c>
      <c r="U1456" s="582">
        <f t="shared" si="159"/>
        <v>0.67493298329566409</v>
      </c>
    </row>
    <row r="1457" spans="10:21">
      <c r="J1457" s="580">
        <v>41697</v>
      </c>
      <c r="K1457" s="581">
        <v>0.98263888888888884</v>
      </c>
      <c r="L1457" s="582">
        <v>10.171900000000001</v>
      </c>
      <c r="M1457" s="582">
        <v>10.157500000000001</v>
      </c>
      <c r="N1457" s="582">
        <v>10.9224</v>
      </c>
      <c r="O1457" s="582">
        <v>10.5321</v>
      </c>
      <c r="P1457" s="582">
        <v>99.068399999999997</v>
      </c>
      <c r="Q1457" s="582">
        <f t="shared" si="156"/>
        <v>10.129688491201605</v>
      </c>
      <c r="R1457" s="582">
        <f t="shared" si="157"/>
        <v>0</v>
      </c>
      <c r="S1457" s="582">
        <f t="shared" si="160"/>
        <v>0.67781150879839536</v>
      </c>
      <c r="T1457" s="582">
        <f t="shared" si="158"/>
        <v>0.98271150879839431</v>
      </c>
      <c r="U1457" s="582">
        <f t="shared" si="159"/>
        <v>0.6724115087983944</v>
      </c>
    </row>
    <row r="1458" spans="10:21">
      <c r="J1458" s="580">
        <v>41698</v>
      </c>
      <c r="K1458" s="581">
        <v>0.98263888888888884</v>
      </c>
      <c r="L1458" s="582">
        <v>10.1656</v>
      </c>
      <c r="M1458" s="582">
        <v>10.149699999999999</v>
      </c>
      <c r="N1458" s="582">
        <v>10.891500000000001</v>
      </c>
      <c r="O1458" s="582">
        <v>10.5245</v>
      </c>
      <c r="P1458" s="582">
        <v>98.990700000000004</v>
      </c>
      <c r="Q1458" s="582">
        <f t="shared" si="156"/>
        <v>10.121743709659093</v>
      </c>
      <c r="R1458" s="582">
        <f t="shared" si="157"/>
        <v>0</v>
      </c>
      <c r="S1458" s="582">
        <f t="shared" si="160"/>
        <v>0.67795629034090665</v>
      </c>
      <c r="T1458" s="582">
        <f t="shared" si="158"/>
        <v>0.95975629034090792</v>
      </c>
      <c r="U1458" s="582">
        <f t="shared" si="159"/>
        <v>0.672756290340907</v>
      </c>
    </row>
    <row r="1459" spans="10:21">
      <c r="J1459" s="580">
        <v>41699</v>
      </c>
      <c r="K1459" s="581">
        <v>0.98263888888888884</v>
      </c>
      <c r="L1459" s="582">
        <v>10.166499999999999</v>
      </c>
      <c r="M1459" s="582">
        <v>10.1515</v>
      </c>
      <c r="N1459" s="582">
        <v>10.936400000000001</v>
      </c>
      <c r="O1459" s="582">
        <v>10.602</v>
      </c>
      <c r="P1459" s="582">
        <v>99.010499999999993</v>
      </c>
      <c r="Q1459" s="582">
        <f t="shared" si="156"/>
        <v>10.123768248584982</v>
      </c>
      <c r="R1459" s="582">
        <f t="shared" si="157"/>
        <v>0</v>
      </c>
      <c r="S1459" s="582">
        <f t="shared" si="160"/>
        <v>0.67773175141501851</v>
      </c>
      <c r="T1459" s="582">
        <f t="shared" si="158"/>
        <v>1.0026317514150187</v>
      </c>
      <c r="U1459" s="582">
        <f t="shared" si="159"/>
        <v>0.7482317514150183</v>
      </c>
    </row>
    <row r="1460" spans="10:21">
      <c r="J1460" s="580">
        <v>41700</v>
      </c>
      <c r="K1460" s="581">
        <v>0.98263888888888884</v>
      </c>
      <c r="L1460" s="582">
        <v>10.1609</v>
      </c>
      <c r="M1460" s="582">
        <v>10.1463</v>
      </c>
      <c r="N1460" s="582">
        <v>10.9155</v>
      </c>
      <c r="O1460" s="582">
        <v>10.6309</v>
      </c>
      <c r="P1460" s="582">
        <v>98.953100000000006</v>
      </c>
      <c r="Q1460" s="582">
        <f t="shared" si="156"/>
        <v>10.117899130688713</v>
      </c>
      <c r="R1460" s="582">
        <f t="shared" si="157"/>
        <v>0</v>
      </c>
      <c r="S1460" s="582">
        <f t="shared" si="160"/>
        <v>0.67840086931128751</v>
      </c>
      <c r="T1460" s="582">
        <f t="shared" si="158"/>
        <v>0.9876008693112871</v>
      </c>
      <c r="U1460" s="582">
        <f t="shared" si="159"/>
        <v>0.78300086931128776</v>
      </c>
    </row>
    <row r="1461" spans="10:21">
      <c r="J1461" s="580">
        <v>41701</v>
      </c>
      <c r="K1461" s="581">
        <v>0.98263888888888884</v>
      </c>
      <c r="L1461" s="582">
        <v>10.162100000000001</v>
      </c>
      <c r="M1461" s="582">
        <v>10.144600000000001</v>
      </c>
      <c r="N1461" s="582">
        <v>10.8972</v>
      </c>
      <c r="O1461" s="582">
        <v>10.5326</v>
      </c>
      <c r="P1461" s="582">
        <v>98.956299999999999</v>
      </c>
      <c r="Q1461" s="582">
        <f t="shared" ref="Q1461:Q1524" si="161">P1461/($G$8*$H$8)</f>
        <v>10.118226328898956</v>
      </c>
      <c r="R1461" s="582">
        <f t="shared" ref="R1461:R1524" si="162">IF((L1461-Q1461-$D$8+$E$8)&lt;0,0,(L1461-Q1461-$D$8+$E$8))</f>
        <v>0</v>
      </c>
      <c r="S1461" s="582">
        <f t="shared" si="160"/>
        <v>0.67637367110104463</v>
      </c>
      <c r="T1461" s="582">
        <f t="shared" ref="T1461:T1524" si="163">N1461-Q1461-$D$10+$E$10</f>
        <v>0.96897367110104382</v>
      </c>
      <c r="U1461" s="582">
        <f t="shared" ref="U1461:U1524" si="164">O1461-Q1461-$D$11+$E$11</f>
        <v>0.68437367110104441</v>
      </c>
    </row>
    <row r="1462" spans="10:21">
      <c r="J1462" s="580">
        <v>41702</v>
      </c>
      <c r="K1462" s="581">
        <v>0.98263888888888884</v>
      </c>
      <c r="L1462" s="582">
        <v>10.173400000000001</v>
      </c>
      <c r="M1462" s="582">
        <v>10.154500000000001</v>
      </c>
      <c r="N1462" s="582">
        <v>10.93</v>
      </c>
      <c r="O1462" s="582">
        <v>10.541700000000001</v>
      </c>
      <c r="P1462" s="582">
        <v>99.086200000000005</v>
      </c>
      <c r="Q1462" s="582">
        <f t="shared" si="161"/>
        <v>10.131508531246094</v>
      </c>
      <c r="R1462" s="582">
        <f t="shared" si="162"/>
        <v>0</v>
      </c>
      <c r="S1462" s="582">
        <f t="shared" si="160"/>
        <v>0.67299146875390625</v>
      </c>
      <c r="T1462" s="582">
        <f t="shared" si="163"/>
        <v>0.98849146875390537</v>
      </c>
      <c r="U1462" s="582">
        <f t="shared" si="164"/>
        <v>0.68019146875390613</v>
      </c>
    </row>
    <row r="1463" spans="10:21">
      <c r="J1463" s="580">
        <v>41703</v>
      </c>
      <c r="K1463" s="581">
        <v>0.98263888888888884</v>
      </c>
      <c r="L1463" s="582">
        <v>10.1701</v>
      </c>
      <c r="M1463" s="582">
        <v>10.151199999999999</v>
      </c>
      <c r="N1463" s="582">
        <v>10.8338</v>
      </c>
      <c r="O1463" s="582">
        <v>10.5381</v>
      </c>
      <c r="P1463" s="582">
        <v>99.045699999999997</v>
      </c>
      <c r="Q1463" s="582">
        <f t="shared" si="161"/>
        <v>10.12736742889768</v>
      </c>
      <c r="R1463" s="582">
        <f t="shared" si="162"/>
        <v>0</v>
      </c>
      <c r="S1463" s="582">
        <f t="shared" si="160"/>
        <v>0.67383257110231987</v>
      </c>
      <c r="T1463" s="582">
        <f t="shared" si="163"/>
        <v>0.89643257110232055</v>
      </c>
      <c r="U1463" s="582">
        <f t="shared" si="164"/>
        <v>0.68073257110232044</v>
      </c>
    </row>
    <row r="1464" spans="10:21">
      <c r="J1464" s="580">
        <v>41704</v>
      </c>
      <c r="K1464" s="581">
        <v>0.98263888888888884</v>
      </c>
      <c r="L1464" s="582">
        <v>10.1662</v>
      </c>
      <c r="M1464" s="582">
        <v>10.1472</v>
      </c>
      <c r="N1464" s="582">
        <v>10.5602</v>
      </c>
      <c r="O1464" s="582">
        <v>10.5336</v>
      </c>
      <c r="P1464" s="582">
        <v>99.007000000000005</v>
      </c>
      <c r="Q1464" s="582">
        <f t="shared" si="161"/>
        <v>10.123410375542528</v>
      </c>
      <c r="R1464" s="582">
        <f t="shared" si="162"/>
        <v>0</v>
      </c>
      <c r="S1464" s="582">
        <f t="shared" si="160"/>
        <v>0.67378962445747148</v>
      </c>
      <c r="T1464" s="582">
        <f t="shared" si="163"/>
        <v>0.62678962445747166</v>
      </c>
      <c r="U1464" s="582">
        <f t="shared" si="164"/>
        <v>0.68018962445747144</v>
      </c>
    </row>
    <row r="1465" spans="10:21">
      <c r="J1465" s="580">
        <v>41543</v>
      </c>
      <c r="K1465" s="581">
        <v>0.98611111111111116</v>
      </c>
      <c r="L1465" s="582">
        <v>10.057600000000001</v>
      </c>
      <c r="M1465" s="582">
        <v>10.071400000000001</v>
      </c>
      <c r="N1465" s="582">
        <v>10.0809</v>
      </c>
      <c r="O1465" s="582">
        <v>10.0922</v>
      </c>
      <c r="P1465" s="582">
        <v>98.804299999999998</v>
      </c>
      <c r="Q1465" s="582">
        <f t="shared" si="161"/>
        <v>10.102684413912314</v>
      </c>
      <c r="R1465" s="582">
        <f t="shared" si="162"/>
        <v>0</v>
      </c>
      <c r="S1465" s="582">
        <f t="shared" si="160"/>
        <v>0.61871558608768651</v>
      </c>
      <c r="T1465" s="582">
        <f t="shared" si="163"/>
        <v>0.16821558608768561</v>
      </c>
      <c r="U1465" s="582">
        <f t="shared" si="164"/>
        <v>0.25951558608768582</v>
      </c>
    </row>
    <row r="1466" spans="10:21">
      <c r="J1466" s="580">
        <v>41544</v>
      </c>
      <c r="K1466" s="581">
        <v>0.98611111111111116</v>
      </c>
      <c r="L1466" s="582">
        <v>10.055300000000001</v>
      </c>
      <c r="M1466" s="582">
        <v>10.07</v>
      </c>
      <c r="N1466" s="582">
        <v>10.079000000000001</v>
      </c>
      <c r="O1466" s="582">
        <v>10.0907</v>
      </c>
      <c r="P1466" s="582">
        <v>98.778700000000001</v>
      </c>
      <c r="Q1466" s="582">
        <f t="shared" si="161"/>
        <v>10.100066828230354</v>
      </c>
      <c r="R1466" s="582">
        <f t="shared" si="162"/>
        <v>0</v>
      </c>
      <c r="S1466" s="582">
        <f t="shared" si="160"/>
        <v>0.6199331717696468</v>
      </c>
      <c r="T1466" s="582">
        <f t="shared" si="163"/>
        <v>0.16893317176964706</v>
      </c>
      <c r="U1466" s="582">
        <f t="shared" si="164"/>
        <v>0.26063317176964634</v>
      </c>
    </row>
    <row r="1467" spans="10:21">
      <c r="J1467" s="580">
        <v>41545</v>
      </c>
      <c r="K1467" s="581">
        <v>0.98611111111111116</v>
      </c>
      <c r="L1467" s="582">
        <v>10.0342</v>
      </c>
      <c r="M1467" s="582">
        <v>10.049200000000001</v>
      </c>
      <c r="N1467" s="582">
        <v>10.057700000000001</v>
      </c>
      <c r="O1467" s="582">
        <v>10.070499999999999</v>
      </c>
      <c r="P1467" s="582">
        <v>98.585099999999997</v>
      </c>
      <c r="Q1467" s="582">
        <f t="shared" si="161"/>
        <v>10.080271336510526</v>
      </c>
      <c r="R1467" s="582">
        <f t="shared" si="162"/>
        <v>0</v>
      </c>
      <c r="S1467" s="582">
        <f t="shared" si="160"/>
        <v>0.61892866348947506</v>
      </c>
      <c r="T1467" s="582">
        <f t="shared" si="163"/>
        <v>0.16742866348947472</v>
      </c>
      <c r="U1467" s="582">
        <f t="shared" si="164"/>
        <v>0.26022866348947321</v>
      </c>
    </row>
    <row r="1468" spans="10:21">
      <c r="J1468" s="580">
        <v>41546</v>
      </c>
      <c r="K1468" s="581">
        <v>0.98611111111111116</v>
      </c>
      <c r="L1468" s="582">
        <v>10.0123</v>
      </c>
      <c r="M1468" s="582">
        <v>10.0276</v>
      </c>
      <c r="N1468" s="582">
        <v>10.035600000000001</v>
      </c>
      <c r="O1468" s="582">
        <v>10.0487</v>
      </c>
      <c r="P1468" s="582">
        <v>98.374600000000001</v>
      </c>
      <c r="Q1468" s="582">
        <f t="shared" si="161"/>
        <v>10.05874782924284</v>
      </c>
      <c r="R1468" s="582">
        <f t="shared" si="162"/>
        <v>0</v>
      </c>
      <c r="S1468" s="582">
        <f t="shared" si="160"/>
        <v>0.6188521707571597</v>
      </c>
      <c r="T1468" s="582">
        <f t="shared" si="163"/>
        <v>0.16685217075716052</v>
      </c>
      <c r="U1468" s="582">
        <f t="shared" si="164"/>
        <v>0.25995217075716009</v>
      </c>
    </row>
    <row r="1469" spans="10:21">
      <c r="J1469" s="580">
        <v>41547</v>
      </c>
      <c r="K1469" s="581">
        <v>0.98611111111111116</v>
      </c>
      <c r="L1469" s="582">
        <v>10.0128</v>
      </c>
      <c r="M1469" s="582">
        <v>10.026899999999999</v>
      </c>
      <c r="N1469" s="582">
        <v>10.0351</v>
      </c>
      <c r="O1469" s="582">
        <v>10.047599999999999</v>
      </c>
      <c r="P1469" s="582">
        <v>98.357600000000005</v>
      </c>
      <c r="Q1469" s="582">
        <f t="shared" si="161"/>
        <v>10.057009588750914</v>
      </c>
      <c r="R1469" s="582">
        <f t="shared" si="162"/>
        <v>0</v>
      </c>
      <c r="S1469" s="582">
        <f t="shared" si="160"/>
        <v>0.61989041124908595</v>
      </c>
      <c r="T1469" s="582">
        <f t="shared" si="163"/>
        <v>0.1680904112490863</v>
      </c>
      <c r="U1469" s="582">
        <f t="shared" si="164"/>
        <v>0.2605904112490855</v>
      </c>
    </row>
    <row r="1470" spans="10:21">
      <c r="J1470" s="580">
        <v>41548</v>
      </c>
      <c r="K1470" s="581">
        <v>0.98611111111111116</v>
      </c>
      <c r="L1470" s="582">
        <v>10.0235</v>
      </c>
      <c r="M1470" s="582">
        <v>10.0375</v>
      </c>
      <c r="N1470" s="582">
        <v>10.0451</v>
      </c>
      <c r="O1470" s="582">
        <v>10.0588</v>
      </c>
      <c r="P1470" s="582">
        <v>98.457599999999999</v>
      </c>
      <c r="Q1470" s="582">
        <f t="shared" si="161"/>
        <v>10.067234532821074</v>
      </c>
      <c r="R1470" s="582">
        <f t="shared" si="162"/>
        <v>0</v>
      </c>
      <c r="S1470" s="582">
        <f t="shared" si="160"/>
        <v>0.62026546717892628</v>
      </c>
      <c r="T1470" s="582">
        <f t="shared" si="163"/>
        <v>0.16786546717892625</v>
      </c>
      <c r="U1470" s="582">
        <f t="shared" si="164"/>
        <v>0.2615654671789262</v>
      </c>
    </row>
    <row r="1471" spans="10:21">
      <c r="J1471" s="580">
        <v>41549</v>
      </c>
      <c r="K1471" s="581">
        <v>0.98611111111111116</v>
      </c>
      <c r="L1471" s="582">
        <v>10.037100000000001</v>
      </c>
      <c r="M1471" s="582">
        <v>10.048999999999999</v>
      </c>
      <c r="N1471" s="582">
        <v>10.056900000000001</v>
      </c>
      <c r="O1471" s="582">
        <v>10.0693</v>
      </c>
      <c r="P1471" s="582">
        <v>98.581400000000002</v>
      </c>
      <c r="Q1471" s="582">
        <f t="shared" si="161"/>
        <v>10.07989301357993</v>
      </c>
      <c r="R1471" s="582">
        <f t="shared" si="162"/>
        <v>0</v>
      </c>
      <c r="S1471" s="582">
        <f t="shared" si="160"/>
        <v>0.61910698642006934</v>
      </c>
      <c r="T1471" s="582">
        <f t="shared" si="163"/>
        <v>0.16700698642007039</v>
      </c>
      <c r="U1471" s="582">
        <f t="shared" si="164"/>
        <v>0.25940698642006982</v>
      </c>
    </row>
    <row r="1472" spans="10:21">
      <c r="J1472" s="580">
        <v>41550</v>
      </c>
      <c r="K1472" s="581">
        <v>0.98611111111111116</v>
      </c>
      <c r="L1472" s="582">
        <v>10.040699999999999</v>
      </c>
      <c r="M1472" s="582">
        <v>10.0527</v>
      </c>
      <c r="N1472" s="582">
        <v>10.060600000000001</v>
      </c>
      <c r="O1472" s="582">
        <v>10.072900000000001</v>
      </c>
      <c r="P1472" s="582">
        <v>98.602199999999996</v>
      </c>
      <c r="Q1472" s="582">
        <f t="shared" si="161"/>
        <v>10.082019801946522</v>
      </c>
      <c r="R1472" s="582">
        <f t="shared" si="162"/>
        <v>0</v>
      </c>
      <c r="S1472" s="582">
        <f t="shared" si="160"/>
        <v>0.62068019805347752</v>
      </c>
      <c r="T1472" s="582">
        <f t="shared" si="163"/>
        <v>0.16858019805347857</v>
      </c>
      <c r="U1472" s="582">
        <f t="shared" si="164"/>
        <v>0.26088019805347823</v>
      </c>
    </row>
    <row r="1473" spans="10:21">
      <c r="J1473" s="580">
        <v>41551</v>
      </c>
      <c r="K1473" s="581">
        <v>0.98611111111111116</v>
      </c>
      <c r="L1473" s="582">
        <v>10.0527</v>
      </c>
      <c r="M1473" s="582">
        <v>10.0641</v>
      </c>
      <c r="N1473" s="582">
        <v>10.072100000000001</v>
      </c>
      <c r="O1473" s="582">
        <v>10.0844</v>
      </c>
      <c r="P1473" s="582">
        <v>98.731099999999998</v>
      </c>
      <c r="Q1473" s="582">
        <f t="shared" si="161"/>
        <v>10.095199754852958</v>
      </c>
      <c r="R1473" s="582">
        <f t="shared" si="162"/>
        <v>0</v>
      </c>
      <c r="S1473" s="582">
        <f t="shared" si="160"/>
        <v>0.61890024514704201</v>
      </c>
      <c r="T1473" s="582">
        <f t="shared" si="163"/>
        <v>0.16690024514704282</v>
      </c>
      <c r="U1473" s="582">
        <f t="shared" si="164"/>
        <v>0.25920024514704249</v>
      </c>
    </row>
    <row r="1474" spans="10:21">
      <c r="J1474" s="580">
        <v>41552</v>
      </c>
      <c r="K1474" s="581">
        <v>0.98611111111111116</v>
      </c>
      <c r="L1474" s="582">
        <v>10.0451</v>
      </c>
      <c r="M1474" s="582">
        <v>10.055199999999999</v>
      </c>
      <c r="N1474" s="582">
        <v>10.063700000000001</v>
      </c>
      <c r="O1474" s="582">
        <v>10.077299999999999</v>
      </c>
      <c r="P1474" s="582">
        <v>98.652199999999993</v>
      </c>
      <c r="Q1474" s="582">
        <f t="shared" si="161"/>
        <v>10.087132273981602</v>
      </c>
      <c r="R1474" s="582">
        <f t="shared" si="162"/>
        <v>0</v>
      </c>
      <c r="S1474" s="582">
        <f t="shared" si="160"/>
        <v>0.6180677260183971</v>
      </c>
      <c r="T1474" s="582">
        <f t="shared" si="163"/>
        <v>0.16656772601839853</v>
      </c>
      <c r="U1474" s="582">
        <f t="shared" si="164"/>
        <v>0.26016772601839694</v>
      </c>
    </row>
    <row r="1475" spans="10:21">
      <c r="J1475" s="580">
        <v>41553</v>
      </c>
      <c r="K1475" s="581">
        <v>0.98611111111111116</v>
      </c>
      <c r="L1475" s="582">
        <v>10.0441</v>
      </c>
      <c r="M1475" s="582">
        <v>10.055300000000001</v>
      </c>
      <c r="N1475" s="582">
        <v>10.063599999999999</v>
      </c>
      <c r="O1475" s="582">
        <v>10.077</v>
      </c>
      <c r="P1475" s="582">
        <v>98.651200000000003</v>
      </c>
      <c r="Q1475" s="582">
        <f t="shared" si="161"/>
        <v>10.087030024540901</v>
      </c>
      <c r="R1475" s="582">
        <f t="shared" si="162"/>
        <v>0</v>
      </c>
      <c r="S1475" s="582">
        <f t="shared" si="160"/>
        <v>0.61826997545909967</v>
      </c>
      <c r="T1475" s="582">
        <f t="shared" si="163"/>
        <v>0.16656997545909802</v>
      </c>
      <c r="U1475" s="582">
        <f t="shared" si="164"/>
        <v>0.25996997545909867</v>
      </c>
    </row>
    <row r="1476" spans="10:21">
      <c r="J1476" s="580">
        <v>41554</v>
      </c>
      <c r="K1476" s="581">
        <v>0.98611111111111116</v>
      </c>
      <c r="L1476" s="582">
        <v>10.0511</v>
      </c>
      <c r="M1476" s="582">
        <v>10.0627</v>
      </c>
      <c r="N1476" s="582">
        <v>10.0695</v>
      </c>
      <c r="O1476" s="582">
        <v>10.0844</v>
      </c>
      <c r="P1476" s="582">
        <v>98.722099999999998</v>
      </c>
      <c r="Q1476" s="582">
        <f t="shared" si="161"/>
        <v>10.094279509886643</v>
      </c>
      <c r="R1476" s="582">
        <f t="shared" si="162"/>
        <v>0</v>
      </c>
      <c r="S1476" s="582">
        <f t="shared" si="160"/>
        <v>0.61842049011335631</v>
      </c>
      <c r="T1476" s="582">
        <f t="shared" si="163"/>
        <v>0.16522049011335638</v>
      </c>
      <c r="U1476" s="582">
        <f t="shared" si="164"/>
        <v>0.26012049011335708</v>
      </c>
    </row>
    <row r="1477" spans="10:21">
      <c r="J1477" s="580">
        <v>41555</v>
      </c>
      <c r="K1477" s="581">
        <v>0.98611111111111116</v>
      </c>
      <c r="L1477" s="582">
        <v>10.0532</v>
      </c>
      <c r="M1477" s="582">
        <v>10.0664</v>
      </c>
      <c r="N1477" s="582">
        <v>10.0722</v>
      </c>
      <c r="O1477" s="582">
        <v>10.0869</v>
      </c>
      <c r="P1477" s="582">
        <v>98.765000000000001</v>
      </c>
      <c r="Q1477" s="582">
        <f t="shared" si="161"/>
        <v>10.098666010892742</v>
      </c>
      <c r="R1477" s="582">
        <f t="shared" si="162"/>
        <v>0</v>
      </c>
      <c r="S1477" s="582">
        <f t="shared" si="160"/>
        <v>0.61773398910725752</v>
      </c>
      <c r="T1477" s="582">
        <f t="shared" si="163"/>
        <v>0.16353398910725814</v>
      </c>
      <c r="U1477" s="582">
        <f t="shared" si="164"/>
        <v>0.25823398910725753</v>
      </c>
    </row>
    <row r="1478" spans="10:21">
      <c r="J1478" s="580">
        <v>41556</v>
      </c>
      <c r="K1478" s="581">
        <v>0.98611111111111116</v>
      </c>
      <c r="L1478" s="582">
        <v>10.045999999999999</v>
      </c>
      <c r="M1478" s="582">
        <v>10.0603</v>
      </c>
      <c r="N1478" s="582">
        <v>10.066599999999999</v>
      </c>
      <c r="O1478" s="582">
        <v>10.0802</v>
      </c>
      <c r="P1478" s="582">
        <v>98.696799999999996</v>
      </c>
      <c r="Q1478" s="582">
        <f t="shared" si="161"/>
        <v>10.091692599036893</v>
      </c>
      <c r="R1478" s="582">
        <f t="shared" si="162"/>
        <v>0</v>
      </c>
      <c r="S1478" s="582">
        <f t="shared" si="160"/>
        <v>0.61860740096310685</v>
      </c>
      <c r="T1478" s="582">
        <f t="shared" si="163"/>
        <v>0.1649074009631063</v>
      </c>
      <c r="U1478" s="582">
        <f t="shared" si="164"/>
        <v>0.25850740096310648</v>
      </c>
    </row>
    <row r="1479" spans="10:21">
      <c r="J1479" s="580">
        <v>41557</v>
      </c>
      <c r="K1479" s="581">
        <v>0.98611111111111116</v>
      </c>
      <c r="L1479" s="582">
        <v>10.0518</v>
      </c>
      <c r="M1479" s="582">
        <v>10.0665</v>
      </c>
      <c r="N1479" s="582">
        <v>10.072699999999999</v>
      </c>
      <c r="O1479" s="582">
        <v>10.084899999999999</v>
      </c>
      <c r="P1479" s="582">
        <v>98.750799999999998</v>
      </c>
      <c r="Q1479" s="582">
        <f t="shared" si="161"/>
        <v>10.097214068834779</v>
      </c>
      <c r="R1479" s="582">
        <f t="shared" si="162"/>
        <v>0</v>
      </c>
      <c r="S1479" s="582">
        <f t="shared" si="160"/>
        <v>0.61928593116522079</v>
      </c>
      <c r="T1479" s="582">
        <f t="shared" si="163"/>
        <v>0.16548593116522048</v>
      </c>
      <c r="U1479" s="582">
        <f t="shared" si="164"/>
        <v>0.25768593116522037</v>
      </c>
    </row>
    <row r="1480" spans="10:21">
      <c r="J1480" s="580">
        <v>41558</v>
      </c>
      <c r="K1480" s="581">
        <v>0.98611111111111116</v>
      </c>
      <c r="L1480" s="582">
        <v>10.0318</v>
      </c>
      <c r="M1480" s="582">
        <v>10.0458</v>
      </c>
      <c r="N1480" s="582">
        <v>10.0517</v>
      </c>
      <c r="O1480" s="582">
        <v>10.064</v>
      </c>
      <c r="P1480" s="582">
        <v>98.548299999999998</v>
      </c>
      <c r="Q1480" s="582">
        <f t="shared" si="161"/>
        <v>10.076508557092707</v>
      </c>
      <c r="R1480" s="582">
        <f t="shared" si="162"/>
        <v>0</v>
      </c>
      <c r="S1480" s="582">
        <f t="shared" si="160"/>
        <v>0.61929144290729332</v>
      </c>
      <c r="T1480" s="582">
        <f t="shared" si="163"/>
        <v>0.16519144290729371</v>
      </c>
      <c r="U1480" s="582">
        <f t="shared" si="164"/>
        <v>0.25749144290729337</v>
      </c>
    </row>
    <row r="1481" spans="10:21">
      <c r="J1481" s="580">
        <v>41559</v>
      </c>
      <c r="K1481" s="581">
        <v>0.98611111111111116</v>
      </c>
      <c r="L1481" s="582">
        <v>10.022600000000001</v>
      </c>
      <c r="M1481" s="582">
        <v>10.0342</v>
      </c>
      <c r="N1481" s="582">
        <v>10.0428</v>
      </c>
      <c r="O1481" s="582">
        <v>10.0541</v>
      </c>
      <c r="P1481" s="582">
        <v>98.411199999999994</v>
      </c>
      <c r="Q1481" s="582">
        <f t="shared" si="161"/>
        <v>10.062490158772519</v>
      </c>
      <c r="R1481" s="582">
        <f t="shared" si="162"/>
        <v>0</v>
      </c>
      <c r="S1481" s="582">
        <f t="shared" si="160"/>
        <v>0.6217098412274813</v>
      </c>
      <c r="T1481" s="582">
        <f t="shared" si="163"/>
        <v>0.17030984122748072</v>
      </c>
      <c r="U1481" s="582">
        <f t="shared" si="164"/>
        <v>0.26160984122748093</v>
      </c>
    </row>
    <row r="1482" spans="10:21">
      <c r="J1482" s="580">
        <v>41560</v>
      </c>
      <c r="K1482" s="581">
        <v>0.98611111111111116</v>
      </c>
      <c r="L1482" s="582">
        <v>10.0303</v>
      </c>
      <c r="M1482" s="582">
        <v>10.0427</v>
      </c>
      <c r="N1482" s="582">
        <v>10.051</v>
      </c>
      <c r="O1482" s="582">
        <v>10.064500000000001</v>
      </c>
      <c r="P1482" s="582">
        <v>98.520899999999997</v>
      </c>
      <c r="Q1482" s="582">
        <f t="shared" si="161"/>
        <v>10.073706922417484</v>
      </c>
      <c r="R1482" s="582">
        <f t="shared" si="162"/>
        <v>0</v>
      </c>
      <c r="S1482" s="582">
        <f t="shared" si="160"/>
        <v>0.61899307758251587</v>
      </c>
      <c r="T1482" s="582">
        <f t="shared" si="163"/>
        <v>0.16729307758251599</v>
      </c>
      <c r="U1482" s="582">
        <f t="shared" si="164"/>
        <v>0.26079307758251641</v>
      </c>
    </row>
    <row r="1483" spans="10:21">
      <c r="J1483" s="580">
        <v>41561</v>
      </c>
      <c r="K1483" s="581">
        <v>0.98611111111111116</v>
      </c>
      <c r="L1483" s="582">
        <v>10.0474</v>
      </c>
      <c r="M1483" s="582">
        <v>10.0587</v>
      </c>
      <c r="N1483" s="582">
        <v>10.0677</v>
      </c>
      <c r="O1483" s="582">
        <v>10.079700000000001</v>
      </c>
      <c r="P1483" s="582">
        <v>98.682400000000001</v>
      </c>
      <c r="Q1483" s="582">
        <f t="shared" si="161"/>
        <v>10.090220207090791</v>
      </c>
      <c r="R1483" s="582">
        <f t="shared" si="162"/>
        <v>0</v>
      </c>
      <c r="S1483" s="582">
        <f t="shared" si="160"/>
        <v>0.61847979290920896</v>
      </c>
      <c r="T1483" s="582">
        <f t="shared" si="163"/>
        <v>0.16747979290920922</v>
      </c>
      <c r="U1483" s="582">
        <f t="shared" si="164"/>
        <v>0.25947979290920958</v>
      </c>
    </row>
    <row r="1484" spans="10:21">
      <c r="J1484" s="580">
        <v>41562</v>
      </c>
      <c r="K1484" s="581">
        <v>0.98611111111111116</v>
      </c>
      <c r="L1484" s="582">
        <v>12.6225</v>
      </c>
      <c r="M1484" s="582">
        <v>12.4032</v>
      </c>
      <c r="N1484" s="582">
        <v>13.057399999999999</v>
      </c>
      <c r="O1484" s="582">
        <v>12.9938</v>
      </c>
      <c r="P1484" s="582">
        <v>98.756399999999999</v>
      </c>
      <c r="Q1484" s="582">
        <f t="shared" si="161"/>
        <v>10.097786665702708</v>
      </c>
      <c r="R1484" s="582">
        <f t="shared" si="162"/>
        <v>2.3397133342972922</v>
      </c>
      <c r="S1484" s="582">
        <f t="shared" si="160"/>
        <v>2.9554133342972921</v>
      </c>
      <c r="T1484" s="582">
        <f t="shared" si="163"/>
        <v>3.1496133342972916</v>
      </c>
      <c r="U1484" s="582">
        <f t="shared" si="164"/>
        <v>3.1660133342972916</v>
      </c>
    </row>
    <row r="1485" spans="10:21">
      <c r="J1485" s="580">
        <v>41563</v>
      </c>
      <c r="K1485" s="581">
        <v>0.98611111111111116</v>
      </c>
      <c r="L1485" s="582">
        <v>13.266400000000001</v>
      </c>
      <c r="M1485" s="582">
        <v>12.619</v>
      </c>
      <c r="N1485" s="582">
        <v>13.3041</v>
      </c>
      <c r="O1485" s="582">
        <v>13.2536</v>
      </c>
      <c r="P1485" s="582">
        <v>98.751300000000001</v>
      </c>
      <c r="Q1485" s="582">
        <f t="shared" si="161"/>
        <v>10.097265193555131</v>
      </c>
      <c r="R1485" s="582">
        <f t="shared" si="162"/>
        <v>2.9841348064448696</v>
      </c>
      <c r="S1485" s="582">
        <f t="shared" si="160"/>
        <v>3.1717348064448689</v>
      </c>
      <c r="T1485" s="582">
        <f t="shared" si="163"/>
        <v>3.3968348064448692</v>
      </c>
      <c r="U1485" s="582">
        <f t="shared" si="164"/>
        <v>3.4263348064448689</v>
      </c>
    </row>
    <row r="1486" spans="10:21">
      <c r="J1486" s="580">
        <v>41564</v>
      </c>
      <c r="K1486" s="581">
        <v>0.98611111111111116</v>
      </c>
      <c r="L1486" s="582">
        <v>13.314399999999999</v>
      </c>
      <c r="M1486" s="582">
        <v>12.7254</v>
      </c>
      <c r="N1486" s="582">
        <v>13.5061</v>
      </c>
      <c r="O1486" s="582">
        <v>13.3247</v>
      </c>
      <c r="P1486" s="582">
        <v>98.783500000000004</v>
      </c>
      <c r="Q1486" s="582">
        <f t="shared" si="161"/>
        <v>10.100557625545722</v>
      </c>
      <c r="R1486" s="582">
        <f t="shared" si="162"/>
        <v>3.028842374454277</v>
      </c>
      <c r="S1486" s="582">
        <f t="shared" si="160"/>
        <v>3.2748423744542787</v>
      </c>
      <c r="T1486" s="582">
        <f t="shared" si="163"/>
        <v>3.5955423744542783</v>
      </c>
      <c r="U1486" s="582">
        <f t="shared" si="164"/>
        <v>3.4941423744542774</v>
      </c>
    </row>
    <row r="1487" spans="10:21">
      <c r="J1487" s="580">
        <v>41565</v>
      </c>
      <c r="K1487" s="581">
        <v>0.98611111111111116</v>
      </c>
      <c r="L1487" s="582">
        <v>13.471500000000001</v>
      </c>
      <c r="M1487" s="582">
        <v>12.7896</v>
      </c>
      <c r="N1487" s="582">
        <v>13.6317</v>
      </c>
      <c r="O1487" s="582">
        <v>13.4038</v>
      </c>
      <c r="P1487" s="582">
        <v>98.841700000000003</v>
      </c>
      <c r="Q1487" s="582">
        <f t="shared" si="161"/>
        <v>10.106508542994554</v>
      </c>
      <c r="R1487" s="582">
        <f t="shared" si="162"/>
        <v>3.1799914570054466</v>
      </c>
      <c r="S1487" s="582">
        <f t="shared" si="160"/>
        <v>3.3330914570054464</v>
      </c>
      <c r="T1487" s="582">
        <f t="shared" si="163"/>
        <v>3.7151914570054467</v>
      </c>
      <c r="U1487" s="582">
        <f t="shared" si="164"/>
        <v>3.5672914570054459</v>
      </c>
    </row>
    <row r="1488" spans="10:21">
      <c r="J1488" s="580">
        <v>41566</v>
      </c>
      <c r="K1488" s="581">
        <v>0.98611111111111116</v>
      </c>
      <c r="L1488" s="582">
        <v>13.473800000000001</v>
      </c>
      <c r="M1488" s="582">
        <v>12.8637</v>
      </c>
      <c r="N1488" s="582">
        <v>13.8688</v>
      </c>
      <c r="O1488" s="582">
        <v>13.523300000000001</v>
      </c>
      <c r="P1488" s="582">
        <v>98.937299999999993</v>
      </c>
      <c r="Q1488" s="582">
        <f t="shared" si="161"/>
        <v>10.116283589525626</v>
      </c>
      <c r="R1488" s="582">
        <f t="shared" si="162"/>
        <v>3.1725164104743748</v>
      </c>
      <c r="S1488" s="582">
        <f t="shared" si="160"/>
        <v>3.3974164104743743</v>
      </c>
      <c r="T1488" s="582">
        <f t="shared" si="163"/>
        <v>3.9425164104743748</v>
      </c>
      <c r="U1488" s="582">
        <f t="shared" si="164"/>
        <v>3.6770164104743746</v>
      </c>
    </row>
    <row r="1489" spans="10:21">
      <c r="J1489" s="580">
        <v>41567</v>
      </c>
      <c r="K1489" s="581">
        <v>0.98611111111111116</v>
      </c>
      <c r="L1489" s="582">
        <v>13.3972</v>
      </c>
      <c r="M1489" s="582">
        <v>12.852</v>
      </c>
      <c r="N1489" s="582">
        <v>13.9611</v>
      </c>
      <c r="O1489" s="582">
        <v>13.305199999999999</v>
      </c>
      <c r="P1489" s="582">
        <v>98.591999999999999</v>
      </c>
      <c r="Q1489" s="582">
        <f t="shared" si="161"/>
        <v>10.080976857651367</v>
      </c>
      <c r="R1489" s="582">
        <f t="shared" si="162"/>
        <v>3.1312231423486332</v>
      </c>
      <c r="S1489" s="582">
        <f t="shared" si="160"/>
        <v>3.4210231423486341</v>
      </c>
      <c r="T1489" s="582">
        <f t="shared" si="163"/>
        <v>4.0701231423486339</v>
      </c>
      <c r="U1489" s="582">
        <f t="shared" si="164"/>
        <v>3.4942231423486323</v>
      </c>
    </row>
    <row r="1490" spans="10:21">
      <c r="J1490" s="580">
        <v>41568</v>
      </c>
      <c r="K1490" s="581">
        <v>0.98611111111111116</v>
      </c>
      <c r="L1490" s="582">
        <v>13.331</v>
      </c>
      <c r="M1490" s="582">
        <v>12.817500000000001</v>
      </c>
      <c r="N1490" s="582">
        <v>13.906000000000001</v>
      </c>
      <c r="O1490" s="582">
        <v>13.292999999999999</v>
      </c>
      <c r="P1490" s="582">
        <v>98.375100000000003</v>
      </c>
      <c r="Q1490" s="582">
        <f t="shared" si="161"/>
        <v>10.058798953963192</v>
      </c>
      <c r="R1490" s="582">
        <f t="shared" si="162"/>
        <v>3.0872010460368071</v>
      </c>
      <c r="S1490" s="582">
        <f t="shared" si="160"/>
        <v>3.4087010460368088</v>
      </c>
      <c r="T1490" s="582">
        <f t="shared" si="163"/>
        <v>4.0372010460368086</v>
      </c>
      <c r="U1490" s="582">
        <f t="shared" si="164"/>
        <v>3.5042010460368065</v>
      </c>
    </row>
    <row r="1491" spans="10:21">
      <c r="J1491" s="580">
        <v>41569</v>
      </c>
      <c r="K1491" s="581">
        <v>0.98611111111111116</v>
      </c>
      <c r="L1491" s="582">
        <v>13.285</v>
      </c>
      <c r="M1491" s="582">
        <v>12.798299999999999</v>
      </c>
      <c r="N1491" s="582">
        <v>13.8538</v>
      </c>
      <c r="O1491" s="582">
        <v>13.257099999999999</v>
      </c>
      <c r="P1491" s="582">
        <v>98.348699999999994</v>
      </c>
      <c r="Q1491" s="582">
        <f t="shared" si="161"/>
        <v>10.056099568728669</v>
      </c>
      <c r="R1491" s="582">
        <f t="shared" si="162"/>
        <v>3.0439004312713309</v>
      </c>
      <c r="S1491" s="582">
        <f t="shared" si="160"/>
        <v>3.3922004312713305</v>
      </c>
      <c r="T1491" s="582">
        <f t="shared" si="163"/>
        <v>3.9877004312713309</v>
      </c>
      <c r="U1491" s="582">
        <f t="shared" si="164"/>
        <v>3.4710004312713298</v>
      </c>
    </row>
    <row r="1492" spans="10:21">
      <c r="J1492" s="580">
        <v>41570</v>
      </c>
      <c r="K1492" s="581">
        <v>0.98611111111111116</v>
      </c>
      <c r="L1492" s="582">
        <v>13.2499</v>
      </c>
      <c r="M1492" s="582">
        <v>12.785500000000001</v>
      </c>
      <c r="N1492" s="582">
        <v>13.810700000000001</v>
      </c>
      <c r="O1492" s="582">
        <v>13.2333</v>
      </c>
      <c r="P1492" s="582">
        <v>98.422300000000007</v>
      </c>
      <c r="Q1492" s="582">
        <f t="shared" si="161"/>
        <v>10.063625127564308</v>
      </c>
      <c r="R1492" s="582">
        <f t="shared" si="162"/>
        <v>3.0012748724356926</v>
      </c>
      <c r="S1492" s="582">
        <f t="shared" si="160"/>
        <v>3.3718748724356935</v>
      </c>
      <c r="T1492" s="582">
        <f t="shared" si="163"/>
        <v>3.9370748724356934</v>
      </c>
      <c r="U1492" s="582">
        <f t="shared" si="164"/>
        <v>3.4396748724356918</v>
      </c>
    </row>
    <row r="1493" spans="10:21">
      <c r="J1493" s="580">
        <v>41571</v>
      </c>
      <c r="K1493" s="581">
        <v>0.98611111111111116</v>
      </c>
      <c r="L1493" s="582">
        <v>13.2082</v>
      </c>
      <c r="M1493" s="582">
        <v>12.761799999999999</v>
      </c>
      <c r="N1493" s="582">
        <v>13.7545</v>
      </c>
      <c r="O1493" s="582">
        <v>13.211399999999999</v>
      </c>
      <c r="P1493" s="582">
        <v>98.396299999999997</v>
      </c>
      <c r="Q1493" s="582">
        <f t="shared" si="161"/>
        <v>10.060966642106065</v>
      </c>
      <c r="R1493" s="582">
        <f t="shared" si="162"/>
        <v>2.9622333578939348</v>
      </c>
      <c r="S1493" s="582">
        <f t="shared" si="160"/>
        <v>3.3508333578939347</v>
      </c>
      <c r="T1493" s="582">
        <f t="shared" si="163"/>
        <v>3.8835333578939357</v>
      </c>
      <c r="U1493" s="582">
        <f t="shared" si="164"/>
        <v>3.4204333578939341</v>
      </c>
    </row>
    <row r="1494" spans="10:21">
      <c r="J1494" s="580">
        <v>41572</v>
      </c>
      <c r="K1494" s="581">
        <v>0.98611111111111116</v>
      </c>
      <c r="L1494" s="582">
        <v>13.1678</v>
      </c>
      <c r="M1494" s="582">
        <v>12.747999999999999</v>
      </c>
      <c r="N1494" s="582">
        <v>13.704599999999999</v>
      </c>
      <c r="O1494" s="582">
        <v>13.204700000000001</v>
      </c>
      <c r="P1494" s="582">
        <v>98.447100000000006</v>
      </c>
      <c r="Q1494" s="582">
        <f t="shared" si="161"/>
        <v>10.066160913693707</v>
      </c>
      <c r="R1494" s="582">
        <f t="shared" si="162"/>
        <v>2.9166390863062923</v>
      </c>
      <c r="S1494" s="582">
        <f t="shared" si="160"/>
        <v>3.3318390863062923</v>
      </c>
      <c r="T1494" s="582">
        <f t="shared" si="163"/>
        <v>3.8284390863062923</v>
      </c>
      <c r="U1494" s="582">
        <f t="shared" si="164"/>
        <v>3.408539086306293</v>
      </c>
    </row>
    <row r="1495" spans="10:21">
      <c r="J1495" s="580">
        <v>41573</v>
      </c>
      <c r="K1495" s="581">
        <v>0.98611111111111116</v>
      </c>
      <c r="L1495" s="582">
        <v>13.1541</v>
      </c>
      <c r="M1495" s="582">
        <v>12.754200000000001</v>
      </c>
      <c r="N1495" s="582">
        <v>13.690200000000001</v>
      </c>
      <c r="O1495" s="582">
        <v>13.208600000000001</v>
      </c>
      <c r="P1495" s="582">
        <v>98.690799999999996</v>
      </c>
      <c r="Q1495" s="582">
        <f t="shared" si="161"/>
        <v>10.091079102392683</v>
      </c>
      <c r="R1495" s="582">
        <f t="shared" si="162"/>
        <v>2.8780208976073163</v>
      </c>
      <c r="S1495" s="582">
        <f t="shared" si="160"/>
        <v>3.3131208976073179</v>
      </c>
      <c r="T1495" s="582">
        <f t="shared" si="163"/>
        <v>3.7891208976073179</v>
      </c>
      <c r="U1495" s="582">
        <f t="shared" si="164"/>
        <v>3.3875208976073168</v>
      </c>
    </row>
    <row r="1496" spans="10:21">
      <c r="J1496" s="580">
        <v>41574</v>
      </c>
      <c r="K1496" s="581">
        <v>0.98611111111111116</v>
      </c>
      <c r="L1496" s="582">
        <v>13.123900000000001</v>
      </c>
      <c r="M1496" s="582">
        <v>12.741300000000001</v>
      </c>
      <c r="N1496" s="582">
        <v>13.645200000000001</v>
      </c>
      <c r="O1496" s="582">
        <v>13.193199999999999</v>
      </c>
      <c r="P1496" s="582">
        <v>98.767300000000006</v>
      </c>
      <c r="Q1496" s="582">
        <f t="shared" si="161"/>
        <v>10.098901184606357</v>
      </c>
      <c r="R1496" s="582">
        <f t="shared" si="162"/>
        <v>2.8399988153936442</v>
      </c>
      <c r="S1496" s="582">
        <f t="shared" si="160"/>
        <v>3.2923988153936445</v>
      </c>
      <c r="T1496" s="582">
        <f t="shared" si="163"/>
        <v>3.7362988153936447</v>
      </c>
      <c r="U1496" s="582">
        <f t="shared" si="164"/>
        <v>3.3642988153936422</v>
      </c>
    </row>
    <row r="1497" spans="10:21">
      <c r="J1497" s="580">
        <v>41575</v>
      </c>
      <c r="K1497" s="581">
        <v>0.98611111111111116</v>
      </c>
      <c r="L1497" s="582">
        <v>13.096</v>
      </c>
      <c r="M1497" s="582">
        <v>12.734</v>
      </c>
      <c r="N1497" s="582">
        <v>13.6111</v>
      </c>
      <c r="O1497" s="582">
        <v>13.1799</v>
      </c>
      <c r="P1497" s="582">
        <v>98.897599999999997</v>
      </c>
      <c r="Q1497" s="582">
        <f t="shared" si="161"/>
        <v>10.112224286729774</v>
      </c>
      <c r="R1497" s="582">
        <f t="shared" si="162"/>
        <v>2.7987757132702265</v>
      </c>
      <c r="S1497" s="582">
        <f t="shared" si="160"/>
        <v>3.2717757132702268</v>
      </c>
      <c r="T1497" s="582">
        <f t="shared" si="163"/>
        <v>3.6888757132702272</v>
      </c>
      <c r="U1497" s="582">
        <f t="shared" si="164"/>
        <v>3.3376757132702259</v>
      </c>
    </row>
    <row r="1498" spans="10:21">
      <c r="J1498" s="580">
        <v>41576</v>
      </c>
      <c r="K1498" s="581">
        <v>0.98611111111111116</v>
      </c>
      <c r="L1498" s="582">
        <v>13.0679</v>
      </c>
      <c r="M1498" s="582">
        <v>12.724500000000001</v>
      </c>
      <c r="N1498" s="582">
        <v>13.5924</v>
      </c>
      <c r="O1498" s="582">
        <v>13.170299999999999</v>
      </c>
      <c r="P1498" s="582">
        <v>98.982799999999997</v>
      </c>
      <c r="Q1498" s="582">
        <f t="shared" si="161"/>
        <v>10.120935939077549</v>
      </c>
      <c r="R1498" s="582">
        <f t="shared" si="162"/>
        <v>2.7619640609224505</v>
      </c>
      <c r="S1498" s="582">
        <f t="shared" si="160"/>
        <v>3.2535640609224519</v>
      </c>
      <c r="T1498" s="582">
        <f t="shared" si="163"/>
        <v>3.6614640609224507</v>
      </c>
      <c r="U1498" s="582">
        <f t="shared" si="164"/>
        <v>3.3193640609224495</v>
      </c>
    </row>
    <row r="1499" spans="10:21">
      <c r="J1499" s="580">
        <v>41577</v>
      </c>
      <c r="K1499" s="581">
        <v>0.98611111111111116</v>
      </c>
      <c r="L1499" s="582">
        <v>13.0307</v>
      </c>
      <c r="M1499" s="582">
        <v>12.7052</v>
      </c>
      <c r="N1499" s="582">
        <v>13.548400000000001</v>
      </c>
      <c r="O1499" s="582">
        <v>13.153499999999999</v>
      </c>
      <c r="P1499" s="582">
        <v>98.997500000000002</v>
      </c>
      <c r="Q1499" s="582">
        <f t="shared" si="161"/>
        <v>10.122439005855863</v>
      </c>
      <c r="R1499" s="582">
        <f t="shared" si="162"/>
        <v>2.7232609941441361</v>
      </c>
      <c r="S1499" s="582">
        <f t="shared" si="160"/>
        <v>3.2327609941441366</v>
      </c>
      <c r="T1499" s="582">
        <f t="shared" si="163"/>
        <v>3.615960994144138</v>
      </c>
      <c r="U1499" s="582">
        <f t="shared" si="164"/>
        <v>3.3010609941441356</v>
      </c>
    </row>
    <row r="1500" spans="10:21">
      <c r="J1500" s="580">
        <v>41578</v>
      </c>
      <c r="K1500" s="581">
        <v>0.98611111111111116</v>
      </c>
      <c r="L1500" s="582">
        <v>13.003399999999999</v>
      </c>
      <c r="M1500" s="582">
        <v>12.684799999999999</v>
      </c>
      <c r="N1500" s="582">
        <v>13.497</v>
      </c>
      <c r="O1500" s="582">
        <v>13.1349</v>
      </c>
      <c r="P1500" s="582">
        <v>98.988299999999995</v>
      </c>
      <c r="Q1500" s="582">
        <f t="shared" si="161"/>
        <v>10.121498311001407</v>
      </c>
      <c r="R1500" s="582">
        <f t="shared" si="162"/>
        <v>2.6969016889985924</v>
      </c>
      <c r="S1500" s="582">
        <f t="shared" si="160"/>
        <v>3.2133016889985928</v>
      </c>
      <c r="T1500" s="582">
        <f t="shared" si="163"/>
        <v>3.5655016889985935</v>
      </c>
      <c r="U1500" s="582">
        <f t="shared" si="164"/>
        <v>3.2834016889985929</v>
      </c>
    </row>
    <row r="1501" spans="10:21">
      <c r="J1501" s="580">
        <v>41579</v>
      </c>
      <c r="K1501" s="581">
        <v>0.98611111111111116</v>
      </c>
      <c r="L1501" s="582">
        <v>12.957800000000001</v>
      </c>
      <c r="M1501" s="582">
        <v>12.657500000000001</v>
      </c>
      <c r="N1501" s="582">
        <v>13.4384</v>
      </c>
      <c r="O1501" s="582">
        <v>13.1069</v>
      </c>
      <c r="P1501" s="582">
        <v>98.911100000000005</v>
      </c>
      <c r="Q1501" s="582">
        <f t="shared" si="161"/>
        <v>10.113604654179245</v>
      </c>
      <c r="R1501" s="582">
        <f t="shared" si="162"/>
        <v>2.659195345820756</v>
      </c>
      <c r="S1501" s="582">
        <f t="shared" si="160"/>
        <v>3.1938953458207564</v>
      </c>
      <c r="T1501" s="582">
        <f t="shared" si="163"/>
        <v>3.5147953458207555</v>
      </c>
      <c r="U1501" s="582">
        <f t="shared" si="164"/>
        <v>3.2632953458207545</v>
      </c>
    </row>
    <row r="1502" spans="10:21">
      <c r="J1502" s="580">
        <v>41580</v>
      </c>
      <c r="K1502" s="581">
        <v>0.98611111111111116</v>
      </c>
      <c r="L1502" s="582">
        <v>12.923</v>
      </c>
      <c r="M1502" s="582">
        <v>12.6404</v>
      </c>
      <c r="N1502" s="582">
        <v>13.4048</v>
      </c>
      <c r="O1502" s="582">
        <v>13.088100000000001</v>
      </c>
      <c r="P1502" s="582">
        <v>98.899799999999999</v>
      </c>
      <c r="Q1502" s="582">
        <f t="shared" si="161"/>
        <v>10.112449235499318</v>
      </c>
      <c r="R1502" s="582">
        <f t="shared" si="162"/>
        <v>2.6255507645006824</v>
      </c>
      <c r="S1502" s="582">
        <f t="shared" si="160"/>
        <v>3.1779507645006824</v>
      </c>
      <c r="T1502" s="582">
        <f t="shared" si="163"/>
        <v>3.4823507645006826</v>
      </c>
      <c r="U1502" s="582">
        <f t="shared" si="164"/>
        <v>3.2456507645006827</v>
      </c>
    </row>
    <row r="1503" spans="10:21">
      <c r="J1503" s="580">
        <v>41581</v>
      </c>
      <c r="K1503" s="581">
        <v>0.98611111111111116</v>
      </c>
      <c r="L1503" s="582">
        <v>12.895</v>
      </c>
      <c r="M1503" s="582">
        <v>12.6288</v>
      </c>
      <c r="N1503" s="582">
        <v>13.376899999999999</v>
      </c>
      <c r="O1503" s="582">
        <v>13.075799999999999</v>
      </c>
      <c r="P1503" s="582">
        <v>98.965999999999994</v>
      </c>
      <c r="Q1503" s="582">
        <f t="shared" si="161"/>
        <v>10.119218148473761</v>
      </c>
      <c r="R1503" s="582">
        <f t="shared" si="162"/>
        <v>2.5907818515262382</v>
      </c>
      <c r="S1503" s="582">
        <f t="shared" si="160"/>
        <v>3.159581851526239</v>
      </c>
      <c r="T1503" s="582">
        <f t="shared" si="163"/>
        <v>3.4476818515262382</v>
      </c>
      <c r="U1503" s="582">
        <f t="shared" si="164"/>
        <v>3.2265818515262374</v>
      </c>
    </row>
    <row r="1504" spans="10:21">
      <c r="J1504" s="580">
        <v>41582</v>
      </c>
      <c r="K1504" s="581">
        <v>0.98611111111111116</v>
      </c>
      <c r="L1504" s="582">
        <v>12.9275</v>
      </c>
      <c r="M1504" s="582">
        <v>12.65</v>
      </c>
      <c r="N1504" s="582">
        <v>13.387499999999999</v>
      </c>
      <c r="O1504" s="582">
        <v>13.100899999999999</v>
      </c>
      <c r="P1504" s="582">
        <v>99.093000000000004</v>
      </c>
      <c r="Q1504" s="582">
        <f t="shared" si="161"/>
        <v>10.132203827442865</v>
      </c>
      <c r="R1504" s="582">
        <f t="shared" si="162"/>
        <v>2.6102961725571352</v>
      </c>
      <c r="S1504" s="582">
        <f t="shared" si="160"/>
        <v>3.1677961725571357</v>
      </c>
      <c r="T1504" s="582">
        <f t="shared" si="163"/>
        <v>3.4452961725571347</v>
      </c>
      <c r="U1504" s="582">
        <f t="shared" si="164"/>
        <v>3.2386961725571339</v>
      </c>
    </row>
    <row r="1505" spans="10:21">
      <c r="J1505" s="580">
        <v>41583</v>
      </c>
      <c r="K1505" s="581">
        <v>0.98611111111111116</v>
      </c>
      <c r="L1505" s="582">
        <v>12.913600000000001</v>
      </c>
      <c r="M1505" s="582">
        <v>12.646800000000001</v>
      </c>
      <c r="N1505" s="582">
        <v>13.3591</v>
      </c>
      <c r="O1505" s="582">
        <v>13.0886</v>
      </c>
      <c r="P1505" s="582">
        <v>99.051599999999993</v>
      </c>
      <c r="Q1505" s="582">
        <f t="shared" si="161"/>
        <v>10.127970700597817</v>
      </c>
      <c r="R1505" s="582">
        <f t="shared" si="162"/>
        <v>2.6006292994021831</v>
      </c>
      <c r="S1505" s="582">
        <f t="shared" si="160"/>
        <v>3.1688292994021836</v>
      </c>
      <c r="T1505" s="582">
        <f t="shared" si="163"/>
        <v>3.4211292994021827</v>
      </c>
      <c r="U1505" s="582">
        <f t="shared" si="164"/>
        <v>3.2306292994021817</v>
      </c>
    </row>
    <row r="1506" spans="10:21">
      <c r="J1506" s="580">
        <v>41584</v>
      </c>
      <c r="K1506" s="581">
        <v>0.98611111111111116</v>
      </c>
      <c r="L1506" s="582">
        <v>12.873900000000001</v>
      </c>
      <c r="M1506" s="582">
        <v>12.6203</v>
      </c>
      <c r="N1506" s="582">
        <v>13.319800000000001</v>
      </c>
      <c r="O1506" s="582">
        <v>13.0618</v>
      </c>
      <c r="P1506" s="582">
        <v>98.998800000000003</v>
      </c>
      <c r="Q1506" s="582">
        <f t="shared" si="161"/>
        <v>10.122571930128775</v>
      </c>
      <c r="R1506" s="582">
        <f t="shared" si="162"/>
        <v>2.5663280698712261</v>
      </c>
      <c r="S1506" s="582">
        <f t="shared" si="160"/>
        <v>3.147728069871226</v>
      </c>
      <c r="T1506" s="582">
        <f t="shared" si="163"/>
        <v>3.3872280698712265</v>
      </c>
      <c r="U1506" s="582">
        <f t="shared" si="164"/>
        <v>3.2092280698712248</v>
      </c>
    </row>
    <row r="1507" spans="10:21">
      <c r="J1507" s="580">
        <v>41585</v>
      </c>
      <c r="K1507" s="581">
        <v>0.98611111111111116</v>
      </c>
      <c r="L1507" s="582">
        <v>12.8324</v>
      </c>
      <c r="M1507" s="582">
        <v>12.5959</v>
      </c>
      <c r="N1507" s="582">
        <v>13.2743</v>
      </c>
      <c r="O1507" s="582">
        <v>13.032400000000001</v>
      </c>
      <c r="P1507" s="582">
        <v>98.931899999999999</v>
      </c>
      <c r="Q1507" s="582">
        <f t="shared" si="161"/>
        <v>10.115731442545838</v>
      </c>
      <c r="R1507" s="582">
        <f t="shared" si="162"/>
        <v>2.5316685574541613</v>
      </c>
      <c r="S1507" s="582">
        <f t="shared" ref="S1507:S1538" si="165">M1507-Q1507-$D$9+$E$9</f>
        <v>3.1301685574541622</v>
      </c>
      <c r="T1507" s="582">
        <f t="shared" si="163"/>
        <v>3.3485685574541622</v>
      </c>
      <c r="U1507" s="582">
        <f t="shared" si="164"/>
        <v>3.186668557454162</v>
      </c>
    </row>
    <row r="1508" spans="10:21">
      <c r="J1508" s="580">
        <v>41586</v>
      </c>
      <c r="K1508" s="581">
        <v>0.98611111111111116</v>
      </c>
      <c r="L1508" s="582">
        <v>12.789300000000001</v>
      </c>
      <c r="M1508" s="582">
        <v>12.564299999999999</v>
      </c>
      <c r="N1508" s="582">
        <v>13.222099999999999</v>
      </c>
      <c r="O1508" s="582">
        <v>12.996600000000001</v>
      </c>
      <c r="P1508" s="582">
        <v>98.819000000000003</v>
      </c>
      <c r="Q1508" s="582">
        <f t="shared" si="161"/>
        <v>10.104187480690628</v>
      </c>
      <c r="R1508" s="582">
        <f t="shared" si="162"/>
        <v>2.5001125193093725</v>
      </c>
      <c r="S1508" s="582">
        <f t="shared" si="165"/>
        <v>3.1101125193093715</v>
      </c>
      <c r="T1508" s="582">
        <f t="shared" si="163"/>
        <v>3.3079125193093715</v>
      </c>
      <c r="U1508" s="582">
        <f t="shared" si="164"/>
        <v>3.1624125193093722</v>
      </c>
    </row>
    <row r="1509" spans="10:21">
      <c r="J1509" s="580">
        <v>41587</v>
      </c>
      <c r="K1509" s="581">
        <v>0.98611111111111116</v>
      </c>
      <c r="L1509" s="582">
        <v>12.745100000000001</v>
      </c>
      <c r="M1509" s="582">
        <v>12.539</v>
      </c>
      <c r="N1509" s="582">
        <v>13.175599999999999</v>
      </c>
      <c r="O1509" s="582">
        <v>12.9659</v>
      </c>
      <c r="P1509" s="582">
        <v>98.744699999999995</v>
      </c>
      <c r="Q1509" s="582">
        <f t="shared" si="161"/>
        <v>10.096590347246499</v>
      </c>
      <c r="R1509" s="582">
        <f t="shared" si="162"/>
        <v>2.4635096527535016</v>
      </c>
      <c r="S1509" s="582">
        <f t="shared" si="165"/>
        <v>3.092409652753501</v>
      </c>
      <c r="T1509" s="582">
        <f t="shared" si="163"/>
        <v>3.2690096527535006</v>
      </c>
      <c r="U1509" s="582">
        <f t="shared" si="164"/>
        <v>3.1393096527535</v>
      </c>
    </row>
    <row r="1510" spans="10:21">
      <c r="J1510" s="580">
        <v>41588</v>
      </c>
      <c r="K1510" s="581">
        <v>0.98611111111111116</v>
      </c>
      <c r="L1510" s="582">
        <v>12.711499999999999</v>
      </c>
      <c r="M1510" s="582">
        <v>12.5222</v>
      </c>
      <c r="N1510" s="582">
        <v>13.1396</v>
      </c>
      <c r="O1510" s="582">
        <v>12.943</v>
      </c>
      <c r="P1510" s="582">
        <v>98.7881</v>
      </c>
      <c r="Q1510" s="582">
        <f t="shared" si="161"/>
        <v>10.101027972972949</v>
      </c>
      <c r="R1510" s="582">
        <f t="shared" si="162"/>
        <v>2.4254720270270504</v>
      </c>
      <c r="S1510" s="582">
        <f t="shared" si="165"/>
        <v>3.0711720270270515</v>
      </c>
      <c r="T1510" s="582">
        <f t="shared" si="163"/>
        <v>3.2285720270270515</v>
      </c>
      <c r="U1510" s="582">
        <f t="shared" si="164"/>
        <v>3.1119720270270506</v>
      </c>
    </row>
    <row r="1511" spans="10:21">
      <c r="J1511" s="580">
        <v>41589</v>
      </c>
      <c r="K1511" s="581">
        <v>0.98611111111111116</v>
      </c>
      <c r="L1511" s="582">
        <v>12.6668</v>
      </c>
      <c r="M1511" s="582">
        <v>12.493</v>
      </c>
      <c r="N1511" s="582">
        <v>13.0901</v>
      </c>
      <c r="O1511" s="582">
        <v>12.896100000000001</v>
      </c>
      <c r="P1511" s="582">
        <v>98.712500000000006</v>
      </c>
      <c r="Q1511" s="582">
        <f t="shared" si="161"/>
        <v>10.09329791525591</v>
      </c>
      <c r="R1511" s="582">
        <f t="shared" si="162"/>
        <v>2.3885020847440903</v>
      </c>
      <c r="S1511" s="582">
        <f t="shared" si="165"/>
        <v>3.0497020847440908</v>
      </c>
      <c r="T1511" s="582">
        <f t="shared" si="163"/>
        <v>3.1868020847440901</v>
      </c>
      <c r="U1511" s="582">
        <f t="shared" si="164"/>
        <v>3.0728020847440902</v>
      </c>
    </row>
    <row r="1512" spans="10:21">
      <c r="J1512" s="580">
        <v>41590</v>
      </c>
      <c r="K1512" s="581">
        <v>0.98611111111111116</v>
      </c>
      <c r="L1512" s="582">
        <v>12.634499999999999</v>
      </c>
      <c r="M1512" s="582">
        <v>12.473000000000001</v>
      </c>
      <c r="N1512" s="582">
        <v>13.0585</v>
      </c>
      <c r="O1512" s="582">
        <v>12.8773</v>
      </c>
      <c r="P1512" s="582">
        <v>98.742099999999994</v>
      </c>
      <c r="Q1512" s="582">
        <f t="shared" si="161"/>
        <v>10.096324498700675</v>
      </c>
      <c r="R1512" s="582">
        <f t="shared" si="162"/>
        <v>2.3531755012993245</v>
      </c>
      <c r="S1512" s="582">
        <f t="shared" si="165"/>
        <v>3.0266755012993265</v>
      </c>
      <c r="T1512" s="582">
        <f t="shared" si="163"/>
        <v>3.1521755012993262</v>
      </c>
      <c r="U1512" s="582">
        <f t="shared" si="164"/>
        <v>3.0509755012993249</v>
      </c>
    </row>
    <row r="1513" spans="10:21">
      <c r="J1513" s="580">
        <v>41591</v>
      </c>
      <c r="K1513" s="581">
        <v>0.98611111111111116</v>
      </c>
      <c r="L1513" s="582">
        <v>12.613899999999999</v>
      </c>
      <c r="M1513" s="582">
        <v>12.4619</v>
      </c>
      <c r="N1513" s="582">
        <v>13.036</v>
      </c>
      <c r="O1513" s="582">
        <v>12.867100000000001</v>
      </c>
      <c r="P1513" s="582">
        <v>98.831000000000003</v>
      </c>
      <c r="Q1513" s="582">
        <f t="shared" si="161"/>
        <v>10.105414473979048</v>
      </c>
      <c r="R1513" s="582">
        <f t="shared" si="162"/>
        <v>2.3234855260209515</v>
      </c>
      <c r="S1513" s="582">
        <f t="shared" si="165"/>
        <v>3.0064855260209526</v>
      </c>
      <c r="T1513" s="582">
        <f t="shared" si="163"/>
        <v>3.1205855260209523</v>
      </c>
      <c r="U1513" s="582">
        <f t="shared" si="164"/>
        <v>3.0316855260209525</v>
      </c>
    </row>
    <row r="1514" spans="10:21">
      <c r="J1514" s="580">
        <v>41592</v>
      </c>
      <c r="K1514" s="581">
        <v>0.98611111111111116</v>
      </c>
      <c r="L1514" s="582">
        <v>12.576000000000001</v>
      </c>
      <c r="M1514" s="582">
        <v>12.4396</v>
      </c>
      <c r="N1514" s="582">
        <v>13.004300000000001</v>
      </c>
      <c r="O1514" s="582">
        <v>12.847899999999999</v>
      </c>
      <c r="P1514" s="582">
        <v>98.876099999999994</v>
      </c>
      <c r="Q1514" s="582">
        <f t="shared" si="161"/>
        <v>10.110025923754689</v>
      </c>
      <c r="R1514" s="582">
        <f t="shared" si="162"/>
        <v>2.2809740762453115</v>
      </c>
      <c r="S1514" s="582">
        <f t="shared" si="165"/>
        <v>2.9795740762453118</v>
      </c>
      <c r="T1514" s="582">
        <f t="shared" si="163"/>
        <v>3.084274076245312</v>
      </c>
      <c r="U1514" s="582">
        <f t="shared" si="164"/>
        <v>3.0078740762453098</v>
      </c>
    </row>
    <row r="1515" spans="10:21">
      <c r="J1515" s="580">
        <v>41593</v>
      </c>
      <c r="K1515" s="581">
        <v>0.98611111111111116</v>
      </c>
      <c r="L1515" s="582">
        <v>12.514699999999999</v>
      </c>
      <c r="M1515" s="582">
        <v>12.398</v>
      </c>
      <c r="N1515" s="582">
        <v>12.943199999999999</v>
      </c>
      <c r="O1515" s="582">
        <v>12.7928</v>
      </c>
      <c r="P1515" s="582">
        <v>98.690700000000007</v>
      </c>
      <c r="Q1515" s="582">
        <f t="shared" si="161"/>
        <v>10.091068877448615</v>
      </c>
      <c r="R1515" s="582">
        <f t="shared" si="162"/>
        <v>2.2386311225513844</v>
      </c>
      <c r="S1515" s="582">
        <f t="shared" si="165"/>
        <v>2.956931122551385</v>
      </c>
      <c r="T1515" s="582">
        <f t="shared" si="163"/>
        <v>3.0421311225513845</v>
      </c>
      <c r="U1515" s="582">
        <f t="shared" si="164"/>
        <v>2.9717311225513843</v>
      </c>
    </row>
    <row r="1516" spans="10:21">
      <c r="J1516" s="580">
        <v>41594</v>
      </c>
      <c r="K1516" s="581">
        <v>0.98611111111111116</v>
      </c>
      <c r="L1516" s="582">
        <v>12.4621</v>
      </c>
      <c r="M1516" s="582">
        <v>12.364000000000001</v>
      </c>
      <c r="N1516" s="582">
        <v>12.8969</v>
      </c>
      <c r="O1516" s="582">
        <v>12.748799999999999</v>
      </c>
      <c r="P1516" s="582">
        <v>98.633499999999998</v>
      </c>
      <c r="Q1516" s="582">
        <f t="shared" si="161"/>
        <v>10.085220209440482</v>
      </c>
      <c r="R1516" s="582">
        <f t="shared" si="162"/>
        <v>2.1918797905595171</v>
      </c>
      <c r="S1516" s="582">
        <f t="shared" si="165"/>
        <v>2.9287797905595188</v>
      </c>
      <c r="T1516" s="582">
        <f t="shared" si="163"/>
        <v>3.0016797905595185</v>
      </c>
      <c r="U1516" s="582">
        <f t="shared" si="164"/>
        <v>2.9335797905595165</v>
      </c>
    </row>
    <row r="1517" spans="10:21">
      <c r="J1517" s="580">
        <v>41595</v>
      </c>
      <c r="K1517" s="581">
        <v>0.98611111111111116</v>
      </c>
      <c r="L1517" s="582">
        <v>12.547499999999999</v>
      </c>
      <c r="M1517" s="582">
        <v>12.6867</v>
      </c>
      <c r="N1517" s="582">
        <v>13.700900000000001</v>
      </c>
      <c r="O1517" s="582">
        <v>13.2858</v>
      </c>
      <c r="P1517" s="582">
        <v>98.8369</v>
      </c>
      <c r="Q1517" s="582">
        <f t="shared" si="161"/>
        <v>10.106017745679187</v>
      </c>
      <c r="R1517" s="582">
        <f t="shared" si="162"/>
        <v>2.2564822543208121</v>
      </c>
      <c r="S1517" s="582">
        <f t="shared" si="165"/>
        <v>3.2306822543208131</v>
      </c>
      <c r="T1517" s="582">
        <f t="shared" si="163"/>
        <v>3.7848822543208138</v>
      </c>
      <c r="U1517" s="582">
        <f t="shared" si="164"/>
        <v>3.4497822543208123</v>
      </c>
    </row>
    <row r="1518" spans="10:21">
      <c r="J1518" s="580">
        <v>41596</v>
      </c>
      <c r="K1518" s="581">
        <v>0.98611111111111116</v>
      </c>
      <c r="L1518" s="582">
        <v>12.5228</v>
      </c>
      <c r="M1518" s="582">
        <v>12.685600000000001</v>
      </c>
      <c r="N1518" s="582">
        <v>13.7133</v>
      </c>
      <c r="O1518" s="582">
        <v>13.286199999999999</v>
      </c>
      <c r="P1518" s="582">
        <v>99.020799999999994</v>
      </c>
      <c r="Q1518" s="582">
        <f t="shared" si="161"/>
        <v>10.12482141782421</v>
      </c>
      <c r="R1518" s="582">
        <f t="shared" si="162"/>
        <v>2.2129785821757904</v>
      </c>
      <c r="S1518" s="582">
        <f t="shared" si="165"/>
        <v>3.2107785821757915</v>
      </c>
      <c r="T1518" s="582">
        <f t="shared" si="163"/>
        <v>3.7784785821757909</v>
      </c>
      <c r="U1518" s="582">
        <f t="shared" si="164"/>
        <v>3.4313785821757889</v>
      </c>
    </row>
    <row r="1519" spans="10:21">
      <c r="J1519" s="580">
        <v>41597</v>
      </c>
      <c r="K1519" s="581">
        <v>0.98611111111111116</v>
      </c>
      <c r="L1519" s="582">
        <v>12.466900000000001</v>
      </c>
      <c r="M1519" s="582">
        <v>12.654500000000001</v>
      </c>
      <c r="N1519" s="582">
        <v>13.6637</v>
      </c>
      <c r="O1519" s="582">
        <v>13.2507</v>
      </c>
      <c r="P1519" s="582">
        <v>98.8964</v>
      </c>
      <c r="Q1519" s="582">
        <f t="shared" si="161"/>
        <v>10.112101587400931</v>
      </c>
      <c r="R1519" s="582">
        <f t="shared" si="162"/>
        <v>2.1697984125990701</v>
      </c>
      <c r="S1519" s="582">
        <f t="shared" si="165"/>
        <v>3.1923984125990703</v>
      </c>
      <c r="T1519" s="582">
        <f t="shared" si="163"/>
        <v>3.7415984125990702</v>
      </c>
      <c r="U1519" s="582">
        <f t="shared" si="164"/>
        <v>3.4085984125990691</v>
      </c>
    </row>
    <row r="1520" spans="10:21">
      <c r="J1520" s="580">
        <v>41598</v>
      </c>
      <c r="K1520" s="581">
        <v>0.98611111111111116</v>
      </c>
      <c r="L1520" s="582">
        <v>12.390599999999999</v>
      </c>
      <c r="M1520" s="582">
        <v>12.602</v>
      </c>
      <c r="N1520" s="582">
        <v>13.591200000000001</v>
      </c>
      <c r="O1520" s="582">
        <v>13.1942</v>
      </c>
      <c r="P1520" s="582">
        <v>98.585899999999995</v>
      </c>
      <c r="Q1520" s="582">
        <f t="shared" si="161"/>
        <v>10.080353136063087</v>
      </c>
      <c r="R1520" s="582">
        <f t="shared" si="162"/>
        <v>2.1252468639369124</v>
      </c>
      <c r="S1520" s="582">
        <f t="shared" si="165"/>
        <v>3.171646863936914</v>
      </c>
      <c r="T1520" s="582">
        <f t="shared" si="163"/>
        <v>3.7008468639369143</v>
      </c>
      <c r="U1520" s="582">
        <f t="shared" si="164"/>
        <v>3.3838468639369133</v>
      </c>
    </row>
    <row r="1521" spans="10:21">
      <c r="J1521" s="580">
        <v>41599</v>
      </c>
      <c r="K1521" s="581">
        <v>0.98611111111111116</v>
      </c>
      <c r="L1521" s="582">
        <v>12.3393</v>
      </c>
      <c r="M1521" s="582">
        <v>12.581799999999999</v>
      </c>
      <c r="N1521" s="582">
        <v>13.5534</v>
      </c>
      <c r="O1521" s="582">
        <v>13.1713</v>
      </c>
      <c r="P1521" s="582">
        <v>98.607200000000006</v>
      </c>
      <c r="Q1521" s="582">
        <f t="shared" si="161"/>
        <v>10.082531049150031</v>
      </c>
      <c r="R1521" s="582">
        <f t="shared" si="162"/>
        <v>2.0717689508499686</v>
      </c>
      <c r="S1521" s="582">
        <f t="shared" si="165"/>
        <v>3.1492689508499687</v>
      </c>
      <c r="T1521" s="582">
        <f t="shared" si="163"/>
        <v>3.6608689508499692</v>
      </c>
      <c r="U1521" s="582">
        <f t="shared" si="164"/>
        <v>3.358768950849969</v>
      </c>
    </row>
    <row r="1522" spans="10:21">
      <c r="J1522" s="580">
        <v>41600</v>
      </c>
      <c r="K1522" s="581">
        <v>0.98611111111111116</v>
      </c>
      <c r="L1522" s="582">
        <v>12.2974</v>
      </c>
      <c r="M1522" s="582">
        <v>12.572800000000001</v>
      </c>
      <c r="N1522" s="582">
        <v>13.5297</v>
      </c>
      <c r="O1522" s="582">
        <v>13.1592</v>
      </c>
      <c r="P1522" s="582">
        <v>98.748999999999995</v>
      </c>
      <c r="Q1522" s="582">
        <f t="shared" si="161"/>
        <v>10.097030019841517</v>
      </c>
      <c r="R1522" s="582">
        <f t="shared" si="162"/>
        <v>2.0153699801584826</v>
      </c>
      <c r="S1522" s="582">
        <f t="shared" si="165"/>
        <v>3.1257699801584842</v>
      </c>
      <c r="T1522" s="582">
        <f t="shared" si="163"/>
        <v>3.6226699801584834</v>
      </c>
      <c r="U1522" s="582">
        <f t="shared" si="164"/>
        <v>3.3321699801584828</v>
      </c>
    </row>
    <row r="1523" spans="10:21">
      <c r="J1523" s="580">
        <v>41601</v>
      </c>
      <c r="K1523" s="581">
        <v>0.98611111111111116</v>
      </c>
      <c r="L1523" s="582">
        <v>12.258800000000001</v>
      </c>
      <c r="M1523" s="582">
        <v>12.561</v>
      </c>
      <c r="N1523" s="582">
        <v>13.4968</v>
      </c>
      <c r="O1523" s="582">
        <v>13.142300000000001</v>
      </c>
      <c r="P1523" s="582">
        <v>98.840500000000006</v>
      </c>
      <c r="Q1523" s="582">
        <f t="shared" si="161"/>
        <v>10.106385843665713</v>
      </c>
      <c r="R1523" s="582">
        <f t="shared" si="162"/>
        <v>1.967414156334288</v>
      </c>
      <c r="S1523" s="582">
        <f t="shared" si="165"/>
        <v>3.1046141563342875</v>
      </c>
      <c r="T1523" s="582">
        <f t="shared" si="163"/>
        <v>3.5804141563342879</v>
      </c>
      <c r="U1523" s="582">
        <f t="shared" si="164"/>
        <v>3.3059141563342873</v>
      </c>
    </row>
    <row r="1524" spans="10:21">
      <c r="J1524" s="580">
        <v>41602</v>
      </c>
      <c r="K1524" s="581">
        <v>0.98611111111111116</v>
      </c>
      <c r="L1524" s="582">
        <v>12.2174</v>
      </c>
      <c r="M1524" s="582">
        <v>12.543900000000001</v>
      </c>
      <c r="N1524" s="582">
        <v>13.462400000000001</v>
      </c>
      <c r="O1524" s="582">
        <v>13.1235</v>
      </c>
      <c r="P1524" s="582">
        <v>98.897999999999996</v>
      </c>
      <c r="Q1524" s="582">
        <f t="shared" si="161"/>
        <v>10.112265186506054</v>
      </c>
      <c r="R1524" s="582">
        <f t="shared" si="162"/>
        <v>1.9201348134939455</v>
      </c>
      <c r="S1524" s="582">
        <f t="shared" si="165"/>
        <v>3.0816348134939471</v>
      </c>
      <c r="T1524" s="582">
        <f t="shared" si="163"/>
        <v>3.540134813493947</v>
      </c>
      <c r="U1524" s="582">
        <f t="shared" si="164"/>
        <v>3.2812348134939455</v>
      </c>
    </row>
    <row r="1525" spans="10:21">
      <c r="J1525" s="580">
        <v>41603</v>
      </c>
      <c r="K1525" s="581">
        <v>0.98611111111111116</v>
      </c>
      <c r="L1525" s="582">
        <v>12.1572</v>
      </c>
      <c r="M1525" s="582">
        <v>12.501099999999999</v>
      </c>
      <c r="N1525" s="582">
        <v>13.4086</v>
      </c>
      <c r="O1525" s="582">
        <v>13.0846</v>
      </c>
      <c r="P1525" s="582">
        <v>98.751400000000004</v>
      </c>
      <c r="Q1525" s="582">
        <f t="shared" ref="Q1525:Q1588" si="166">P1525/($G$8*$H$8)</f>
        <v>10.097275418499201</v>
      </c>
      <c r="R1525" s="582">
        <f t="shared" ref="R1525:R1588" si="167">IF((L1525-Q1525-$D$8+$E$8)&lt;0,0,(L1525-Q1525-$D$8+$E$8))</f>
        <v>1.8749245815007982</v>
      </c>
      <c r="S1525" s="582">
        <f t="shared" si="165"/>
        <v>3.0538245815007983</v>
      </c>
      <c r="T1525" s="582">
        <f t="shared" ref="T1525:T1588" si="168">N1525-Q1525-$D$10+$E$10</f>
        <v>3.5013245815007989</v>
      </c>
      <c r="U1525" s="582">
        <f t="shared" ref="U1525:U1588" si="169">O1525-Q1525-$D$11+$E$11</f>
        <v>3.2573245815007983</v>
      </c>
    </row>
    <row r="1526" spans="10:21">
      <c r="J1526" s="580">
        <v>41604</v>
      </c>
      <c r="K1526" s="581">
        <v>0.98611111111111116</v>
      </c>
      <c r="L1526" s="582">
        <v>12.117900000000001</v>
      </c>
      <c r="M1526" s="582">
        <v>12.470800000000001</v>
      </c>
      <c r="N1526" s="582">
        <v>13.370699999999999</v>
      </c>
      <c r="O1526" s="582">
        <v>13.0579</v>
      </c>
      <c r="P1526" s="582">
        <v>98.7453</v>
      </c>
      <c r="Q1526" s="582">
        <f t="shared" si="166"/>
        <v>10.096651696910921</v>
      </c>
      <c r="R1526" s="582">
        <f t="shared" si="167"/>
        <v>1.836248303089079</v>
      </c>
      <c r="S1526" s="582">
        <f t="shared" si="165"/>
        <v>3.0241483030890794</v>
      </c>
      <c r="T1526" s="582">
        <f t="shared" si="168"/>
        <v>3.4640483030890783</v>
      </c>
      <c r="U1526" s="582">
        <f t="shared" si="169"/>
        <v>3.2312483030890782</v>
      </c>
    </row>
    <row r="1527" spans="10:21">
      <c r="J1527" s="580">
        <v>41605</v>
      </c>
      <c r="K1527" s="581">
        <v>0.98611111111111116</v>
      </c>
      <c r="L1527" s="582">
        <v>12.0892</v>
      </c>
      <c r="M1527" s="582">
        <v>12.4519</v>
      </c>
      <c r="N1527" s="582">
        <v>13.333600000000001</v>
      </c>
      <c r="O1527" s="582">
        <v>13.0389</v>
      </c>
      <c r="P1527" s="582">
        <v>98.822800000000001</v>
      </c>
      <c r="Q1527" s="582">
        <f t="shared" si="166"/>
        <v>10.104576028565294</v>
      </c>
      <c r="R1527" s="582">
        <f t="shared" si="167"/>
        <v>1.799623971434706</v>
      </c>
      <c r="S1527" s="582">
        <f t="shared" si="165"/>
        <v>2.9973239714347066</v>
      </c>
      <c r="T1527" s="582">
        <f t="shared" si="168"/>
        <v>3.419023971434707</v>
      </c>
      <c r="U1527" s="582">
        <f t="shared" si="169"/>
        <v>3.2043239714347056</v>
      </c>
    </row>
    <row r="1528" spans="10:21">
      <c r="J1528" s="580">
        <v>41606</v>
      </c>
      <c r="K1528" s="581">
        <v>0.98611111111111116</v>
      </c>
      <c r="L1528" s="582">
        <v>12.0686</v>
      </c>
      <c r="M1528" s="582">
        <v>12.442299999999999</v>
      </c>
      <c r="N1528" s="582">
        <v>13.3033</v>
      </c>
      <c r="O1528" s="582">
        <v>13.026300000000001</v>
      </c>
      <c r="P1528" s="582">
        <v>98.962900000000005</v>
      </c>
      <c r="Q1528" s="582">
        <f t="shared" si="166"/>
        <v>10.118901175207588</v>
      </c>
      <c r="R1528" s="582">
        <f t="shared" si="167"/>
        <v>1.7646988247924118</v>
      </c>
      <c r="S1528" s="582">
        <f t="shared" si="165"/>
        <v>2.9733988247924117</v>
      </c>
      <c r="T1528" s="582">
        <f t="shared" si="168"/>
        <v>3.3743988247924124</v>
      </c>
      <c r="U1528" s="582">
        <f t="shared" si="169"/>
        <v>3.1773988247924123</v>
      </c>
    </row>
    <row r="1529" spans="10:21">
      <c r="J1529" s="580">
        <v>41607</v>
      </c>
      <c r="K1529" s="581">
        <v>0.98611111111111116</v>
      </c>
      <c r="L1529" s="582">
        <v>12.025600000000001</v>
      </c>
      <c r="M1529" s="582">
        <v>12.4255</v>
      </c>
      <c r="N1529" s="582">
        <v>13.2751</v>
      </c>
      <c r="O1529" s="582">
        <v>13.006399999999999</v>
      </c>
      <c r="P1529" s="582">
        <v>99.028000000000006</v>
      </c>
      <c r="Q1529" s="582">
        <f t="shared" si="166"/>
        <v>10.125557613797261</v>
      </c>
      <c r="R1529" s="582">
        <f t="shared" si="167"/>
        <v>1.71504238620274</v>
      </c>
      <c r="S1529" s="582">
        <f t="shared" si="165"/>
        <v>2.9499423862027392</v>
      </c>
      <c r="T1529" s="582">
        <f t="shared" si="168"/>
        <v>3.3395423862027398</v>
      </c>
      <c r="U1529" s="582">
        <f t="shared" si="169"/>
        <v>3.1508423862027382</v>
      </c>
    </row>
    <row r="1530" spans="10:21">
      <c r="J1530" s="580">
        <v>41608</v>
      </c>
      <c r="K1530" s="581">
        <v>0.98611111111111116</v>
      </c>
      <c r="L1530" s="582">
        <v>11.977600000000001</v>
      </c>
      <c r="M1530" s="582">
        <v>12.395200000000001</v>
      </c>
      <c r="N1530" s="582">
        <v>13.243600000000001</v>
      </c>
      <c r="O1530" s="582">
        <v>12.975300000000001</v>
      </c>
      <c r="P1530" s="582">
        <v>98.979399999999998</v>
      </c>
      <c r="Q1530" s="582">
        <f t="shared" si="166"/>
        <v>10.120588290979164</v>
      </c>
      <c r="R1530" s="582">
        <f t="shared" si="167"/>
        <v>1.6720117090208366</v>
      </c>
      <c r="S1530" s="582">
        <f t="shared" si="165"/>
        <v>2.9246117090208372</v>
      </c>
      <c r="T1530" s="582">
        <f t="shared" si="168"/>
        <v>3.3130117090208371</v>
      </c>
      <c r="U1530" s="582">
        <f t="shared" si="169"/>
        <v>3.1247117090208363</v>
      </c>
    </row>
    <row r="1531" spans="10:21">
      <c r="J1531" s="580">
        <v>41609</v>
      </c>
      <c r="K1531" s="581">
        <v>0.98611111111111116</v>
      </c>
      <c r="L1531" s="582">
        <v>11.948600000000001</v>
      </c>
      <c r="M1531" s="582">
        <v>12.376799999999999</v>
      </c>
      <c r="N1531" s="582">
        <v>13.2103</v>
      </c>
      <c r="O1531" s="582">
        <v>12.952999999999999</v>
      </c>
      <c r="P1531" s="582">
        <v>99.018000000000001</v>
      </c>
      <c r="Q1531" s="582">
        <f t="shared" si="166"/>
        <v>10.124535119390245</v>
      </c>
      <c r="R1531" s="582">
        <f t="shared" si="167"/>
        <v>1.6390648806097556</v>
      </c>
      <c r="S1531" s="582">
        <f t="shared" si="165"/>
        <v>2.9022648806097546</v>
      </c>
      <c r="T1531" s="582">
        <f t="shared" si="168"/>
        <v>3.2757648806097555</v>
      </c>
      <c r="U1531" s="582">
        <f t="shared" si="169"/>
        <v>3.0984648806097539</v>
      </c>
    </row>
    <row r="1532" spans="10:21">
      <c r="J1532" s="580">
        <v>41610</v>
      </c>
      <c r="K1532" s="581">
        <v>0.98611111111111116</v>
      </c>
      <c r="L1532" s="582">
        <v>11.9443</v>
      </c>
      <c r="M1532" s="582">
        <v>12.376899999999999</v>
      </c>
      <c r="N1532" s="582">
        <v>13.203200000000001</v>
      </c>
      <c r="O1532" s="582">
        <v>12.9491</v>
      </c>
      <c r="P1532" s="582">
        <v>99.102999999999994</v>
      </c>
      <c r="Q1532" s="582">
        <f t="shared" si="166"/>
        <v>10.133226321849881</v>
      </c>
      <c r="R1532" s="582">
        <f t="shared" si="167"/>
        <v>1.6260736781501195</v>
      </c>
      <c r="S1532" s="582">
        <f t="shared" si="165"/>
        <v>2.8936736781501189</v>
      </c>
      <c r="T1532" s="582">
        <f t="shared" si="168"/>
        <v>3.2599736781501205</v>
      </c>
      <c r="U1532" s="582">
        <f t="shared" si="169"/>
        <v>3.0858736781501186</v>
      </c>
    </row>
    <row r="1533" spans="10:21">
      <c r="J1533" s="580">
        <v>41611</v>
      </c>
      <c r="K1533" s="581">
        <v>0.98611111111111116</v>
      </c>
      <c r="L1533" s="582">
        <v>11.889699999999999</v>
      </c>
      <c r="M1533" s="582">
        <v>12.3322</v>
      </c>
      <c r="N1533" s="582">
        <v>13.15</v>
      </c>
      <c r="O1533" s="582">
        <v>12.901999999999999</v>
      </c>
      <c r="P1533" s="582">
        <v>98.838899999999995</v>
      </c>
      <c r="Q1533" s="582">
        <f t="shared" si="166"/>
        <v>10.106222244560589</v>
      </c>
      <c r="R1533" s="582">
        <f t="shared" si="167"/>
        <v>1.5984777554394101</v>
      </c>
      <c r="S1533" s="582">
        <f t="shared" si="165"/>
        <v>2.8759777554394113</v>
      </c>
      <c r="T1533" s="582">
        <f t="shared" si="168"/>
        <v>3.2337777554394114</v>
      </c>
      <c r="U1533" s="582">
        <f t="shared" si="169"/>
        <v>3.0657777554394094</v>
      </c>
    </row>
    <row r="1534" spans="10:21">
      <c r="J1534" s="580">
        <v>41612</v>
      </c>
      <c r="K1534" s="581">
        <v>0.98611111111111116</v>
      </c>
      <c r="L1534" s="582">
        <v>11.8521</v>
      </c>
      <c r="M1534" s="582">
        <v>12.298500000000001</v>
      </c>
      <c r="N1534" s="582">
        <v>13.1126</v>
      </c>
      <c r="O1534" s="582">
        <v>12.870799999999999</v>
      </c>
      <c r="P1534" s="582">
        <v>98.777900000000002</v>
      </c>
      <c r="Q1534" s="582">
        <f t="shared" si="166"/>
        <v>10.099985028677793</v>
      </c>
      <c r="R1534" s="582">
        <f t="shared" si="167"/>
        <v>1.5671149713222072</v>
      </c>
      <c r="S1534" s="582">
        <f t="shared" si="165"/>
        <v>2.8485149713222082</v>
      </c>
      <c r="T1534" s="582">
        <f t="shared" si="168"/>
        <v>3.2026149713222081</v>
      </c>
      <c r="U1534" s="582">
        <f t="shared" si="169"/>
        <v>3.0408149713222059</v>
      </c>
    </row>
    <row r="1535" spans="10:21">
      <c r="J1535" s="580">
        <v>41613</v>
      </c>
      <c r="K1535" s="581">
        <v>0.98611111111111116</v>
      </c>
      <c r="L1535" s="582">
        <v>11.803000000000001</v>
      </c>
      <c r="M1535" s="582">
        <v>12.2509</v>
      </c>
      <c r="N1535" s="582">
        <v>13.0589</v>
      </c>
      <c r="O1535" s="582">
        <v>12.8233</v>
      </c>
      <c r="P1535" s="582">
        <v>98.608199999999997</v>
      </c>
      <c r="Q1535" s="582">
        <f t="shared" si="166"/>
        <v>10.082633298590732</v>
      </c>
      <c r="R1535" s="582">
        <f t="shared" si="167"/>
        <v>1.5353667014092687</v>
      </c>
      <c r="S1535" s="582">
        <f t="shared" si="165"/>
        <v>2.8182667014092679</v>
      </c>
      <c r="T1535" s="582">
        <f t="shared" si="168"/>
        <v>3.1662667014092678</v>
      </c>
      <c r="U1535" s="582">
        <f t="shared" si="169"/>
        <v>3.0106667014092672</v>
      </c>
    </row>
    <row r="1536" spans="10:21">
      <c r="J1536" s="580">
        <v>41614</v>
      </c>
      <c r="K1536" s="581">
        <v>0.98611111111111116</v>
      </c>
      <c r="L1536" s="582">
        <v>11.7699</v>
      </c>
      <c r="M1536" s="582">
        <v>12.211499999999999</v>
      </c>
      <c r="N1536" s="582">
        <v>13.0168</v>
      </c>
      <c r="O1536" s="582">
        <v>12.783300000000001</v>
      </c>
      <c r="P1536" s="582">
        <v>98.587400000000002</v>
      </c>
      <c r="Q1536" s="582">
        <f t="shared" si="166"/>
        <v>10.08050651022414</v>
      </c>
      <c r="R1536" s="582">
        <f t="shared" si="167"/>
        <v>1.5043934897758597</v>
      </c>
      <c r="S1536" s="582">
        <f t="shared" si="165"/>
        <v>2.7809934897758595</v>
      </c>
      <c r="T1536" s="582">
        <f t="shared" si="168"/>
        <v>3.1262934897758603</v>
      </c>
      <c r="U1536" s="582">
        <f t="shared" si="169"/>
        <v>2.9727934897758601</v>
      </c>
    </row>
    <row r="1537" spans="10:21">
      <c r="J1537" s="580">
        <v>41615</v>
      </c>
      <c r="K1537" s="581">
        <v>0.98611111111111116</v>
      </c>
      <c r="L1537" s="582">
        <v>11.7463</v>
      </c>
      <c r="M1537" s="582">
        <v>12.180199999999999</v>
      </c>
      <c r="N1537" s="582">
        <v>12.9907</v>
      </c>
      <c r="O1537" s="582">
        <v>12.7517</v>
      </c>
      <c r="P1537" s="582">
        <v>98.617500000000007</v>
      </c>
      <c r="Q1537" s="582">
        <f t="shared" si="166"/>
        <v>10.083584218389259</v>
      </c>
      <c r="R1537" s="582">
        <f t="shared" si="167"/>
        <v>1.4777157816107409</v>
      </c>
      <c r="S1537" s="582">
        <f t="shared" si="165"/>
        <v>2.7466157816107408</v>
      </c>
      <c r="T1537" s="582">
        <f t="shared" si="168"/>
        <v>3.097115781610742</v>
      </c>
      <c r="U1537" s="582">
        <f t="shared" si="169"/>
        <v>2.9381157816107404</v>
      </c>
    </row>
    <row r="1538" spans="10:21">
      <c r="J1538" s="580">
        <v>41616</v>
      </c>
      <c r="K1538" s="581">
        <v>0.98611111111111116</v>
      </c>
      <c r="L1538" s="582">
        <v>11.7232</v>
      </c>
      <c r="M1538" s="582">
        <v>12.1502</v>
      </c>
      <c r="N1538" s="582">
        <v>12.969900000000001</v>
      </c>
      <c r="O1538" s="582">
        <v>12.722200000000001</v>
      </c>
      <c r="P1538" s="582">
        <v>98.675600000000003</v>
      </c>
      <c r="Q1538" s="582">
        <f t="shared" si="166"/>
        <v>10.089524910894021</v>
      </c>
      <c r="R1538" s="582">
        <f t="shared" si="167"/>
        <v>1.4486750891059796</v>
      </c>
      <c r="S1538" s="582">
        <f t="shared" si="165"/>
        <v>2.7106750891059797</v>
      </c>
      <c r="T1538" s="582">
        <f t="shared" si="168"/>
        <v>3.0703750891059807</v>
      </c>
      <c r="U1538" s="582">
        <f t="shared" si="169"/>
        <v>2.9026750891059798</v>
      </c>
    </row>
    <row r="1539" spans="10:21">
      <c r="J1539" s="580">
        <v>41617</v>
      </c>
      <c r="K1539" s="581">
        <v>0.98611111111111116</v>
      </c>
      <c r="L1539" s="582">
        <v>11.686</v>
      </c>
      <c r="M1539" s="582">
        <v>12.1044</v>
      </c>
      <c r="N1539" s="582">
        <v>12.9217</v>
      </c>
      <c r="O1539" s="582">
        <v>12.677</v>
      </c>
      <c r="P1539" s="582">
        <v>98.581900000000005</v>
      </c>
      <c r="Q1539" s="582">
        <f t="shared" si="166"/>
        <v>10.079944138300281</v>
      </c>
      <c r="R1539" s="582">
        <f t="shared" si="167"/>
        <v>1.4210558616997191</v>
      </c>
      <c r="S1539" s="582">
        <v>2.6755558616997188</v>
      </c>
      <c r="T1539" s="582">
        <f t="shared" si="168"/>
        <v>3.0317558616997191</v>
      </c>
      <c r="U1539" s="582">
        <f t="shared" si="169"/>
        <v>2.8670558616997184</v>
      </c>
    </row>
    <row r="1540" spans="10:21">
      <c r="J1540" s="580">
        <v>41618</v>
      </c>
      <c r="K1540" s="581">
        <v>0.98611111111111116</v>
      </c>
      <c r="L1540" s="582">
        <v>11.6684</v>
      </c>
      <c r="M1540" s="582">
        <v>12.0739</v>
      </c>
      <c r="N1540" s="582">
        <v>12.894399999999999</v>
      </c>
      <c r="O1540" s="582">
        <v>12.6492</v>
      </c>
      <c r="P1540" s="582">
        <v>98.662599999999998</v>
      </c>
      <c r="Q1540" s="582">
        <f t="shared" si="166"/>
        <v>10.088195668164898</v>
      </c>
      <c r="R1540" s="582">
        <f t="shared" si="167"/>
        <v>1.3952043318351017</v>
      </c>
      <c r="S1540" s="582">
        <v>2.6355043318351026</v>
      </c>
      <c r="T1540" s="582">
        <f t="shared" si="168"/>
        <v>2.9962043318351013</v>
      </c>
      <c r="U1540" s="582">
        <f t="shared" si="169"/>
        <v>2.8310043318351017</v>
      </c>
    </row>
    <row r="1541" spans="10:21">
      <c r="J1541" s="580">
        <v>41619</v>
      </c>
      <c r="K1541" s="581">
        <v>0.98611111111111116</v>
      </c>
      <c r="L1541" s="582">
        <v>11.6273</v>
      </c>
      <c r="M1541" s="582">
        <v>12.0136</v>
      </c>
      <c r="N1541" s="582">
        <v>12.8355</v>
      </c>
      <c r="O1541" s="582">
        <v>12.5938</v>
      </c>
      <c r="P1541" s="582">
        <v>98.495800000000003</v>
      </c>
      <c r="Q1541" s="582">
        <f t="shared" si="166"/>
        <v>10.071140461455874</v>
      </c>
      <c r="R1541" s="582">
        <f t="shared" si="167"/>
        <v>1.3711595385441258</v>
      </c>
      <c r="S1541" s="582">
        <f t="shared" ref="S1541:S1604" si="170">M1541-Q1541-$D$9+$E$9</f>
        <v>2.5924595385441265</v>
      </c>
      <c r="T1541" s="582">
        <f t="shared" si="168"/>
        <v>2.9543595385441259</v>
      </c>
      <c r="U1541" s="582">
        <f t="shared" si="169"/>
        <v>2.7926595385441253</v>
      </c>
    </row>
    <row r="1542" spans="10:21">
      <c r="J1542" s="580">
        <v>41620</v>
      </c>
      <c r="K1542" s="581">
        <v>0.98611111111111116</v>
      </c>
      <c r="L1542" s="582">
        <v>11.6083</v>
      </c>
      <c r="M1542" s="582">
        <v>11.995200000000001</v>
      </c>
      <c r="N1542" s="582">
        <v>12.814</v>
      </c>
      <c r="O1542" s="582">
        <v>12.5762</v>
      </c>
      <c r="P1542" s="582">
        <v>98.374300000000005</v>
      </c>
      <c r="Q1542" s="582">
        <f t="shared" si="166"/>
        <v>10.058717154410632</v>
      </c>
      <c r="R1542" s="582">
        <f t="shared" si="167"/>
        <v>1.3645828455893683</v>
      </c>
      <c r="S1542" s="582">
        <f t="shared" si="170"/>
        <v>2.5864828455893694</v>
      </c>
      <c r="T1542" s="582">
        <f t="shared" si="168"/>
        <v>2.9452828455893689</v>
      </c>
      <c r="U1542" s="582">
        <f t="shared" si="169"/>
        <v>2.7874828455893681</v>
      </c>
    </row>
    <row r="1543" spans="10:21">
      <c r="J1543" s="580">
        <v>41621</v>
      </c>
      <c r="K1543" s="581">
        <v>0.98611111111111116</v>
      </c>
      <c r="L1543" s="582">
        <v>11.664400000000001</v>
      </c>
      <c r="M1543" s="582">
        <v>12.077400000000001</v>
      </c>
      <c r="N1543" s="582">
        <v>12.8742</v>
      </c>
      <c r="O1543" s="582">
        <v>12.647500000000001</v>
      </c>
      <c r="P1543" s="582">
        <v>98.824600000000004</v>
      </c>
      <c r="Q1543" s="582">
        <f t="shared" si="166"/>
        <v>10.104760077558558</v>
      </c>
      <c r="R1543" s="582">
        <f t="shared" si="167"/>
        <v>1.374639922441443</v>
      </c>
      <c r="S1543" s="582">
        <f t="shared" si="170"/>
        <v>2.6226399224414436</v>
      </c>
      <c r="T1543" s="582">
        <f t="shared" si="168"/>
        <v>2.9594399224414429</v>
      </c>
      <c r="U1543" s="582">
        <f t="shared" si="169"/>
        <v>2.8127399224414429</v>
      </c>
    </row>
    <row r="1544" spans="10:21">
      <c r="J1544" s="580">
        <v>41622</v>
      </c>
      <c r="K1544" s="581">
        <v>0.98611111111111116</v>
      </c>
      <c r="L1544" s="582">
        <v>11.645099999999999</v>
      </c>
      <c r="M1544" s="582">
        <v>12.0608</v>
      </c>
      <c r="N1544" s="582">
        <v>12.864000000000001</v>
      </c>
      <c r="O1544" s="582">
        <v>12.634</v>
      </c>
      <c r="P1544" s="582">
        <v>98.912400000000005</v>
      </c>
      <c r="Q1544" s="582">
        <f t="shared" si="166"/>
        <v>10.113737578452158</v>
      </c>
      <c r="R1544" s="582">
        <f t="shared" si="167"/>
        <v>1.3463624215478416</v>
      </c>
      <c r="S1544" s="582">
        <f t="shared" si="170"/>
        <v>2.5970624215478431</v>
      </c>
      <c r="T1544" s="582">
        <f t="shared" si="168"/>
        <v>2.9402624215478435</v>
      </c>
      <c r="U1544" s="582">
        <f t="shared" si="169"/>
        <v>2.7902624215478422</v>
      </c>
    </row>
    <row r="1545" spans="10:21">
      <c r="J1545" s="580">
        <v>41623</v>
      </c>
      <c r="K1545" s="581">
        <v>0.98611111111111116</v>
      </c>
      <c r="L1545" s="582">
        <v>11.6214</v>
      </c>
      <c r="M1545" s="582">
        <v>12.0449</v>
      </c>
      <c r="N1545" s="582">
        <v>12.838900000000001</v>
      </c>
      <c r="O1545" s="582">
        <v>12.6142</v>
      </c>
      <c r="P1545" s="582">
        <v>98.968100000000007</v>
      </c>
      <c r="Q1545" s="582">
        <f t="shared" si="166"/>
        <v>10.119432872299237</v>
      </c>
      <c r="R1545" s="582">
        <f t="shared" si="167"/>
        <v>1.3169671277007624</v>
      </c>
      <c r="S1545" s="582">
        <f t="shared" si="170"/>
        <v>2.5754671277007635</v>
      </c>
      <c r="T1545" s="582">
        <f t="shared" si="168"/>
        <v>2.909467127700764</v>
      </c>
      <c r="U1545" s="582">
        <f t="shared" si="169"/>
        <v>2.7647671277007628</v>
      </c>
    </row>
    <row r="1546" spans="10:21">
      <c r="J1546" s="580">
        <v>41624</v>
      </c>
      <c r="K1546" s="581">
        <v>0.98611111111111116</v>
      </c>
      <c r="L1546" s="582">
        <v>11.592700000000001</v>
      </c>
      <c r="M1546" s="582">
        <v>12.023300000000001</v>
      </c>
      <c r="N1546" s="582">
        <v>12.812200000000001</v>
      </c>
      <c r="O1546" s="582">
        <v>12.585100000000001</v>
      </c>
      <c r="P1546" s="582">
        <v>98.974500000000006</v>
      </c>
      <c r="Q1546" s="582">
        <f t="shared" si="166"/>
        <v>10.120087268719727</v>
      </c>
      <c r="R1546" s="582">
        <f t="shared" si="167"/>
        <v>1.2876127312802734</v>
      </c>
      <c r="S1546" s="582">
        <f t="shared" si="170"/>
        <v>2.5532127312802739</v>
      </c>
      <c r="T1546" s="582">
        <f t="shared" si="168"/>
        <v>2.8821127312802739</v>
      </c>
      <c r="U1546" s="582">
        <f t="shared" si="169"/>
        <v>2.735012731280273</v>
      </c>
    </row>
    <row r="1547" spans="10:21">
      <c r="J1547" s="580">
        <v>41625</v>
      </c>
      <c r="K1547" s="581">
        <v>0.98611111111111116</v>
      </c>
      <c r="L1547" s="582">
        <v>11.553100000000001</v>
      </c>
      <c r="M1547" s="582">
        <v>11.9861</v>
      </c>
      <c r="N1547" s="582">
        <v>12.7639</v>
      </c>
      <c r="O1547" s="582">
        <v>12.536</v>
      </c>
      <c r="P1547" s="582">
        <v>98.861599999999996</v>
      </c>
      <c r="Q1547" s="582">
        <f t="shared" si="166"/>
        <v>10.108543306864515</v>
      </c>
      <c r="R1547" s="582">
        <f t="shared" si="167"/>
        <v>1.2595566931354854</v>
      </c>
      <c r="S1547" s="582">
        <f t="shared" si="170"/>
        <v>2.5275566931354856</v>
      </c>
      <c r="T1547" s="582">
        <f t="shared" si="168"/>
        <v>2.8453566931354848</v>
      </c>
      <c r="U1547" s="582">
        <f t="shared" si="169"/>
        <v>2.6974566931354844</v>
      </c>
    </row>
    <row r="1548" spans="10:21">
      <c r="J1548" s="580">
        <v>41626</v>
      </c>
      <c r="K1548" s="581">
        <v>0.98611111111111116</v>
      </c>
      <c r="L1548" s="582">
        <v>11.521599999999999</v>
      </c>
      <c r="M1548" s="582">
        <v>11.950100000000001</v>
      </c>
      <c r="N1548" s="582">
        <v>12.7219</v>
      </c>
      <c r="O1548" s="582">
        <v>12.495699999999999</v>
      </c>
      <c r="P1548" s="582">
        <v>98.827299999999994</v>
      </c>
      <c r="Q1548" s="582">
        <f t="shared" si="166"/>
        <v>10.10503615104845</v>
      </c>
      <c r="R1548" s="582">
        <f t="shared" si="167"/>
        <v>1.231563848951549</v>
      </c>
      <c r="S1548" s="582">
        <f t="shared" si="170"/>
        <v>2.4950638489515509</v>
      </c>
      <c r="T1548" s="582">
        <f t="shared" si="168"/>
        <v>2.8068638489515498</v>
      </c>
      <c r="U1548" s="582">
        <f t="shared" si="169"/>
        <v>2.6606638489515491</v>
      </c>
    </row>
    <row r="1549" spans="10:21">
      <c r="J1549" s="580">
        <v>41627</v>
      </c>
      <c r="K1549" s="581">
        <v>0.98611111111111116</v>
      </c>
      <c r="L1549" s="582">
        <v>11.5006</v>
      </c>
      <c r="M1549" s="582">
        <v>11.917199999999999</v>
      </c>
      <c r="N1549" s="582">
        <v>12.685700000000001</v>
      </c>
      <c r="O1549" s="582">
        <v>12.4457</v>
      </c>
      <c r="P1549" s="582">
        <v>98.867699999999999</v>
      </c>
      <c r="Q1549" s="582">
        <f t="shared" si="166"/>
        <v>10.109167028452795</v>
      </c>
      <c r="R1549" s="582">
        <f t="shared" si="167"/>
        <v>1.2064329715472053</v>
      </c>
      <c r="S1549" s="582">
        <f t="shared" si="170"/>
        <v>2.4580329715472047</v>
      </c>
      <c r="T1549" s="582">
        <f t="shared" si="168"/>
        <v>2.766532971547206</v>
      </c>
      <c r="U1549" s="582">
        <f t="shared" si="169"/>
        <v>2.6065329715472054</v>
      </c>
    </row>
    <row r="1550" spans="10:21">
      <c r="J1550" s="580">
        <v>41628</v>
      </c>
      <c r="K1550" s="581">
        <v>0.98611111111111116</v>
      </c>
      <c r="L1550" s="582">
        <v>11.492699999999999</v>
      </c>
      <c r="M1550" s="582">
        <v>11.9033</v>
      </c>
      <c r="N1550" s="582">
        <v>12.6595</v>
      </c>
      <c r="O1550" s="582">
        <v>12.3772</v>
      </c>
      <c r="P1550" s="582">
        <v>99.0351</v>
      </c>
      <c r="Q1550" s="582">
        <f t="shared" si="166"/>
        <v>10.126283584826242</v>
      </c>
      <c r="R1550" s="582">
        <f t="shared" si="167"/>
        <v>1.1814164151737576</v>
      </c>
      <c r="S1550" s="582">
        <f t="shared" si="170"/>
        <v>2.4270164151737585</v>
      </c>
      <c r="T1550" s="582">
        <f t="shared" si="168"/>
        <v>2.7232164151737583</v>
      </c>
      <c r="U1550" s="582">
        <f t="shared" si="169"/>
        <v>2.5209164151737586</v>
      </c>
    </row>
    <row r="1551" spans="10:21">
      <c r="J1551" s="580">
        <v>41629</v>
      </c>
      <c r="K1551" s="581">
        <v>0.98611111111111116</v>
      </c>
      <c r="L1551" s="582">
        <v>11.4757</v>
      </c>
      <c r="M1551" s="582">
        <v>11.8794</v>
      </c>
      <c r="N1551" s="582">
        <v>12.6242</v>
      </c>
      <c r="O1551" s="582">
        <v>12.301500000000001</v>
      </c>
      <c r="P1551" s="582">
        <v>99.1267</v>
      </c>
      <c r="Q1551" s="582">
        <f t="shared" si="166"/>
        <v>10.135649633594507</v>
      </c>
      <c r="R1551" s="582">
        <f t="shared" si="167"/>
        <v>1.1550503664054923</v>
      </c>
      <c r="S1551" s="582">
        <f t="shared" si="170"/>
        <v>2.3937503664054933</v>
      </c>
      <c r="T1551" s="582">
        <f t="shared" si="168"/>
        <v>2.678550366405493</v>
      </c>
      <c r="U1551" s="582">
        <f t="shared" si="169"/>
        <v>2.4358503664054934</v>
      </c>
    </row>
    <row r="1552" spans="10:21">
      <c r="J1552" s="580">
        <v>41630</v>
      </c>
      <c r="K1552" s="581">
        <v>0.98611111111111116</v>
      </c>
      <c r="L1552" s="582">
        <v>11.4535</v>
      </c>
      <c r="M1552" s="582">
        <v>11.839600000000001</v>
      </c>
      <c r="N1552" s="582">
        <v>12.593500000000001</v>
      </c>
      <c r="O1552" s="582">
        <v>12.2362</v>
      </c>
      <c r="P1552" s="582">
        <v>99.158600000000007</v>
      </c>
      <c r="Q1552" s="582">
        <f t="shared" si="166"/>
        <v>10.13891139075289</v>
      </c>
      <c r="R1552" s="582">
        <f t="shared" si="167"/>
        <v>1.1295886092471101</v>
      </c>
      <c r="S1552" s="582">
        <f t="shared" si="170"/>
        <v>2.3506886092471113</v>
      </c>
      <c r="T1552" s="582">
        <f t="shared" si="168"/>
        <v>2.6445886092471111</v>
      </c>
      <c r="U1552" s="582">
        <f t="shared" si="169"/>
        <v>2.3672886092471104</v>
      </c>
    </row>
    <row r="1553" spans="10:21">
      <c r="J1553" s="580">
        <v>41631</v>
      </c>
      <c r="K1553" s="581">
        <v>0.98611111111111116</v>
      </c>
      <c r="L1553" s="582">
        <v>11.4312</v>
      </c>
      <c r="M1553" s="582">
        <v>11.8055</v>
      </c>
      <c r="N1553" s="582">
        <v>12.5665</v>
      </c>
      <c r="O1553" s="582">
        <v>12.187200000000001</v>
      </c>
      <c r="P1553" s="582">
        <v>99.203800000000001</v>
      </c>
      <c r="Q1553" s="582">
        <f t="shared" si="166"/>
        <v>10.143533065472601</v>
      </c>
      <c r="R1553" s="582">
        <f t="shared" si="167"/>
        <v>1.1026669345273992</v>
      </c>
      <c r="S1553" s="582">
        <f t="shared" si="170"/>
        <v>2.3119669345273994</v>
      </c>
      <c r="T1553" s="582">
        <f t="shared" si="168"/>
        <v>2.6129669345273987</v>
      </c>
      <c r="U1553" s="582">
        <f t="shared" si="169"/>
        <v>2.3136669345273995</v>
      </c>
    </row>
    <row r="1554" spans="10:21">
      <c r="J1554" s="580">
        <v>41632</v>
      </c>
      <c r="K1554" s="581">
        <v>0.98611111111111116</v>
      </c>
      <c r="L1554" s="582">
        <v>11.414099999999999</v>
      </c>
      <c r="M1554" s="582">
        <v>11.777699999999999</v>
      </c>
      <c r="N1554" s="582">
        <v>12.539</v>
      </c>
      <c r="O1554" s="582">
        <v>12.1479</v>
      </c>
      <c r="P1554" s="582">
        <v>99.271600000000007</v>
      </c>
      <c r="Q1554" s="582">
        <f t="shared" si="166"/>
        <v>10.15046557755217</v>
      </c>
      <c r="R1554" s="582">
        <f t="shared" si="167"/>
        <v>1.0786344224478293</v>
      </c>
      <c r="S1554" s="582">
        <f t="shared" si="170"/>
        <v>2.2772344224478296</v>
      </c>
      <c r="T1554" s="582">
        <f t="shared" si="168"/>
        <v>2.5785344224478299</v>
      </c>
      <c r="U1554" s="582">
        <f t="shared" si="169"/>
        <v>2.2674344224478298</v>
      </c>
    </row>
    <row r="1555" spans="10:21">
      <c r="J1555" s="580">
        <v>41633</v>
      </c>
      <c r="K1555" s="581">
        <v>0.98611111111111116</v>
      </c>
      <c r="L1555" s="582">
        <v>11.390599999999999</v>
      </c>
      <c r="M1555" s="582">
        <v>11.746</v>
      </c>
      <c r="N1555" s="582">
        <v>12.5097</v>
      </c>
      <c r="O1555" s="582">
        <v>12.1196</v>
      </c>
      <c r="P1555" s="582">
        <v>99.302400000000006</v>
      </c>
      <c r="Q1555" s="582">
        <f t="shared" si="166"/>
        <v>10.153614860325778</v>
      </c>
      <c r="R1555" s="582">
        <f t="shared" si="167"/>
        <v>1.0519851396742212</v>
      </c>
      <c r="S1555" s="582">
        <f t="shared" si="170"/>
        <v>2.2423851396742229</v>
      </c>
      <c r="T1555" s="582">
        <f t="shared" si="168"/>
        <v>2.546085139674223</v>
      </c>
      <c r="U1555" s="582">
        <f t="shared" si="169"/>
        <v>2.2359851396742223</v>
      </c>
    </row>
    <row r="1556" spans="10:21">
      <c r="J1556" s="580">
        <v>41634</v>
      </c>
      <c r="K1556" s="581">
        <v>0.98611111111111116</v>
      </c>
      <c r="L1556" s="582">
        <v>11.345800000000001</v>
      </c>
      <c r="M1556" s="582">
        <v>11.6957</v>
      </c>
      <c r="N1556" s="582">
        <v>12.458299999999999</v>
      </c>
      <c r="O1556" s="582">
        <v>12.0855</v>
      </c>
      <c r="P1556" s="582">
        <v>99.162800000000004</v>
      </c>
      <c r="Q1556" s="582">
        <f t="shared" si="166"/>
        <v>10.139340838403836</v>
      </c>
      <c r="R1556" s="582">
        <f t="shared" si="167"/>
        <v>1.0214591615961646</v>
      </c>
      <c r="S1556" s="582">
        <f t="shared" si="170"/>
        <v>2.2063591615961649</v>
      </c>
      <c r="T1556" s="582">
        <f t="shared" si="168"/>
        <v>2.5089591615961639</v>
      </c>
      <c r="U1556" s="582">
        <f t="shared" si="169"/>
        <v>2.2161591615961638</v>
      </c>
    </row>
    <row r="1557" spans="10:21">
      <c r="J1557" s="580">
        <v>41635</v>
      </c>
      <c r="K1557" s="581">
        <v>0.98611111111111116</v>
      </c>
      <c r="L1557" s="582">
        <v>11.3157</v>
      </c>
      <c r="M1557" s="582">
        <v>11.6584</v>
      </c>
      <c r="N1557" s="582">
        <v>12.418200000000001</v>
      </c>
      <c r="O1557" s="582">
        <v>12.0657</v>
      </c>
      <c r="P1557" s="582">
        <v>99.150899999999993</v>
      </c>
      <c r="Q1557" s="582">
        <f t="shared" si="166"/>
        <v>10.138124070059487</v>
      </c>
      <c r="R1557" s="582">
        <f t="shared" si="167"/>
        <v>0.99257592994051314</v>
      </c>
      <c r="S1557" s="582">
        <f t="shared" si="170"/>
        <v>2.1702759299405141</v>
      </c>
      <c r="T1557" s="582">
        <f t="shared" si="168"/>
        <v>2.4700759299405144</v>
      </c>
      <c r="U1557" s="582">
        <f t="shared" si="169"/>
        <v>2.1975759299405131</v>
      </c>
    </row>
    <row r="1558" spans="10:21">
      <c r="J1558" s="580">
        <v>41636</v>
      </c>
      <c r="K1558" s="581">
        <v>0.98611111111111116</v>
      </c>
      <c r="L1558" s="582">
        <v>11.285299999999999</v>
      </c>
      <c r="M1558" s="582">
        <v>11.6128</v>
      </c>
      <c r="N1558" s="582">
        <v>12.374499999999999</v>
      </c>
      <c r="O1558" s="582">
        <v>12.0434</v>
      </c>
      <c r="P1558" s="582">
        <v>99.109099999999998</v>
      </c>
      <c r="Q1558" s="582">
        <f t="shared" si="166"/>
        <v>10.13385004343816</v>
      </c>
      <c r="R1558" s="582">
        <f t="shared" si="167"/>
        <v>0.96644995656183907</v>
      </c>
      <c r="S1558" s="582">
        <f t="shared" si="170"/>
        <v>2.1289499565618399</v>
      </c>
      <c r="T1558" s="582">
        <f t="shared" si="168"/>
        <v>2.4306499565618394</v>
      </c>
      <c r="U1558" s="582">
        <f t="shared" si="169"/>
        <v>2.1795499565618397</v>
      </c>
    </row>
    <row r="1559" spans="10:21">
      <c r="J1559" s="580">
        <v>41637</v>
      </c>
      <c r="K1559" s="581">
        <v>0.98611111111111116</v>
      </c>
      <c r="L1559" s="582">
        <v>11.2666</v>
      </c>
      <c r="M1559" s="582">
        <v>11.5738</v>
      </c>
      <c r="N1559" s="582">
        <v>12.337899999999999</v>
      </c>
      <c r="O1559" s="582">
        <v>12.010199999999999</v>
      </c>
      <c r="P1559" s="582">
        <v>99.113</v>
      </c>
      <c r="Q1559" s="582">
        <f t="shared" si="166"/>
        <v>10.134248816256896</v>
      </c>
      <c r="R1559" s="582">
        <f t="shared" si="167"/>
        <v>0.94735118374310423</v>
      </c>
      <c r="S1559" s="582">
        <f t="shared" si="170"/>
        <v>2.0895511837431044</v>
      </c>
      <c r="T1559" s="582">
        <f t="shared" si="168"/>
        <v>2.3936511837431036</v>
      </c>
      <c r="U1559" s="582">
        <f t="shared" si="169"/>
        <v>2.1459511837431031</v>
      </c>
    </row>
    <row r="1560" spans="10:21">
      <c r="J1560" s="580">
        <v>41638</v>
      </c>
      <c r="K1560" s="581">
        <v>0.98611111111111116</v>
      </c>
      <c r="L1560" s="582">
        <v>11.249599999999999</v>
      </c>
      <c r="M1560" s="582">
        <v>11.5358</v>
      </c>
      <c r="N1560" s="582">
        <v>12.2986</v>
      </c>
      <c r="O1560" s="582">
        <v>11.9742</v>
      </c>
      <c r="P1560" s="582">
        <v>99.1434</v>
      </c>
      <c r="Q1560" s="582">
        <f t="shared" si="166"/>
        <v>10.137357199254225</v>
      </c>
      <c r="R1560" s="582">
        <f t="shared" si="167"/>
        <v>0.92724280074577392</v>
      </c>
      <c r="S1560" s="582">
        <f t="shared" si="170"/>
        <v>2.0484428007457751</v>
      </c>
      <c r="T1560" s="582">
        <f t="shared" si="168"/>
        <v>2.3512428007457755</v>
      </c>
      <c r="U1560" s="582">
        <f t="shared" si="169"/>
        <v>2.1068428007457745</v>
      </c>
    </row>
    <row r="1561" spans="10:21">
      <c r="J1561" s="580">
        <v>41639</v>
      </c>
      <c r="K1561" s="581">
        <v>0.98611111111111116</v>
      </c>
      <c r="L1561" s="582">
        <v>11.2227</v>
      </c>
      <c r="M1561" s="582">
        <v>11.485799999999999</v>
      </c>
      <c r="N1561" s="582">
        <v>12.242900000000001</v>
      </c>
      <c r="O1561" s="582">
        <v>11.930099999999999</v>
      </c>
      <c r="P1561" s="582">
        <v>99.082300000000004</v>
      </c>
      <c r="Q1561" s="582">
        <f t="shared" si="166"/>
        <v>10.131109758427359</v>
      </c>
      <c r="R1561" s="582">
        <f t="shared" si="167"/>
        <v>0.90659024157264112</v>
      </c>
      <c r="S1561" s="582">
        <f t="shared" si="170"/>
        <v>2.0046902415726411</v>
      </c>
      <c r="T1561" s="582">
        <f t="shared" si="168"/>
        <v>2.3017902415726423</v>
      </c>
      <c r="U1561" s="582">
        <f t="shared" si="169"/>
        <v>2.0689902415726409</v>
      </c>
    </row>
    <row r="1562" spans="10:21">
      <c r="J1562" s="580">
        <v>41640</v>
      </c>
      <c r="K1562" s="581">
        <v>0.98611111111111116</v>
      </c>
      <c r="L1562" s="582">
        <v>11.2029</v>
      </c>
      <c r="M1562" s="582">
        <v>11.463699999999999</v>
      </c>
      <c r="N1562" s="582">
        <v>12.211399999999999</v>
      </c>
      <c r="O1562" s="582">
        <v>11.8971</v>
      </c>
      <c r="P1562" s="582">
        <v>99.091399999999993</v>
      </c>
      <c r="Q1562" s="582">
        <f t="shared" si="166"/>
        <v>10.132040228337742</v>
      </c>
      <c r="R1562" s="582">
        <f t="shared" si="167"/>
        <v>0.88585977166225816</v>
      </c>
      <c r="S1562" s="582">
        <f t="shared" si="170"/>
        <v>1.9816597716622579</v>
      </c>
      <c r="T1562" s="582">
        <f t="shared" si="168"/>
        <v>2.2693597716622582</v>
      </c>
      <c r="U1562" s="582">
        <f t="shared" si="169"/>
        <v>2.0350597716622585</v>
      </c>
    </row>
    <row r="1563" spans="10:21">
      <c r="J1563" s="580">
        <v>41641</v>
      </c>
      <c r="K1563" s="581">
        <v>0.98611111111111116</v>
      </c>
      <c r="L1563" s="582">
        <v>11.1744</v>
      </c>
      <c r="M1563" s="582">
        <v>11.4412</v>
      </c>
      <c r="N1563" s="582">
        <v>12.183</v>
      </c>
      <c r="O1563" s="582">
        <v>11.870900000000001</v>
      </c>
      <c r="P1563" s="582">
        <v>99.099800000000002</v>
      </c>
      <c r="Q1563" s="582">
        <f t="shared" si="166"/>
        <v>10.132899123639636</v>
      </c>
      <c r="R1563" s="582">
        <f t="shared" si="167"/>
        <v>0.85650087636036487</v>
      </c>
      <c r="S1563" s="582">
        <f t="shared" si="170"/>
        <v>1.9583008763603649</v>
      </c>
      <c r="T1563" s="582">
        <f t="shared" si="168"/>
        <v>2.2401008763603647</v>
      </c>
      <c r="U1563" s="582">
        <f t="shared" si="169"/>
        <v>2.0080008763603652</v>
      </c>
    </row>
    <row r="1564" spans="10:21">
      <c r="J1564" s="580">
        <v>41642</v>
      </c>
      <c r="K1564" s="581">
        <v>0.98611111111111116</v>
      </c>
      <c r="L1564" s="582">
        <v>11.139200000000001</v>
      </c>
      <c r="M1564" s="582">
        <v>11.4117</v>
      </c>
      <c r="N1564" s="582">
        <v>12.1473</v>
      </c>
      <c r="O1564" s="582">
        <v>11.8391</v>
      </c>
      <c r="P1564" s="582">
        <v>99.034599999999998</v>
      </c>
      <c r="Q1564" s="582">
        <f t="shared" si="166"/>
        <v>10.126232460105891</v>
      </c>
      <c r="R1564" s="582">
        <f t="shared" si="167"/>
        <v>0.82796753989410965</v>
      </c>
      <c r="S1564" s="582">
        <f t="shared" si="170"/>
        <v>1.9354675398941088</v>
      </c>
      <c r="T1564" s="582">
        <f t="shared" si="168"/>
        <v>2.2110675398941089</v>
      </c>
      <c r="U1564" s="582">
        <f t="shared" si="169"/>
        <v>1.9828675398941091</v>
      </c>
    </row>
    <row r="1565" spans="10:21">
      <c r="J1565" s="580">
        <v>41643</v>
      </c>
      <c r="K1565" s="581">
        <v>0.98611111111111116</v>
      </c>
      <c r="L1565" s="582">
        <v>11.0954</v>
      </c>
      <c r="M1565" s="582">
        <v>11.376799999999999</v>
      </c>
      <c r="N1565" s="582">
        <v>12.109500000000001</v>
      </c>
      <c r="O1565" s="582">
        <v>11.8089</v>
      </c>
      <c r="P1565" s="582">
        <v>98.924099999999996</v>
      </c>
      <c r="Q1565" s="582">
        <f t="shared" si="166"/>
        <v>10.114933896908365</v>
      </c>
      <c r="R1565" s="582">
        <f t="shared" si="167"/>
        <v>0.79546610309163468</v>
      </c>
      <c r="S1565" s="582">
        <f t="shared" si="170"/>
        <v>1.9118661030916344</v>
      </c>
      <c r="T1565" s="582">
        <f t="shared" si="168"/>
        <v>2.1845661030916359</v>
      </c>
      <c r="U1565" s="582">
        <f t="shared" si="169"/>
        <v>1.9639661030916344</v>
      </c>
    </row>
    <row r="1566" spans="10:21">
      <c r="J1566" s="580">
        <v>41644</v>
      </c>
      <c r="K1566" s="581">
        <v>0.98611111111111116</v>
      </c>
      <c r="L1566" s="582">
        <v>11.0466</v>
      </c>
      <c r="M1566" s="582">
        <v>11.334300000000001</v>
      </c>
      <c r="N1566" s="582">
        <v>12.0594</v>
      </c>
      <c r="O1566" s="582">
        <v>11.7706</v>
      </c>
      <c r="P1566" s="582">
        <v>98.750900000000001</v>
      </c>
      <c r="Q1566" s="582">
        <f t="shared" si="166"/>
        <v>10.097224293778851</v>
      </c>
      <c r="R1566" s="582">
        <f t="shared" si="167"/>
        <v>0.76437570622114903</v>
      </c>
      <c r="S1566" s="582">
        <f t="shared" si="170"/>
        <v>1.8870757062211501</v>
      </c>
      <c r="T1566" s="582">
        <f t="shared" si="168"/>
        <v>2.1521757062211497</v>
      </c>
      <c r="U1566" s="582">
        <f t="shared" si="169"/>
        <v>1.9433757062211492</v>
      </c>
    </row>
    <row r="1567" spans="10:21">
      <c r="J1567" s="580">
        <v>41645</v>
      </c>
      <c r="K1567" s="581">
        <v>0.98611111111111116</v>
      </c>
      <c r="L1567" s="582">
        <v>11.031499999999999</v>
      </c>
      <c r="M1567" s="582">
        <v>11.3231</v>
      </c>
      <c r="N1567" s="582">
        <v>12.034700000000001</v>
      </c>
      <c r="O1567" s="582">
        <v>11.757400000000001</v>
      </c>
      <c r="P1567" s="582">
        <v>98.81</v>
      </c>
      <c r="Q1567" s="582">
        <f t="shared" si="166"/>
        <v>10.103267235724314</v>
      </c>
      <c r="R1567" s="582">
        <f t="shared" si="167"/>
        <v>0.74323276427568574</v>
      </c>
      <c r="S1567" s="582">
        <f t="shared" si="170"/>
        <v>1.8698327642756867</v>
      </c>
      <c r="T1567" s="582">
        <f t="shared" si="168"/>
        <v>2.1214327642756876</v>
      </c>
      <c r="U1567" s="582">
        <f t="shared" si="169"/>
        <v>1.9241327642756869</v>
      </c>
    </row>
    <row r="1568" spans="10:21">
      <c r="J1568" s="580">
        <v>41646</v>
      </c>
      <c r="K1568" s="581">
        <v>0.98611111111111116</v>
      </c>
      <c r="L1568" s="582">
        <v>11.0334</v>
      </c>
      <c r="M1568" s="582">
        <v>11.1166</v>
      </c>
      <c r="N1568" s="582">
        <v>12.0304</v>
      </c>
      <c r="O1568" s="582">
        <v>11.7599</v>
      </c>
      <c r="P1568" s="582">
        <v>98.987899999999996</v>
      </c>
      <c r="Q1568" s="582">
        <f t="shared" si="166"/>
        <v>10.121457411225126</v>
      </c>
      <c r="R1568" s="582">
        <f t="shared" si="167"/>
        <v>0.72694258877487394</v>
      </c>
      <c r="S1568" s="582">
        <f t="shared" si="170"/>
        <v>1.6451425887748738</v>
      </c>
      <c r="T1568" s="582">
        <f t="shared" si="168"/>
        <v>2.0989425887748743</v>
      </c>
      <c r="U1568" s="582">
        <f t="shared" si="169"/>
        <v>1.9084425887748737</v>
      </c>
    </row>
    <row r="1569" spans="10:21">
      <c r="J1569" s="580">
        <v>41647</v>
      </c>
      <c r="K1569" s="581">
        <v>0.98611111111111116</v>
      </c>
      <c r="L1569" s="582">
        <v>11.033799999999999</v>
      </c>
      <c r="M1569" s="582">
        <v>11.2836</v>
      </c>
      <c r="N1569" s="582">
        <v>12.019399999999999</v>
      </c>
      <c r="O1569" s="582">
        <v>11.761200000000001</v>
      </c>
      <c r="P1569" s="582">
        <v>99.0458</v>
      </c>
      <c r="Q1569" s="582">
        <f t="shared" si="166"/>
        <v>10.12737765384175</v>
      </c>
      <c r="R1569" s="582">
        <f t="shared" si="167"/>
        <v>0.72142234615824963</v>
      </c>
      <c r="S1569" s="582">
        <f t="shared" si="170"/>
        <v>1.8062223461582503</v>
      </c>
      <c r="T1569" s="582">
        <f t="shared" si="168"/>
        <v>2.0820223461582499</v>
      </c>
      <c r="U1569" s="582">
        <f t="shared" si="169"/>
        <v>1.9038223461582509</v>
      </c>
    </row>
    <row r="1570" spans="10:21">
      <c r="J1570" s="580">
        <v>41648</v>
      </c>
      <c r="K1570" s="581">
        <v>0.98611111111111116</v>
      </c>
      <c r="L1570" s="582">
        <v>11.0166</v>
      </c>
      <c r="M1570" s="582">
        <v>11.277200000000001</v>
      </c>
      <c r="N1570" s="582">
        <v>11.9931</v>
      </c>
      <c r="O1570" s="582">
        <v>11.744199999999999</v>
      </c>
      <c r="P1570" s="582">
        <v>99.044399999999996</v>
      </c>
      <c r="Q1570" s="582">
        <f t="shared" si="166"/>
        <v>10.127234504624766</v>
      </c>
      <c r="R1570" s="582">
        <f t="shared" si="167"/>
        <v>0.70436549537523385</v>
      </c>
      <c r="S1570" s="582">
        <f t="shared" si="170"/>
        <v>1.7999654953752342</v>
      </c>
      <c r="T1570" s="582">
        <f t="shared" si="168"/>
        <v>2.055865495375234</v>
      </c>
      <c r="U1570" s="582">
        <f t="shared" si="169"/>
        <v>1.8869654953752328</v>
      </c>
    </row>
    <row r="1571" spans="10:21">
      <c r="J1571" s="580">
        <v>41649</v>
      </c>
      <c r="K1571" s="581">
        <v>0.98611111111111116</v>
      </c>
      <c r="L1571" s="582">
        <v>10.998699999999999</v>
      </c>
      <c r="M1571" s="582">
        <v>11.2545</v>
      </c>
      <c r="N1571" s="582">
        <v>11.9696</v>
      </c>
      <c r="O1571" s="582">
        <v>11.731299999999999</v>
      </c>
      <c r="P1571" s="582">
        <v>99.086200000000005</v>
      </c>
      <c r="Q1571" s="582">
        <f t="shared" si="166"/>
        <v>10.131508531246094</v>
      </c>
      <c r="R1571" s="582">
        <f t="shared" si="167"/>
        <v>0.68219146875390502</v>
      </c>
      <c r="S1571" s="582">
        <f t="shared" si="170"/>
        <v>1.7729914687539059</v>
      </c>
      <c r="T1571" s="582">
        <f t="shared" si="168"/>
        <v>2.0280914687539058</v>
      </c>
      <c r="U1571" s="582">
        <f t="shared" si="169"/>
        <v>1.8697914687539048</v>
      </c>
    </row>
    <row r="1572" spans="10:21">
      <c r="J1572" s="580">
        <v>41650</v>
      </c>
      <c r="K1572" s="581">
        <v>0.98611111111111116</v>
      </c>
      <c r="L1572" s="582">
        <v>10.9815</v>
      </c>
      <c r="M1572" s="582">
        <v>10.652699999999999</v>
      </c>
      <c r="N1572" s="582">
        <v>11.9483</v>
      </c>
      <c r="O1572" s="582">
        <v>11.723100000000001</v>
      </c>
      <c r="P1572" s="582">
        <v>99.149500000000003</v>
      </c>
      <c r="Q1572" s="582">
        <f t="shared" si="166"/>
        <v>10.137980920842505</v>
      </c>
      <c r="R1572" s="582">
        <f t="shared" si="167"/>
        <v>0.6585190791574953</v>
      </c>
      <c r="S1572" s="582">
        <f t="shared" si="170"/>
        <v>1.1647190791574944</v>
      </c>
      <c r="T1572" s="582">
        <f t="shared" si="168"/>
        <v>2.000319079157495</v>
      </c>
      <c r="U1572" s="582">
        <f t="shared" si="169"/>
        <v>1.8551190791574954</v>
      </c>
    </row>
    <row r="1573" spans="10:21">
      <c r="J1573" s="580">
        <v>41651</v>
      </c>
      <c r="K1573" s="581">
        <v>0.98611111111111116</v>
      </c>
      <c r="L1573" s="582">
        <v>10.9376</v>
      </c>
      <c r="M1573" s="582">
        <v>10.6075</v>
      </c>
      <c r="N1573" s="582">
        <v>11.9213</v>
      </c>
      <c r="O1573" s="582">
        <v>11.706200000000001</v>
      </c>
      <c r="P1573" s="582">
        <v>99.156400000000005</v>
      </c>
      <c r="Q1573" s="582">
        <f t="shared" si="166"/>
        <v>10.138686441983346</v>
      </c>
      <c r="R1573" s="582">
        <f t="shared" si="167"/>
        <v>0.61391355801665393</v>
      </c>
      <c r="S1573" s="582">
        <f t="shared" si="170"/>
        <v>1.1188135580166543</v>
      </c>
      <c r="T1573" s="582">
        <f t="shared" si="168"/>
        <v>1.9726135580166548</v>
      </c>
      <c r="U1573" s="582">
        <f t="shared" si="169"/>
        <v>1.8375135580166551</v>
      </c>
    </row>
    <row r="1574" spans="10:21">
      <c r="J1574" s="580">
        <v>41652</v>
      </c>
      <c r="K1574" s="581">
        <v>0.98611111111111116</v>
      </c>
      <c r="L1574" s="582">
        <v>10.8598</v>
      </c>
      <c r="M1574" s="582">
        <v>10.5777</v>
      </c>
      <c r="N1574" s="582">
        <v>11.8927</v>
      </c>
      <c r="O1574" s="582">
        <v>11.6859</v>
      </c>
      <c r="P1574" s="582">
        <v>99.142600000000002</v>
      </c>
      <c r="Q1574" s="582">
        <f t="shared" si="166"/>
        <v>10.137275399701663</v>
      </c>
      <c r="R1574" s="582">
        <f t="shared" si="167"/>
        <v>0.53752460029833715</v>
      </c>
      <c r="S1574" s="582">
        <f t="shared" si="170"/>
        <v>1.0904246002983375</v>
      </c>
      <c r="T1574" s="582">
        <f t="shared" si="168"/>
        <v>1.9454246002983371</v>
      </c>
      <c r="U1574" s="582">
        <f t="shared" si="169"/>
        <v>1.8186246002983375</v>
      </c>
    </row>
    <row r="1575" spans="10:21">
      <c r="J1575" s="580">
        <v>41653</v>
      </c>
      <c r="K1575" s="581">
        <v>0.98611111111111116</v>
      </c>
      <c r="L1575" s="582">
        <v>10.776</v>
      </c>
      <c r="M1575" s="582">
        <v>10.5777</v>
      </c>
      <c r="N1575" s="582">
        <v>11.8652</v>
      </c>
      <c r="O1575" s="582">
        <v>11.666399999999999</v>
      </c>
      <c r="P1575" s="582">
        <v>99.122699999999995</v>
      </c>
      <c r="Q1575" s="582">
        <f t="shared" si="166"/>
        <v>10.135240635831702</v>
      </c>
      <c r="R1575" s="582">
        <f t="shared" si="167"/>
        <v>0.45575936416829826</v>
      </c>
      <c r="S1575" s="582">
        <f t="shared" si="170"/>
        <v>1.0924593641682987</v>
      </c>
      <c r="T1575" s="582">
        <f t="shared" si="168"/>
        <v>1.9199593641682984</v>
      </c>
      <c r="U1575" s="582">
        <f t="shared" si="169"/>
        <v>1.8011593641682979</v>
      </c>
    </row>
    <row r="1576" spans="10:21">
      <c r="J1576" s="580">
        <v>41654</v>
      </c>
      <c r="K1576" s="581">
        <v>0.98611111111111116</v>
      </c>
      <c r="L1576" s="582">
        <v>10.7341</v>
      </c>
      <c r="M1576" s="582">
        <v>10.5891</v>
      </c>
      <c r="N1576" s="582">
        <v>11.8444</v>
      </c>
      <c r="O1576" s="582">
        <v>11.6546</v>
      </c>
      <c r="P1576" s="582">
        <v>99.193700000000007</v>
      </c>
      <c r="Q1576" s="582">
        <f t="shared" si="166"/>
        <v>10.142500346121516</v>
      </c>
      <c r="R1576" s="582">
        <f t="shared" si="167"/>
        <v>0.40659965387848424</v>
      </c>
      <c r="S1576" s="582">
        <f t="shared" si="170"/>
        <v>1.0965996538784848</v>
      </c>
      <c r="T1576" s="582">
        <f t="shared" si="168"/>
        <v>1.8918996538784849</v>
      </c>
      <c r="U1576" s="582">
        <f t="shared" si="169"/>
        <v>1.7820996538784848</v>
      </c>
    </row>
    <row r="1577" spans="10:21">
      <c r="J1577" s="580">
        <v>41655</v>
      </c>
      <c r="K1577" s="581">
        <v>0.98611111111111116</v>
      </c>
      <c r="L1577" s="582">
        <v>10.6387</v>
      </c>
      <c r="M1577" s="582">
        <v>10.590299999999999</v>
      </c>
      <c r="N1577" s="582">
        <v>11.819900000000001</v>
      </c>
      <c r="O1577" s="582">
        <v>11.638</v>
      </c>
      <c r="P1577" s="582">
        <v>99.213700000000003</v>
      </c>
      <c r="Q1577" s="582">
        <f t="shared" si="166"/>
        <v>10.144545334935547</v>
      </c>
      <c r="R1577" s="582">
        <f t="shared" si="167"/>
        <v>0.30915466506445327</v>
      </c>
      <c r="S1577" s="582">
        <f t="shared" si="170"/>
        <v>1.0957546650644525</v>
      </c>
      <c r="T1577" s="582">
        <f t="shared" si="168"/>
        <v>1.8653546650644539</v>
      </c>
      <c r="U1577" s="582">
        <f t="shared" si="169"/>
        <v>1.7634546650644531</v>
      </c>
    </row>
    <row r="1578" spans="10:21">
      <c r="J1578" s="580">
        <v>41656</v>
      </c>
      <c r="K1578" s="581">
        <v>0.98611111111111116</v>
      </c>
      <c r="L1578" s="582">
        <v>10.5343</v>
      </c>
      <c r="M1578" s="582">
        <v>10.5777</v>
      </c>
      <c r="N1578" s="582">
        <v>11.7897</v>
      </c>
      <c r="O1578" s="582">
        <v>11.6111</v>
      </c>
      <c r="P1578" s="582">
        <v>99.132900000000006</v>
      </c>
      <c r="Q1578" s="582">
        <f t="shared" si="166"/>
        <v>10.136283580126859</v>
      </c>
      <c r="R1578" s="582">
        <f t="shared" si="167"/>
        <v>0.21301641987314085</v>
      </c>
      <c r="S1578" s="582">
        <f t="shared" si="170"/>
        <v>1.0914164198731411</v>
      </c>
      <c r="T1578" s="582">
        <f t="shared" si="168"/>
        <v>1.8434164198731409</v>
      </c>
      <c r="U1578" s="582">
        <f t="shared" si="169"/>
        <v>1.7448164198731413</v>
      </c>
    </row>
    <row r="1579" spans="10:21">
      <c r="J1579" s="580">
        <v>41657</v>
      </c>
      <c r="K1579" s="581">
        <v>0.98611111111111116</v>
      </c>
      <c r="L1579" s="582">
        <v>10.5512</v>
      </c>
      <c r="M1579" s="582">
        <v>10.5974</v>
      </c>
      <c r="N1579" s="582">
        <v>11.7849</v>
      </c>
      <c r="O1579" s="582">
        <v>11.610099999999999</v>
      </c>
      <c r="P1579" s="582">
        <v>99.315100000000001</v>
      </c>
      <c r="Q1579" s="582">
        <f t="shared" si="166"/>
        <v>10.154913428222688</v>
      </c>
      <c r="R1579" s="582">
        <f t="shared" si="167"/>
        <v>0.21128657177731164</v>
      </c>
      <c r="S1579" s="582">
        <f t="shared" si="170"/>
        <v>1.0924865717773125</v>
      </c>
      <c r="T1579" s="582">
        <f t="shared" si="168"/>
        <v>1.8199865717773125</v>
      </c>
      <c r="U1579" s="582">
        <f t="shared" si="169"/>
        <v>1.7251865717773112</v>
      </c>
    </row>
    <row r="1580" spans="10:21">
      <c r="J1580" s="580">
        <v>41658</v>
      </c>
      <c r="K1580" s="581">
        <v>0.98611111111111116</v>
      </c>
      <c r="L1580" s="582">
        <v>10.548500000000001</v>
      </c>
      <c r="M1580" s="582">
        <v>10.5929</v>
      </c>
      <c r="N1580" s="582">
        <v>11.765000000000001</v>
      </c>
      <c r="O1580" s="582">
        <v>11.592000000000001</v>
      </c>
      <c r="P1580" s="582">
        <v>99.339500000000001</v>
      </c>
      <c r="Q1580" s="582">
        <f t="shared" si="166"/>
        <v>10.157408314575807</v>
      </c>
      <c r="R1580" s="582">
        <f t="shared" si="167"/>
        <v>0.20609168542419326</v>
      </c>
      <c r="S1580" s="582">
        <f t="shared" si="170"/>
        <v>1.0854916854241929</v>
      </c>
      <c r="T1580" s="582">
        <f t="shared" si="168"/>
        <v>1.7975916854241933</v>
      </c>
      <c r="U1580" s="582">
        <f t="shared" si="169"/>
        <v>1.7045916854241931</v>
      </c>
    </row>
    <row r="1581" spans="10:21">
      <c r="J1581" s="580">
        <v>41659</v>
      </c>
      <c r="K1581" s="581">
        <v>0.98611111111111116</v>
      </c>
      <c r="L1581" s="582">
        <v>10.1838</v>
      </c>
      <c r="M1581" s="582">
        <v>10.1951</v>
      </c>
      <c r="N1581" s="582">
        <v>11.7432</v>
      </c>
      <c r="O1581" s="582">
        <v>11.572800000000001</v>
      </c>
      <c r="P1581" s="582">
        <v>99.357699999999994</v>
      </c>
      <c r="Q1581" s="582">
        <f t="shared" si="166"/>
        <v>10.159269254396575</v>
      </c>
      <c r="R1581" s="582">
        <f t="shared" si="167"/>
        <v>0</v>
      </c>
      <c r="S1581" s="582">
        <f t="shared" si="170"/>
        <v>0.68583074560342516</v>
      </c>
      <c r="T1581" s="582">
        <f t="shared" si="168"/>
        <v>1.773930745603425</v>
      </c>
      <c r="U1581" s="582">
        <f t="shared" si="169"/>
        <v>1.6835307456034259</v>
      </c>
    </row>
    <row r="1582" spans="10:21">
      <c r="J1582" s="580">
        <v>41660</v>
      </c>
      <c r="K1582" s="581">
        <v>0.98611111111111116</v>
      </c>
      <c r="L1582" s="582">
        <v>10.180999999999999</v>
      </c>
      <c r="M1582" s="582">
        <v>10.1776</v>
      </c>
      <c r="N1582" s="582">
        <v>11.702999999999999</v>
      </c>
      <c r="O1582" s="582">
        <v>11.5335</v>
      </c>
      <c r="P1582" s="582">
        <v>99.183499999999995</v>
      </c>
      <c r="Q1582" s="582">
        <f t="shared" si="166"/>
        <v>10.141457401826358</v>
      </c>
      <c r="R1582" s="582">
        <f t="shared" si="167"/>
        <v>0</v>
      </c>
      <c r="S1582" s="582">
        <f t="shared" si="170"/>
        <v>0.6861425981736422</v>
      </c>
      <c r="T1582" s="582">
        <f t="shared" si="168"/>
        <v>1.7515425981736417</v>
      </c>
      <c r="U1582" s="582">
        <f t="shared" si="169"/>
        <v>1.6620425981736422</v>
      </c>
    </row>
    <row r="1583" spans="10:21">
      <c r="J1583" s="580">
        <v>41661</v>
      </c>
      <c r="K1583" s="581">
        <v>0.98611111111111116</v>
      </c>
      <c r="L1583" s="582">
        <v>10.189399999999999</v>
      </c>
      <c r="M1583" s="582">
        <v>10.177</v>
      </c>
      <c r="N1583" s="582">
        <v>11.684200000000001</v>
      </c>
      <c r="O1583" s="582">
        <v>11.5169</v>
      </c>
      <c r="P1583" s="582">
        <v>99.232200000000006</v>
      </c>
      <c r="Q1583" s="582">
        <f t="shared" si="166"/>
        <v>10.146436949588526</v>
      </c>
      <c r="R1583" s="582">
        <f t="shared" si="167"/>
        <v>0</v>
      </c>
      <c r="S1583" s="582">
        <f t="shared" si="170"/>
        <v>0.68056305041147325</v>
      </c>
      <c r="T1583" s="582">
        <f t="shared" si="168"/>
        <v>1.7277630504114743</v>
      </c>
      <c r="U1583" s="582">
        <f t="shared" si="169"/>
        <v>1.6404630504114732</v>
      </c>
    </row>
    <row r="1584" spans="10:21">
      <c r="J1584" s="580">
        <v>41662</v>
      </c>
      <c r="K1584" s="581">
        <v>0.98611111111111116</v>
      </c>
      <c r="L1584" s="582">
        <v>10.1877</v>
      </c>
      <c r="M1584" s="582">
        <v>10.174899999999999</v>
      </c>
      <c r="N1584" s="582">
        <v>11.662800000000001</v>
      </c>
      <c r="O1584" s="582">
        <v>11.4945</v>
      </c>
      <c r="P1584" s="582">
        <v>99.232399999999998</v>
      </c>
      <c r="Q1584" s="582">
        <f t="shared" si="166"/>
        <v>10.146457399476667</v>
      </c>
      <c r="R1584" s="582">
        <f t="shared" si="167"/>
        <v>0</v>
      </c>
      <c r="S1584" s="582">
        <f t="shared" si="170"/>
        <v>0.67844260052333261</v>
      </c>
      <c r="T1584" s="582">
        <f t="shared" si="168"/>
        <v>1.7063426005233342</v>
      </c>
      <c r="U1584" s="582">
        <f t="shared" si="169"/>
        <v>1.6180426005233337</v>
      </c>
    </row>
    <row r="1585" spans="10:21">
      <c r="J1585" s="580">
        <v>41663</v>
      </c>
      <c r="K1585" s="581">
        <v>0.98611111111111116</v>
      </c>
      <c r="L1585" s="582">
        <v>10.1731</v>
      </c>
      <c r="M1585" s="582">
        <v>10.1595</v>
      </c>
      <c r="N1585" s="582">
        <v>11.623799999999999</v>
      </c>
      <c r="O1585" s="582">
        <v>11.4552</v>
      </c>
      <c r="P1585" s="582">
        <v>99.066500000000005</v>
      </c>
      <c r="Q1585" s="582">
        <f t="shared" si="166"/>
        <v>10.129494217264273</v>
      </c>
      <c r="R1585" s="582">
        <f t="shared" si="167"/>
        <v>0</v>
      </c>
      <c r="S1585" s="582">
        <f t="shared" si="170"/>
        <v>0.68000578273572621</v>
      </c>
      <c r="T1585" s="582">
        <f t="shared" si="168"/>
        <v>1.684305782735726</v>
      </c>
      <c r="U1585" s="582">
        <f t="shared" si="169"/>
        <v>1.5957057827357262</v>
      </c>
    </row>
    <row r="1586" spans="10:21">
      <c r="J1586" s="580">
        <v>41664</v>
      </c>
      <c r="K1586" s="581">
        <v>0.98611111111111116</v>
      </c>
      <c r="L1586" s="582">
        <v>10.1716</v>
      </c>
      <c r="M1586" s="582">
        <v>10.1572</v>
      </c>
      <c r="N1586" s="582">
        <v>11.6006</v>
      </c>
      <c r="O1586" s="582">
        <v>11.428900000000001</v>
      </c>
      <c r="P1586" s="582">
        <v>99.036500000000004</v>
      </c>
      <c r="Q1586" s="582">
        <f t="shared" si="166"/>
        <v>10.126426734043225</v>
      </c>
      <c r="R1586" s="582">
        <f t="shared" si="167"/>
        <v>0</v>
      </c>
      <c r="S1586" s="582">
        <f t="shared" si="170"/>
        <v>0.6807732659567749</v>
      </c>
      <c r="T1586" s="582">
        <f t="shared" si="168"/>
        <v>1.6641732659567754</v>
      </c>
      <c r="U1586" s="582">
        <f t="shared" si="169"/>
        <v>1.5724732659567757</v>
      </c>
    </row>
    <row r="1587" spans="10:21">
      <c r="J1587" s="580">
        <v>41665</v>
      </c>
      <c r="K1587" s="581">
        <v>0.98611111111111116</v>
      </c>
      <c r="L1587" s="582">
        <v>10.1738</v>
      </c>
      <c r="M1587" s="582">
        <v>10.16</v>
      </c>
      <c r="N1587" s="582">
        <v>11.581</v>
      </c>
      <c r="O1587" s="582">
        <v>11.4091</v>
      </c>
      <c r="P1587" s="582">
        <v>99.066500000000005</v>
      </c>
      <c r="Q1587" s="582">
        <f t="shared" si="166"/>
        <v>10.129494217264273</v>
      </c>
      <c r="R1587" s="582">
        <f t="shared" si="167"/>
        <v>0</v>
      </c>
      <c r="S1587" s="582">
        <f t="shared" si="170"/>
        <v>0.68050578273572682</v>
      </c>
      <c r="T1587" s="582">
        <f t="shared" si="168"/>
        <v>1.6415057827357262</v>
      </c>
      <c r="U1587" s="582">
        <f t="shared" si="169"/>
        <v>1.549605782735727</v>
      </c>
    </row>
    <row r="1588" spans="10:21">
      <c r="J1588" s="580">
        <v>41666</v>
      </c>
      <c r="K1588" s="581">
        <v>0.98611111111111116</v>
      </c>
      <c r="L1588" s="582">
        <v>10.1717</v>
      </c>
      <c r="M1588" s="582">
        <v>10.1599</v>
      </c>
      <c r="N1588" s="582">
        <v>11.559699999999999</v>
      </c>
      <c r="O1588" s="582">
        <v>11.386100000000001</v>
      </c>
      <c r="P1588" s="582">
        <v>99.067400000000006</v>
      </c>
      <c r="Q1588" s="582">
        <f t="shared" si="166"/>
        <v>10.129586241760904</v>
      </c>
      <c r="R1588" s="582">
        <f t="shared" si="167"/>
        <v>0</v>
      </c>
      <c r="S1588" s="582">
        <f t="shared" si="170"/>
        <v>0.68031375823909612</v>
      </c>
      <c r="T1588" s="582">
        <f t="shared" si="168"/>
        <v>1.6201137582390952</v>
      </c>
      <c r="U1588" s="582">
        <f t="shared" si="169"/>
        <v>1.5265137582390964</v>
      </c>
    </row>
    <row r="1589" spans="10:21">
      <c r="J1589" s="580">
        <v>41667</v>
      </c>
      <c r="K1589" s="581">
        <v>0.98611111111111116</v>
      </c>
      <c r="L1589" s="582">
        <v>10.174099999999999</v>
      </c>
      <c r="M1589" s="582">
        <v>10.162100000000001</v>
      </c>
      <c r="N1589" s="582">
        <v>11.5382</v>
      </c>
      <c r="O1589" s="582">
        <v>11.3612</v>
      </c>
      <c r="P1589" s="582">
        <v>99.059299999999993</v>
      </c>
      <c r="Q1589" s="582">
        <f t="shared" ref="Q1589:Q1652" si="171">P1589/($G$8*$H$8)</f>
        <v>10.128758021291221</v>
      </c>
      <c r="R1589" s="582">
        <f t="shared" ref="R1589:R1652" si="172">IF((L1589-Q1589-$D$8+$E$8)&lt;0,0,(L1589-Q1589-$D$8+$E$8))</f>
        <v>0</v>
      </c>
      <c r="S1589" s="582">
        <f t="shared" si="170"/>
        <v>0.68334197870878</v>
      </c>
      <c r="T1589" s="582">
        <f t="shared" ref="T1589:T1652" si="173">N1589-Q1589-$D$10+$E$10</f>
        <v>1.5994419787087792</v>
      </c>
      <c r="U1589" s="582">
        <f t="shared" ref="U1589:U1652" si="174">O1589-Q1589-$D$11+$E$11</f>
        <v>1.5024419787087795</v>
      </c>
    </row>
    <row r="1590" spans="10:21">
      <c r="J1590" s="580">
        <v>41668</v>
      </c>
      <c r="K1590" s="581">
        <v>0.98611111111111116</v>
      </c>
      <c r="L1590" s="582">
        <v>10.1813</v>
      </c>
      <c r="M1590" s="582">
        <v>10.167899999999999</v>
      </c>
      <c r="N1590" s="582">
        <v>11.526999999999999</v>
      </c>
      <c r="O1590" s="582">
        <v>11.347200000000001</v>
      </c>
      <c r="P1590" s="582">
        <v>99.162800000000004</v>
      </c>
      <c r="Q1590" s="582">
        <f t="shared" si="171"/>
        <v>10.139340838403836</v>
      </c>
      <c r="R1590" s="582">
        <f t="shared" si="172"/>
        <v>0</v>
      </c>
      <c r="S1590" s="582">
        <f t="shared" si="170"/>
        <v>0.6785591615961637</v>
      </c>
      <c r="T1590" s="582">
        <f t="shared" si="173"/>
        <v>1.5776591615961635</v>
      </c>
      <c r="U1590" s="582">
        <f t="shared" si="174"/>
        <v>1.4778591615961649</v>
      </c>
    </row>
    <row r="1591" spans="10:21">
      <c r="J1591" s="580">
        <v>41669</v>
      </c>
      <c r="K1591" s="581">
        <v>0.98611111111111116</v>
      </c>
      <c r="L1591" s="582">
        <v>10.180999999999999</v>
      </c>
      <c r="M1591" s="582">
        <v>10.167899999999999</v>
      </c>
      <c r="N1591" s="582">
        <v>11.5037</v>
      </c>
      <c r="O1591" s="582">
        <v>11.319900000000001</v>
      </c>
      <c r="P1591" s="582">
        <v>99.141199999999998</v>
      </c>
      <c r="Q1591" s="582">
        <f t="shared" si="171"/>
        <v>10.137132250484681</v>
      </c>
      <c r="R1591" s="582">
        <f t="shared" si="172"/>
        <v>0</v>
      </c>
      <c r="S1591" s="582">
        <f t="shared" si="170"/>
        <v>0.68076774951531838</v>
      </c>
      <c r="T1591" s="582">
        <f t="shared" si="173"/>
        <v>1.5565677495153192</v>
      </c>
      <c r="U1591" s="582">
        <f t="shared" si="174"/>
        <v>1.4527677495153193</v>
      </c>
    </row>
    <row r="1592" spans="10:21">
      <c r="J1592" s="580">
        <v>41670</v>
      </c>
      <c r="K1592" s="581">
        <v>0.98611111111111116</v>
      </c>
      <c r="L1592" s="582">
        <v>10.1646</v>
      </c>
      <c r="M1592" s="582">
        <v>10.150700000000001</v>
      </c>
      <c r="N1592" s="582">
        <v>11.466799999999999</v>
      </c>
      <c r="O1592" s="582">
        <v>11.279199999999999</v>
      </c>
      <c r="P1592" s="582">
        <v>98.988299999999995</v>
      </c>
      <c r="Q1592" s="582">
        <f t="shared" si="171"/>
        <v>10.121498311001407</v>
      </c>
      <c r="R1592" s="582">
        <f t="shared" si="172"/>
        <v>0</v>
      </c>
      <c r="S1592" s="582">
        <f t="shared" si="170"/>
        <v>0.6792016889985939</v>
      </c>
      <c r="T1592" s="582">
        <f t="shared" si="173"/>
        <v>1.5353016889985924</v>
      </c>
      <c r="U1592" s="582">
        <f t="shared" si="174"/>
        <v>1.4277016889985927</v>
      </c>
    </row>
    <row r="1593" spans="10:21">
      <c r="J1593" s="580">
        <v>41671</v>
      </c>
      <c r="K1593" s="581">
        <v>0.98611111111111116</v>
      </c>
      <c r="L1593" s="582">
        <v>10.1769</v>
      </c>
      <c r="M1593" s="582">
        <v>10.1633</v>
      </c>
      <c r="N1593" s="582">
        <v>11.4597</v>
      </c>
      <c r="O1593" s="582">
        <v>11.266400000000001</v>
      </c>
      <c r="P1593" s="582">
        <v>99.110500000000002</v>
      </c>
      <c r="Q1593" s="582">
        <f t="shared" si="171"/>
        <v>10.133993192655142</v>
      </c>
      <c r="R1593" s="582">
        <f t="shared" si="172"/>
        <v>0</v>
      </c>
      <c r="S1593" s="582">
        <f t="shared" si="170"/>
        <v>0.67930680734485782</v>
      </c>
      <c r="T1593" s="582">
        <f t="shared" si="173"/>
        <v>1.5157068073448579</v>
      </c>
      <c r="U1593" s="582">
        <f t="shared" si="174"/>
        <v>1.402406807344859</v>
      </c>
    </row>
    <row r="1594" spans="10:21">
      <c r="J1594" s="580">
        <v>41672</v>
      </c>
      <c r="K1594" s="581">
        <v>0.98611111111111116</v>
      </c>
      <c r="L1594" s="582">
        <v>10.1607</v>
      </c>
      <c r="M1594" s="582">
        <v>10.146800000000001</v>
      </c>
      <c r="N1594" s="582">
        <v>11.4217</v>
      </c>
      <c r="O1594" s="582">
        <v>11.226000000000001</v>
      </c>
      <c r="P1594" s="582">
        <v>98.941199999999995</v>
      </c>
      <c r="Q1594" s="582">
        <f t="shared" si="171"/>
        <v>10.116682362344362</v>
      </c>
      <c r="R1594" s="582">
        <f t="shared" si="172"/>
        <v>0</v>
      </c>
      <c r="S1594" s="582">
        <f t="shared" si="170"/>
        <v>0.68011763765563926</v>
      </c>
      <c r="T1594" s="582">
        <f t="shared" si="173"/>
        <v>1.4950176376556379</v>
      </c>
      <c r="U1594" s="582">
        <f t="shared" si="174"/>
        <v>1.3793176376556393</v>
      </c>
    </row>
    <row r="1595" spans="10:21">
      <c r="J1595" s="580">
        <v>41673</v>
      </c>
      <c r="K1595" s="581">
        <v>0.98611111111111116</v>
      </c>
      <c r="L1595" s="582">
        <v>10.151</v>
      </c>
      <c r="M1595" s="582">
        <v>10.138999999999999</v>
      </c>
      <c r="N1595" s="582">
        <v>11.3909</v>
      </c>
      <c r="O1595" s="582">
        <v>11.1934</v>
      </c>
      <c r="P1595" s="582">
        <v>98.860100000000003</v>
      </c>
      <c r="Q1595" s="582">
        <f t="shared" si="171"/>
        <v>10.108389932703464</v>
      </c>
      <c r="R1595" s="582">
        <f t="shared" si="172"/>
        <v>0</v>
      </c>
      <c r="S1595" s="582">
        <f t="shared" si="170"/>
        <v>0.68061006729653584</v>
      </c>
      <c r="T1595" s="582">
        <f t="shared" si="173"/>
        <v>1.4725100672965366</v>
      </c>
      <c r="U1595" s="582">
        <f t="shared" si="174"/>
        <v>1.3550100672965368</v>
      </c>
    </row>
    <row r="1596" spans="10:21">
      <c r="J1596" s="580">
        <v>41674</v>
      </c>
      <c r="K1596" s="581">
        <v>0.98611111111111116</v>
      </c>
      <c r="L1596" s="582">
        <v>10.139099999999999</v>
      </c>
      <c r="M1596" s="582">
        <v>10.1264</v>
      </c>
      <c r="N1596" s="582">
        <v>11.356299999999999</v>
      </c>
      <c r="O1596" s="582">
        <v>11.1534</v>
      </c>
      <c r="P1596" s="582">
        <v>98.716800000000006</v>
      </c>
      <c r="Q1596" s="582">
        <f t="shared" si="171"/>
        <v>10.093737587850926</v>
      </c>
      <c r="R1596" s="582">
        <f t="shared" si="172"/>
        <v>0</v>
      </c>
      <c r="S1596" s="582">
        <f t="shared" si="170"/>
        <v>0.6826624121490743</v>
      </c>
      <c r="T1596" s="582">
        <f t="shared" si="173"/>
        <v>1.452562412149073</v>
      </c>
      <c r="U1596" s="582">
        <f t="shared" si="174"/>
        <v>1.3296624121490734</v>
      </c>
    </row>
    <row r="1597" spans="10:21">
      <c r="J1597" s="580">
        <v>41675</v>
      </c>
      <c r="K1597" s="581">
        <v>0.98611111111111116</v>
      </c>
      <c r="L1597" s="582">
        <v>10.148300000000001</v>
      </c>
      <c r="M1597" s="582">
        <v>10.135300000000001</v>
      </c>
      <c r="N1597" s="582">
        <v>11.3444</v>
      </c>
      <c r="O1597" s="582">
        <v>11.1394</v>
      </c>
      <c r="P1597" s="582">
        <v>98.804400000000001</v>
      </c>
      <c r="Q1597" s="582">
        <f t="shared" si="171"/>
        <v>10.102694638856384</v>
      </c>
      <c r="R1597" s="582">
        <f t="shared" si="172"/>
        <v>0</v>
      </c>
      <c r="S1597" s="582">
        <f t="shared" si="170"/>
        <v>0.6826053611436167</v>
      </c>
      <c r="T1597" s="582">
        <f t="shared" si="173"/>
        <v>1.4317053611436159</v>
      </c>
      <c r="U1597" s="582">
        <f t="shared" si="174"/>
        <v>1.3067053611436159</v>
      </c>
    </row>
    <row r="1598" spans="10:21">
      <c r="J1598" s="580">
        <v>41676</v>
      </c>
      <c r="K1598" s="581">
        <v>0.98611111111111116</v>
      </c>
      <c r="L1598" s="582">
        <v>10.1417</v>
      </c>
      <c r="M1598" s="582">
        <v>10.1289</v>
      </c>
      <c r="N1598" s="582">
        <v>11.3163</v>
      </c>
      <c r="O1598" s="582">
        <v>11.1107</v>
      </c>
      <c r="P1598" s="582">
        <v>98.740300000000005</v>
      </c>
      <c r="Q1598" s="582">
        <f t="shared" si="171"/>
        <v>10.096140449707413</v>
      </c>
      <c r="R1598" s="582">
        <f t="shared" si="172"/>
        <v>0</v>
      </c>
      <c r="S1598" s="582">
        <f t="shared" si="170"/>
        <v>0.68275955029258717</v>
      </c>
      <c r="T1598" s="582">
        <f t="shared" si="173"/>
        <v>1.4101595502925872</v>
      </c>
      <c r="U1598" s="582">
        <f t="shared" si="174"/>
        <v>1.2845595502925868</v>
      </c>
    </row>
    <row r="1599" spans="10:21">
      <c r="J1599" s="580">
        <v>41677</v>
      </c>
      <c r="K1599" s="581">
        <v>0.98611111111111116</v>
      </c>
      <c r="L1599" s="582">
        <v>10.1485</v>
      </c>
      <c r="M1599" s="582">
        <v>10.136699999999999</v>
      </c>
      <c r="N1599" s="582">
        <v>11.3025</v>
      </c>
      <c r="O1599" s="582">
        <v>11.094799999999999</v>
      </c>
      <c r="P1599" s="582">
        <v>98.8155</v>
      </c>
      <c r="Q1599" s="582">
        <f t="shared" si="171"/>
        <v>10.103829607648173</v>
      </c>
      <c r="R1599" s="582">
        <f t="shared" si="172"/>
        <v>0</v>
      </c>
      <c r="S1599" s="582">
        <f t="shared" si="170"/>
        <v>0.68287039235182667</v>
      </c>
      <c r="T1599" s="582">
        <f t="shared" si="173"/>
        <v>1.3886703923518273</v>
      </c>
      <c r="U1599" s="582">
        <f t="shared" si="174"/>
        <v>1.2609703923518265</v>
      </c>
    </row>
    <row r="1600" spans="10:21">
      <c r="J1600" s="580">
        <v>41678</v>
      </c>
      <c r="K1600" s="581">
        <v>0.98611111111111116</v>
      </c>
      <c r="L1600" s="582">
        <v>10.139200000000001</v>
      </c>
      <c r="M1600" s="582">
        <v>10.1266</v>
      </c>
      <c r="N1600" s="582">
        <v>11.271100000000001</v>
      </c>
      <c r="O1600" s="582">
        <v>11.0596</v>
      </c>
      <c r="P1600" s="582">
        <v>98.719700000000003</v>
      </c>
      <c r="Q1600" s="582">
        <f t="shared" si="171"/>
        <v>10.094034111228961</v>
      </c>
      <c r="R1600" s="582">
        <f t="shared" si="172"/>
        <v>0</v>
      </c>
      <c r="S1600" s="582">
        <f t="shared" si="170"/>
        <v>0.68256588877103908</v>
      </c>
      <c r="T1600" s="582">
        <f t="shared" si="173"/>
        <v>1.3670658887710396</v>
      </c>
      <c r="U1600" s="582">
        <f t="shared" si="174"/>
        <v>1.2355658887710388</v>
      </c>
    </row>
    <row r="1601" spans="10:21">
      <c r="J1601" s="580">
        <v>41679</v>
      </c>
      <c r="K1601" s="581">
        <v>0.98611111111111116</v>
      </c>
      <c r="L1601" s="582">
        <v>10.145300000000001</v>
      </c>
      <c r="M1601" s="582">
        <v>10.1332</v>
      </c>
      <c r="N1601" s="582">
        <v>11.2563</v>
      </c>
      <c r="O1601" s="582">
        <v>11.0403</v>
      </c>
      <c r="P1601" s="582">
        <v>98.772300000000001</v>
      </c>
      <c r="Q1601" s="582">
        <f t="shared" si="171"/>
        <v>10.099412431809863</v>
      </c>
      <c r="R1601" s="582">
        <f t="shared" si="172"/>
        <v>0</v>
      </c>
      <c r="S1601" s="582">
        <f t="shared" si="170"/>
        <v>0.68378756819013709</v>
      </c>
      <c r="T1601" s="582">
        <f t="shared" si="173"/>
        <v>1.346887568190136</v>
      </c>
      <c r="U1601" s="582">
        <f t="shared" si="174"/>
        <v>1.2108875681901368</v>
      </c>
    </row>
    <row r="1602" spans="10:21">
      <c r="J1602" s="580">
        <v>41680</v>
      </c>
      <c r="K1602" s="581">
        <v>0.98611111111111116</v>
      </c>
      <c r="L1602" s="582">
        <v>10.144</v>
      </c>
      <c r="M1602" s="582">
        <v>10.1309</v>
      </c>
      <c r="N1602" s="582">
        <v>11.232900000000001</v>
      </c>
      <c r="O1602" s="582">
        <v>11.0105</v>
      </c>
      <c r="P1602" s="582">
        <v>98.750799999999998</v>
      </c>
      <c r="Q1602" s="582">
        <f t="shared" si="171"/>
        <v>10.097214068834779</v>
      </c>
      <c r="R1602" s="582">
        <f t="shared" si="172"/>
        <v>0</v>
      </c>
      <c r="S1602" s="582">
        <f t="shared" si="170"/>
        <v>0.68368593116522169</v>
      </c>
      <c r="T1602" s="582">
        <f t="shared" si="173"/>
        <v>1.3256859311652218</v>
      </c>
      <c r="U1602" s="582">
        <f t="shared" si="174"/>
        <v>1.1832859311652215</v>
      </c>
    </row>
    <row r="1603" spans="10:21">
      <c r="J1603" s="580">
        <v>41681</v>
      </c>
      <c r="K1603" s="581">
        <v>0.98611111111111116</v>
      </c>
      <c r="L1603" s="582">
        <v>10.1279</v>
      </c>
      <c r="M1603" s="582">
        <v>10.113799999999999</v>
      </c>
      <c r="N1603" s="582">
        <v>11.196199999999999</v>
      </c>
      <c r="O1603" s="582">
        <v>10.9693</v>
      </c>
      <c r="P1603" s="582">
        <v>98.599699999999999</v>
      </c>
      <c r="Q1603" s="582">
        <f t="shared" si="171"/>
        <v>10.08176417834477</v>
      </c>
      <c r="R1603" s="582">
        <f t="shared" si="172"/>
        <v>0</v>
      </c>
      <c r="S1603" s="582">
        <f t="shared" si="170"/>
        <v>0.6820358216552298</v>
      </c>
      <c r="T1603" s="582">
        <f t="shared" si="173"/>
        <v>1.3044358216552294</v>
      </c>
      <c r="U1603" s="582">
        <f t="shared" si="174"/>
        <v>1.1575358216552307</v>
      </c>
    </row>
    <row r="1604" spans="10:21">
      <c r="J1604" s="580">
        <v>41682</v>
      </c>
      <c r="K1604" s="581">
        <v>0.98611111111111116</v>
      </c>
      <c r="L1604" s="582">
        <v>10.1447</v>
      </c>
      <c r="M1604" s="582">
        <v>10.1304</v>
      </c>
      <c r="N1604" s="582">
        <v>11.1935</v>
      </c>
      <c r="O1604" s="582">
        <v>10.9617</v>
      </c>
      <c r="P1604" s="582">
        <v>98.765799999999999</v>
      </c>
      <c r="Q1604" s="582">
        <f t="shared" si="171"/>
        <v>10.098747810445303</v>
      </c>
      <c r="R1604" s="582">
        <f t="shared" si="172"/>
        <v>0</v>
      </c>
      <c r="S1604" s="582">
        <f t="shared" si="170"/>
        <v>0.68165218955469675</v>
      </c>
      <c r="T1604" s="582">
        <f t="shared" si="173"/>
        <v>1.2847521895546969</v>
      </c>
      <c r="U1604" s="582">
        <f t="shared" si="174"/>
        <v>1.1329521895546972</v>
      </c>
    </row>
    <row r="1605" spans="10:21">
      <c r="J1605" s="580">
        <v>41683</v>
      </c>
      <c r="K1605" s="581">
        <v>0.98611111111111116</v>
      </c>
      <c r="L1605" s="582">
        <v>10.1629</v>
      </c>
      <c r="M1605" s="582">
        <v>10.15</v>
      </c>
      <c r="N1605" s="582">
        <v>11.1906</v>
      </c>
      <c r="O1605" s="582">
        <v>10.9536</v>
      </c>
      <c r="P1605" s="582">
        <v>98.952699999999993</v>
      </c>
      <c r="Q1605" s="582">
        <f t="shared" si="171"/>
        <v>10.117858230912431</v>
      </c>
      <c r="R1605" s="582">
        <f t="shared" si="172"/>
        <v>0</v>
      </c>
      <c r="S1605" s="582">
        <f t="shared" ref="S1605:S1668" si="175">M1605-Q1605-$D$9+$E$9</f>
        <v>0.68214176908756996</v>
      </c>
      <c r="T1605" s="582">
        <f t="shared" si="173"/>
        <v>1.2627417690875693</v>
      </c>
      <c r="U1605" s="582">
        <f t="shared" si="174"/>
        <v>1.1057417690875693</v>
      </c>
    </row>
    <row r="1606" spans="10:21">
      <c r="J1606" s="580">
        <v>41684</v>
      </c>
      <c r="K1606" s="581">
        <v>0.98611111111111116</v>
      </c>
      <c r="L1606" s="582">
        <v>10.1579</v>
      </c>
      <c r="M1606" s="582">
        <v>10.143000000000001</v>
      </c>
      <c r="N1606" s="582">
        <v>11.1637</v>
      </c>
      <c r="O1606" s="582">
        <v>10.9207</v>
      </c>
      <c r="P1606" s="582">
        <v>98.894400000000005</v>
      </c>
      <c r="Q1606" s="582">
        <f t="shared" si="171"/>
        <v>10.111897088519529</v>
      </c>
      <c r="R1606" s="582">
        <f t="shared" si="172"/>
        <v>0</v>
      </c>
      <c r="S1606" s="582">
        <f t="shared" si="175"/>
        <v>0.68110291148047231</v>
      </c>
      <c r="T1606" s="582">
        <f t="shared" si="173"/>
        <v>1.2418029114804718</v>
      </c>
      <c r="U1606" s="582">
        <f t="shared" si="174"/>
        <v>1.0788029114804716</v>
      </c>
    </row>
    <row r="1607" spans="10:21">
      <c r="J1607" s="580">
        <v>41685</v>
      </c>
      <c r="K1607" s="581">
        <v>0.98611111111111116</v>
      </c>
      <c r="L1607" s="582">
        <v>10.141500000000001</v>
      </c>
      <c r="M1607" s="582">
        <v>10.124000000000001</v>
      </c>
      <c r="N1607" s="582">
        <v>11.1286</v>
      </c>
      <c r="O1607" s="582">
        <v>10.8812</v>
      </c>
      <c r="P1607" s="582">
        <v>98.737300000000005</v>
      </c>
      <c r="Q1607" s="582">
        <f t="shared" si="171"/>
        <v>10.095833701385308</v>
      </c>
      <c r="R1607" s="582">
        <f t="shared" si="172"/>
        <v>0</v>
      </c>
      <c r="S1607" s="582">
        <f t="shared" si="175"/>
        <v>0.6781662986146928</v>
      </c>
      <c r="T1607" s="582">
        <f t="shared" si="173"/>
        <v>1.2227662986146925</v>
      </c>
      <c r="U1607" s="582">
        <f t="shared" si="174"/>
        <v>1.0553662986146919</v>
      </c>
    </row>
    <row r="1608" spans="10:21">
      <c r="J1608" s="580">
        <v>41686</v>
      </c>
      <c r="K1608" s="581">
        <v>0.98611111111111116</v>
      </c>
      <c r="L1608" s="582">
        <v>10.1532</v>
      </c>
      <c r="M1608" s="582">
        <v>10.1351</v>
      </c>
      <c r="N1608" s="582">
        <v>11.1203</v>
      </c>
      <c r="O1608" s="582">
        <v>10.869199999999999</v>
      </c>
      <c r="P1608" s="582">
        <v>98.856300000000005</v>
      </c>
      <c r="Q1608" s="582">
        <f t="shared" si="171"/>
        <v>10.108001384828798</v>
      </c>
      <c r="R1608" s="582">
        <f t="shared" si="172"/>
        <v>0</v>
      </c>
      <c r="S1608" s="582">
        <f t="shared" si="175"/>
        <v>0.67709861517120173</v>
      </c>
      <c r="T1608" s="582">
        <f t="shared" si="173"/>
        <v>1.2022986151712023</v>
      </c>
      <c r="U1608" s="582">
        <f t="shared" si="174"/>
        <v>1.0311986151712014</v>
      </c>
    </row>
    <row r="1609" spans="10:21">
      <c r="J1609" s="580">
        <v>41687</v>
      </c>
      <c r="K1609" s="581">
        <v>0.98611111111111116</v>
      </c>
      <c r="L1609" s="582">
        <v>10.174799999999999</v>
      </c>
      <c r="M1609" s="582">
        <v>10.157500000000001</v>
      </c>
      <c r="N1609" s="582">
        <v>11.119899999999999</v>
      </c>
      <c r="O1609" s="582">
        <v>10.865</v>
      </c>
      <c r="P1609" s="582">
        <v>99.069299999999998</v>
      </c>
      <c r="Q1609" s="582">
        <f t="shared" si="171"/>
        <v>10.129780515698236</v>
      </c>
      <c r="R1609" s="582">
        <f t="shared" si="172"/>
        <v>0</v>
      </c>
      <c r="S1609" s="582">
        <f t="shared" si="175"/>
        <v>0.67771948430176443</v>
      </c>
      <c r="T1609" s="582">
        <f t="shared" si="173"/>
        <v>1.1801194843017631</v>
      </c>
      <c r="U1609" s="582">
        <f t="shared" si="174"/>
        <v>1.0052194843017639</v>
      </c>
    </row>
    <row r="1610" spans="10:21">
      <c r="J1610" s="580">
        <v>41688</v>
      </c>
      <c r="K1610" s="581">
        <v>0.98611111111111116</v>
      </c>
      <c r="L1610" s="582">
        <v>10.178900000000001</v>
      </c>
      <c r="M1610" s="582">
        <v>10.161199999999999</v>
      </c>
      <c r="N1610" s="582">
        <v>11.111800000000001</v>
      </c>
      <c r="O1610" s="582">
        <v>10.852499999999999</v>
      </c>
      <c r="P1610" s="582">
        <v>99.129499999999993</v>
      </c>
      <c r="Q1610" s="582">
        <f t="shared" si="171"/>
        <v>10.135935932028472</v>
      </c>
      <c r="R1610" s="582">
        <f t="shared" si="172"/>
        <v>0</v>
      </c>
      <c r="S1610" s="582">
        <f t="shared" si="175"/>
        <v>0.67526406797152716</v>
      </c>
      <c r="T1610" s="582">
        <f t="shared" si="173"/>
        <v>1.1658640679715284</v>
      </c>
      <c r="U1610" s="582">
        <f t="shared" si="174"/>
        <v>0.98656406797152707</v>
      </c>
    </row>
    <row r="1611" spans="10:21">
      <c r="J1611" s="580">
        <v>41689</v>
      </c>
      <c r="K1611" s="581">
        <v>0.98611111111111116</v>
      </c>
      <c r="L1611" s="582">
        <v>10.163600000000001</v>
      </c>
      <c r="M1611" s="582">
        <v>10.146800000000001</v>
      </c>
      <c r="N1611" s="582">
        <v>11.0754</v>
      </c>
      <c r="O1611" s="582">
        <v>10.813800000000001</v>
      </c>
      <c r="P1611" s="582">
        <v>98.992000000000004</v>
      </c>
      <c r="Q1611" s="582">
        <f t="shared" si="171"/>
        <v>10.121876633932004</v>
      </c>
      <c r="R1611" s="582">
        <f t="shared" si="172"/>
        <v>0</v>
      </c>
      <c r="S1611" s="582">
        <f t="shared" si="175"/>
        <v>0.67492336606799674</v>
      </c>
      <c r="T1611" s="582">
        <f t="shared" si="173"/>
        <v>1.143523366067996</v>
      </c>
      <c r="U1611" s="582">
        <f t="shared" si="174"/>
        <v>0.96192336606799644</v>
      </c>
    </row>
    <row r="1612" spans="10:21">
      <c r="J1612" s="580">
        <v>41690</v>
      </c>
      <c r="K1612" s="581">
        <v>0.98611111111111116</v>
      </c>
      <c r="L1612" s="582">
        <v>10.1813</v>
      </c>
      <c r="M1612" s="582">
        <v>10.1639</v>
      </c>
      <c r="N1612" s="582">
        <v>11.071099999999999</v>
      </c>
      <c r="O1612" s="582">
        <v>10.686199999999999</v>
      </c>
      <c r="P1612" s="582">
        <v>99.148899999999998</v>
      </c>
      <c r="Q1612" s="582">
        <f t="shared" si="171"/>
        <v>10.137919571178083</v>
      </c>
      <c r="R1612" s="582">
        <f t="shared" si="172"/>
        <v>0</v>
      </c>
      <c r="S1612" s="582">
        <f t="shared" si="175"/>
        <v>0.67598042882191733</v>
      </c>
      <c r="T1612" s="582">
        <f t="shared" si="173"/>
        <v>1.1231804288219167</v>
      </c>
      <c r="U1612" s="582">
        <f t="shared" si="174"/>
        <v>0.81828042882191676</v>
      </c>
    </row>
    <row r="1613" spans="10:21">
      <c r="J1613" s="580">
        <v>41691</v>
      </c>
      <c r="K1613" s="581">
        <v>0.98611111111111116</v>
      </c>
      <c r="L1613" s="582">
        <v>10.181699999999999</v>
      </c>
      <c r="M1613" s="582">
        <v>10.164099999999999</v>
      </c>
      <c r="N1613" s="582">
        <v>11.0502</v>
      </c>
      <c r="O1613" s="582">
        <v>10.6206</v>
      </c>
      <c r="P1613" s="582">
        <v>99.157399999999996</v>
      </c>
      <c r="Q1613" s="582">
        <f t="shared" si="171"/>
        <v>10.138788691424047</v>
      </c>
      <c r="R1613" s="582">
        <f t="shared" si="172"/>
        <v>0</v>
      </c>
      <c r="S1613" s="582">
        <f t="shared" si="175"/>
        <v>0.67531130857595278</v>
      </c>
      <c r="T1613" s="582">
        <f t="shared" si="173"/>
        <v>1.1014113085759534</v>
      </c>
      <c r="U1613" s="582">
        <f t="shared" si="174"/>
        <v>0.7518113085759528</v>
      </c>
    </row>
    <row r="1614" spans="10:21">
      <c r="J1614" s="580">
        <v>41692</v>
      </c>
      <c r="K1614" s="581">
        <v>0.98611111111111116</v>
      </c>
      <c r="L1614" s="582">
        <v>10.1767</v>
      </c>
      <c r="M1614" s="582">
        <v>10.157999999999999</v>
      </c>
      <c r="N1614" s="582">
        <v>11.0265</v>
      </c>
      <c r="O1614" s="582">
        <v>10.540800000000001</v>
      </c>
      <c r="P1614" s="582">
        <v>99.106800000000007</v>
      </c>
      <c r="Q1614" s="582">
        <f t="shared" si="171"/>
        <v>10.133614869724546</v>
      </c>
      <c r="R1614" s="582">
        <f t="shared" si="172"/>
        <v>0</v>
      </c>
      <c r="S1614" s="582">
        <f t="shared" si="175"/>
        <v>0.67438513027545333</v>
      </c>
      <c r="T1614" s="582">
        <f t="shared" si="173"/>
        <v>1.0828851302754541</v>
      </c>
      <c r="U1614" s="582">
        <f t="shared" si="174"/>
        <v>0.67718513027545457</v>
      </c>
    </row>
    <row r="1615" spans="10:21">
      <c r="J1615" s="580">
        <v>41693</v>
      </c>
      <c r="K1615" s="581">
        <v>0.98611111111111116</v>
      </c>
      <c r="L1615" s="582">
        <v>10.173500000000001</v>
      </c>
      <c r="M1615" s="582">
        <v>10.1579</v>
      </c>
      <c r="N1615" s="582">
        <v>11.0054</v>
      </c>
      <c r="O1615" s="582">
        <v>10.540900000000001</v>
      </c>
      <c r="P1615" s="582">
        <v>99.090999999999994</v>
      </c>
      <c r="Q1615" s="582">
        <f t="shared" si="171"/>
        <v>10.131999328561461</v>
      </c>
      <c r="R1615" s="582">
        <f t="shared" si="172"/>
        <v>0</v>
      </c>
      <c r="S1615" s="582">
        <f t="shared" si="175"/>
        <v>0.67590067143853871</v>
      </c>
      <c r="T1615" s="582">
        <f t="shared" si="173"/>
        <v>1.0634006714385387</v>
      </c>
      <c r="U1615" s="582">
        <f t="shared" si="174"/>
        <v>0.67890067143853949</v>
      </c>
    </row>
    <row r="1616" spans="10:21">
      <c r="J1616" s="580">
        <v>41694</v>
      </c>
      <c r="K1616" s="581">
        <v>0.98611111111111116</v>
      </c>
      <c r="L1616" s="582">
        <v>10.180400000000001</v>
      </c>
      <c r="M1616" s="582">
        <v>10.1671</v>
      </c>
      <c r="N1616" s="582">
        <v>10.9977</v>
      </c>
      <c r="O1616" s="582">
        <v>10.5526</v>
      </c>
      <c r="P1616" s="582">
        <v>99.135300000000001</v>
      </c>
      <c r="Q1616" s="582">
        <f t="shared" si="171"/>
        <v>10.136528978784542</v>
      </c>
      <c r="R1616" s="582">
        <f t="shared" si="172"/>
        <v>0</v>
      </c>
      <c r="S1616" s="582">
        <f t="shared" si="175"/>
        <v>0.68057102121545809</v>
      </c>
      <c r="T1616" s="582">
        <f t="shared" si="173"/>
        <v>1.0511710212154584</v>
      </c>
      <c r="U1616" s="582">
        <f t="shared" si="174"/>
        <v>0.68607102121545838</v>
      </c>
    </row>
    <row r="1617" spans="10:21">
      <c r="J1617" s="580">
        <v>41695</v>
      </c>
      <c r="K1617" s="581">
        <v>0.98611111111111116</v>
      </c>
      <c r="L1617" s="582">
        <v>10.18</v>
      </c>
      <c r="M1617" s="582">
        <v>10.1671</v>
      </c>
      <c r="N1617" s="582">
        <v>10.977399999999999</v>
      </c>
      <c r="O1617" s="582">
        <v>10.5457</v>
      </c>
      <c r="P1617" s="582">
        <v>99.165999999999997</v>
      </c>
      <c r="Q1617" s="582">
        <f t="shared" si="171"/>
        <v>10.139668036614081</v>
      </c>
      <c r="R1617" s="582">
        <f t="shared" si="172"/>
        <v>0</v>
      </c>
      <c r="S1617" s="582">
        <f t="shared" si="175"/>
        <v>0.67743196338591871</v>
      </c>
      <c r="T1617" s="582">
        <f t="shared" si="173"/>
        <v>1.0277319633859183</v>
      </c>
      <c r="U1617" s="582">
        <f t="shared" si="174"/>
        <v>0.67603196338591909</v>
      </c>
    </row>
    <row r="1618" spans="10:21">
      <c r="J1618" s="580">
        <v>41696</v>
      </c>
      <c r="K1618" s="581">
        <v>0.98611111111111116</v>
      </c>
      <c r="L1618" s="582">
        <v>10.174799999999999</v>
      </c>
      <c r="M1618" s="582">
        <v>10.1609</v>
      </c>
      <c r="N1618" s="582">
        <v>10.948</v>
      </c>
      <c r="O1618" s="582">
        <v>10.539199999999999</v>
      </c>
      <c r="P1618" s="582">
        <v>99.1096</v>
      </c>
      <c r="Q1618" s="582">
        <f t="shared" si="171"/>
        <v>10.133901168158511</v>
      </c>
      <c r="R1618" s="582">
        <f t="shared" si="172"/>
        <v>0</v>
      </c>
      <c r="S1618" s="582">
        <f t="shared" si="175"/>
        <v>0.67699883184148901</v>
      </c>
      <c r="T1618" s="582">
        <f t="shared" si="173"/>
        <v>1.0040988318414894</v>
      </c>
      <c r="U1618" s="582">
        <f t="shared" si="174"/>
        <v>0.67529883184148831</v>
      </c>
    </row>
    <row r="1619" spans="10:21">
      <c r="J1619" s="580">
        <v>41697</v>
      </c>
      <c r="K1619" s="581">
        <v>0.98611111111111116</v>
      </c>
      <c r="L1619" s="582">
        <v>10.171200000000001</v>
      </c>
      <c r="M1619" s="582">
        <v>10.1568</v>
      </c>
      <c r="N1619" s="582">
        <v>10.9221</v>
      </c>
      <c r="O1619" s="582">
        <v>10.5318</v>
      </c>
      <c r="P1619" s="582">
        <v>99.064800000000005</v>
      </c>
      <c r="Q1619" s="582">
        <f t="shared" si="171"/>
        <v>10.12932039321508</v>
      </c>
      <c r="R1619" s="582">
        <f t="shared" si="172"/>
        <v>0</v>
      </c>
      <c r="S1619" s="582">
        <f t="shared" si="175"/>
        <v>0.6774796067849207</v>
      </c>
      <c r="T1619" s="582">
        <f t="shared" si="173"/>
        <v>0.98277960678492049</v>
      </c>
      <c r="U1619" s="582">
        <f t="shared" si="174"/>
        <v>0.67247960678492058</v>
      </c>
    </row>
    <row r="1620" spans="10:21">
      <c r="J1620" s="580">
        <v>41698</v>
      </c>
      <c r="K1620" s="581">
        <v>0.98611111111111116</v>
      </c>
      <c r="L1620" s="582">
        <v>10.164899999999999</v>
      </c>
      <c r="M1620" s="582">
        <v>10.1493</v>
      </c>
      <c r="N1620" s="582">
        <v>10.891</v>
      </c>
      <c r="O1620" s="582">
        <v>10.5244</v>
      </c>
      <c r="P1620" s="582">
        <v>98.988299999999995</v>
      </c>
      <c r="Q1620" s="582">
        <f t="shared" si="171"/>
        <v>10.121498311001407</v>
      </c>
      <c r="R1620" s="582">
        <f t="shared" si="172"/>
        <v>0</v>
      </c>
      <c r="S1620" s="582">
        <f t="shared" si="175"/>
        <v>0.67780168899859361</v>
      </c>
      <c r="T1620" s="582">
        <f t="shared" si="173"/>
        <v>0.95950168899859334</v>
      </c>
      <c r="U1620" s="582">
        <f t="shared" si="174"/>
        <v>0.67290168899859326</v>
      </c>
    </row>
    <row r="1621" spans="10:21">
      <c r="J1621" s="580">
        <v>41699</v>
      </c>
      <c r="K1621" s="581">
        <v>0.98611111111111116</v>
      </c>
      <c r="L1621" s="582">
        <v>10.166399999999999</v>
      </c>
      <c r="M1621" s="582">
        <v>10.151400000000001</v>
      </c>
      <c r="N1621" s="582">
        <v>10.9361</v>
      </c>
      <c r="O1621" s="582">
        <v>10.6023</v>
      </c>
      <c r="P1621" s="582">
        <v>99.012299999999996</v>
      </c>
      <c r="Q1621" s="582">
        <f t="shared" si="171"/>
        <v>10.123952297578246</v>
      </c>
      <c r="R1621" s="582">
        <f t="shared" si="172"/>
        <v>0</v>
      </c>
      <c r="S1621" s="582">
        <f t="shared" si="175"/>
        <v>0.67744770242175512</v>
      </c>
      <c r="T1621" s="582">
        <f t="shared" si="173"/>
        <v>1.002147702421754</v>
      </c>
      <c r="U1621" s="582">
        <f t="shared" si="174"/>
        <v>0.74834770242175397</v>
      </c>
    </row>
    <row r="1622" spans="10:21">
      <c r="J1622" s="580">
        <v>41700</v>
      </c>
      <c r="K1622" s="581">
        <v>0.98611111111111116</v>
      </c>
      <c r="L1622" s="582">
        <v>10.161099999999999</v>
      </c>
      <c r="M1622" s="582">
        <v>10.146000000000001</v>
      </c>
      <c r="N1622" s="582">
        <v>10.914199999999999</v>
      </c>
      <c r="O1622" s="582">
        <v>10.6302</v>
      </c>
      <c r="P1622" s="582">
        <v>98.947100000000006</v>
      </c>
      <c r="Q1622" s="582">
        <f t="shared" si="171"/>
        <v>10.117285634044503</v>
      </c>
      <c r="R1622" s="582">
        <f t="shared" si="172"/>
        <v>0</v>
      </c>
      <c r="S1622" s="582">
        <f t="shared" si="175"/>
        <v>0.67871436595549794</v>
      </c>
      <c r="T1622" s="582">
        <f t="shared" si="173"/>
        <v>0.98691436595549631</v>
      </c>
      <c r="U1622" s="582">
        <f t="shared" si="174"/>
        <v>0.78291436595549735</v>
      </c>
    </row>
    <row r="1623" spans="10:21">
      <c r="J1623" s="580">
        <v>41701</v>
      </c>
      <c r="K1623" s="581">
        <v>0.98611111111111116</v>
      </c>
      <c r="L1623" s="582">
        <v>10.1622</v>
      </c>
      <c r="M1623" s="582">
        <v>10.144399999999999</v>
      </c>
      <c r="N1623" s="582">
        <v>10.897399999999999</v>
      </c>
      <c r="O1623" s="582">
        <v>10.5329</v>
      </c>
      <c r="P1623" s="582">
        <v>98.959699999999998</v>
      </c>
      <c r="Q1623" s="582">
        <f t="shared" si="171"/>
        <v>10.118573976997341</v>
      </c>
      <c r="R1623" s="582">
        <f t="shared" si="172"/>
        <v>0</v>
      </c>
      <c r="S1623" s="582">
        <f t="shared" si="175"/>
        <v>0.67582602300265804</v>
      </c>
      <c r="T1623" s="582">
        <f t="shared" si="173"/>
        <v>0.96882602300265808</v>
      </c>
      <c r="U1623" s="582">
        <f t="shared" si="174"/>
        <v>0.68432602300265843</v>
      </c>
    </row>
    <row r="1624" spans="10:21">
      <c r="J1624" s="580">
        <v>41702</v>
      </c>
      <c r="K1624" s="581">
        <v>0.98611111111111116</v>
      </c>
      <c r="L1624" s="582">
        <v>10.173500000000001</v>
      </c>
      <c r="M1624" s="582">
        <v>10.1546</v>
      </c>
      <c r="N1624" s="582">
        <v>10.929</v>
      </c>
      <c r="O1624" s="582">
        <v>10.541700000000001</v>
      </c>
      <c r="P1624" s="582">
        <v>99.079899999999995</v>
      </c>
      <c r="Q1624" s="582">
        <f t="shared" si="171"/>
        <v>10.130864359769673</v>
      </c>
      <c r="R1624" s="582">
        <f t="shared" si="172"/>
        <v>0</v>
      </c>
      <c r="S1624" s="582">
        <f t="shared" si="175"/>
        <v>0.67373564023032784</v>
      </c>
      <c r="T1624" s="582">
        <f t="shared" si="173"/>
        <v>0.98813564023032774</v>
      </c>
      <c r="U1624" s="582">
        <f t="shared" si="174"/>
        <v>0.68083564023032794</v>
      </c>
    </row>
    <row r="1625" spans="10:21">
      <c r="J1625" s="580">
        <v>41703</v>
      </c>
      <c r="K1625" s="581">
        <v>0.98611111111111116</v>
      </c>
      <c r="L1625" s="582">
        <v>10.17</v>
      </c>
      <c r="M1625" s="582">
        <v>10.1511</v>
      </c>
      <c r="N1625" s="582">
        <v>10.8331</v>
      </c>
      <c r="O1625" s="582">
        <v>10.5383</v>
      </c>
      <c r="P1625" s="582">
        <v>99.043800000000005</v>
      </c>
      <c r="Q1625" s="582">
        <f t="shared" si="171"/>
        <v>10.127173154960346</v>
      </c>
      <c r="R1625" s="582">
        <f t="shared" si="172"/>
        <v>0</v>
      </c>
      <c r="S1625" s="582">
        <f t="shared" si="175"/>
        <v>0.67392684503965383</v>
      </c>
      <c r="T1625" s="582">
        <f t="shared" si="173"/>
        <v>0.89592684503965414</v>
      </c>
      <c r="U1625" s="582">
        <f t="shared" si="174"/>
        <v>0.68112684503965371</v>
      </c>
    </row>
    <row r="1626" spans="10:21">
      <c r="J1626" s="580">
        <v>41704</v>
      </c>
      <c r="K1626" s="581">
        <v>0.98611111111111116</v>
      </c>
      <c r="L1626" s="582">
        <v>10.1654</v>
      </c>
      <c r="M1626" s="582">
        <v>10.146599999999999</v>
      </c>
      <c r="N1626" s="582">
        <v>10.559799999999999</v>
      </c>
      <c r="O1626" s="582">
        <v>10.533899999999999</v>
      </c>
      <c r="P1626" s="582">
        <v>99.008899999999997</v>
      </c>
      <c r="Q1626" s="582">
        <f t="shared" si="171"/>
        <v>10.12360464947986</v>
      </c>
      <c r="R1626" s="582">
        <f t="shared" si="172"/>
        <v>0</v>
      </c>
      <c r="S1626" s="582">
        <f t="shared" si="175"/>
        <v>0.67299535052013915</v>
      </c>
      <c r="T1626" s="582">
        <f t="shared" si="173"/>
        <v>0.62619535052013886</v>
      </c>
      <c r="U1626" s="582">
        <f t="shared" si="174"/>
        <v>0.68029535052013879</v>
      </c>
    </row>
    <row r="1627" spans="10:21">
      <c r="J1627" s="580">
        <v>41543</v>
      </c>
      <c r="K1627" s="581">
        <v>0.98958333333333337</v>
      </c>
      <c r="L1627" s="582">
        <v>10.0565</v>
      </c>
      <c r="M1627" s="582">
        <v>10.0708</v>
      </c>
      <c r="N1627" s="582">
        <v>10.0801</v>
      </c>
      <c r="O1627" s="582">
        <v>10.091100000000001</v>
      </c>
      <c r="P1627" s="582">
        <v>98.792900000000003</v>
      </c>
      <c r="Q1627" s="582">
        <f t="shared" si="171"/>
        <v>10.101518770288317</v>
      </c>
      <c r="R1627" s="582">
        <f t="shared" si="172"/>
        <v>0</v>
      </c>
      <c r="S1627" s="582">
        <f t="shared" si="175"/>
        <v>0.6192812297116832</v>
      </c>
      <c r="T1627" s="582">
        <f t="shared" si="173"/>
        <v>0.16858122971168277</v>
      </c>
      <c r="U1627" s="582">
        <f t="shared" si="174"/>
        <v>0.25958122971168368</v>
      </c>
    </row>
    <row r="1628" spans="10:21">
      <c r="J1628" s="580">
        <v>41544</v>
      </c>
      <c r="K1628" s="581">
        <v>0.98958333333333337</v>
      </c>
      <c r="L1628" s="582">
        <v>10.055</v>
      </c>
      <c r="M1628" s="582">
        <v>10.0701</v>
      </c>
      <c r="N1628" s="582">
        <v>10.0787</v>
      </c>
      <c r="O1628" s="582">
        <v>10.0906</v>
      </c>
      <c r="P1628" s="582">
        <v>98.781700000000001</v>
      </c>
      <c r="Q1628" s="582">
        <f t="shared" si="171"/>
        <v>10.100373576552458</v>
      </c>
      <c r="R1628" s="582">
        <f t="shared" si="172"/>
        <v>0</v>
      </c>
      <c r="S1628" s="582">
        <f t="shared" si="175"/>
        <v>0.6197264234475417</v>
      </c>
      <c r="T1628" s="582">
        <f t="shared" si="173"/>
        <v>0.16832642344754112</v>
      </c>
      <c r="U1628" s="582">
        <f t="shared" si="174"/>
        <v>0.26022642344754171</v>
      </c>
    </row>
    <row r="1629" spans="10:21">
      <c r="J1629" s="580">
        <v>41545</v>
      </c>
      <c r="K1629" s="581">
        <v>0.98958333333333337</v>
      </c>
      <c r="L1629" s="582">
        <v>10.0343</v>
      </c>
      <c r="M1629" s="582">
        <v>10.048400000000001</v>
      </c>
      <c r="N1629" s="582">
        <v>10.057499999999999</v>
      </c>
      <c r="O1629" s="582">
        <v>10.070399999999999</v>
      </c>
      <c r="P1629" s="582">
        <v>98.577200000000005</v>
      </c>
      <c r="Q1629" s="582">
        <f t="shared" si="171"/>
        <v>10.079463565928984</v>
      </c>
      <c r="R1629" s="582">
        <f t="shared" si="172"/>
        <v>0</v>
      </c>
      <c r="S1629" s="582">
        <f t="shared" si="175"/>
        <v>0.61893643407101684</v>
      </c>
      <c r="T1629" s="582">
        <f t="shared" si="173"/>
        <v>0.16803643407101509</v>
      </c>
      <c r="U1629" s="582">
        <f t="shared" si="174"/>
        <v>0.26093643407101513</v>
      </c>
    </row>
    <row r="1630" spans="10:21">
      <c r="J1630" s="580">
        <v>41546</v>
      </c>
      <c r="K1630" s="581">
        <v>0.98958333333333337</v>
      </c>
      <c r="L1630" s="582">
        <v>10.0138</v>
      </c>
      <c r="M1630" s="582">
        <v>10.028</v>
      </c>
      <c r="N1630" s="582">
        <v>10.035399999999999</v>
      </c>
      <c r="O1630" s="582">
        <v>10.047800000000001</v>
      </c>
      <c r="P1630" s="582">
        <v>98.371899999999997</v>
      </c>
      <c r="Q1630" s="582">
        <f t="shared" si="171"/>
        <v>10.058471755752945</v>
      </c>
      <c r="R1630" s="582">
        <f t="shared" si="172"/>
        <v>0</v>
      </c>
      <c r="S1630" s="582">
        <f t="shared" si="175"/>
        <v>0.6195282442470551</v>
      </c>
      <c r="T1630" s="582">
        <f t="shared" si="173"/>
        <v>0.16692824424705377</v>
      </c>
      <c r="U1630" s="582">
        <f t="shared" si="174"/>
        <v>0.25932824424705497</v>
      </c>
    </row>
    <row r="1631" spans="10:21">
      <c r="J1631" s="580">
        <v>41547</v>
      </c>
      <c r="K1631" s="581">
        <v>0.98958333333333337</v>
      </c>
      <c r="L1631" s="582">
        <v>10.012499999999999</v>
      </c>
      <c r="M1631" s="582">
        <v>10.027100000000001</v>
      </c>
      <c r="N1631" s="582">
        <v>10.0345</v>
      </c>
      <c r="O1631" s="582">
        <v>10.047599999999999</v>
      </c>
      <c r="P1631" s="582">
        <v>98.362899999999996</v>
      </c>
      <c r="Q1631" s="582">
        <f t="shared" si="171"/>
        <v>10.057551510786631</v>
      </c>
      <c r="R1631" s="582">
        <f t="shared" si="172"/>
        <v>0</v>
      </c>
      <c r="S1631" s="582">
        <f t="shared" si="175"/>
        <v>0.61954848921337002</v>
      </c>
      <c r="T1631" s="582">
        <f t="shared" si="173"/>
        <v>0.16694848921336869</v>
      </c>
      <c r="U1631" s="582">
        <f t="shared" si="174"/>
        <v>0.26004848921336826</v>
      </c>
    </row>
    <row r="1632" spans="10:21">
      <c r="J1632" s="580">
        <v>41548</v>
      </c>
      <c r="K1632" s="581">
        <v>0.98958333333333337</v>
      </c>
      <c r="L1632" s="582">
        <v>10.0227</v>
      </c>
      <c r="M1632" s="582">
        <v>10.0358</v>
      </c>
      <c r="N1632" s="582">
        <v>10.043900000000001</v>
      </c>
      <c r="O1632" s="582">
        <v>10.057499999999999</v>
      </c>
      <c r="P1632" s="582">
        <v>98.447599999999994</v>
      </c>
      <c r="Q1632" s="582">
        <f t="shared" si="171"/>
        <v>10.066212038414056</v>
      </c>
      <c r="R1632" s="582">
        <f t="shared" si="172"/>
        <v>0</v>
      </c>
      <c r="S1632" s="582">
        <f t="shared" si="175"/>
        <v>0.61958796158594409</v>
      </c>
      <c r="T1632" s="582">
        <f t="shared" si="173"/>
        <v>0.16768796158594468</v>
      </c>
      <c r="U1632" s="582">
        <f t="shared" si="174"/>
        <v>0.26128796158594308</v>
      </c>
    </row>
    <row r="1633" spans="10:21">
      <c r="J1633" s="580">
        <v>41549</v>
      </c>
      <c r="K1633" s="581">
        <v>0.98958333333333337</v>
      </c>
      <c r="L1633" s="582">
        <v>10.0364</v>
      </c>
      <c r="M1633" s="582">
        <v>10.0481</v>
      </c>
      <c r="N1633" s="582">
        <v>10.0563</v>
      </c>
      <c r="O1633" s="582">
        <v>10.068899999999999</v>
      </c>
      <c r="P1633" s="582">
        <v>98.577200000000005</v>
      </c>
      <c r="Q1633" s="582">
        <f t="shared" si="171"/>
        <v>10.079463565928984</v>
      </c>
      <c r="R1633" s="582">
        <f t="shared" si="172"/>
        <v>0</v>
      </c>
      <c r="S1633" s="582">
        <f t="shared" si="175"/>
        <v>0.61863643407101576</v>
      </c>
      <c r="T1633" s="582">
        <f t="shared" si="173"/>
        <v>0.16683643407101612</v>
      </c>
      <c r="U1633" s="582">
        <f t="shared" si="174"/>
        <v>0.25943643407101508</v>
      </c>
    </row>
    <row r="1634" spans="10:21">
      <c r="J1634" s="580">
        <v>41550</v>
      </c>
      <c r="K1634" s="581">
        <v>0.98958333333333337</v>
      </c>
      <c r="L1634" s="582">
        <v>10.040699999999999</v>
      </c>
      <c r="M1634" s="582">
        <v>10.052899999999999</v>
      </c>
      <c r="N1634" s="582">
        <v>10.059799999999999</v>
      </c>
      <c r="O1634" s="582">
        <v>10.0723</v>
      </c>
      <c r="P1634" s="582">
        <v>98.609200000000001</v>
      </c>
      <c r="Q1634" s="582">
        <f t="shared" si="171"/>
        <v>10.082735548031435</v>
      </c>
      <c r="R1634" s="582">
        <f t="shared" si="172"/>
        <v>0</v>
      </c>
      <c r="S1634" s="582">
        <f t="shared" si="175"/>
        <v>0.62016445196856451</v>
      </c>
      <c r="T1634" s="582">
        <f t="shared" si="173"/>
        <v>0.16706445196856434</v>
      </c>
      <c r="U1634" s="582">
        <f t="shared" si="174"/>
        <v>0.25956445196856531</v>
      </c>
    </row>
    <row r="1635" spans="10:21">
      <c r="J1635" s="580">
        <v>41551</v>
      </c>
      <c r="K1635" s="581">
        <v>0.98958333333333337</v>
      </c>
      <c r="L1635" s="582">
        <v>10.0528</v>
      </c>
      <c r="M1635" s="582">
        <v>10.0634</v>
      </c>
      <c r="N1635" s="582">
        <v>10.0718</v>
      </c>
      <c r="O1635" s="582">
        <v>10.0847</v>
      </c>
      <c r="P1635" s="582">
        <v>98.722399999999993</v>
      </c>
      <c r="Q1635" s="582">
        <f t="shared" si="171"/>
        <v>10.094310184718854</v>
      </c>
      <c r="R1635" s="582">
        <f t="shared" si="172"/>
        <v>0</v>
      </c>
      <c r="S1635" s="582">
        <f t="shared" si="175"/>
        <v>0.61908981528114615</v>
      </c>
      <c r="T1635" s="582">
        <f t="shared" si="173"/>
        <v>0.16748981528114604</v>
      </c>
      <c r="U1635" s="582">
        <f t="shared" si="174"/>
        <v>0.26038981528114608</v>
      </c>
    </row>
    <row r="1636" spans="10:21">
      <c r="J1636" s="580">
        <v>41552</v>
      </c>
      <c r="K1636" s="581">
        <v>0.98958333333333337</v>
      </c>
      <c r="L1636" s="582">
        <v>10.0443</v>
      </c>
      <c r="M1636" s="582">
        <v>10.054</v>
      </c>
      <c r="N1636" s="582">
        <v>10.0631</v>
      </c>
      <c r="O1636" s="582">
        <v>10.077299999999999</v>
      </c>
      <c r="P1636" s="582">
        <v>98.646199999999993</v>
      </c>
      <c r="Q1636" s="582">
        <f t="shared" si="171"/>
        <v>10.086518777337393</v>
      </c>
      <c r="R1636" s="582">
        <f t="shared" si="172"/>
        <v>0</v>
      </c>
      <c r="S1636" s="582">
        <f t="shared" si="175"/>
        <v>0.61748122266260785</v>
      </c>
      <c r="T1636" s="582">
        <f t="shared" si="173"/>
        <v>0.16658122266260789</v>
      </c>
      <c r="U1636" s="582">
        <f t="shared" si="174"/>
        <v>0.26078122266260667</v>
      </c>
    </row>
    <row r="1637" spans="10:21">
      <c r="J1637" s="580">
        <v>41553</v>
      </c>
      <c r="K1637" s="581">
        <v>0.98958333333333337</v>
      </c>
      <c r="L1637" s="582">
        <v>10.0436</v>
      </c>
      <c r="M1637" s="582">
        <v>10.055199999999999</v>
      </c>
      <c r="N1637" s="582">
        <v>10.063000000000001</v>
      </c>
      <c r="O1637" s="582">
        <v>10.077199999999999</v>
      </c>
      <c r="P1637" s="582">
        <v>98.652100000000004</v>
      </c>
      <c r="Q1637" s="582">
        <f t="shared" si="171"/>
        <v>10.087122049037532</v>
      </c>
      <c r="R1637" s="582">
        <f t="shared" si="172"/>
        <v>0</v>
      </c>
      <c r="S1637" s="582">
        <f t="shared" si="175"/>
        <v>0.6180779509624672</v>
      </c>
      <c r="T1637" s="582">
        <f t="shared" si="173"/>
        <v>0.16587795096246849</v>
      </c>
      <c r="U1637" s="582">
        <f t="shared" si="174"/>
        <v>0.26007795096246727</v>
      </c>
    </row>
    <row r="1638" spans="10:21">
      <c r="J1638" s="580">
        <v>41554</v>
      </c>
      <c r="K1638" s="581">
        <v>0.98958333333333337</v>
      </c>
      <c r="L1638" s="582">
        <v>10.049899999999999</v>
      </c>
      <c r="M1638" s="582">
        <v>10.0617</v>
      </c>
      <c r="N1638" s="582">
        <v>10.069100000000001</v>
      </c>
      <c r="O1638" s="582">
        <v>10.084199999999999</v>
      </c>
      <c r="P1638" s="582">
        <v>98.716200000000001</v>
      </c>
      <c r="Q1638" s="582">
        <f t="shared" si="171"/>
        <v>10.093676238186504</v>
      </c>
      <c r="R1638" s="582">
        <f t="shared" si="172"/>
        <v>0</v>
      </c>
      <c r="S1638" s="582">
        <f t="shared" si="175"/>
        <v>0.6180237618134965</v>
      </c>
      <c r="T1638" s="582">
        <f t="shared" si="173"/>
        <v>0.16542376181349694</v>
      </c>
      <c r="U1638" s="582">
        <f t="shared" si="174"/>
        <v>0.2605237618134954</v>
      </c>
    </row>
    <row r="1639" spans="10:21">
      <c r="J1639" s="580">
        <v>41555</v>
      </c>
      <c r="K1639" s="581">
        <v>0.98958333333333337</v>
      </c>
      <c r="L1639" s="582">
        <v>10.053599999999999</v>
      </c>
      <c r="M1639" s="582">
        <v>10.067</v>
      </c>
      <c r="N1639" s="582">
        <v>10.0726</v>
      </c>
      <c r="O1639" s="582">
        <v>10.0871</v>
      </c>
      <c r="P1639" s="582">
        <v>98.769499999999994</v>
      </c>
      <c r="Q1639" s="582">
        <f t="shared" si="171"/>
        <v>10.099126133375899</v>
      </c>
      <c r="R1639" s="582">
        <f t="shared" si="172"/>
        <v>0</v>
      </c>
      <c r="S1639" s="582">
        <f t="shared" si="175"/>
        <v>0.61787386662410149</v>
      </c>
      <c r="T1639" s="582">
        <f t="shared" si="173"/>
        <v>0.16347386662410079</v>
      </c>
      <c r="U1639" s="582">
        <f t="shared" si="174"/>
        <v>0.25797386662410066</v>
      </c>
    </row>
    <row r="1640" spans="10:21">
      <c r="J1640" s="580">
        <v>41556</v>
      </c>
      <c r="K1640" s="581">
        <v>0.98958333333333337</v>
      </c>
      <c r="L1640" s="582">
        <v>10.0459</v>
      </c>
      <c r="M1640" s="582">
        <v>10.059100000000001</v>
      </c>
      <c r="N1640" s="582">
        <v>10.0664</v>
      </c>
      <c r="O1640" s="582">
        <v>10.079700000000001</v>
      </c>
      <c r="P1640" s="582">
        <v>98.688699999999997</v>
      </c>
      <c r="Q1640" s="582">
        <f t="shared" si="171"/>
        <v>10.090864378567211</v>
      </c>
      <c r="R1640" s="582">
        <f t="shared" si="172"/>
        <v>0</v>
      </c>
      <c r="S1640" s="582">
        <f t="shared" si="175"/>
        <v>0.61823562143278976</v>
      </c>
      <c r="T1640" s="582">
        <f t="shared" si="173"/>
        <v>0.16553562143278866</v>
      </c>
      <c r="U1640" s="582">
        <f t="shared" si="174"/>
        <v>0.25883562143278954</v>
      </c>
    </row>
    <row r="1641" spans="10:21">
      <c r="J1641" s="580">
        <v>41557</v>
      </c>
      <c r="K1641" s="581">
        <v>0.98958333333333337</v>
      </c>
      <c r="L1641" s="582">
        <v>10.0518</v>
      </c>
      <c r="M1641" s="582">
        <v>10.0663</v>
      </c>
      <c r="N1641" s="582">
        <v>10.072699999999999</v>
      </c>
      <c r="O1641" s="582">
        <v>10.0846</v>
      </c>
      <c r="P1641" s="582">
        <v>98.747399999999999</v>
      </c>
      <c r="Q1641" s="582">
        <f t="shared" si="171"/>
        <v>10.096866420736394</v>
      </c>
      <c r="R1641" s="582">
        <f t="shared" si="172"/>
        <v>0</v>
      </c>
      <c r="S1641" s="582">
        <f t="shared" si="175"/>
        <v>0.61943357926360654</v>
      </c>
      <c r="T1641" s="582">
        <f t="shared" si="173"/>
        <v>0.16583357926360576</v>
      </c>
      <c r="U1641" s="582">
        <f t="shared" si="174"/>
        <v>0.25773357926360635</v>
      </c>
    </row>
    <row r="1642" spans="10:21">
      <c r="J1642" s="580">
        <v>41558</v>
      </c>
      <c r="K1642" s="581">
        <v>0.98958333333333337</v>
      </c>
      <c r="L1642" s="582">
        <v>10.0321</v>
      </c>
      <c r="M1642" s="582">
        <v>10.044600000000001</v>
      </c>
      <c r="N1642" s="582">
        <v>10.050599999999999</v>
      </c>
      <c r="O1642" s="582">
        <v>10.0634</v>
      </c>
      <c r="P1642" s="582">
        <v>98.540800000000004</v>
      </c>
      <c r="Q1642" s="582">
        <f t="shared" si="171"/>
        <v>10.075741686287445</v>
      </c>
      <c r="R1642" s="582">
        <f t="shared" si="172"/>
        <v>0</v>
      </c>
      <c r="S1642" s="582">
        <f t="shared" si="175"/>
        <v>0.61885831371255562</v>
      </c>
      <c r="T1642" s="582">
        <f t="shared" si="173"/>
        <v>0.16485831371255399</v>
      </c>
      <c r="U1642" s="582">
        <f t="shared" si="174"/>
        <v>0.25765831371255427</v>
      </c>
    </row>
    <row r="1643" spans="10:21">
      <c r="J1643" s="580">
        <v>41559</v>
      </c>
      <c r="K1643" s="581">
        <v>0.98958333333333337</v>
      </c>
      <c r="L1643" s="582">
        <v>10.0206</v>
      </c>
      <c r="M1643" s="582">
        <v>10.0344</v>
      </c>
      <c r="N1643" s="582">
        <v>10.0413</v>
      </c>
      <c r="O1643" s="582">
        <v>10.054</v>
      </c>
      <c r="P1643" s="582">
        <v>98.399500000000003</v>
      </c>
      <c r="Q1643" s="582">
        <f t="shared" si="171"/>
        <v>10.06129384031631</v>
      </c>
      <c r="R1643" s="582">
        <f t="shared" si="172"/>
        <v>0</v>
      </c>
      <c r="S1643" s="582">
        <f t="shared" si="175"/>
        <v>0.62310615968368999</v>
      </c>
      <c r="T1643" s="582">
        <f t="shared" si="173"/>
        <v>0.17000615968368982</v>
      </c>
      <c r="U1643" s="582">
        <f t="shared" si="174"/>
        <v>0.26270615968369032</v>
      </c>
    </row>
    <row r="1644" spans="10:21">
      <c r="J1644" s="580">
        <v>41560</v>
      </c>
      <c r="K1644" s="581">
        <v>0.98958333333333337</v>
      </c>
      <c r="L1644" s="582">
        <v>10.0304</v>
      </c>
      <c r="M1644" s="582">
        <v>10.042299999999999</v>
      </c>
      <c r="N1644" s="582">
        <v>10.0512</v>
      </c>
      <c r="O1644" s="582">
        <v>10.064</v>
      </c>
      <c r="P1644" s="582">
        <v>98.526700000000005</v>
      </c>
      <c r="Q1644" s="582">
        <f t="shared" si="171"/>
        <v>10.074299969173554</v>
      </c>
      <c r="R1644" s="582">
        <f t="shared" si="172"/>
        <v>0</v>
      </c>
      <c r="S1644" s="582">
        <f t="shared" si="175"/>
        <v>0.6180000308264455</v>
      </c>
      <c r="T1644" s="582">
        <f t="shared" si="173"/>
        <v>0.166900030826446</v>
      </c>
      <c r="U1644" s="582">
        <f t="shared" si="174"/>
        <v>0.25970003082644627</v>
      </c>
    </row>
    <row r="1645" spans="10:21">
      <c r="J1645" s="580">
        <v>41561</v>
      </c>
      <c r="K1645" s="581">
        <v>0.98958333333333337</v>
      </c>
      <c r="L1645" s="582">
        <v>10.047000000000001</v>
      </c>
      <c r="M1645" s="582">
        <v>10.059100000000001</v>
      </c>
      <c r="N1645" s="582">
        <v>10.068099999999999</v>
      </c>
      <c r="O1645" s="582">
        <v>10.0799</v>
      </c>
      <c r="P1645" s="582">
        <v>98.683400000000006</v>
      </c>
      <c r="Q1645" s="582">
        <f t="shared" si="171"/>
        <v>10.090322456531492</v>
      </c>
      <c r="R1645" s="582">
        <f t="shared" si="172"/>
        <v>0</v>
      </c>
      <c r="S1645" s="582">
        <f t="shared" si="175"/>
        <v>0.61877754346850877</v>
      </c>
      <c r="T1645" s="582">
        <f t="shared" si="173"/>
        <v>0.16777754346850726</v>
      </c>
      <c r="U1645" s="582">
        <f t="shared" si="174"/>
        <v>0.25957754346850809</v>
      </c>
    </row>
    <row r="1646" spans="10:21">
      <c r="J1646" s="580">
        <v>41562</v>
      </c>
      <c r="K1646" s="581">
        <v>0.98958333333333337</v>
      </c>
      <c r="L1646" s="582">
        <v>12.622</v>
      </c>
      <c r="M1646" s="582">
        <v>12.4049</v>
      </c>
      <c r="N1646" s="582">
        <v>13.057700000000001</v>
      </c>
      <c r="O1646" s="582">
        <v>12.993499999999999</v>
      </c>
      <c r="P1646" s="582">
        <v>98.749499999999998</v>
      </c>
      <c r="Q1646" s="582">
        <f t="shared" si="171"/>
        <v>10.097081144561868</v>
      </c>
      <c r="R1646" s="582">
        <f t="shared" si="172"/>
        <v>2.3399188554381323</v>
      </c>
      <c r="S1646" s="582">
        <f t="shared" si="175"/>
        <v>2.9578188554381324</v>
      </c>
      <c r="T1646" s="582">
        <f t="shared" si="173"/>
        <v>3.1506188554381334</v>
      </c>
      <c r="U1646" s="582">
        <f t="shared" si="174"/>
        <v>3.1664188554381312</v>
      </c>
    </row>
    <row r="1647" spans="10:21">
      <c r="J1647" s="580">
        <v>41563</v>
      </c>
      <c r="K1647" s="581">
        <v>0.98958333333333337</v>
      </c>
      <c r="L1647" s="582">
        <v>13.271000000000001</v>
      </c>
      <c r="M1647" s="582">
        <v>12.6218</v>
      </c>
      <c r="N1647" s="582">
        <v>13.3056</v>
      </c>
      <c r="O1647" s="582">
        <v>13.255000000000001</v>
      </c>
      <c r="P1647" s="582">
        <v>98.753500000000003</v>
      </c>
      <c r="Q1647" s="582">
        <f t="shared" si="171"/>
        <v>10.097490142324673</v>
      </c>
      <c r="R1647" s="582">
        <f t="shared" si="172"/>
        <v>2.9885098576753273</v>
      </c>
      <c r="S1647" s="582">
        <f t="shared" si="175"/>
        <v>3.1743098576753273</v>
      </c>
      <c r="T1647" s="582">
        <f t="shared" si="173"/>
        <v>3.398109857675327</v>
      </c>
      <c r="U1647" s="582">
        <f t="shared" si="174"/>
        <v>3.4275098576753269</v>
      </c>
    </row>
    <row r="1648" spans="10:21">
      <c r="J1648" s="580">
        <v>41564</v>
      </c>
      <c r="K1648" s="581">
        <v>0.98958333333333337</v>
      </c>
      <c r="L1648" s="582">
        <v>13.313800000000001</v>
      </c>
      <c r="M1648" s="582">
        <v>12.725899999999999</v>
      </c>
      <c r="N1648" s="582">
        <v>13.506500000000001</v>
      </c>
      <c r="O1648" s="582">
        <v>13.3241</v>
      </c>
      <c r="P1648" s="582">
        <v>98.789500000000004</v>
      </c>
      <c r="Q1648" s="582">
        <f t="shared" si="171"/>
        <v>10.101171122189932</v>
      </c>
      <c r="R1648" s="582">
        <f t="shared" si="172"/>
        <v>3.0276288778100686</v>
      </c>
      <c r="S1648" s="582">
        <f t="shared" si="175"/>
        <v>3.2747288778100678</v>
      </c>
      <c r="T1648" s="582">
        <f t="shared" si="173"/>
        <v>3.5953288778100694</v>
      </c>
      <c r="U1648" s="582">
        <f t="shared" si="174"/>
        <v>3.4929288778100673</v>
      </c>
    </row>
    <row r="1649" spans="10:21">
      <c r="J1649" s="580">
        <v>41565</v>
      </c>
      <c r="K1649" s="581">
        <v>0.98958333333333337</v>
      </c>
      <c r="L1649" s="582">
        <v>13.4719</v>
      </c>
      <c r="M1649" s="582">
        <v>12.7896</v>
      </c>
      <c r="N1649" s="582">
        <v>13.6309</v>
      </c>
      <c r="O1649" s="582">
        <v>13.401899999999999</v>
      </c>
      <c r="P1649" s="582">
        <v>98.834299999999999</v>
      </c>
      <c r="Q1649" s="582">
        <f t="shared" si="171"/>
        <v>10.105751897133363</v>
      </c>
      <c r="R1649" s="582">
        <f t="shared" si="172"/>
        <v>3.1811481028666369</v>
      </c>
      <c r="S1649" s="582">
        <f t="shared" si="175"/>
        <v>3.3338481028666376</v>
      </c>
      <c r="T1649" s="582">
        <f t="shared" si="173"/>
        <v>3.715148102866638</v>
      </c>
      <c r="U1649" s="582">
        <f t="shared" si="174"/>
        <v>3.5661481028666362</v>
      </c>
    </row>
    <row r="1650" spans="10:21">
      <c r="J1650" s="580">
        <v>41566</v>
      </c>
      <c r="K1650" s="581">
        <v>0.98958333333333337</v>
      </c>
      <c r="L1650" s="582">
        <v>13.473000000000001</v>
      </c>
      <c r="M1650" s="582">
        <v>12.863899999999999</v>
      </c>
      <c r="N1650" s="582">
        <v>13.8735</v>
      </c>
      <c r="O1650" s="582">
        <v>13.526199999999999</v>
      </c>
      <c r="P1650" s="582">
        <v>98.921800000000005</v>
      </c>
      <c r="Q1650" s="582">
        <f t="shared" si="171"/>
        <v>10.114698723194753</v>
      </c>
      <c r="R1650" s="582">
        <f t="shared" si="172"/>
        <v>3.173301276805248</v>
      </c>
      <c r="S1650" s="582">
        <f t="shared" si="175"/>
        <v>3.3992012768052469</v>
      </c>
      <c r="T1650" s="582">
        <f t="shared" si="173"/>
        <v>3.9488012768052476</v>
      </c>
      <c r="U1650" s="582">
        <f t="shared" si="174"/>
        <v>3.6815012768052462</v>
      </c>
    </row>
    <row r="1651" spans="10:21">
      <c r="J1651" s="580">
        <v>41567</v>
      </c>
      <c r="K1651" s="581">
        <v>0.98958333333333337</v>
      </c>
      <c r="L1651" s="582">
        <v>13.3965</v>
      </c>
      <c r="M1651" s="582">
        <v>12.851599999999999</v>
      </c>
      <c r="N1651" s="582">
        <v>13.9602</v>
      </c>
      <c r="O1651" s="582">
        <v>13.3043</v>
      </c>
      <c r="P1651" s="582">
        <v>98.580200000000005</v>
      </c>
      <c r="Q1651" s="582">
        <f t="shared" si="171"/>
        <v>10.079770314251089</v>
      </c>
      <c r="R1651" s="582">
        <f t="shared" si="172"/>
        <v>3.1317296857489105</v>
      </c>
      <c r="S1651" s="582">
        <f t="shared" si="175"/>
        <v>3.4218296857489108</v>
      </c>
      <c r="T1651" s="582">
        <f t="shared" si="173"/>
        <v>4.0704296857489117</v>
      </c>
      <c r="U1651" s="582">
        <f t="shared" si="174"/>
        <v>3.4945296857489101</v>
      </c>
    </row>
    <row r="1652" spans="10:21">
      <c r="J1652" s="580">
        <v>41568</v>
      </c>
      <c r="K1652" s="581">
        <v>0.98958333333333337</v>
      </c>
      <c r="L1652" s="582">
        <v>13.331</v>
      </c>
      <c r="M1652" s="582">
        <v>12.8164</v>
      </c>
      <c r="N1652" s="582">
        <v>13.9054</v>
      </c>
      <c r="O1652" s="582">
        <v>13.292</v>
      </c>
      <c r="P1652" s="582">
        <v>98.371899999999997</v>
      </c>
      <c r="Q1652" s="582">
        <f t="shared" si="171"/>
        <v>10.058471755752945</v>
      </c>
      <c r="R1652" s="582">
        <f t="shared" si="172"/>
        <v>3.087528244247054</v>
      </c>
      <c r="S1652" s="582">
        <f t="shared" si="175"/>
        <v>3.4079282442470546</v>
      </c>
      <c r="T1652" s="582">
        <f t="shared" si="173"/>
        <v>4.0369282442470551</v>
      </c>
      <c r="U1652" s="582">
        <f t="shared" si="174"/>
        <v>3.5035282442470539</v>
      </c>
    </row>
    <row r="1653" spans="10:21">
      <c r="J1653" s="580">
        <v>41569</v>
      </c>
      <c r="K1653" s="581">
        <v>0.98958333333333337</v>
      </c>
      <c r="L1653" s="582">
        <v>13.2845</v>
      </c>
      <c r="M1653" s="582">
        <v>12.7982</v>
      </c>
      <c r="N1653" s="582">
        <v>13.8536</v>
      </c>
      <c r="O1653" s="582">
        <v>13.2562</v>
      </c>
      <c r="P1653" s="582">
        <v>98.345600000000005</v>
      </c>
      <c r="Q1653" s="582">
        <f t="shared" ref="Q1653:Q1716" si="176">P1653/($G$8*$H$8)</f>
        <v>10.055782595462494</v>
      </c>
      <c r="R1653" s="582">
        <f t="shared" ref="R1653:R1716" si="177">IF((L1653-Q1653-$D$8+$E$8)&lt;0,0,(L1653-Q1653-$D$8+$E$8))</f>
        <v>3.0437174045375053</v>
      </c>
      <c r="S1653" s="582">
        <f t="shared" si="175"/>
        <v>3.3924174045375057</v>
      </c>
      <c r="T1653" s="582">
        <f t="shared" ref="T1653:T1716" si="178">N1653-Q1653-$D$10+$E$10</f>
        <v>3.9878174045375063</v>
      </c>
      <c r="U1653" s="582">
        <f t="shared" ref="U1653:U1716" si="179">O1653-Q1653-$D$11+$E$11</f>
        <v>3.4704174045375051</v>
      </c>
    </row>
    <row r="1654" spans="10:21">
      <c r="J1654" s="580">
        <v>41570</v>
      </c>
      <c r="K1654" s="581">
        <v>0.98958333333333337</v>
      </c>
      <c r="L1654" s="582">
        <v>13.248799999999999</v>
      </c>
      <c r="M1654" s="582">
        <v>12.7852</v>
      </c>
      <c r="N1654" s="582">
        <v>13.809799999999999</v>
      </c>
      <c r="O1654" s="582">
        <v>13.233000000000001</v>
      </c>
      <c r="P1654" s="582">
        <v>98.421400000000006</v>
      </c>
      <c r="Q1654" s="582">
        <f t="shared" si="176"/>
        <v>10.063533103067675</v>
      </c>
      <c r="R1654" s="582">
        <f t="shared" si="177"/>
        <v>3.0002668969323243</v>
      </c>
      <c r="S1654" s="582">
        <f t="shared" si="175"/>
        <v>3.3716668969323251</v>
      </c>
      <c r="T1654" s="582">
        <f t="shared" si="178"/>
        <v>3.9362668969323247</v>
      </c>
      <c r="U1654" s="582">
        <f t="shared" si="179"/>
        <v>3.4394668969323252</v>
      </c>
    </row>
    <row r="1655" spans="10:21">
      <c r="J1655" s="580">
        <v>41571</v>
      </c>
      <c r="K1655" s="581">
        <v>0.98958333333333337</v>
      </c>
      <c r="L1655" s="582">
        <v>13.2074</v>
      </c>
      <c r="M1655" s="582">
        <v>12.762</v>
      </c>
      <c r="N1655" s="582">
        <v>13.754300000000001</v>
      </c>
      <c r="O1655" s="582">
        <v>13.210800000000001</v>
      </c>
      <c r="P1655" s="582">
        <v>98.397300000000001</v>
      </c>
      <c r="Q1655" s="582">
        <f t="shared" si="176"/>
        <v>10.061068891546768</v>
      </c>
      <c r="R1655" s="582">
        <f t="shared" si="177"/>
        <v>2.9613311084532321</v>
      </c>
      <c r="S1655" s="582">
        <f t="shared" si="175"/>
        <v>3.3509311084532332</v>
      </c>
      <c r="T1655" s="582">
        <f t="shared" si="178"/>
        <v>3.8832311084532334</v>
      </c>
      <c r="U1655" s="582">
        <f t="shared" si="179"/>
        <v>3.4197311084532327</v>
      </c>
    </row>
    <row r="1656" spans="10:21">
      <c r="J1656" s="580">
        <v>41572</v>
      </c>
      <c r="K1656" s="581">
        <v>0.98958333333333337</v>
      </c>
      <c r="L1656" s="582">
        <v>13.167299999999999</v>
      </c>
      <c r="M1656" s="582">
        <v>12.7483</v>
      </c>
      <c r="N1656" s="582">
        <v>13.704000000000001</v>
      </c>
      <c r="O1656" s="582">
        <v>13.204599999999999</v>
      </c>
      <c r="P1656" s="582">
        <v>98.442999999999998</v>
      </c>
      <c r="Q1656" s="582">
        <f t="shared" si="176"/>
        <v>10.06574169098683</v>
      </c>
      <c r="R1656" s="582">
        <f t="shared" si="177"/>
        <v>2.9165583090131695</v>
      </c>
      <c r="S1656" s="582">
        <f t="shared" si="175"/>
        <v>3.3325583090131712</v>
      </c>
      <c r="T1656" s="582">
        <f t="shared" si="178"/>
        <v>3.8282583090131714</v>
      </c>
      <c r="U1656" s="582">
        <f t="shared" si="179"/>
        <v>3.4088583090131692</v>
      </c>
    </row>
    <row r="1657" spans="10:21">
      <c r="J1657" s="580">
        <v>41573</v>
      </c>
      <c r="K1657" s="581">
        <v>0.98958333333333337</v>
      </c>
      <c r="L1657" s="582">
        <v>13.153600000000001</v>
      </c>
      <c r="M1657" s="582">
        <v>12.754300000000001</v>
      </c>
      <c r="N1657" s="582">
        <v>13.689</v>
      </c>
      <c r="O1657" s="582">
        <v>13.2082</v>
      </c>
      <c r="P1657" s="582">
        <v>98.686899999999994</v>
      </c>
      <c r="Q1657" s="582">
        <f t="shared" si="176"/>
        <v>10.090680329573948</v>
      </c>
      <c r="R1657" s="582">
        <f t="shared" si="177"/>
        <v>2.8779196704260532</v>
      </c>
      <c r="S1657" s="582">
        <f t="shared" si="175"/>
        <v>3.3136196704260534</v>
      </c>
      <c r="T1657" s="582">
        <f t="shared" si="178"/>
        <v>3.7883196704260529</v>
      </c>
      <c r="U1657" s="582">
        <f t="shared" si="179"/>
        <v>3.3875196704260517</v>
      </c>
    </row>
    <row r="1658" spans="10:21">
      <c r="J1658" s="580">
        <v>41574</v>
      </c>
      <c r="K1658" s="581">
        <v>0.98958333333333337</v>
      </c>
      <c r="L1658" s="582">
        <v>13.123799999999999</v>
      </c>
      <c r="M1658" s="582">
        <v>12.7409</v>
      </c>
      <c r="N1658" s="582">
        <v>13.6454</v>
      </c>
      <c r="O1658" s="582">
        <v>13.1936</v>
      </c>
      <c r="P1658" s="582">
        <v>98.764799999999994</v>
      </c>
      <c r="Q1658" s="582">
        <f t="shared" si="176"/>
        <v>10.0986455610046</v>
      </c>
      <c r="R1658" s="582">
        <f t="shared" si="177"/>
        <v>2.8401544389953988</v>
      </c>
      <c r="S1658" s="582">
        <f t="shared" si="175"/>
        <v>3.2922544389953998</v>
      </c>
      <c r="T1658" s="582">
        <f t="shared" si="178"/>
        <v>3.7367544389954004</v>
      </c>
      <c r="U1658" s="582">
        <f t="shared" si="179"/>
        <v>3.3649544389953991</v>
      </c>
    </row>
    <row r="1659" spans="10:21">
      <c r="J1659" s="580">
        <v>41575</v>
      </c>
      <c r="K1659" s="581">
        <v>0.98958333333333337</v>
      </c>
      <c r="L1659" s="582">
        <v>13.0953</v>
      </c>
      <c r="M1659" s="582">
        <v>12.7334</v>
      </c>
      <c r="N1659" s="582">
        <v>13.610200000000001</v>
      </c>
      <c r="O1659" s="582">
        <v>13.1792</v>
      </c>
      <c r="P1659" s="582">
        <v>98.892899999999997</v>
      </c>
      <c r="Q1659" s="582">
        <f t="shared" si="176"/>
        <v>10.111743714358475</v>
      </c>
      <c r="R1659" s="582">
        <f t="shared" si="177"/>
        <v>2.7985562856415247</v>
      </c>
      <c r="S1659" s="582">
        <f t="shared" si="175"/>
        <v>3.2716562856415248</v>
      </c>
      <c r="T1659" s="582">
        <f t="shared" si="178"/>
        <v>3.6884562856415259</v>
      </c>
      <c r="U1659" s="582">
        <f t="shared" si="179"/>
        <v>3.3374562856415242</v>
      </c>
    </row>
    <row r="1660" spans="10:21">
      <c r="J1660" s="580">
        <v>41576</v>
      </c>
      <c r="K1660" s="581">
        <v>0.98958333333333337</v>
      </c>
      <c r="L1660" s="582">
        <v>13.066599999999999</v>
      </c>
      <c r="M1660" s="582">
        <v>12.7235</v>
      </c>
      <c r="N1660" s="582">
        <v>13.592599999999999</v>
      </c>
      <c r="O1660" s="582">
        <v>13.170199999999999</v>
      </c>
      <c r="P1660" s="582">
        <v>98.980999999999995</v>
      </c>
      <c r="Q1660" s="582">
        <f t="shared" si="176"/>
        <v>10.120751890084286</v>
      </c>
      <c r="R1660" s="582">
        <f t="shared" si="177"/>
        <v>2.7608481099157136</v>
      </c>
      <c r="S1660" s="582">
        <f t="shared" si="175"/>
        <v>3.2527481099157143</v>
      </c>
      <c r="T1660" s="582">
        <f t="shared" si="178"/>
        <v>3.6618481099157139</v>
      </c>
      <c r="U1660" s="582">
        <f t="shared" si="179"/>
        <v>3.3194481099157134</v>
      </c>
    </row>
    <row r="1661" spans="10:21">
      <c r="J1661" s="580">
        <v>41577</v>
      </c>
      <c r="K1661" s="581">
        <v>0.98958333333333337</v>
      </c>
      <c r="L1661" s="582">
        <v>13.0299</v>
      </c>
      <c r="M1661" s="582">
        <v>12.704800000000001</v>
      </c>
      <c r="N1661" s="582">
        <v>13.547700000000001</v>
      </c>
      <c r="O1661" s="582">
        <v>13.152799999999999</v>
      </c>
      <c r="P1661" s="582">
        <v>98.990300000000005</v>
      </c>
      <c r="Q1661" s="582">
        <f t="shared" si="176"/>
        <v>10.121702809882811</v>
      </c>
      <c r="R1661" s="582">
        <f t="shared" si="177"/>
        <v>2.723197190117189</v>
      </c>
      <c r="S1661" s="582">
        <f t="shared" si="175"/>
        <v>3.2330971901171903</v>
      </c>
      <c r="T1661" s="582">
        <f t="shared" si="178"/>
        <v>3.6159971901171906</v>
      </c>
      <c r="U1661" s="582">
        <f t="shared" si="179"/>
        <v>3.3010971901171882</v>
      </c>
    </row>
    <row r="1662" spans="10:21">
      <c r="J1662" s="580">
        <v>41578</v>
      </c>
      <c r="K1662" s="581">
        <v>0.98958333333333337</v>
      </c>
      <c r="L1662" s="582">
        <v>13.0023</v>
      </c>
      <c r="M1662" s="582">
        <v>12.6846</v>
      </c>
      <c r="N1662" s="582">
        <v>13.4961</v>
      </c>
      <c r="O1662" s="582">
        <v>13.1342</v>
      </c>
      <c r="P1662" s="582">
        <v>98.976799999999997</v>
      </c>
      <c r="Q1662" s="582">
        <f t="shared" si="176"/>
        <v>10.12032244243334</v>
      </c>
      <c r="R1662" s="582">
        <f t="shared" si="177"/>
        <v>2.6969775575666604</v>
      </c>
      <c r="S1662" s="582">
        <f t="shared" si="175"/>
        <v>3.2142775575666604</v>
      </c>
      <c r="T1662" s="582">
        <f t="shared" si="178"/>
        <v>3.565777557566661</v>
      </c>
      <c r="U1662" s="582">
        <f t="shared" si="179"/>
        <v>3.2838775575666599</v>
      </c>
    </row>
    <row r="1663" spans="10:21">
      <c r="J1663" s="580">
        <v>41579</v>
      </c>
      <c r="K1663" s="581">
        <v>0.98958333333333337</v>
      </c>
      <c r="L1663" s="582">
        <v>12.9574</v>
      </c>
      <c r="M1663" s="582">
        <v>12.6576</v>
      </c>
      <c r="N1663" s="582">
        <v>13.4383</v>
      </c>
      <c r="O1663" s="582">
        <v>13.1067</v>
      </c>
      <c r="P1663" s="582">
        <v>98.907799999999995</v>
      </c>
      <c r="Q1663" s="582">
        <f t="shared" si="176"/>
        <v>10.113267231024929</v>
      </c>
      <c r="R1663" s="582">
        <f t="shared" si="177"/>
        <v>2.6591327689750703</v>
      </c>
      <c r="S1663" s="582">
        <f t="shared" si="175"/>
        <v>3.1943327689750713</v>
      </c>
      <c r="T1663" s="582">
        <f t="shared" si="178"/>
        <v>3.5150327689750709</v>
      </c>
      <c r="U1663" s="582">
        <f t="shared" si="179"/>
        <v>3.2634327689750702</v>
      </c>
    </row>
    <row r="1664" spans="10:21">
      <c r="J1664" s="580">
        <v>41580</v>
      </c>
      <c r="K1664" s="581">
        <v>0.98958333333333337</v>
      </c>
      <c r="L1664" s="582">
        <v>12.9232</v>
      </c>
      <c r="M1664" s="582">
        <v>12.640599999999999</v>
      </c>
      <c r="N1664" s="582">
        <v>13.4047</v>
      </c>
      <c r="O1664" s="582">
        <v>13.0883</v>
      </c>
      <c r="P1664" s="582">
        <v>98.899000000000001</v>
      </c>
      <c r="Q1664" s="582">
        <f t="shared" si="176"/>
        <v>10.112367435946755</v>
      </c>
      <c r="R1664" s="582">
        <f t="shared" si="177"/>
        <v>2.6258325640532445</v>
      </c>
      <c r="S1664" s="582">
        <f t="shared" si="175"/>
        <v>3.1782325640532445</v>
      </c>
      <c r="T1664" s="582">
        <f t="shared" si="178"/>
        <v>3.4823325640532454</v>
      </c>
      <c r="U1664" s="582">
        <f t="shared" si="179"/>
        <v>3.2459325640532448</v>
      </c>
    </row>
    <row r="1665" spans="10:21">
      <c r="J1665" s="580">
        <v>41581</v>
      </c>
      <c r="K1665" s="581">
        <v>0.98958333333333337</v>
      </c>
      <c r="L1665" s="582">
        <v>12.894299999999999</v>
      </c>
      <c r="M1665" s="582">
        <v>12.6282</v>
      </c>
      <c r="N1665" s="582">
        <v>13.376799999999999</v>
      </c>
      <c r="O1665" s="582">
        <v>13.075699999999999</v>
      </c>
      <c r="P1665" s="582">
        <v>98.964100000000002</v>
      </c>
      <c r="Q1665" s="582">
        <f t="shared" si="176"/>
        <v>10.119023874536429</v>
      </c>
      <c r="R1665" s="582">
        <f t="shared" si="177"/>
        <v>2.59027612546357</v>
      </c>
      <c r="S1665" s="582">
        <f t="shared" si="175"/>
        <v>3.1591761254635706</v>
      </c>
      <c r="T1665" s="582">
        <f t="shared" si="178"/>
        <v>3.4477761254635704</v>
      </c>
      <c r="U1665" s="582">
        <f t="shared" si="179"/>
        <v>3.2266761254635696</v>
      </c>
    </row>
    <row r="1666" spans="10:21">
      <c r="J1666" s="580">
        <v>41582</v>
      </c>
      <c r="K1666" s="581">
        <v>0.98958333333333337</v>
      </c>
      <c r="L1666" s="582">
        <v>12.9269</v>
      </c>
      <c r="M1666" s="582">
        <v>12.648999999999999</v>
      </c>
      <c r="N1666" s="582">
        <v>13.3865</v>
      </c>
      <c r="O1666" s="582">
        <v>13.100099999999999</v>
      </c>
      <c r="P1666" s="582">
        <v>99.081000000000003</v>
      </c>
      <c r="Q1666" s="582">
        <f t="shared" si="176"/>
        <v>10.130976834154445</v>
      </c>
      <c r="R1666" s="582">
        <f t="shared" si="177"/>
        <v>2.6109231658455543</v>
      </c>
      <c r="S1666" s="582">
        <f t="shared" si="175"/>
        <v>3.168023165845554</v>
      </c>
      <c r="T1666" s="582">
        <f t="shared" si="178"/>
        <v>3.4455231658455547</v>
      </c>
      <c r="U1666" s="582">
        <f t="shared" si="179"/>
        <v>3.2391231658455535</v>
      </c>
    </row>
    <row r="1667" spans="10:21">
      <c r="J1667" s="580">
        <v>41583</v>
      </c>
      <c r="K1667" s="581">
        <v>0.98958333333333337</v>
      </c>
      <c r="L1667" s="582">
        <v>12.913500000000001</v>
      </c>
      <c r="M1667" s="582">
        <v>12.646699999999999</v>
      </c>
      <c r="N1667" s="582">
        <v>13.358700000000001</v>
      </c>
      <c r="O1667" s="582">
        <v>13.0877</v>
      </c>
      <c r="P1667" s="582">
        <v>99.048199999999994</v>
      </c>
      <c r="Q1667" s="582">
        <f t="shared" si="176"/>
        <v>10.127623052499432</v>
      </c>
      <c r="R1667" s="582">
        <f t="shared" si="177"/>
        <v>2.6008769475005686</v>
      </c>
      <c r="S1667" s="582">
        <f t="shared" si="175"/>
        <v>3.1690769475005673</v>
      </c>
      <c r="T1667" s="582">
        <f t="shared" si="178"/>
        <v>3.4210769475005689</v>
      </c>
      <c r="U1667" s="582">
        <f t="shared" si="179"/>
        <v>3.2300769475005673</v>
      </c>
    </row>
    <row r="1668" spans="10:21">
      <c r="J1668" s="580">
        <v>41584</v>
      </c>
      <c r="K1668" s="581">
        <v>0.98958333333333337</v>
      </c>
      <c r="L1668" s="582">
        <v>12.8741</v>
      </c>
      <c r="M1668" s="582">
        <v>12.6206</v>
      </c>
      <c r="N1668" s="582">
        <v>13.319599999999999</v>
      </c>
      <c r="O1668" s="582">
        <v>13.0617</v>
      </c>
      <c r="P1668" s="582">
        <v>99.0017</v>
      </c>
      <c r="Q1668" s="582">
        <f t="shared" si="176"/>
        <v>10.122868453506809</v>
      </c>
      <c r="R1668" s="582">
        <f t="shared" si="177"/>
        <v>2.5662315464931909</v>
      </c>
      <c r="S1668" s="582">
        <f t="shared" si="175"/>
        <v>3.1477315464931905</v>
      </c>
      <c r="T1668" s="582">
        <f t="shared" si="178"/>
        <v>3.3867315464931904</v>
      </c>
      <c r="U1668" s="582">
        <f t="shared" si="179"/>
        <v>3.2088315464931902</v>
      </c>
    </row>
    <row r="1669" spans="10:21">
      <c r="J1669" s="580">
        <v>41585</v>
      </c>
      <c r="K1669" s="581">
        <v>0.98958333333333337</v>
      </c>
      <c r="L1669" s="582">
        <v>12.8324</v>
      </c>
      <c r="M1669" s="582">
        <v>12.595700000000001</v>
      </c>
      <c r="N1669" s="582">
        <v>13.2738</v>
      </c>
      <c r="O1669" s="582">
        <v>13.032</v>
      </c>
      <c r="P1669" s="582">
        <v>98.929100000000005</v>
      </c>
      <c r="Q1669" s="582">
        <f t="shared" si="176"/>
        <v>10.115445144111874</v>
      </c>
      <c r="R1669" s="582">
        <f t="shared" si="177"/>
        <v>2.531954855888126</v>
      </c>
      <c r="S1669" s="582">
        <f t="shared" ref="S1669:S1700" si="180">M1669-Q1669-$D$9+$E$9</f>
        <v>3.1302548558881274</v>
      </c>
      <c r="T1669" s="582">
        <f t="shared" si="178"/>
        <v>3.3483548558881262</v>
      </c>
      <c r="U1669" s="582">
        <f t="shared" si="179"/>
        <v>3.1865548558881258</v>
      </c>
    </row>
    <row r="1670" spans="10:21">
      <c r="J1670" s="580">
        <v>41586</v>
      </c>
      <c r="K1670" s="581">
        <v>0.98958333333333337</v>
      </c>
      <c r="L1670" s="582">
        <v>12.789</v>
      </c>
      <c r="M1670" s="582">
        <v>12.564</v>
      </c>
      <c r="N1670" s="582">
        <v>13.221500000000001</v>
      </c>
      <c r="O1670" s="582">
        <v>12.9963</v>
      </c>
      <c r="P1670" s="582">
        <v>98.812899999999999</v>
      </c>
      <c r="Q1670" s="582">
        <f t="shared" si="176"/>
        <v>10.103563759102348</v>
      </c>
      <c r="R1670" s="582">
        <f t="shared" si="177"/>
        <v>2.5004362408976513</v>
      </c>
      <c r="S1670" s="582">
        <f t="shared" si="180"/>
        <v>3.110436240897652</v>
      </c>
      <c r="T1670" s="582">
        <f t="shared" si="178"/>
        <v>3.3079362408976527</v>
      </c>
      <c r="U1670" s="582">
        <f t="shared" si="179"/>
        <v>3.1627362408976509</v>
      </c>
    </row>
    <row r="1671" spans="10:21">
      <c r="J1671" s="580">
        <v>41587</v>
      </c>
      <c r="K1671" s="581">
        <v>0.98958333333333337</v>
      </c>
      <c r="L1671" s="582">
        <v>12.7448</v>
      </c>
      <c r="M1671" s="582">
        <v>12.538600000000001</v>
      </c>
      <c r="N1671" s="582">
        <v>13.1747</v>
      </c>
      <c r="O1671" s="582">
        <v>12.965299999999999</v>
      </c>
      <c r="P1671" s="582">
        <v>98.7393</v>
      </c>
      <c r="Q1671" s="582">
        <f t="shared" si="176"/>
        <v>10.096038200266712</v>
      </c>
      <c r="R1671" s="582">
        <f t="shared" si="177"/>
        <v>2.4637617997332879</v>
      </c>
      <c r="S1671" s="582">
        <f t="shared" si="180"/>
        <v>3.0925617997332893</v>
      </c>
      <c r="T1671" s="582">
        <f t="shared" si="178"/>
        <v>3.2686617997332883</v>
      </c>
      <c r="U1671" s="582">
        <f t="shared" si="179"/>
        <v>3.139261799733287</v>
      </c>
    </row>
    <row r="1672" spans="10:21">
      <c r="J1672" s="580">
        <v>41588</v>
      </c>
      <c r="K1672" s="581">
        <v>0.98958333333333337</v>
      </c>
      <c r="L1672" s="582">
        <v>12.711</v>
      </c>
      <c r="M1672" s="582">
        <v>12.5222</v>
      </c>
      <c r="N1672" s="582">
        <v>13.1393</v>
      </c>
      <c r="O1672" s="582">
        <v>12.9429</v>
      </c>
      <c r="P1672" s="582">
        <v>98.786199999999994</v>
      </c>
      <c r="Q1672" s="582">
        <f t="shared" si="176"/>
        <v>10.100833699035615</v>
      </c>
      <c r="R1672" s="582">
        <f t="shared" si="177"/>
        <v>2.4251663009643853</v>
      </c>
      <c r="S1672" s="582">
        <f t="shared" si="180"/>
        <v>3.0713663009643852</v>
      </c>
      <c r="T1672" s="582">
        <f t="shared" si="178"/>
        <v>3.2284663009643859</v>
      </c>
      <c r="U1672" s="582">
        <f t="shared" si="179"/>
        <v>3.1120663009643845</v>
      </c>
    </row>
    <row r="1673" spans="10:21">
      <c r="J1673" s="580">
        <v>41589</v>
      </c>
      <c r="K1673" s="581">
        <v>0.98958333333333337</v>
      </c>
      <c r="L1673" s="582">
        <v>12.665800000000001</v>
      </c>
      <c r="M1673" s="582">
        <v>12.4925</v>
      </c>
      <c r="N1673" s="582">
        <v>13.0891</v>
      </c>
      <c r="O1673" s="582">
        <v>12.895099999999999</v>
      </c>
      <c r="P1673" s="582">
        <v>98.702299999999994</v>
      </c>
      <c r="Q1673" s="582">
        <f t="shared" si="176"/>
        <v>10.092254970960752</v>
      </c>
      <c r="R1673" s="582">
        <f t="shared" si="177"/>
        <v>2.3885450290392485</v>
      </c>
      <c r="S1673" s="582">
        <f t="shared" si="180"/>
        <v>3.0502450290392478</v>
      </c>
      <c r="T1673" s="582">
        <f t="shared" si="178"/>
        <v>3.1868450290392483</v>
      </c>
      <c r="U1673" s="582">
        <f t="shared" si="179"/>
        <v>3.0728450290392466</v>
      </c>
    </row>
    <row r="1674" spans="10:21">
      <c r="J1674" s="580">
        <v>41590</v>
      </c>
      <c r="K1674" s="581">
        <v>0.98958333333333337</v>
      </c>
      <c r="L1674" s="582">
        <v>12.634399999999999</v>
      </c>
      <c r="M1674" s="582">
        <v>12.4727</v>
      </c>
      <c r="N1674" s="582">
        <v>13.058</v>
      </c>
      <c r="O1674" s="582">
        <v>12.8766</v>
      </c>
      <c r="P1674" s="582">
        <v>98.733999999999995</v>
      </c>
      <c r="Q1674" s="582">
        <f t="shared" si="176"/>
        <v>10.095496278230993</v>
      </c>
      <c r="R1674" s="582">
        <f t="shared" si="177"/>
        <v>2.3539037217690066</v>
      </c>
      <c r="S1674" s="582">
        <f t="shared" si="180"/>
        <v>3.0272037217690073</v>
      </c>
      <c r="T1674" s="582">
        <f t="shared" si="178"/>
        <v>3.1525037217690075</v>
      </c>
      <c r="U1674" s="582">
        <f t="shared" si="179"/>
        <v>3.0511037217690067</v>
      </c>
    </row>
    <row r="1675" spans="10:21">
      <c r="J1675" s="580">
        <v>41591</v>
      </c>
      <c r="K1675" s="581">
        <v>0.98958333333333337</v>
      </c>
      <c r="L1675" s="582">
        <v>12.6134</v>
      </c>
      <c r="M1675" s="582">
        <v>12.460900000000001</v>
      </c>
      <c r="N1675" s="582">
        <v>13.0352</v>
      </c>
      <c r="O1675" s="582">
        <v>12.866300000000001</v>
      </c>
      <c r="P1675" s="582">
        <v>98.8245</v>
      </c>
      <c r="Q1675" s="582">
        <f t="shared" si="176"/>
        <v>10.104749852614487</v>
      </c>
      <c r="R1675" s="582">
        <f t="shared" si="177"/>
        <v>2.3236501473855129</v>
      </c>
      <c r="S1675" s="582">
        <f t="shared" si="180"/>
        <v>3.0061501473855134</v>
      </c>
      <c r="T1675" s="582">
        <f t="shared" si="178"/>
        <v>3.1204501473855126</v>
      </c>
      <c r="U1675" s="582">
        <f t="shared" si="179"/>
        <v>3.0315501473855129</v>
      </c>
    </row>
    <row r="1676" spans="10:21">
      <c r="J1676" s="580">
        <v>41592</v>
      </c>
      <c r="K1676" s="581">
        <v>0.98958333333333337</v>
      </c>
      <c r="L1676" s="582">
        <v>12.5747</v>
      </c>
      <c r="M1676" s="582">
        <v>12.439</v>
      </c>
      <c r="N1676" s="582">
        <v>13.003500000000001</v>
      </c>
      <c r="O1676" s="582">
        <v>12.847</v>
      </c>
      <c r="P1676" s="582">
        <v>98.865899999999996</v>
      </c>
      <c r="Q1676" s="582">
        <f t="shared" si="176"/>
        <v>10.108982979459533</v>
      </c>
      <c r="R1676" s="582">
        <f t="shared" si="177"/>
        <v>2.2807170205404668</v>
      </c>
      <c r="S1676" s="582">
        <f t="shared" si="180"/>
        <v>2.9800170205404672</v>
      </c>
      <c r="T1676" s="582">
        <f t="shared" si="178"/>
        <v>3.0845170205404679</v>
      </c>
      <c r="U1676" s="582">
        <f t="shared" si="179"/>
        <v>3.0080170205404659</v>
      </c>
    </row>
    <row r="1677" spans="10:21">
      <c r="J1677" s="580">
        <v>41593</v>
      </c>
      <c r="K1677" s="581">
        <v>0.98958333333333337</v>
      </c>
      <c r="L1677" s="582">
        <v>12.5145</v>
      </c>
      <c r="M1677" s="582">
        <v>12.3978</v>
      </c>
      <c r="N1677" s="582">
        <v>12.943199999999999</v>
      </c>
      <c r="O1677" s="582">
        <v>12.7928</v>
      </c>
      <c r="P1677" s="582">
        <v>98.687700000000007</v>
      </c>
      <c r="Q1677" s="582">
        <f t="shared" si="176"/>
        <v>10.09076212912651</v>
      </c>
      <c r="R1677" s="582">
        <f t="shared" si="177"/>
        <v>2.2387378708734897</v>
      </c>
      <c r="S1677" s="582">
        <f t="shared" si="180"/>
        <v>2.9570378708734903</v>
      </c>
      <c r="T1677" s="582">
        <f t="shared" si="178"/>
        <v>3.0424378708734894</v>
      </c>
      <c r="U1677" s="582">
        <f t="shared" si="179"/>
        <v>2.9720378708734891</v>
      </c>
    </row>
    <row r="1678" spans="10:21">
      <c r="J1678" s="580">
        <v>41594</v>
      </c>
      <c r="K1678" s="581">
        <v>0.98958333333333337</v>
      </c>
      <c r="L1678" s="582">
        <v>12.4617</v>
      </c>
      <c r="M1678" s="582">
        <v>12.364100000000001</v>
      </c>
      <c r="N1678" s="582">
        <v>12.8969</v>
      </c>
      <c r="O1678" s="582">
        <v>12.7484</v>
      </c>
      <c r="P1678" s="582">
        <v>98.633099999999999</v>
      </c>
      <c r="Q1678" s="582">
        <f t="shared" si="176"/>
        <v>10.085179309664202</v>
      </c>
      <c r="R1678" s="582">
        <f t="shared" si="177"/>
        <v>2.1915206903357984</v>
      </c>
      <c r="S1678" s="582">
        <f t="shared" si="180"/>
        <v>2.9289206903357989</v>
      </c>
      <c r="T1678" s="582">
        <f t="shared" si="178"/>
        <v>3.0017206903357989</v>
      </c>
      <c r="U1678" s="582">
        <f t="shared" si="179"/>
        <v>2.9332206903357978</v>
      </c>
    </row>
    <row r="1679" spans="10:21">
      <c r="J1679" s="580">
        <v>41595</v>
      </c>
      <c r="K1679" s="581">
        <v>0.98958333333333337</v>
      </c>
      <c r="L1679" s="582">
        <v>12.5472</v>
      </c>
      <c r="M1679" s="582">
        <v>12.6868</v>
      </c>
      <c r="N1679" s="582">
        <v>13.7013</v>
      </c>
      <c r="O1679" s="582">
        <v>13.2858</v>
      </c>
      <c r="P1679" s="582">
        <v>98.837800000000001</v>
      </c>
      <c r="Q1679" s="582">
        <f t="shared" si="176"/>
        <v>10.106109770175818</v>
      </c>
      <c r="R1679" s="582">
        <f t="shared" si="177"/>
        <v>2.2560902298241818</v>
      </c>
      <c r="S1679" s="582">
        <f t="shared" si="180"/>
        <v>3.230690229824182</v>
      </c>
      <c r="T1679" s="582">
        <f t="shared" si="178"/>
        <v>3.785190229824182</v>
      </c>
      <c r="U1679" s="582">
        <f t="shared" si="179"/>
        <v>3.4496902298241814</v>
      </c>
    </row>
    <row r="1680" spans="10:21">
      <c r="J1680" s="580">
        <v>41596</v>
      </c>
      <c r="K1680" s="581">
        <v>0.98958333333333337</v>
      </c>
      <c r="L1680" s="582">
        <v>12.5222</v>
      </c>
      <c r="M1680" s="582">
        <v>12.6853</v>
      </c>
      <c r="N1680" s="582">
        <v>13.712899999999999</v>
      </c>
      <c r="O1680" s="582">
        <v>13.286</v>
      </c>
      <c r="P1680" s="582">
        <v>99.014300000000006</v>
      </c>
      <c r="Q1680" s="582">
        <f t="shared" si="176"/>
        <v>10.124156796459649</v>
      </c>
      <c r="R1680" s="582">
        <f t="shared" si="177"/>
        <v>2.2130432035403502</v>
      </c>
      <c r="S1680" s="582">
        <f t="shared" si="180"/>
        <v>3.2111432035403507</v>
      </c>
      <c r="T1680" s="582">
        <f t="shared" si="178"/>
        <v>3.7787432035403503</v>
      </c>
      <c r="U1680" s="582">
        <f t="shared" si="179"/>
        <v>3.4318432035403497</v>
      </c>
    </row>
    <row r="1681" spans="10:21">
      <c r="J1681" s="580">
        <v>41597</v>
      </c>
      <c r="K1681" s="581">
        <v>0.98958333333333337</v>
      </c>
      <c r="L1681" s="582">
        <v>12.466699999999999</v>
      </c>
      <c r="M1681" s="582">
        <v>12.654500000000001</v>
      </c>
      <c r="N1681" s="582">
        <v>13.6632</v>
      </c>
      <c r="O1681" s="582">
        <v>13.2508</v>
      </c>
      <c r="P1681" s="582">
        <v>98.895300000000006</v>
      </c>
      <c r="Q1681" s="582">
        <f t="shared" si="176"/>
        <v>10.111989113016159</v>
      </c>
      <c r="R1681" s="582">
        <f t="shared" si="177"/>
        <v>2.16971088698384</v>
      </c>
      <c r="S1681" s="582">
        <f t="shared" si="180"/>
        <v>3.1925108869838414</v>
      </c>
      <c r="T1681" s="582">
        <f t="shared" si="178"/>
        <v>3.7412108869838407</v>
      </c>
      <c r="U1681" s="582">
        <f t="shared" si="179"/>
        <v>3.40881088698384</v>
      </c>
    </row>
    <row r="1682" spans="10:21">
      <c r="J1682" s="580">
        <v>41598</v>
      </c>
      <c r="K1682" s="581">
        <v>0.98958333333333337</v>
      </c>
      <c r="L1682" s="582">
        <v>12.3902</v>
      </c>
      <c r="M1682" s="582">
        <v>12.601800000000001</v>
      </c>
      <c r="N1682" s="582">
        <v>13.5906</v>
      </c>
      <c r="O1682" s="582">
        <v>13.1937</v>
      </c>
      <c r="P1682" s="582">
        <v>98.5822</v>
      </c>
      <c r="Q1682" s="582">
        <f t="shared" si="176"/>
        <v>10.079974813132491</v>
      </c>
      <c r="R1682" s="582">
        <f t="shared" si="177"/>
        <v>2.1252251868675089</v>
      </c>
      <c r="S1682" s="582">
        <f t="shared" si="180"/>
        <v>3.17182518686751</v>
      </c>
      <c r="T1682" s="582">
        <f t="shared" si="178"/>
        <v>3.7006251868675095</v>
      </c>
      <c r="U1682" s="582">
        <f t="shared" si="179"/>
        <v>3.3837251868675082</v>
      </c>
    </row>
    <row r="1683" spans="10:21">
      <c r="J1683" s="580">
        <v>41599</v>
      </c>
      <c r="K1683" s="581">
        <v>0.98958333333333337</v>
      </c>
      <c r="L1683" s="582">
        <v>12.338900000000001</v>
      </c>
      <c r="M1683" s="582">
        <v>12.5823</v>
      </c>
      <c r="N1683" s="582">
        <v>13.5543</v>
      </c>
      <c r="O1683" s="582">
        <v>13.170999999999999</v>
      </c>
      <c r="P1683" s="582">
        <v>98.615700000000004</v>
      </c>
      <c r="Q1683" s="582">
        <f t="shared" si="176"/>
        <v>10.083400169395995</v>
      </c>
      <c r="R1683" s="582">
        <f t="shared" si="177"/>
        <v>2.0704998306040054</v>
      </c>
      <c r="S1683" s="582">
        <f t="shared" si="180"/>
        <v>3.1488998306040052</v>
      </c>
      <c r="T1683" s="582">
        <f t="shared" si="178"/>
        <v>3.6608998306040048</v>
      </c>
      <c r="U1683" s="582">
        <f t="shared" si="179"/>
        <v>3.3575998306040038</v>
      </c>
    </row>
    <row r="1684" spans="10:21">
      <c r="J1684" s="580">
        <v>41600</v>
      </c>
      <c r="K1684" s="581">
        <v>0.98958333333333337</v>
      </c>
      <c r="L1684" s="582">
        <v>12.297599999999999</v>
      </c>
      <c r="M1684" s="582">
        <v>12.5724</v>
      </c>
      <c r="N1684" s="582">
        <v>13.529199999999999</v>
      </c>
      <c r="O1684" s="582">
        <v>13.1591</v>
      </c>
      <c r="P1684" s="582">
        <v>98.746300000000005</v>
      </c>
      <c r="Q1684" s="582">
        <f t="shared" si="176"/>
        <v>10.096753946351622</v>
      </c>
      <c r="R1684" s="582">
        <f t="shared" si="177"/>
        <v>2.0158460536483767</v>
      </c>
      <c r="S1684" s="582">
        <f t="shared" si="180"/>
        <v>3.1256460536483779</v>
      </c>
      <c r="T1684" s="582">
        <f t="shared" si="178"/>
        <v>3.6224460536483774</v>
      </c>
      <c r="U1684" s="582">
        <f t="shared" si="179"/>
        <v>3.3323460536483775</v>
      </c>
    </row>
    <row r="1685" spans="10:21">
      <c r="J1685" s="580">
        <v>41601</v>
      </c>
      <c r="K1685" s="581">
        <v>0.98958333333333337</v>
      </c>
      <c r="L1685" s="582">
        <v>12.2593</v>
      </c>
      <c r="M1685" s="582">
        <v>12.5616</v>
      </c>
      <c r="N1685" s="582">
        <v>13.497199999999999</v>
      </c>
      <c r="O1685" s="582">
        <v>13.1426</v>
      </c>
      <c r="P1685" s="582">
        <v>98.847399999999993</v>
      </c>
      <c r="Q1685" s="582">
        <f t="shared" si="176"/>
        <v>10.107091364806553</v>
      </c>
      <c r="R1685" s="582">
        <f t="shared" si="177"/>
        <v>1.9672086351934461</v>
      </c>
      <c r="S1685" s="582">
        <f t="shared" si="180"/>
        <v>3.1045086351934472</v>
      </c>
      <c r="T1685" s="582">
        <f t="shared" si="178"/>
        <v>3.5801086351934464</v>
      </c>
      <c r="U1685" s="582">
        <f t="shared" si="179"/>
        <v>3.305508635193446</v>
      </c>
    </row>
    <row r="1686" spans="10:21">
      <c r="J1686" s="580">
        <v>41602</v>
      </c>
      <c r="K1686" s="581">
        <v>0.98958333333333337</v>
      </c>
      <c r="L1686" s="582">
        <v>12.2166</v>
      </c>
      <c r="M1686" s="582">
        <v>12.5435</v>
      </c>
      <c r="N1686" s="582">
        <v>13.462</v>
      </c>
      <c r="O1686" s="582">
        <v>13.122999999999999</v>
      </c>
      <c r="P1686" s="582">
        <v>98.894000000000005</v>
      </c>
      <c r="Q1686" s="582">
        <f t="shared" si="176"/>
        <v>10.111856188743248</v>
      </c>
      <c r="R1686" s="582">
        <f t="shared" si="177"/>
        <v>1.9197438112567515</v>
      </c>
      <c r="S1686" s="582">
        <f t="shared" si="180"/>
        <v>3.0816438112567521</v>
      </c>
      <c r="T1686" s="582">
        <f t="shared" si="178"/>
        <v>3.540143811256752</v>
      </c>
      <c r="U1686" s="582">
        <f t="shared" si="179"/>
        <v>3.2811438112567508</v>
      </c>
    </row>
    <row r="1687" spans="10:21">
      <c r="J1687" s="580">
        <v>41603</v>
      </c>
      <c r="K1687" s="581">
        <v>0.98958333333333337</v>
      </c>
      <c r="L1687" s="582">
        <v>12.156499999999999</v>
      </c>
      <c r="M1687" s="582">
        <v>12.501300000000001</v>
      </c>
      <c r="N1687" s="582">
        <v>13.408200000000001</v>
      </c>
      <c r="O1687" s="582">
        <v>13.0844</v>
      </c>
      <c r="P1687" s="582">
        <v>98.7517</v>
      </c>
      <c r="Q1687" s="582">
        <f t="shared" si="176"/>
        <v>10.097306093331412</v>
      </c>
      <c r="R1687" s="582">
        <f t="shared" si="177"/>
        <v>1.8741939066685878</v>
      </c>
      <c r="S1687" s="582">
        <f t="shared" si="180"/>
        <v>3.0539939066685893</v>
      </c>
      <c r="T1687" s="582">
        <f t="shared" si="178"/>
        <v>3.5008939066685896</v>
      </c>
      <c r="U1687" s="582">
        <f t="shared" si="179"/>
        <v>3.2570939066685884</v>
      </c>
    </row>
    <row r="1688" spans="10:21">
      <c r="J1688" s="580">
        <v>41604</v>
      </c>
      <c r="K1688" s="581">
        <v>0.98958333333333337</v>
      </c>
      <c r="L1688" s="582">
        <v>12.117000000000001</v>
      </c>
      <c r="M1688" s="582">
        <v>12.4701</v>
      </c>
      <c r="N1688" s="582">
        <v>13.3706</v>
      </c>
      <c r="O1688" s="582">
        <v>13.057600000000001</v>
      </c>
      <c r="P1688" s="582">
        <v>98.741799999999998</v>
      </c>
      <c r="Q1688" s="582">
        <f t="shared" si="176"/>
        <v>10.096293823868464</v>
      </c>
      <c r="R1688" s="582">
        <f t="shared" si="177"/>
        <v>1.8357061761315365</v>
      </c>
      <c r="S1688" s="582">
        <f t="shared" si="180"/>
        <v>3.0238061761315365</v>
      </c>
      <c r="T1688" s="582">
        <f t="shared" si="178"/>
        <v>3.4643061761315357</v>
      </c>
      <c r="U1688" s="582">
        <f t="shared" si="179"/>
        <v>3.231306176131536</v>
      </c>
    </row>
    <row r="1689" spans="10:21">
      <c r="J1689" s="580">
        <v>41605</v>
      </c>
      <c r="K1689" s="581">
        <v>0.98958333333333337</v>
      </c>
      <c r="L1689" s="582">
        <v>12.088900000000001</v>
      </c>
      <c r="M1689" s="582">
        <v>12.450900000000001</v>
      </c>
      <c r="N1689" s="582">
        <v>13.3324</v>
      </c>
      <c r="O1689" s="582">
        <v>13.038</v>
      </c>
      <c r="P1689" s="582">
        <v>98.813699999999997</v>
      </c>
      <c r="Q1689" s="582">
        <f t="shared" si="176"/>
        <v>10.103645558654909</v>
      </c>
      <c r="R1689" s="582">
        <f t="shared" si="177"/>
        <v>1.8002544413450914</v>
      </c>
      <c r="S1689" s="582">
        <f t="shared" si="180"/>
        <v>2.9972544413450919</v>
      </c>
      <c r="T1689" s="582">
        <f t="shared" si="178"/>
        <v>3.418754441345091</v>
      </c>
      <c r="U1689" s="582">
        <f t="shared" si="179"/>
        <v>3.2043544413450906</v>
      </c>
    </row>
    <row r="1690" spans="10:21">
      <c r="J1690" s="580">
        <v>41606</v>
      </c>
      <c r="K1690" s="581">
        <v>0.98958333333333337</v>
      </c>
      <c r="L1690" s="582">
        <v>12.068099999999999</v>
      </c>
      <c r="M1690" s="582">
        <v>12.441800000000001</v>
      </c>
      <c r="N1690" s="582">
        <v>13.3033</v>
      </c>
      <c r="O1690" s="582">
        <v>13.0261</v>
      </c>
      <c r="P1690" s="582">
        <v>98.964399999999998</v>
      </c>
      <c r="Q1690" s="582">
        <f t="shared" si="176"/>
        <v>10.11905454936864</v>
      </c>
      <c r="R1690" s="582">
        <f t="shared" si="177"/>
        <v>1.7640454506313596</v>
      </c>
      <c r="S1690" s="582">
        <f t="shared" si="180"/>
        <v>2.9727454506313613</v>
      </c>
      <c r="T1690" s="582">
        <f t="shared" si="178"/>
        <v>3.3742454506313608</v>
      </c>
      <c r="U1690" s="582">
        <f t="shared" si="179"/>
        <v>3.1770454506313595</v>
      </c>
    </row>
    <row r="1691" spans="10:21">
      <c r="J1691" s="580">
        <v>41607</v>
      </c>
      <c r="K1691" s="581">
        <v>0.98958333333333337</v>
      </c>
      <c r="L1691" s="582">
        <v>12.0251</v>
      </c>
      <c r="M1691" s="582">
        <v>12.4247</v>
      </c>
      <c r="N1691" s="582">
        <v>13.274699999999999</v>
      </c>
      <c r="O1691" s="582">
        <v>13.0055</v>
      </c>
      <c r="P1691" s="582">
        <v>99.022599999999997</v>
      </c>
      <c r="Q1691" s="582">
        <f t="shared" si="176"/>
        <v>10.125005466817472</v>
      </c>
      <c r="R1691" s="582">
        <f t="shared" si="177"/>
        <v>1.7150945331825285</v>
      </c>
      <c r="S1691" s="582">
        <f t="shared" si="180"/>
        <v>2.9496945331825284</v>
      </c>
      <c r="T1691" s="582">
        <f t="shared" si="178"/>
        <v>3.3396945331825281</v>
      </c>
      <c r="U1691" s="582">
        <f t="shared" si="179"/>
        <v>3.1504945331825276</v>
      </c>
    </row>
    <row r="1692" spans="10:21">
      <c r="J1692" s="580">
        <v>41608</v>
      </c>
      <c r="K1692" s="581">
        <v>0.98958333333333337</v>
      </c>
      <c r="L1692" s="582">
        <v>11.9777</v>
      </c>
      <c r="M1692" s="582">
        <v>12.3948</v>
      </c>
      <c r="N1692" s="582">
        <v>13.2433</v>
      </c>
      <c r="O1692" s="582">
        <v>12.975199999999999</v>
      </c>
      <c r="P1692" s="582">
        <v>98.976600000000005</v>
      </c>
      <c r="Q1692" s="582">
        <f t="shared" si="176"/>
        <v>10.120301992545199</v>
      </c>
      <c r="R1692" s="582">
        <f t="shared" si="177"/>
        <v>1.672398007454801</v>
      </c>
      <c r="S1692" s="582">
        <f t="shared" si="180"/>
        <v>2.924498007454801</v>
      </c>
      <c r="T1692" s="582">
        <f t="shared" si="178"/>
        <v>3.3129980074548007</v>
      </c>
      <c r="U1692" s="582">
        <f t="shared" si="179"/>
        <v>3.1248980074547994</v>
      </c>
    </row>
    <row r="1693" spans="10:21">
      <c r="J1693" s="580">
        <v>41609</v>
      </c>
      <c r="K1693" s="581">
        <v>0.98958333333333337</v>
      </c>
      <c r="L1693" s="582">
        <v>11.9474</v>
      </c>
      <c r="M1693" s="582">
        <v>12.3757</v>
      </c>
      <c r="N1693" s="582">
        <v>13.209300000000001</v>
      </c>
      <c r="O1693" s="582">
        <v>12.952</v>
      </c>
      <c r="P1693" s="582">
        <v>99.009200000000007</v>
      </c>
      <c r="Q1693" s="582">
        <f t="shared" si="176"/>
        <v>10.123635324312072</v>
      </c>
      <c r="R1693" s="582">
        <f t="shared" si="177"/>
        <v>1.6387646756879275</v>
      </c>
      <c r="S1693" s="582">
        <f t="shared" si="180"/>
        <v>2.902064675687928</v>
      </c>
      <c r="T1693" s="582">
        <f t="shared" si="178"/>
        <v>3.2756646756879286</v>
      </c>
      <c r="U1693" s="582">
        <f t="shared" si="179"/>
        <v>3.0983646756879271</v>
      </c>
    </row>
    <row r="1694" spans="10:21">
      <c r="J1694" s="580">
        <v>41610</v>
      </c>
      <c r="K1694" s="581">
        <v>0.98958333333333337</v>
      </c>
      <c r="L1694" s="582">
        <v>11.944900000000001</v>
      </c>
      <c r="M1694" s="582">
        <v>12.3765</v>
      </c>
      <c r="N1694" s="582">
        <v>13.2033</v>
      </c>
      <c r="O1694" s="582">
        <v>12.9488</v>
      </c>
      <c r="P1694" s="582">
        <v>99.099100000000007</v>
      </c>
      <c r="Q1694" s="582">
        <f t="shared" si="176"/>
        <v>10.132827549031145</v>
      </c>
      <c r="R1694" s="582">
        <f t="shared" si="177"/>
        <v>1.6270724509688557</v>
      </c>
      <c r="S1694" s="582">
        <f t="shared" si="180"/>
        <v>2.8936724509688556</v>
      </c>
      <c r="T1694" s="582">
        <f t="shared" si="178"/>
        <v>3.2604724509688561</v>
      </c>
      <c r="U1694" s="582">
        <f t="shared" si="179"/>
        <v>3.0859724509688551</v>
      </c>
    </row>
    <row r="1695" spans="10:21">
      <c r="J1695" s="580">
        <v>41611</v>
      </c>
      <c r="K1695" s="581">
        <v>0.98958333333333337</v>
      </c>
      <c r="L1695" s="582">
        <v>11.8888</v>
      </c>
      <c r="M1695" s="582">
        <v>12.3316</v>
      </c>
      <c r="N1695" s="582">
        <v>13.149900000000001</v>
      </c>
      <c r="O1695" s="582">
        <v>12.9023</v>
      </c>
      <c r="P1695" s="582">
        <v>98.837100000000007</v>
      </c>
      <c r="Q1695" s="582">
        <f t="shared" si="176"/>
        <v>10.106038195567328</v>
      </c>
      <c r="R1695" s="582">
        <f t="shared" si="177"/>
        <v>1.5977618044326722</v>
      </c>
      <c r="S1695" s="582">
        <f t="shared" si="180"/>
        <v>2.8755618044326727</v>
      </c>
      <c r="T1695" s="582">
        <f t="shared" si="178"/>
        <v>3.2338618044326735</v>
      </c>
      <c r="U1695" s="582">
        <f t="shared" si="179"/>
        <v>3.0662618044326724</v>
      </c>
    </row>
    <row r="1696" spans="10:21">
      <c r="J1696" s="580">
        <v>41612</v>
      </c>
      <c r="K1696" s="581">
        <v>0.98958333333333337</v>
      </c>
      <c r="L1696" s="582">
        <v>11.851800000000001</v>
      </c>
      <c r="M1696" s="582">
        <v>12.2972</v>
      </c>
      <c r="N1696" s="582">
        <v>13.111800000000001</v>
      </c>
      <c r="O1696" s="582">
        <v>12.87</v>
      </c>
      <c r="P1696" s="582">
        <v>98.770099999999999</v>
      </c>
      <c r="Q1696" s="582">
        <f t="shared" si="176"/>
        <v>10.099187483040319</v>
      </c>
      <c r="R1696" s="582">
        <f t="shared" si="177"/>
        <v>1.5676125169596813</v>
      </c>
      <c r="S1696" s="582">
        <f t="shared" si="180"/>
        <v>2.8480125169596811</v>
      </c>
      <c r="T1696" s="582">
        <f t="shared" si="178"/>
        <v>3.2026125169596815</v>
      </c>
      <c r="U1696" s="582">
        <f t="shared" si="179"/>
        <v>3.0408125169596794</v>
      </c>
    </row>
    <row r="1697" spans="10:21">
      <c r="J1697" s="580">
        <v>41613</v>
      </c>
      <c r="K1697" s="581">
        <v>0.98958333333333337</v>
      </c>
      <c r="L1697" s="582">
        <v>11.8027</v>
      </c>
      <c r="M1697" s="582">
        <v>12.2501</v>
      </c>
      <c r="N1697" s="582">
        <v>13.0581</v>
      </c>
      <c r="O1697" s="582">
        <v>12.8232</v>
      </c>
      <c r="P1697" s="582">
        <v>98.602800000000002</v>
      </c>
      <c r="Q1697" s="582">
        <f t="shared" si="176"/>
        <v>10.082081151610945</v>
      </c>
      <c r="R1697" s="582">
        <f t="shared" si="177"/>
        <v>1.5356188483890549</v>
      </c>
      <c r="S1697" s="582">
        <f t="shared" si="180"/>
        <v>2.8180188483890554</v>
      </c>
      <c r="T1697" s="582">
        <f t="shared" si="178"/>
        <v>3.1660188483890552</v>
      </c>
      <c r="U1697" s="582">
        <f t="shared" si="179"/>
        <v>3.0111188483890547</v>
      </c>
    </row>
    <row r="1698" spans="10:21">
      <c r="J1698" s="580">
        <v>41614</v>
      </c>
      <c r="K1698" s="581">
        <v>0.98958333333333337</v>
      </c>
      <c r="L1698" s="582">
        <v>11.769</v>
      </c>
      <c r="M1698" s="582">
        <v>12.2102</v>
      </c>
      <c r="N1698" s="582">
        <v>13.0158</v>
      </c>
      <c r="O1698" s="582">
        <v>12.7822</v>
      </c>
      <c r="P1698" s="582">
        <v>98.578199999999995</v>
      </c>
      <c r="Q1698" s="582">
        <f t="shared" si="176"/>
        <v>10.079565815369685</v>
      </c>
      <c r="R1698" s="582">
        <f t="shared" si="177"/>
        <v>1.5044341846303149</v>
      </c>
      <c r="S1698" s="582">
        <f t="shared" si="180"/>
        <v>2.7806341846303155</v>
      </c>
      <c r="T1698" s="582">
        <f t="shared" si="178"/>
        <v>3.1262341846303157</v>
      </c>
      <c r="U1698" s="582">
        <f t="shared" si="179"/>
        <v>2.9726341846303139</v>
      </c>
    </row>
    <row r="1699" spans="10:21">
      <c r="J1699" s="580">
        <v>41615</v>
      </c>
      <c r="K1699" s="581">
        <v>0.98958333333333337</v>
      </c>
      <c r="L1699" s="582">
        <v>11.7456</v>
      </c>
      <c r="M1699" s="582">
        <v>12.18</v>
      </c>
      <c r="N1699" s="582">
        <v>12.990399999999999</v>
      </c>
      <c r="O1699" s="582">
        <v>12.7514</v>
      </c>
      <c r="P1699" s="582">
        <v>98.616600000000005</v>
      </c>
      <c r="Q1699" s="582">
        <f t="shared" si="176"/>
        <v>10.083492193892626</v>
      </c>
      <c r="R1699" s="582">
        <f t="shared" si="177"/>
        <v>1.4771078061073735</v>
      </c>
      <c r="S1699" s="582">
        <f t="shared" si="180"/>
        <v>2.746507806107374</v>
      </c>
      <c r="T1699" s="582">
        <f t="shared" si="178"/>
        <v>3.0969078061073736</v>
      </c>
      <c r="U1699" s="582">
        <f t="shared" si="179"/>
        <v>2.9379078061073738</v>
      </c>
    </row>
    <row r="1700" spans="10:21">
      <c r="J1700" s="580">
        <v>41616</v>
      </c>
      <c r="K1700" s="581">
        <v>0.98958333333333337</v>
      </c>
      <c r="L1700" s="582">
        <v>11.7235</v>
      </c>
      <c r="M1700" s="582">
        <v>12.1503</v>
      </c>
      <c r="N1700" s="582">
        <v>12.9696</v>
      </c>
      <c r="O1700" s="582">
        <v>12.722</v>
      </c>
      <c r="P1700" s="582">
        <v>98.677999999999997</v>
      </c>
      <c r="Q1700" s="582">
        <f t="shared" si="176"/>
        <v>10.089770309551703</v>
      </c>
      <c r="R1700" s="582">
        <f t="shared" si="177"/>
        <v>1.4487296904482965</v>
      </c>
      <c r="S1700" s="582">
        <f t="shared" si="180"/>
        <v>2.7105296904482969</v>
      </c>
      <c r="T1700" s="582">
        <f t="shared" si="178"/>
        <v>3.0698296904482971</v>
      </c>
      <c r="U1700" s="582">
        <f t="shared" si="179"/>
        <v>2.902229690448296</v>
      </c>
    </row>
    <row r="1701" spans="10:21">
      <c r="J1701" s="580">
        <v>41617</v>
      </c>
      <c r="K1701" s="581">
        <v>0.98958333333333337</v>
      </c>
      <c r="L1701" s="582">
        <v>11.6853</v>
      </c>
      <c r="M1701" s="582">
        <v>12.1038</v>
      </c>
      <c r="N1701" s="582">
        <v>12.9209</v>
      </c>
      <c r="O1701" s="582">
        <v>12.676</v>
      </c>
      <c r="P1701" s="582">
        <v>98.574799999999996</v>
      </c>
      <c r="Q1701" s="582">
        <f t="shared" si="176"/>
        <v>10.079218167271298</v>
      </c>
      <c r="R1701" s="582">
        <f t="shared" si="177"/>
        <v>1.4210818327287016</v>
      </c>
      <c r="S1701" s="582">
        <v>2.6751818327287022</v>
      </c>
      <c r="T1701" s="582">
        <f t="shared" si="178"/>
        <v>3.0316818327287018</v>
      </c>
      <c r="U1701" s="582">
        <f t="shared" si="179"/>
        <v>2.8667818327287016</v>
      </c>
    </row>
    <row r="1702" spans="10:21">
      <c r="J1702" s="580">
        <v>41618</v>
      </c>
      <c r="K1702" s="581">
        <v>0.98958333333333337</v>
      </c>
      <c r="L1702" s="582">
        <v>11.667299999999999</v>
      </c>
      <c r="M1702" s="582">
        <v>12.0725</v>
      </c>
      <c r="N1702" s="582">
        <v>12.8942</v>
      </c>
      <c r="O1702" s="582">
        <v>12.6488</v>
      </c>
      <c r="P1702" s="582">
        <v>98.665000000000006</v>
      </c>
      <c r="Q1702" s="582">
        <f t="shared" si="176"/>
        <v>10.088441066822584</v>
      </c>
      <c r="R1702" s="582">
        <f t="shared" si="177"/>
        <v>1.3938589331774147</v>
      </c>
      <c r="S1702" s="582">
        <v>2.6354589331774161</v>
      </c>
      <c r="T1702" s="582">
        <f t="shared" si="178"/>
        <v>2.9957589331774157</v>
      </c>
      <c r="U1702" s="582">
        <f t="shared" si="179"/>
        <v>2.8303589331774148</v>
      </c>
    </row>
    <row r="1703" spans="10:21">
      <c r="J1703" s="580">
        <v>41619</v>
      </c>
      <c r="K1703" s="581">
        <v>0.98958333333333337</v>
      </c>
      <c r="L1703" s="582">
        <v>11.6267</v>
      </c>
      <c r="M1703" s="582">
        <v>12.0124</v>
      </c>
      <c r="N1703" s="582">
        <v>12.834</v>
      </c>
      <c r="O1703" s="582">
        <v>12.5924</v>
      </c>
      <c r="P1703" s="582">
        <v>98.485600000000005</v>
      </c>
      <c r="Q1703" s="582">
        <f t="shared" si="176"/>
        <v>10.070097517160718</v>
      </c>
      <c r="R1703" s="582">
        <f t="shared" si="177"/>
        <v>1.3716024828392812</v>
      </c>
      <c r="S1703" s="582">
        <f t="shared" ref="S1703:S1766" si="181">M1703-Q1703-$D$9+$E$9</f>
        <v>2.5923024828392816</v>
      </c>
      <c r="T1703" s="582">
        <f t="shared" si="178"/>
        <v>2.9539024828392817</v>
      </c>
      <c r="U1703" s="582">
        <f t="shared" si="179"/>
        <v>2.7923024828392808</v>
      </c>
    </row>
    <row r="1704" spans="10:21">
      <c r="J1704" s="580">
        <v>41620</v>
      </c>
      <c r="K1704" s="581">
        <v>0.98958333333333337</v>
      </c>
      <c r="L1704" s="582">
        <v>11.6083</v>
      </c>
      <c r="M1704" s="582">
        <v>11.9948</v>
      </c>
      <c r="N1704" s="582">
        <v>12.814</v>
      </c>
      <c r="O1704" s="582">
        <v>12.575699999999999</v>
      </c>
      <c r="P1704" s="582">
        <v>98.364400000000003</v>
      </c>
      <c r="Q1704" s="582">
        <f t="shared" si="176"/>
        <v>10.057704884947684</v>
      </c>
      <c r="R1704" s="582">
        <f t="shared" si="177"/>
        <v>1.3655951150523156</v>
      </c>
      <c r="S1704" s="582">
        <f t="shared" si="181"/>
        <v>2.5870951150523158</v>
      </c>
      <c r="T1704" s="582">
        <f t="shared" si="178"/>
        <v>2.9462951150523162</v>
      </c>
      <c r="U1704" s="582">
        <f t="shared" si="179"/>
        <v>2.7879951150523148</v>
      </c>
    </row>
    <row r="1705" spans="10:21">
      <c r="J1705" s="580">
        <v>41621</v>
      </c>
      <c r="K1705" s="581">
        <v>0.98958333333333337</v>
      </c>
      <c r="L1705" s="582">
        <v>11.6639</v>
      </c>
      <c r="M1705" s="582">
        <v>12.0771</v>
      </c>
      <c r="N1705" s="582">
        <v>12.873699999999999</v>
      </c>
      <c r="O1705" s="582">
        <v>12.647399999999999</v>
      </c>
      <c r="P1705" s="582">
        <v>98.827600000000004</v>
      </c>
      <c r="Q1705" s="582">
        <f t="shared" si="176"/>
        <v>10.105066825880662</v>
      </c>
      <c r="R1705" s="582">
        <f t="shared" si="177"/>
        <v>1.3738331741193375</v>
      </c>
      <c r="S1705" s="582">
        <f t="shared" si="181"/>
        <v>2.6220331741193377</v>
      </c>
      <c r="T1705" s="582">
        <f t="shared" si="178"/>
        <v>2.9586331741193375</v>
      </c>
      <c r="U1705" s="582">
        <f t="shared" si="179"/>
        <v>2.8123331741193365</v>
      </c>
    </row>
    <row r="1706" spans="10:21">
      <c r="J1706" s="580">
        <v>41622</v>
      </c>
      <c r="K1706" s="581">
        <v>0.98958333333333337</v>
      </c>
      <c r="L1706" s="582">
        <v>11.644399999999999</v>
      </c>
      <c r="M1706" s="582">
        <v>12.0601</v>
      </c>
      <c r="N1706" s="582">
        <v>12.863200000000001</v>
      </c>
      <c r="O1706" s="582">
        <v>12.6333</v>
      </c>
      <c r="P1706" s="582">
        <v>98.904399999999995</v>
      </c>
      <c r="Q1706" s="582">
        <f t="shared" si="176"/>
        <v>10.112919582926544</v>
      </c>
      <c r="R1706" s="582">
        <f t="shared" si="177"/>
        <v>1.346480417073455</v>
      </c>
      <c r="S1706" s="582">
        <f t="shared" si="181"/>
        <v>2.5971804170734565</v>
      </c>
      <c r="T1706" s="582">
        <f t="shared" si="178"/>
        <v>2.9402804170734571</v>
      </c>
      <c r="U1706" s="582">
        <f t="shared" si="179"/>
        <v>2.7903804170734556</v>
      </c>
    </row>
    <row r="1707" spans="10:21">
      <c r="J1707" s="580">
        <v>41623</v>
      </c>
      <c r="K1707" s="581">
        <v>0.98958333333333337</v>
      </c>
      <c r="L1707" s="582">
        <v>11.6212</v>
      </c>
      <c r="M1707" s="582">
        <v>12.044600000000001</v>
      </c>
      <c r="N1707" s="582">
        <v>12.838699999999999</v>
      </c>
      <c r="O1707" s="582">
        <v>12.614000000000001</v>
      </c>
      <c r="P1707" s="582">
        <v>98.967699999999994</v>
      </c>
      <c r="Q1707" s="582">
        <f t="shared" si="176"/>
        <v>10.119391972522955</v>
      </c>
      <c r="R1707" s="582">
        <f t="shared" si="177"/>
        <v>1.3168080274770451</v>
      </c>
      <c r="S1707" s="582">
        <f t="shared" si="181"/>
        <v>2.5752080274770464</v>
      </c>
      <c r="T1707" s="582">
        <f t="shared" si="178"/>
        <v>2.9093080274770449</v>
      </c>
      <c r="U1707" s="582">
        <f t="shared" si="179"/>
        <v>2.7646080274770455</v>
      </c>
    </row>
    <row r="1708" spans="10:21">
      <c r="J1708" s="580">
        <v>41624</v>
      </c>
      <c r="K1708" s="581">
        <v>0.98958333333333337</v>
      </c>
      <c r="L1708" s="582">
        <v>11.5929</v>
      </c>
      <c r="M1708" s="582">
        <v>12.023400000000001</v>
      </c>
      <c r="N1708" s="582">
        <v>12.8117</v>
      </c>
      <c r="O1708" s="582">
        <v>12.585000000000001</v>
      </c>
      <c r="P1708" s="582">
        <v>98.972999999999999</v>
      </c>
      <c r="Q1708" s="582">
        <f t="shared" si="176"/>
        <v>10.119933894558674</v>
      </c>
      <c r="R1708" s="582">
        <f t="shared" si="177"/>
        <v>1.2879661054413263</v>
      </c>
      <c r="S1708" s="582">
        <f t="shared" si="181"/>
        <v>2.553466105441327</v>
      </c>
      <c r="T1708" s="582">
        <f t="shared" si="178"/>
        <v>2.8817661054413266</v>
      </c>
      <c r="U1708" s="582">
        <f t="shared" si="179"/>
        <v>2.7350661054413266</v>
      </c>
    </row>
    <row r="1709" spans="10:21">
      <c r="J1709" s="580">
        <v>41625</v>
      </c>
      <c r="K1709" s="581">
        <v>0.98958333333333337</v>
      </c>
      <c r="L1709" s="582">
        <v>11.5526</v>
      </c>
      <c r="M1709" s="582">
        <v>11.985300000000001</v>
      </c>
      <c r="N1709" s="582">
        <v>12.7639</v>
      </c>
      <c r="O1709" s="582">
        <v>12.535399999999999</v>
      </c>
      <c r="P1709" s="582">
        <v>98.855800000000002</v>
      </c>
      <c r="Q1709" s="582">
        <f t="shared" si="176"/>
        <v>10.107950260108447</v>
      </c>
      <c r="R1709" s="582">
        <f t="shared" si="177"/>
        <v>1.2596497398915525</v>
      </c>
      <c r="S1709" s="582">
        <f t="shared" si="181"/>
        <v>2.5273497398915534</v>
      </c>
      <c r="T1709" s="582">
        <f t="shared" si="178"/>
        <v>2.8459497398915525</v>
      </c>
      <c r="U1709" s="582">
        <f t="shared" si="179"/>
        <v>2.6974497398915518</v>
      </c>
    </row>
    <row r="1710" spans="10:21">
      <c r="J1710" s="580">
        <v>41626</v>
      </c>
      <c r="K1710" s="581">
        <v>0.98958333333333337</v>
      </c>
      <c r="L1710" s="582">
        <v>11.521699999999999</v>
      </c>
      <c r="M1710" s="582">
        <v>11.9505</v>
      </c>
      <c r="N1710" s="582">
        <v>12.7226</v>
      </c>
      <c r="O1710" s="582">
        <v>12.4963</v>
      </c>
      <c r="P1710" s="582">
        <v>98.833600000000004</v>
      </c>
      <c r="Q1710" s="582">
        <f t="shared" si="176"/>
        <v>10.105680322524872</v>
      </c>
      <c r="R1710" s="582">
        <f t="shared" si="177"/>
        <v>1.231019677475127</v>
      </c>
      <c r="S1710" s="582">
        <f t="shared" si="181"/>
        <v>2.4948196774751281</v>
      </c>
      <c r="T1710" s="582">
        <f t="shared" si="178"/>
        <v>2.8069196774751282</v>
      </c>
      <c r="U1710" s="582">
        <f t="shared" si="179"/>
        <v>2.6606196774751276</v>
      </c>
    </row>
    <row r="1711" spans="10:21">
      <c r="J1711" s="580">
        <v>41627</v>
      </c>
      <c r="K1711" s="581">
        <v>0.98958333333333337</v>
      </c>
      <c r="L1711" s="582">
        <v>11.5006</v>
      </c>
      <c r="M1711" s="582">
        <v>11.916700000000001</v>
      </c>
      <c r="N1711" s="582">
        <v>12.6858</v>
      </c>
      <c r="O1711" s="582">
        <v>12.4451</v>
      </c>
      <c r="P1711" s="582">
        <v>98.866500000000002</v>
      </c>
      <c r="Q1711" s="582">
        <f t="shared" si="176"/>
        <v>10.109044329123954</v>
      </c>
      <c r="R1711" s="582">
        <f t="shared" si="177"/>
        <v>1.2065556708760465</v>
      </c>
      <c r="S1711" s="582">
        <f t="shared" si="181"/>
        <v>2.4576556708760471</v>
      </c>
      <c r="T1711" s="582">
        <f t="shared" si="178"/>
        <v>2.766755670876047</v>
      </c>
      <c r="U1711" s="582">
        <f t="shared" si="179"/>
        <v>2.6060556708760463</v>
      </c>
    </row>
    <row r="1712" spans="10:21">
      <c r="J1712" s="580">
        <v>41628</v>
      </c>
      <c r="K1712" s="581">
        <v>0.98958333333333337</v>
      </c>
      <c r="L1712" s="582">
        <v>11.4923</v>
      </c>
      <c r="M1712" s="582">
        <v>11.9023</v>
      </c>
      <c r="N1712" s="582">
        <v>12.6587</v>
      </c>
      <c r="O1712" s="582">
        <v>12.3767</v>
      </c>
      <c r="P1712" s="582">
        <v>99.031800000000004</v>
      </c>
      <c r="Q1712" s="582">
        <f t="shared" si="176"/>
        <v>10.125946161671928</v>
      </c>
      <c r="R1712" s="582">
        <f t="shared" si="177"/>
        <v>1.1813538383280719</v>
      </c>
      <c r="S1712" s="582">
        <f t="shared" si="181"/>
        <v>2.4263538383280725</v>
      </c>
      <c r="T1712" s="582">
        <f t="shared" si="178"/>
        <v>2.7227538383280718</v>
      </c>
      <c r="U1712" s="582">
        <f t="shared" si="179"/>
        <v>2.5207538383280714</v>
      </c>
    </row>
    <row r="1713" spans="10:21">
      <c r="J1713" s="580">
        <v>41629</v>
      </c>
      <c r="K1713" s="581">
        <v>0.98958333333333337</v>
      </c>
      <c r="L1713" s="582">
        <v>11.4756</v>
      </c>
      <c r="M1713" s="582">
        <v>11.879099999999999</v>
      </c>
      <c r="N1713" s="582">
        <v>12.624000000000001</v>
      </c>
      <c r="O1713" s="582">
        <v>12.3012</v>
      </c>
      <c r="P1713" s="582">
        <v>99.123599999999996</v>
      </c>
      <c r="Q1713" s="582">
        <f t="shared" si="176"/>
        <v>10.135332660328332</v>
      </c>
      <c r="R1713" s="582">
        <f t="shared" si="177"/>
        <v>1.1552673396716675</v>
      </c>
      <c r="S1713" s="582">
        <f t="shared" si="181"/>
        <v>2.3937673396716672</v>
      </c>
      <c r="T1713" s="582">
        <f t="shared" si="178"/>
        <v>2.6786673396716685</v>
      </c>
      <c r="U1713" s="582">
        <f t="shared" si="179"/>
        <v>2.4358673396716672</v>
      </c>
    </row>
    <row r="1714" spans="10:21">
      <c r="J1714" s="580">
        <v>41630</v>
      </c>
      <c r="K1714" s="581">
        <v>0.98958333333333337</v>
      </c>
      <c r="L1714" s="582">
        <v>11.4527</v>
      </c>
      <c r="M1714" s="582">
        <v>11.839399999999999</v>
      </c>
      <c r="N1714" s="582">
        <v>12.593999999999999</v>
      </c>
      <c r="O1714" s="582">
        <v>12.235799999999999</v>
      </c>
      <c r="P1714" s="582">
        <v>99.156499999999994</v>
      </c>
      <c r="Q1714" s="582">
        <f t="shared" si="176"/>
        <v>10.138696666927414</v>
      </c>
      <c r="R1714" s="582">
        <f t="shared" si="177"/>
        <v>1.1290033330725859</v>
      </c>
      <c r="S1714" s="582">
        <f t="shared" si="181"/>
        <v>2.3507033330725857</v>
      </c>
      <c r="T1714" s="582">
        <f t="shared" si="178"/>
        <v>2.6453033330725857</v>
      </c>
      <c r="U1714" s="582">
        <f t="shared" si="179"/>
        <v>2.3671033330725852</v>
      </c>
    </row>
    <row r="1715" spans="10:21">
      <c r="J1715" s="580">
        <v>41631</v>
      </c>
      <c r="K1715" s="581">
        <v>0.98958333333333337</v>
      </c>
      <c r="L1715" s="582">
        <v>11.4313</v>
      </c>
      <c r="M1715" s="582">
        <v>11.805400000000001</v>
      </c>
      <c r="N1715" s="582">
        <v>12.5665</v>
      </c>
      <c r="O1715" s="582">
        <v>12.186400000000001</v>
      </c>
      <c r="P1715" s="582">
        <v>99.203400000000002</v>
      </c>
      <c r="Q1715" s="582">
        <f t="shared" si="176"/>
        <v>10.143492165696321</v>
      </c>
      <c r="R1715" s="582">
        <f t="shared" si="177"/>
        <v>1.1028078343036793</v>
      </c>
      <c r="S1715" s="582">
        <f t="shared" si="181"/>
        <v>2.3119078343036801</v>
      </c>
      <c r="T1715" s="582">
        <f t="shared" si="178"/>
        <v>2.6130078343036791</v>
      </c>
      <c r="U1715" s="582">
        <f t="shared" si="179"/>
        <v>2.31290783430368</v>
      </c>
    </row>
    <row r="1716" spans="10:21">
      <c r="J1716" s="580">
        <v>41632</v>
      </c>
      <c r="K1716" s="581">
        <v>0.98958333333333337</v>
      </c>
      <c r="L1716" s="582">
        <v>11.413</v>
      </c>
      <c r="M1716" s="582">
        <v>11.777100000000001</v>
      </c>
      <c r="N1716" s="582">
        <v>12.538600000000001</v>
      </c>
      <c r="O1716" s="582">
        <v>12.1473</v>
      </c>
      <c r="P1716" s="582">
        <v>99.267700000000005</v>
      </c>
      <c r="Q1716" s="582">
        <f t="shared" si="176"/>
        <v>10.150066804733433</v>
      </c>
      <c r="R1716" s="582">
        <f t="shared" si="177"/>
        <v>1.0779331952665676</v>
      </c>
      <c r="S1716" s="582">
        <f t="shared" si="181"/>
        <v>2.2770331952665686</v>
      </c>
      <c r="T1716" s="582">
        <f t="shared" si="178"/>
        <v>2.5785331952665684</v>
      </c>
      <c r="U1716" s="582">
        <f t="shared" si="179"/>
        <v>2.267233195266567</v>
      </c>
    </row>
    <row r="1717" spans="10:21">
      <c r="J1717" s="580">
        <v>41633</v>
      </c>
      <c r="K1717" s="581">
        <v>0.98958333333333337</v>
      </c>
      <c r="L1717" s="582">
        <v>11.3902</v>
      </c>
      <c r="M1717" s="582">
        <v>11.746</v>
      </c>
      <c r="N1717" s="582">
        <v>12.5091</v>
      </c>
      <c r="O1717" s="582">
        <v>12.1195</v>
      </c>
      <c r="P1717" s="582">
        <v>99.303200000000004</v>
      </c>
      <c r="Q1717" s="582">
        <f t="shared" ref="Q1717:Q1780" si="182">P1717/($G$8*$H$8)</f>
        <v>10.153696659878339</v>
      </c>
      <c r="R1717" s="582">
        <f t="shared" ref="R1717:R1780" si="183">IF((L1717-Q1717-$D$8+$E$8)&lt;0,0,(L1717-Q1717-$D$8+$E$8))</f>
        <v>1.0515033401216614</v>
      </c>
      <c r="S1717" s="582">
        <f t="shared" si="181"/>
        <v>2.2423033401216621</v>
      </c>
      <c r="T1717" s="582">
        <f t="shared" ref="T1717:T1780" si="184">N1717-Q1717-$D$10+$E$10</f>
        <v>2.5454033401216618</v>
      </c>
      <c r="U1717" s="582">
        <f t="shared" ref="U1717:U1780" si="185">O1717-Q1717-$D$11+$E$11</f>
        <v>2.2358033401216617</v>
      </c>
    </row>
    <row r="1718" spans="10:21">
      <c r="J1718" s="580">
        <v>41634</v>
      </c>
      <c r="K1718" s="581">
        <v>0.98958333333333337</v>
      </c>
      <c r="L1718" s="582">
        <v>11.346</v>
      </c>
      <c r="M1718" s="582">
        <v>11.695499999999999</v>
      </c>
      <c r="N1718" s="582">
        <v>12.457800000000001</v>
      </c>
      <c r="O1718" s="582">
        <v>12.084899999999999</v>
      </c>
      <c r="P1718" s="582">
        <v>99.161799999999999</v>
      </c>
      <c r="Q1718" s="582">
        <f t="shared" si="182"/>
        <v>10.139238588963133</v>
      </c>
      <c r="R1718" s="582">
        <f t="shared" si="183"/>
        <v>1.0217614110368669</v>
      </c>
      <c r="S1718" s="582">
        <f t="shared" si="181"/>
        <v>2.2062614110368663</v>
      </c>
      <c r="T1718" s="582">
        <f t="shared" si="184"/>
        <v>2.5085614110368679</v>
      </c>
      <c r="U1718" s="582">
        <f t="shared" si="185"/>
        <v>2.2156614110368662</v>
      </c>
    </row>
    <row r="1719" spans="10:21">
      <c r="J1719" s="580">
        <v>41635</v>
      </c>
      <c r="K1719" s="581">
        <v>0.98958333333333337</v>
      </c>
      <c r="L1719" s="582">
        <v>11.315099999999999</v>
      </c>
      <c r="M1719" s="582">
        <v>11.6578</v>
      </c>
      <c r="N1719" s="582">
        <v>12.4171</v>
      </c>
      <c r="O1719" s="582">
        <v>12.0654</v>
      </c>
      <c r="P1719" s="582">
        <v>99.146900000000002</v>
      </c>
      <c r="Q1719" s="582">
        <f t="shared" si="182"/>
        <v>10.137715072296681</v>
      </c>
      <c r="R1719" s="582">
        <f t="shared" si="183"/>
        <v>0.99238492770331865</v>
      </c>
      <c r="S1719" s="582">
        <f t="shared" si="181"/>
        <v>2.1700849277033196</v>
      </c>
      <c r="T1719" s="582">
        <f t="shared" si="184"/>
        <v>2.4693849277033193</v>
      </c>
      <c r="U1719" s="582">
        <f t="shared" si="185"/>
        <v>2.1976849277033197</v>
      </c>
    </row>
    <row r="1720" spans="10:21">
      <c r="J1720" s="580">
        <v>41636</v>
      </c>
      <c r="K1720" s="581">
        <v>0.98958333333333337</v>
      </c>
      <c r="L1720" s="582">
        <v>11.2845</v>
      </c>
      <c r="M1720" s="582">
        <v>11.611700000000001</v>
      </c>
      <c r="N1720" s="582">
        <v>12.373900000000001</v>
      </c>
      <c r="O1720" s="582">
        <v>12.0426</v>
      </c>
      <c r="P1720" s="582">
        <v>99.101500000000001</v>
      </c>
      <c r="Q1720" s="582">
        <f t="shared" si="182"/>
        <v>10.133072947688827</v>
      </c>
      <c r="R1720" s="582">
        <f t="shared" si="183"/>
        <v>0.96642705231117232</v>
      </c>
      <c r="S1720" s="582">
        <f t="shared" si="181"/>
        <v>2.1286270523111739</v>
      </c>
      <c r="T1720" s="582">
        <f t="shared" si="184"/>
        <v>2.4308270523111739</v>
      </c>
      <c r="U1720" s="582">
        <f t="shared" si="185"/>
        <v>2.1795270523111729</v>
      </c>
    </row>
    <row r="1721" spans="10:21">
      <c r="J1721" s="580">
        <v>41637</v>
      </c>
      <c r="K1721" s="581">
        <v>0.98958333333333337</v>
      </c>
      <c r="L1721" s="582">
        <v>11.266</v>
      </c>
      <c r="M1721" s="582">
        <v>11.5733</v>
      </c>
      <c r="N1721" s="582">
        <v>12.3376</v>
      </c>
      <c r="O1721" s="582">
        <v>12.0093</v>
      </c>
      <c r="P1721" s="582">
        <v>99.108000000000004</v>
      </c>
      <c r="Q1721" s="582">
        <f t="shared" si="182"/>
        <v>10.133737569053389</v>
      </c>
      <c r="R1721" s="582">
        <f t="shared" si="183"/>
        <v>0.94726243094661078</v>
      </c>
      <c r="S1721" s="582">
        <f t="shared" si="181"/>
        <v>2.0895624309466108</v>
      </c>
      <c r="T1721" s="582">
        <f t="shared" si="184"/>
        <v>2.3938624309466112</v>
      </c>
      <c r="U1721" s="582">
        <f t="shared" si="185"/>
        <v>2.1455624309466104</v>
      </c>
    </row>
    <row r="1722" spans="10:21">
      <c r="J1722" s="580">
        <v>41638</v>
      </c>
      <c r="K1722" s="581">
        <v>0.98958333333333337</v>
      </c>
      <c r="L1722" s="582">
        <v>11.249700000000001</v>
      </c>
      <c r="M1722" s="582">
        <v>11.536</v>
      </c>
      <c r="N1722" s="582">
        <v>12.297499999999999</v>
      </c>
      <c r="O1722" s="582">
        <v>11.974500000000001</v>
      </c>
      <c r="P1722" s="582">
        <v>99.147300000000001</v>
      </c>
      <c r="Q1722" s="582">
        <f t="shared" si="182"/>
        <v>10.137755972072961</v>
      </c>
      <c r="R1722" s="582">
        <f t="shared" si="183"/>
        <v>0.92694402792703967</v>
      </c>
      <c r="S1722" s="582">
        <f t="shared" si="181"/>
        <v>2.0482440279270389</v>
      </c>
      <c r="T1722" s="582">
        <f t="shared" si="184"/>
        <v>2.3497440279270387</v>
      </c>
      <c r="U1722" s="582">
        <f t="shared" si="185"/>
        <v>2.1067440279270397</v>
      </c>
    </row>
    <row r="1723" spans="10:21">
      <c r="J1723" s="580">
        <v>41639</v>
      </c>
      <c r="K1723" s="581">
        <v>0.98958333333333337</v>
      </c>
      <c r="L1723" s="582">
        <v>11.222300000000001</v>
      </c>
      <c r="M1723" s="582">
        <v>11.4855</v>
      </c>
      <c r="N1723" s="582">
        <v>12.242699999999999</v>
      </c>
      <c r="O1723" s="582">
        <v>11.9298</v>
      </c>
      <c r="P1723" s="582">
        <v>99.078299999999999</v>
      </c>
      <c r="Q1723" s="582">
        <f t="shared" si="182"/>
        <v>10.130700760664551</v>
      </c>
      <c r="R1723" s="582">
        <f t="shared" si="183"/>
        <v>0.90659923933544972</v>
      </c>
      <c r="S1723" s="582">
        <f t="shared" si="181"/>
        <v>2.0047992393354495</v>
      </c>
      <c r="T1723" s="582">
        <f t="shared" si="184"/>
        <v>2.3019992393354487</v>
      </c>
      <c r="U1723" s="582">
        <f t="shared" si="185"/>
        <v>2.0690992393354493</v>
      </c>
    </row>
    <row r="1724" spans="10:21">
      <c r="J1724" s="580">
        <v>41640</v>
      </c>
      <c r="K1724" s="581">
        <v>0.98958333333333337</v>
      </c>
      <c r="L1724" s="582">
        <v>11.202</v>
      </c>
      <c r="M1724" s="582">
        <v>11.462400000000001</v>
      </c>
      <c r="N1724" s="582">
        <v>12.210800000000001</v>
      </c>
      <c r="O1724" s="582">
        <v>11.895899999999999</v>
      </c>
      <c r="P1724" s="582">
        <v>99.081400000000002</v>
      </c>
      <c r="Q1724" s="582">
        <f t="shared" si="182"/>
        <v>10.131017733930726</v>
      </c>
      <c r="R1724" s="582">
        <f t="shared" si="183"/>
        <v>0.8859822660692741</v>
      </c>
      <c r="S1724" s="582">
        <f t="shared" si="181"/>
        <v>1.9813822660692748</v>
      </c>
      <c r="T1724" s="582">
        <f t="shared" si="184"/>
        <v>2.2697822660692752</v>
      </c>
      <c r="U1724" s="582">
        <f t="shared" si="185"/>
        <v>2.0348822660692734</v>
      </c>
    </row>
    <row r="1725" spans="10:21">
      <c r="J1725" s="580">
        <v>41641</v>
      </c>
      <c r="K1725" s="581">
        <v>0.98958333333333337</v>
      </c>
      <c r="L1725" s="582">
        <v>11.173999999999999</v>
      </c>
      <c r="M1725" s="582">
        <v>11.440899999999999</v>
      </c>
      <c r="N1725" s="582">
        <v>12.182399999999999</v>
      </c>
      <c r="O1725" s="582">
        <v>11.8703</v>
      </c>
      <c r="P1725" s="582">
        <v>99.097499999999997</v>
      </c>
      <c r="Q1725" s="582">
        <f t="shared" si="182"/>
        <v>10.132663949926021</v>
      </c>
      <c r="R1725" s="582">
        <f t="shared" si="183"/>
        <v>0.85633605007397817</v>
      </c>
      <c r="S1725" s="582">
        <f t="shared" si="181"/>
        <v>1.9582360500739779</v>
      </c>
      <c r="T1725" s="582">
        <f t="shared" si="184"/>
        <v>2.2397360500739785</v>
      </c>
      <c r="U1725" s="582">
        <f t="shared" si="185"/>
        <v>2.0076360500739789</v>
      </c>
    </row>
    <row r="1726" spans="10:21">
      <c r="J1726" s="580">
        <v>41642</v>
      </c>
      <c r="K1726" s="581">
        <v>0.98958333333333337</v>
      </c>
      <c r="L1726" s="582">
        <v>11.1378</v>
      </c>
      <c r="M1726" s="582">
        <v>11.411099999999999</v>
      </c>
      <c r="N1726" s="582">
        <v>12.147</v>
      </c>
      <c r="O1726" s="582">
        <v>11.8385</v>
      </c>
      <c r="P1726" s="582">
        <v>99.023799999999994</v>
      </c>
      <c r="Q1726" s="582">
        <f t="shared" si="182"/>
        <v>10.125128166146313</v>
      </c>
      <c r="R1726" s="582">
        <f t="shared" si="183"/>
        <v>0.82767183385368759</v>
      </c>
      <c r="S1726" s="582">
        <f t="shared" si="181"/>
        <v>1.9359718338536867</v>
      </c>
      <c r="T1726" s="582">
        <f t="shared" si="184"/>
        <v>2.2118718338536878</v>
      </c>
      <c r="U1726" s="582">
        <f t="shared" si="185"/>
        <v>1.983371833853687</v>
      </c>
    </row>
    <row r="1727" spans="10:21">
      <c r="J1727" s="580">
        <v>41643</v>
      </c>
      <c r="K1727" s="581">
        <v>0.98958333333333337</v>
      </c>
      <c r="L1727" s="582">
        <v>11.0945</v>
      </c>
      <c r="M1727" s="582">
        <v>11.376200000000001</v>
      </c>
      <c r="N1727" s="582">
        <v>12.1098</v>
      </c>
      <c r="O1727" s="582">
        <v>11.8086</v>
      </c>
      <c r="P1727" s="582">
        <v>98.921899999999994</v>
      </c>
      <c r="Q1727" s="582">
        <f t="shared" si="182"/>
        <v>10.114708948138821</v>
      </c>
      <c r="R1727" s="582">
        <f t="shared" si="183"/>
        <v>0.79479105186117904</v>
      </c>
      <c r="S1727" s="582">
        <f t="shared" si="181"/>
        <v>1.9114910518611798</v>
      </c>
      <c r="T1727" s="582">
        <f t="shared" si="184"/>
        <v>2.1850910518611792</v>
      </c>
      <c r="U1727" s="582">
        <f t="shared" si="185"/>
        <v>1.9638910518611792</v>
      </c>
    </row>
    <row r="1728" spans="10:21">
      <c r="J1728" s="580">
        <v>41644</v>
      </c>
      <c r="K1728" s="581">
        <v>0.98958333333333337</v>
      </c>
      <c r="L1728" s="582">
        <v>11.0466</v>
      </c>
      <c r="M1728" s="582">
        <v>11.3337</v>
      </c>
      <c r="N1728" s="582">
        <v>12.058400000000001</v>
      </c>
      <c r="O1728" s="582">
        <v>11.770300000000001</v>
      </c>
      <c r="P1728" s="582">
        <v>98.737799999999993</v>
      </c>
      <c r="Q1728" s="582">
        <f t="shared" si="182"/>
        <v>10.095884826105658</v>
      </c>
      <c r="R1728" s="582">
        <f t="shared" si="183"/>
        <v>0.76571517389434141</v>
      </c>
      <c r="S1728" s="582">
        <f t="shared" si="181"/>
        <v>1.8878151738943421</v>
      </c>
      <c r="T1728" s="582">
        <f t="shared" si="184"/>
        <v>2.1525151738943427</v>
      </c>
      <c r="U1728" s="582">
        <f t="shared" si="185"/>
        <v>1.9444151738943423</v>
      </c>
    </row>
    <row r="1729" spans="10:21">
      <c r="J1729" s="580">
        <v>41645</v>
      </c>
      <c r="K1729" s="581">
        <v>0.98958333333333337</v>
      </c>
      <c r="L1729" s="582">
        <v>11.0304</v>
      </c>
      <c r="M1729" s="582">
        <v>11.3225</v>
      </c>
      <c r="N1729" s="582">
        <v>12.034800000000001</v>
      </c>
      <c r="O1729" s="582">
        <v>11.756600000000001</v>
      </c>
      <c r="P1729" s="582">
        <v>98.802199999999999</v>
      </c>
      <c r="Q1729" s="582">
        <f t="shared" si="182"/>
        <v>10.102469690086842</v>
      </c>
      <c r="R1729" s="582">
        <f t="shared" si="183"/>
        <v>0.74293030991315812</v>
      </c>
      <c r="S1729" s="582">
        <f t="shared" si="181"/>
        <v>1.8700303099131579</v>
      </c>
      <c r="T1729" s="582">
        <f t="shared" si="184"/>
        <v>2.122330309913159</v>
      </c>
      <c r="U1729" s="582">
        <f t="shared" si="185"/>
        <v>1.9241303099131586</v>
      </c>
    </row>
    <row r="1730" spans="10:21">
      <c r="J1730" s="580">
        <v>41646</v>
      </c>
      <c r="K1730" s="581">
        <v>0.98958333333333337</v>
      </c>
      <c r="L1730" s="582">
        <v>11.0326</v>
      </c>
      <c r="M1730" s="582">
        <v>11.117100000000001</v>
      </c>
      <c r="N1730" s="582">
        <v>12.03</v>
      </c>
      <c r="O1730" s="582">
        <v>11.759399999999999</v>
      </c>
      <c r="P1730" s="582">
        <v>98.979100000000003</v>
      </c>
      <c r="Q1730" s="582">
        <f t="shared" si="182"/>
        <v>10.120557616146954</v>
      </c>
      <c r="R1730" s="582">
        <f t="shared" si="183"/>
        <v>0.72704238385304665</v>
      </c>
      <c r="S1730" s="582">
        <f t="shared" si="181"/>
        <v>1.6465423838530471</v>
      </c>
      <c r="T1730" s="582">
        <f t="shared" si="184"/>
        <v>2.099442383853046</v>
      </c>
      <c r="U1730" s="582">
        <f t="shared" si="185"/>
        <v>1.9088423838530457</v>
      </c>
    </row>
    <row r="1731" spans="10:21">
      <c r="J1731" s="580">
        <v>41647</v>
      </c>
      <c r="K1731" s="581">
        <v>0.98958333333333337</v>
      </c>
      <c r="L1731" s="582">
        <v>11.0328</v>
      </c>
      <c r="M1731" s="582">
        <v>11.283899999999999</v>
      </c>
      <c r="N1731" s="582">
        <v>12.019399999999999</v>
      </c>
      <c r="O1731" s="582">
        <v>11.760999999999999</v>
      </c>
      <c r="P1731" s="582">
        <v>99.046000000000006</v>
      </c>
      <c r="Q1731" s="582">
        <f t="shared" si="182"/>
        <v>10.12739810372989</v>
      </c>
      <c r="R1731" s="582">
        <f t="shared" si="183"/>
        <v>0.72040189627010998</v>
      </c>
      <c r="S1731" s="582">
        <f t="shared" si="181"/>
        <v>1.8065018962701094</v>
      </c>
      <c r="T1731" s="582">
        <f t="shared" si="184"/>
        <v>2.0820018962701097</v>
      </c>
      <c r="U1731" s="582">
        <f t="shared" si="185"/>
        <v>1.9036018962701093</v>
      </c>
    </row>
    <row r="1732" spans="10:21">
      <c r="J1732" s="580">
        <v>41648</v>
      </c>
      <c r="K1732" s="581">
        <v>0.98958333333333337</v>
      </c>
      <c r="L1732" s="582">
        <v>11.016299999999999</v>
      </c>
      <c r="M1732" s="582">
        <v>11.2775</v>
      </c>
      <c r="N1732" s="582">
        <v>11.9932</v>
      </c>
      <c r="O1732" s="582">
        <v>11.744400000000001</v>
      </c>
      <c r="P1732" s="582">
        <v>99.038600000000002</v>
      </c>
      <c r="Q1732" s="582">
        <f t="shared" si="182"/>
        <v>10.126641457868699</v>
      </c>
      <c r="R1732" s="582">
        <f t="shared" si="183"/>
        <v>0.70465854213130052</v>
      </c>
      <c r="S1732" s="582">
        <f t="shared" si="181"/>
        <v>1.8008585421313013</v>
      </c>
      <c r="T1732" s="582">
        <f t="shared" si="184"/>
        <v>2.0565585421313015</v>
      </c>
      <c r="U1732" s="582">
        <f t="shared" si="185"/>
        <v>1.8877585421313019</v>
      </c>
    </row>
    <row r="1733" spans="10:21">
      <c r="J1733" s="580">
        <v>41649</v>
      </c>
      <c r="K1733" s="581">
        <v>0.98958333333333337</v>
      </c>
      <c r="L1733" s="582">
        <v>10.9984</v>
      </c>
      <c r="M1733" s="582">
        <v>11.254200000000001</v>
      </c>
      <c r="N1733" s="582">
        <v>11.9694</v>
      </c>
      <c r="O1733" s="582">
        <v>11.730700000000001</v>
      </c>
      <c r="P1733" s="582">
        <v>99.0809</v>
      </c>
      <c r="Q1733" s="582">
        <f t="shared" si="182"/>
        <v>10.130966609210375</v>
      </c>
      <c r="R1733" s="582">
        <f t="shared" si="183"/>
        <v>0.68243339078962473</v>
      </c>
      <c r="S1733" s="582">
        <f t="shared" si="181"/>
        <v>1.7732333907896256</v>
      </c>
      <c r="T1733" s="582">
        <f t="shared" si="184"/>
        <v>2.0284333907896253</v>
      </c>
      <c r="U1733" s="582">
        <f t="shared" si="185"/>
        <v>1.8697333907896252</v>
      </c>
    </row>
    <row r="1734" spans="10:21">
      <c r="J1734" s="580">
        <v>41650</v>
      </c>
      <c r="K1734" s="581">
        <v>0.98958333333333337</v>
      </c>
      <c r="L1734" s="582">
        <v>10.980700000000001</v>
      </c>
      <c r="M1734" s="582">
        <v>10.652200000000001</v>
      </c>
      <c r="N1734" s="582">
        <v>11.946999999999999</v>
      </c>
      <c r="O1734" s="582">
        <v>11.7226</v>
      </c>
      <c r="P1734" s="582">
        <v>99.146900000000002</v>
      </c>
      <c r="Q1734" s="582">
        <f t="shared" si="182"/>
        <v>10.137715072296681</v>
      </c>
      <c r="R1734" s="582">
        <f t="shared" si="183"/>
        <v>0.65798492770331984</v>
      </c>
      <c r="S1734" s="582">
        <f t="shared" si="181"/>
        <v>1.16448492770332</v>
      </c>
      <c r="T1734" s="582">
        <f t="shared" si="184"/>
        <v>1.9992849277033187</v>
      </c>
      <c r="U1734" s="582">
        <f t="shared" si="185"/>
        <v>1.8548849277033193</v>
      </c>
    </row>
    <row r="1735" spans="10:21">
      <c r="J1735" s="580">
        <v>41651</v>
      </c>
      <c r="K1735" s="581">
        <v>0.98958333333333337</v>
      </c>
      <c r="L1735" s="582">
        <v>10.9366</v>
      </c>
      <c r="M1735" s="582">
        <v>10.6069</v>
      </c>
      <c r="N1735" s="582">
        <v>11.920299999999999</v>
      </c>
      <c r="O1735" s="582">
        <v>11.7059</v>
      </c>
      <c r="P1735" s="582">
        <v>99.153099999999995</v>
      </c>
      <c r="Q1735" s="582">
        <f t="shared" si="182"/>
        <v>10.138349018829029</v>
      </c>
      <c r="R1735" s="582">
        <f t="shared" si="183"/>
        <v>0.61325098117097143</v>
      </c>
      <c r="S1735" s="582">
        <f t="shared" si="181"/>
        <v>1.1185509811709708</v>
      </c>
      <c r="T1735" s="582">
        <f t="shared" si="184"/>
        <v>1.9719509811709706</v>
      </c>
      <c r="U1735" s="582">
        <f t="shared" si="185"/>
        <v>1.8375509811709709</v>
      </c>
    </row>
    <row r="1736" spans="10:21">
      <c r="J1736" s="580">
        <v>41652</v>
      </c>
      <c r="K1736" s="581">
        <v>0.98958333333333337</v>
      </c>
      <c r="L1736" s="582">
        <v>10.8592</v>
      </c>
      <c r="M1736" s="582">
        <v>10.5769</v>
      </c>
      <c r="N1736" s="582">
        <v>11.892200000000001</v>
      </c>
      <c r="O1736" s="582">
        <v>11.685499999999999</v>
      </c>
      <c r="P1736" s="582">
        <v>99.136899999999997</v>
      </c>
      <c r="Q1736" s="582">
        <f t="shared" si="182"/>
        <v>10.136692577889663</v>
      </c>
      <c r="R1736" s="582">
        <f t="shared" si="183"/>
        <v>0.5375074221103362</v>
      </c>
      <c r="S1736" s="582">
        <f t="shared" si="181"/>
        <v>1.0902074221103371</v>
      </c>
      <c r="T1736" s="582">
        <f t="shared" si="184"/>
        <v>1.9455074221103377</v>
      </c>
      <c r="U1736" s="582">
        <f t="shared" si="185"/>
        <v>1.8188074221103361</v>
      </c>
    </row>
    <row r="1737" spans="10:21">
      <c r="J1737" s="580">
        <v>41653</v>
      </c>
      <c r="K1737" s="581">
        <v>0.98958333333333337</v>
      </c>
      <c r="L1737" s="582">
        <v>10.776</v>
      </c>
      <c r="M1737" s="582">
        <v>10.5777</v>
      </c>
      <c r="N1737" s="582">
        <v>11.865399999999999</v>
      </c>
      <c r="O1737" s="582">
        <v>11.6661</v>
      </c>
      <c r="P1737" s="582">
        <v>99.121300000000005</v>
      </c>
      <c r="Q1737" s="582">
        <f t="shared" si="182"/>
        <v>10.13509748661472</v>
      </c>
      <c r="R1737" s="582">
        <f t="shared" si="183"/>
        <v>0.45590251338527971</v>
      </c>
      <c r="S1737" s="582">
        <f t="shared" si="181"/>
        <v>1.0926025133852801</v>
      </c>
      <c r="T1737" s="582">
        <f t="shared" si="184"/>
        <v>1.9203025133852794</v>
      </c>
      <c r="U1737" s="582">
        <f t="shared" si="185"/>
        <v>1.8010025133852801</v>
      </c>
    </row>
    <row r="1738" spans="10:21">
      <c r="J1738" s="580">
        <v>41654</v>
      </c>
      <c r="K1738" s="581">
        <v>0.98958333333333337</v>
      </c>
      <c r="L1738" s="582">
        <v>10.734299999999999</v>
      </c>
      <c r="M1738" s="582">
        <v>10.5892</v>
      </c>
      <c r="N1738" s="582">
        <v>11.8443</v>
      </c>
      <c r="O1738" s="582">
        <v>11.6549</v>
      </c>
      <c r="P1738" s="582">
        <v>99.195300000000003</v>
      </c>
      <c r="Q1738" s="582">
        <f t="shared" si="182"/>
        <v>10.142663945226637</v>
      </c>
      <c r="R1738" s="582">
        <f t="shared" si="183"/>
        <v>0.40663605477336212</v>
      </c>
      <c r="S1738" s="582">
        <f t="shared" si="181"/>
        <v>1.0965360547733629</v>
      </c>
      <c r="T1738" s="582">
        <f t="shared" si="184"/>
        <v>1.8916360547733635</v>
      </c>
      <c r="U1738" s="582">
        <f t="shared" si="185"/>
        <v>1.7822360547733624</v>
      </c>
    </row>
    <row r="1739" spans="10:21">
      <c r="J1739" s="580">
        <v>41655</v>
      </c>
      <c r="K1739" s="581">
        <v>0.98958333333333337</v>
      </c>
      <c r="L1739" s="582">
        <v>10.6386</v>
      </c>
      <c r="M1739" s="582">
        <v>10.5901</v>
      </c>
      <c r="N1739" s="582">
        <v>11.8187</v>
      </c>
      <c r="O1739" s="582">
        <v>11.637499999999999</v>
      </c>
      <c r="P1739" s="582">
        <v>99.2089</v>
      </c>
      <c r="Q1739" s="582">
        <f t="shared" si="182"/>
        <v>10.144054537620178</v>
      </c>
      <c r="R1739" s="582">
        <f t="shared" si="183"/>
        <v>0.309545462379822</v>
      </c>
      <c r="S1739" s="582">
        <f t="shared" si="181"/>
        <v>1.0960454623798215</v>
      </c>
      <c r="T1739" s="582">
        <f t="shared" si="184"/>
        <v>1.8646454623798216</v>
      </c>
      <c r="U1739" s="582">
        <f t="shared" si="185"/>
        <v>1.763445462379821</v>
      </c>
    </row>
    <row r="1740" spans="10:21">
      <c r="J1740" s="580">
        <v>41656</v>
      </c>
      <c r="K1740" s="581">
        <v>0.98958333333333337</v>
      </c>
      <c r="L1740" s="582">
        <v>10.5341</v>
      </c>
      <c r="M1740" s="582">
        <v>10.577199999999999</v>
      </c>
      <c r="N1740" s="582">
        <v>11.789400000000001</v>
      </c>
      <c r="O1740" s="582">
        <v>11.610300000000001</v>
      </c>
      <c r="P1740" s="582">
        <v>99.131900000000002</v>
      </c>
      <c r="Q1740" s="582">
        <f t="shared" si="182"/>
        <v>10.136181330686156</v>
      </c>
      <c r="R1740" s="582">
        <f t="shared" si="183"/>
        <v>0.21291866931384412</v>
      </c>
      <c r="S1740" s="582">
        <f t="shared" si="181"/>
        <v>1.0910186693138433</v>
      </c>
      <c r="T1740" s="582">
        <f t="shared" si="184"/>
        <v>1.8432186693138444</v>
      </c>
      <c r="U1740" s="582">
        <f t="shared" si="185"/>
        <v>1.7441186693138442</v>
      </c>
    </row>
    <row r="1741" spans="10:21">
      <c r="J1741" s="580">
        <v>41657</v>
      </c>
      <c r="K1741" s="581">
        <v>0.98958333333333337</v>
      </c>
      <c r="L1741" s="582">
        <v>10.550700000000001</v>
      </c>
      <c r="M1741" s="582">
        <v>10.597</v>
      </c>
      <c r="N1741" s="582">
        <v>11.784800000000001</v>
      </c>
      <c r="O1741" s="582">
        <v>11.6097</v>
      </c>
      <c r="P1741" s="582">
        <v>99.317999999999998</v>
      </c>
      <c r="Q1741" s="582">
        <f t="shared" si="182"/>
        <v>10.155209951600723</v>
      </c>
      <c r="R1741" s="582">
        <f t="shared" si="183"/>
        <v>0.21049004839927804</v>
      </c>
      <c r="S1741" s="582">
        <f t="shared" si="181"/>
        <v>1.0917900483992768</v>
      </c>
      <c r="T1741" s="582">
        <f t="shared" si="184"/>
        <v>1.819590048399278</v>
      </c>
      <c r="U1741" s="582">
        <f t="shared" si="185"/>
        <v>1.7244900483992773</v>
      </c>
    </row>
    <row r="1742" spans="10:21">
      <c r="J1742" s="580">
        <v>41658</v>
      </c>
      <c r="K1742" s="581">
        <v>0.98958333333333337</v>
      </c>
      <c r="L1742" s="582">
        <v>10.5489</v>
      </c>
      <c r="M1742" s="582">
        <v>10.593299999999999</v>
      </c>
      <c r="N1742" s="582">
        <v>11.765700000000001</v>
      </c>
      <c r="O1742" s="582">
        <v>11.5924</v>
      </c>
      <c r="P1742" s="582">
        <v>99.338399999999993</v>
      </c>
      <c r="Q1742" s="582">
        <f t="shared" si="182"/>
        <v>10.157295840191034</v>
      </c>
      <c r="R1742" s="582">
        <f t="shared" si="183"/>
        <v>0.20660415980896524</v>
      </c>
      <c r="S1742" s="582">
        <f t="shared" si="181"/>
        <v>1.0860041598089649</v>
      </c>
      <c r="T1742" s="582">
        <f t="shared" si="184"/>
        <v>1.7984041598089664</v>
      </c>
      <c r="U1742" s="582">
        <f t="shared" si="185"/>
        <v>1.7051041598089651</v>
      </c>
    </row>
    <row r="1743" spans="10:21">
      <c r="J1743" s="580">
        <v>41659</v>
      </c>
      <c r="K1743" s="581">
        <v>0.98958333333333337</v>
      </c>
      <c r="L1743" s="582">
        <v>10.198600000000001</v>
      </c>
      <c r="M1743" s="582">
        <v>10.1951</v>
      </c>
      <c r="N1743" s="582">
        <v>11.743</v>
      </c>
      <c r="O1743" s="582">
        <v>11.572100000000001</v>
      </c>
      <c r="P1743" s="582">
        <v>99.344999999999999</v>
      </c>
      <c r="Q1743" s="582">
        <f t="shared" si="182"/>
        <v>10.157970686499665</v>
      </c>
      <c r="R1743" s="582">
        <f t="shared" si="183"/>
        <v>0</v>
      </c>
      <c r="S1743" s="582">
        <f t="shared" si="181"/>
        <v>0.68712931350033535</v>
      </c>
      <c r="T1743" s="582">
        <f t="shared" si="184"/>
        <v>1.7750293135003357</v>
      </c>
      <c r="U1743" s="582">
        <f t="shared" si="185"/>
        <v>1.6841293135003359</v>
      </c>
    </row>
    <row r="1744" spans="10:21">
      <c r="J1744" s="580">
        <v>41660</v>
      </c>
      <c r="K1744" s="581">
        <v>0.98958333333333337</v>
      </c>
      <c r="L1744" s="582">
        <v>10.18</v>
      </c>
      <c r="M1744" s="582">
        <v>10.177099999999999</v>
      </c>
      <c r="N1744" s="582">
        <v>11.7029</v>
      </c>
      <c r="O1744" s="582">
        <v>11.533899999999999</v>
      </c>
      <c r="P1744" s="582">
        <v>99.185100000000006</v>
      </c>
      <c r="Q1744" s="582">
        <f t="shared" si="182"/>
        <v>10.141621000931481</v>
      </c>
      <c r="R1744" s="582">
        <f t="shared" si="183"/>
        <v>0</v>
      </c>
      <c r="S1744" s="582">
        <f t="shared" si="181"/>
        <v>0.68547899906851817</v>
      </c>
      <c r="T1744" s="582">
        <f t="shared" si="184"/>
        <v>1.7512789990685185</v>
      </c>
      <c r="U1744" s="582">
        <f t="shared" si="185"/>
        <v>1.6622789990685178</v>
      </c>
    </row>
    <row r="1745" spans="10:21">
      <c r="J1745" s="580">
        <v>41661</v>
      </c>
      <c r="K1745" s="581">
        <v>0.98958333333333337</v>
      </c>
      <c r="L1745" s="582">
        <v>10.189</v>
      </c>
      <c r="M1745" s="582">
        <v>10.1768</v>
      </c>
      <c r="N1745" s="582">
        <v>11.683999999999999</v>
      </c>
      <c r="O1745" s="582">
        <v>11.5166</v>
      </c>
      <c r="P1745" s="582">
        <v>99.230699999999999</v>
      </c>
      <c r="Q1745" s="582">
        <f t="shared" si="182"/>
        <v>10.146283575427473</v>
      </c>
      <c r="R1745" s="582">
        <f t="shared" si="183"/>
        <v>0</v>
      </c>
      <c r="S1745" s="582">
        <f t="shared" si="181"/>
        <v>0.68051642457252703</v>
      </c>
      <c r="T1745" s="582">
        <f t="shared" si="184"/>
        <v>1.7277164245725263</v>
      </c>
      <c r="U1745" s="582">
        <f t="shared" si="185"/>
        <v>1.6403164245725272</v>
      </c>
    </row>
    <row r="1746" spans="10:21">
      <c r="J1746" s="580">
        <v>41662</v>
      </c>
      <c r="K1746" s="581">
        <v>0.98958333333333337</v>
      </c>
      <c r="L1746" s="582">
        <v>10.1874</v>
      </c>
      <c r="M1746" s="582">
        <v>10.1746</v>
      </c>
      <c r="N1746" s="582">
        <v>11.662699999999999</v>
      </c>
      <c r="O1746" s="582">
        <v>11.494199999999999</v>
      </c>
      <c r="P1746" s="582">
        <v>99.231399999999994</v>
      </c>
      <c r="Q1746" s="582">
        <f t="shared" si="182"/>
        <v>10.146355150035964</v>
      </c>
      <c r="R1746" s="582">
        <f t="shared" si="183"/>
        <v>0</v>
      </c>
      <c r="S1746" s="582">
        <f t="shared" si="181"/>
        <v>0.67824484996403611</v>
      </c>
      <c r="T1746" s="582">
        <f t="shared" si="184"/>
        <v>1.7063448499640355</v>
      </c>
      <c r="U1746" s="582">
        <f t="shared" si="185"/>
        <v>1.6178448499640354</v>
      </c>
    </row>
    <row r="1747" spans="10:21">
      <c r="J1747" s="580">
        <v>41663</v>
      </c>
      <c r="K1747" s="581">
        <v>0.98958333333333337</v>
      </c>
      <c r="L1747" s="582">
        <v>10.1723</v>
      </c>
      <c r="M1747" s="582">
        <v>10.1587</v>
      </c>
      <c r="N1747" s="582">
        <v>11.6228</v>
      </c>
      <c r="O1747" s="582">
        <v>11.454499999999999</v>
      </c>
      <c r="P1747" s="582">
        <v>99.063299999999998</v>
      </c>
      <c r="Q1747" s="582">
        <f t="shared" si="182"/>
        <v>10.129167019054027</v>
      </c>
      <c r="R1747" s="582">
        <f t="shared" si="183"/>
        <v>0</v>
      </c>
      <c r="S1747" s="582">
        <f t="shared" si="181"/>
        <v>0.67953298094597314</v>
      </c>
      <c r="T1747" s="582">
        <f t="shared" si="184"/>
        <v>1.6836329809459734</v>
      </c>
      <c r="U1747" s="582">
        <f t="shared" si="185"/>
        <v>1.5953329809459729</v>
      </c>
    </row>
    <row r="1748" spans="10:21">
      <c r="J1748" s="580">
        <v>41664</v>
      </c>
      <c r="K1748" s="581">
        <v>0.98958333333333337</v>
      </c>
      <c r="L1748" s="582">
        <v>10.1721</v>
      </c>
      <c r="M1748" s="582">
        <v>10.1577</v>
      </c>
      <c r="N1748" s="582">
        <v>11.6013</v>
      </c>
      <c r="O1748" s="582">
        <v>11.428900000000001</v>
      </c>
      <c r="P1748" s="582">
        <v>99.035600000000002</v>
      </c>
      <c r="Q1748" s="582">
        <f t="shared" si="182"/>
        <v>10.126334709546594</v>
      </c>
      <c r="R1748" s="582">
        <f t="shared" si="183"/>
        <v>0</v>
      </c>
      <c r="S1748" s="582">
        <f t="shared" si="181"/>
        <v>0.68136529045340644</v>
      </c>
      <c r="T1748" s="582">
        <f t="shared" si="184"/>
        <v>1.6649652904534065</v>
      </c>
      <c r="U1748" s="582">
        <f t="shared" si="185"/>
        <v>1.5725652904534067</v>
      </c>
    </row>
    <row r="1749" spans="10:21">
      <c r="J1749" s="580">
        <v>41665</v>
      </c>
      <c r="K1749" s="581">
        <v>0.98958333333333337</v>
      </c>
      <c r="L1749" s="582">
        <v>10.1739</v>
      </c>
      <c r="M1749" s="582">
        <v>10.1601</v>
      </c>
      <c r="N1749" s="582">
        <v>11.580399999999999</v>
      </c>
      <c r="O1749" s="582">
        <v>11.4085</v>
      </c>
      <c r="P1749" s="582">
        <v>99.061499999999995</v>
      </c>
      <c r="Q1749" s="582">
        <f t="shared" si="182"/>
        <v>10.128982970060763</v>
      </c>
      <c r="R1749" s="582">
        <f t="shared" si="183"/>
        <v>0</v>
      </c>
      <c r="S1749" s="582">
        <f t="shared" si="181"/>
        <v>0.68111702993923706</v>
      </c>
      <c r="T1749" s="582">
        <f t="shared" si="184"/>
        <v>1.6414170299392363</v>
      </c>
      <c r="U1749" s="582">
        <f t="shared" si="185"/>
        <v>1.5495170299392371</v>
      </c>
    </row>
    <row r="1750" spans="10:21">
      <c r="J1750" s="580">
        <v>41666</v>
      </c>
      <c r="K1750" s="581">
        <v>0.98958333333333337</v>
      </c>
      <c r="L1750" s="582">
        <v>10.1721</v>
      </c>
      <c r="M1750" s="582">
        <v>10.1599</v>
      </c>
      <c r="N1750" s="582">
        <v>11.559100000000001</v>
      </c>
      <c r="O1750" s="582">
        <v>11.385</v>
      </c>
      <c r="P1750" s="582">
        <v>99.061599999999999</v>
      </c>
      <c r="Q1750" s="582">
        <f t="shared" si="182"/>
        <v>10.128993195004835</v>
      </c>
      <c r="R1750" s="582">
        <f t="shared" si="183"/>
        <v>0</v>
      </c>
      <c r="S1750" s="582">
        <f t="shared" si="181"/>
        <v>0.68090680499516565</v>
      </c>
      <c r="T1750" s="582">
        <f t="shared" si="184"/>
        <v>1.6201068049951661</v>
      </c>
      <c r="U1750" s="582">
        <f t="shared" si="185"/>
        <v>1.5260068049951649</v>
      </c>
    </row>
    <row r="1751" spans="10:21">
      <c r="J1751" s="580">
        <v>41667</v>
      </c>
      <c r="K1751" s="581">
        <v>0.98958333333333337</v>
      </c>
      <c r="L1751" s="582">
        <v>10.1738</v>
      </c>
      <c r="M1751" s="582">
        <v>10.162100000000001</v>
      </c>
      <c r="N1751" s="582">
        <v>11.5381</v>
      </c>
      <c r="O1751" s="582">
        <v>11.3613</v>
      </c>
      <c r="P1751" s="582">
        <v>99.058700000000002</v>
      </c>
      <c r="Q1751" s="582">
        <f t="shared" si="182"/>
        <v>10.1286966716268</v>
      </c>
      <c r="R1751" s="582">
        <f t="shared" si="183"/>
        <v>0</v>
      </c>
      <c r="S1751" s="582">
        <f t="shared" si="181"/>
        <v>0.68340332837320061</v>
      </c>
      <c r="T1751" s="582">
        <f t="shared" si="184"/>
        <v>1.5994033283732001</v>
      </c>
      <c r="U1751" s="582">
        <f t="shared" si="185"/>
        <v>1.5026033283731999</v>
      </c>
    </row>
    <row r="1752" spans="10:21">
      <c r="J1752" s="580">
        <v>41668</v>
      </c>
      <c r="K1752" s="581">
        <v>0.98958333333333337</v>
      </c>
      <c r="L1752" s="582">
        <v>10.181100000000001</v>
      </c>
      <c r="M1752" s="582">
        <v>10.167899999999999</v>
      </c>
      <c r="N1752" s="582">
        <v>11.5268</v>
      </c>
      <c r="O1752" s="582">
        <v>11.347</v>
      </c>
      <c r="P1752" s="582">
        <v>99.160300000000007</v>
      </c>
      <c r="Q1752" s="582">
        <f t="shared" si="182"/>
        <v>10.139085214802082</v>
      </c>
      <c r="R1752" s="582">
        <f t="shared" si="183"/>
        <v>0</v>
      </c>
      <c r="S1752" s="582">
        <f t="shared" si="181"/>
        <v>0.67881478519791805</v>
      </c>
      <c r="T1752" s="582">
        <f t="shared" si="184"/>
        <v>1.5777147851979183</v>
      </c>
      <c r="U1752" s="582">
        <f t="shared" si="185"/>
        <v>1.477914785197918</v>
      </c>
    </row>
    <row r="1753" spans="10:21">
      <c r="J1753" s="580">
        <v>41669</v>
      </c>
      <c r="K1753" s="581">
        <v>0.98958333333333337</v>
      </c>
      <c r="L1753" s="582">
        <v>10.180400000000001</v>
      </c>
      <c r="M1753" s="582">
        <v>10.1675</v>
      </c>
      <c r="N1753" s="582">
        <v>11.5036</v>
      </c>
      <c r="O1753" s="582">
        <v>11.319900000000001</v>
      </c>
      <c r="P1753" s="582">
        <v>99.144499999999994</v>
      </c>
      <c r="Q1753" s="582">
        <f t="shared" si="182"/>
        <v>10.137469673638996</v>
      </c>
      <c r="R1753" s="582">
        <f t="shared" si="183"/>
        <v>0</v>
      </c>
      <c r="S1753" s="582">
        <f t="shared" si="181"/>
        <v>0.68003032636100413</v>
      </c>
      <c r="T1753" s="582">
        <f t="shared" si="184"/>
        <v>1.5561303263610042</v>
      </c>
      <c r="U1753" s="582">
        <f t="shared" si="185"/>
        <v>1.4524303263610041</v>
      </c>
    </row>
    <row r="1754" spans="10:21">
      <c r="J1754" s="580">
        <v>41670</v>
      </c>
      <c r="K1754" s="581">
        <v>0.98958333333333337</v>
      </c>
      <c r="L1754" s="582">
        <v>10.164</v>
      </c>
      <c r="M1754" s="582">
        <v>10.150399999999999</v>
      </c>
      <c r="N1754" s="582">
        <v>11.466200000000001</v>
      </c>
      <c r="O1754" s="582">
        <v>11.279</v>
      </c>
      <c r="P1754" s="582">
        <v>98.984800000000007</v>
      </c>
      <c r="Q1754" s="582">
        <f t="shared" si="182"/>
        <v>10.121140437958953</v>
      </c>
      <c r="R1754" s="582">
        <f t="shared" si="183"/>
        <v>0</v>
      </c>
      <c r="S1754" s="582">
        <f t="shared" si="181"/>
        <v>0.67925956204104643</v>
      </c>
      <c r="T1754" s="582">
        <f t="shared" si="184"/>
        <v>1.5350595620410474</v>
      </c>
      <c r="U1754" s="582">
        <f t="shared" si="185"/>
        <v>1.4278595620410468</v>
      </c>
    </row>
    <row r="1755" spans="10:21">
      <c r="J1755" s="580">
        <v>41671</v>
      </c>
      <c r="K1755" s="581">
        <v>0.98958333333333337</v>
      </c>
      <c r="L1755" s="582">
        <v>10.177</v>
      </c>
      <c r="M1755" s="582">
        <v>10.1631</v>
      </c>
      <c r="N1755" s="582">
        <v>11.459199999999999</v>
      </c>
      <c r="O1755" s="582">
        <v>11.266400000000001</v>
      </c>
      <c r="P1755" s="582">
        <v>99.1143</v>
      </c>
      <c r="Q1755" s="582">
        <f t="shared" si="182"/>
        <v>10.134381740529808</v>
      </c>
      <c r="R1755" s="582">
        <f t="shared" si="183"/>
        <v>0</v>
      </c>
      <c r="S1755" s="582">
        <f t="shared" si="181"/>
        <v>0.6787182594701926</v>
      </c>
      <c r="T1755" s="582">
        <f t="shared" si="184"/>
        <v>1.5148182594701916</v>
      </c>
      <c r="U1755" s="582">
        <f t="shared" si="185"/>
        <v>1.4020182594701933</v>
      </c>
    </row>
    <row r="1756" spans="10:21">
      <c r="J1756" s="580">
        <v>41672</v>
      </c>
      <c r="K1756" s="581">
        <v>0.98958333333333337</v>
      </c>
      <c r="L1756" s="582">
        <v>10.159800000000001</v>
      </c>
      <c r="M1756" s="582">
        <v>10.1464</v>
      </c>
      <c r="N1756" s="582">
        <v>11.4215</v>
      </c>
      <c r="O1756" s="582">
        <v>11.225300000000001</v>
      </c>
      <c r="P1756" s="582">
        <v>98.935699999999997</v>
      </c>
      <c r="Q1756" s="582">
        <f t="shared" si="182"/>
        <v>10.116119990420504</v>
      </c>
      <c r="R1756" s="582">
        <f t="shared" si="183"/>
        <v>0</v>
      </c>
      <c r="S1756" s="582">
        <f t="shared" si="181"/>
        <v>0.68028000957949586</v>
      </c>
      <c r="T1756" s="582">
        <f t="shared" si="184"/>
        <v>1.4953800095794958</v>
      </c>
      <c r="U1756" s="582">
        <f t="shared" si="185"/>
        <v>1.3791800095794966</v>
      </c>
    </row>
    <row r="1757" spans="10:21">
      <c r="J1757" s="580">
        <v>41673</v>
      </c>
      <c r="K1757" s="581">
        <v>0.98958333333333337</v>
      </c>
      <c r="L1757" s="582">
        <v>10.151300000000001</v>
      </c>
      <c r="M1757" s="582">
        <v>10.138500000000001</v>
      </c>
      <c r="N1757" s="582">
        <v>11.3902</v>
      </c>
      <c r="O1757" s="582">
        <v>11.1928</v>
      </c>
      <c r="P1757" s="582">
        <v>98.853899999999996</v>
      </c>
      <c r="Q1757" s="582">
        <f t="shared" si="182"/>
        <v>10.107755986171114</v>
      </c>
      <c r="R1757" s="582">
        <f t="shared" si="183"/>
        <v>0</v>
      </c>
      <c r="S1757" s="582">
        <f t="shared" si="181"/>
        <v>0.68074401382888694</v>
      </c>
      <c r="T1757" s="582">
        <f t="shared" si="184"/>
        <v>1.4724440138288863</v>
      </c>
      <c r="U1757" s="582">
        <f t="shared" si="185"/>
        <v>1.3550440138288864</v>
      </c>
    </row>
    <row r="1758" spans="10:21">
      <c r="J1758" s="580">
        <v>41674</v>
      </c>
      <c r="K1758" s="581">
        <v>0.98958333333333337</v>
      </c>
      <c r="L1758" s="582">
        <v>10.139099999999999</v>
      </c>
      <c r="M1758" s="582">
        <v>10.1264</v>
      </c>
      <c r="N1758" s="582">
        <v>11.355600000000001</v>
      </c>
      <c r="O1758" s="582">
        <v>11.1532</v>
      </c>
      <c r="P1758" s="582">
        <v>98.715000000000003</v>
      </c>
      <c r="Q1758" s="582">
        <f t="shared" si="182"/>
        <v>10.093553538857662</v>
      </c>
      <c r="R1758" s="582">
        <f t="shared" si="183"/>
        <v>0</v>
      </c>
      <c r="S1758" s="582">
        <f t="shared" si="181"/>
        <v>0.68284646114233793</v>
      </c>
      <c r="T1758" s="582">
        <f t="shared" si="184"/>
        <v>1.4520464611423383</v>
      </c>
      <c r="U1758" s="582">
        <f t="shared" si="185"/>
        <v>1.3296464611423375</v>
      </c>
    </row>
    <row r="1759" spans="10:21">
      <c r="J1759" s="580">
        <v>41675</v>
      </c>
      <c r="K1759" s="581">
        <v>0.98958333333333337</v>
      </c>
      <c r="L1759" s="582">
        <v>10.148300000000001</v>
      </c>
      <c r="M1759" s="582">
        <v>10.1351</v>
      </c>
      <c r="N1759" s="582">
        <v>11.3443</v>
      </c>
      <c r="O1759" s="582">
        <v>11.1394</v>
      </c>
      <c r="P1759" s="582">
        <v>98.808899999999994</v>
      </c>
      <c r="Q1759" s="582">
        <f t="shared" si="182"/>
        <v>10.103154761339541</v>
      </c>
      <c r="R1759" s="582">
        <f t="shared" si="183"/>
        <v>0</v>
      </c>
      <c r="S1759" s="582">
        <f t="shared" si="181"/>
        <v>0.68194523866045897</v>
      </c>
      <c r="T1759" s="582">
        <f t="shared" si="184"/>
        <v>1.4311452386604597</v>
      </c>
      <c r="U1759" s="582">
        <f t="shared" si="185"/>
        <v>1.3062452386604595</v>
      </c>
    </row>
    <row r="1760" spans="10:21">
      <c r="J1760" s="580">
        <v>41676</v>
      </c>
      <c r="K1760" s="581">
        <v>0.98958333333333337</v>
      </c>
      <c r="L1760" s="582">
        <v>10.1411</v>
      </c>
      <c r="M1760" s="582">
        <v>10.128299999999999</v>
      </c>
      <c r="N1760" s="582">
        <v>11.3161</v>
      </c>
      <c r="O1760" s="582">
        <v>11.1107</v>
      </c>
      <c r="P1760" s="582">
        <v>98.740099999999998</v>
      </c>
      <c r="Q1760" s="582">
        <f t="shared" si="182"/>
        <v>10.096119999819273</v>
      </c>
      <c r="R1760" s="582">
        <f t="shared" si="183"/>
        <v>0</v>
      </c>
      <c r="S1760" s="582">
        <f t="shared" si="181"/>
        <v>0.682180000180727</v>
      </c>
      <c r="T1760" s="582">
        <f t="shared" si="184"/>
        <v>1.4099800001807279</v>
      </c>
      <c r="U1760" s="582">
        <f t="shared" si="185"/>
        <v>1.284580000180727</v>
      </c>
    </row>
    <row r="1761" spans="10:21">
      <c r="J1761" s="580">
        <v>41677</v>
      </c>
      <c r="K1761" s="581">
        <v>0.98958333333333337</v>
      </c>
      <c r="L1761" s="582">
        <v>10.148199999999999</v>
      </c>
      <c r="M1761" s="582">
        <v>10.136200000000001</v>
      </c>
      <c r="N1761" s="582">
        <v>11.302099999999999</v>
      </c>
      <c r="O1761" s="582">
        <v>11.0945</v>
      </c>
      <c r="P1761" s="582">
        <v>98.809399999999997</v>
      </c>
      <c r="Q1761" s="582">
        <f t="shared" si="182"/>
        <v>10.103205886059893</v>
      </c>
      <c r="R1761" s="582">
        <f t="shared" si="183"/>
        <v>0</v>
      </c>
      <c r="S1761" s="582">
        <f t="shared" si="181"/>
        <v>0.68299411394010767</v>
      </c>
      <c r="T1761" s="582">
        <f t="shared" si="184"/>
        <v>1.3888941139401063</v>
      </c>
      <c r="U1761" s="582">
        <f t="shared" si="185"/>
        <v>1.261294113940107</v>
      </c>
    </row>
    <row r="1762" spans="10:21">
      <c r="J1762" s="580">
        <v>41678</v>
      </c>
      <c r="K1762" s="581">
        <v>0.98958333333333337</v>
      </c>
      <c r="L1762" s="582">
        <v>10.1388</v>
      </c>
      <c r="M1762" s="582">
        <v>10.1258</v>
      </c>
      <c r="N1762" s="582">
        <v>11.2706</v>
      </c>
      <c r="O1762" s="582">
        <v>11.0595</v>
      </c>
      <c r="P1762" s="582">
        <v>98.716200000000001</v>
      </c>
      <c r="Q1762" s="582">
        <f t="shared" si="182"/>
        <v>10.093676238186504</v>
      </c>
      <c r="R1762" s="582">
        <f t="shared" si="183"/>
        <v>0</v>
      </c>
      <c r="S1762" s="582">
        <f t="shared" si="181"/>
        <v>0.68212376181349632</v>
      </c>
      <c r="T1762" s="582">
        <f t="shared" si="184"/>
        <v>1.3669237618134962</v>
      </c>
      <c r="U1762" s="582">
        <f t="shared" si="185"/>
        <v>1.2358237618134962</v>
      </c>
    </row>
    <row r="1763" spans="10:21">
      <c r="J1763" s="580">
        <v>41679</v>
      </c>
      <c r="K1763" s="581">
        <v>0.98958333333333337</v>
      </c>
      <c r="L1763" s="582">
        <v>10.145099999999999</v>
      </c>
      <c r="M1763" s="582">
        <v>10.1325</v>
      </c>
      <c r="N1763" s="582">
        <v>11.256500000000001</v>
      </c>
      <c r="O1763" s="582">
        <v>11.0405</v>
      </c>
      <c r="P1763" s="582">
        <v>98.767300000000006</v>
      </c>
      <c r="Q1763" s="582">
        <f t="shared" si="182"/>
        <v>10.098901184606357</v>
      </c>
      <c r="R1763" s="582">
        <f t="shared" si="183"/>
        <v>0</v>
      </c>
      <c r="S1763" s="582">
        <f t="shared" si="181"/>
        <v>0.68359881539364387</v>
      </c>
      <c r="T1763" s="582">
        <f t="shared" si="184"/>
        <v>1.3475988153936442</v>
      </c>
      <c r="U1763" s="582">
        <f t="shared" si="185"/>
        <v>1.2115988153936432</v>
      </c>
    </row>
    <row r="1764" spans="10:21">
      <c r="J1764" s="580">
        <v>41680</v>
      </c>
      <c r="K1764" s="581">
        <v>0.98958333333333337</v>
      </c>
      <c r="L1764" s="582">
        <v>10.1439</v>
      </c>
      <c r="M1764" s="582">
        <v>10.131</v>
      </c>
      <c r="N1764" s="582">
        <v>11.231999999999999</v>
      </c>
      <c r="O1764" s="582">
        <v>11.0101</v>
      </c>
      <c r="P1764" s="582">
        <v>98.747200000000007</v>
      </c>
      <c r="Q1764" s="582">
        <f t="shared" si="182"/>
        <v>10.096845970848255</v>
      </c>
      <c r="R1764" s="582">
        <f t="shared" si="183"/>
        <v>0</v>
      </c>
      <c r="S1764" s="582">
        <f t="shared" si="181"/>
        <v>0.68415402915174517</v>
      </c>
      <c r="T1764" s="582">
        <f t="shared" si="184"/>
        <v>1.3251540291517441</v>
      </c>
      <c r="U1764" s="582">
        <f t="shared" si="185"/>
        <v>1.1832540291517444</v>
      </c>
    </row>
    <row r="1765" spans="10:21">
      <c r="J1765" s="580">
        <v>41681</v>
      </c>
      <c r="K1765" s="581">
        <v>0.98958333333333337</v>
      </c>
      <c r="L1765" s="582">
        <v>10.126899999999999</v>
      </c>
      <c r="M1765" s="582">
        <v>10.113</v>
      </c>
      <c r="N1765" s="582">
        <v>11.1951</v>
      </c>
      <c r="O1765" s="582">
        <v>10.969099999999999</v>
      </c>
      <c r="P1765" s="582">
        <v>98.595699999999994</v>
      </c>
      <c r="Q1765" s="582">
        <f t="shared" si="182"/>
        <v>10.081355180581962</v>
      </c>
      <c r="R1765" s="582">
        <f t="shared" si="183"/>
        <v>0</v>
      </c>
      <c r="S1765" s="582">
        <f t="shared" si="181"/>
        <v>0.68164481941803756</v>
      </c>
      <c r="T1765" s="582">
        <f t="shared" si="184"/>
        <v>1.3037448194180379</v>
      </c>
      <c r="U1765" s="582">
        <f t="shared" si="185"/>
        <v>1.1577448194180371</v>
      </c>
    </row>
    <row r="1766" spans="10:21">
      <c r="J1766" s="580">
        <v>41682</v>
      </c>
      <c r="K1766" s="581">
        <v>0.98958333333333337</v>
      </c>
      <c r="L1766" s="582">
        <v>10.144399999999999</v>
      </c>
      <c r="M1766" s="582">
        <v>10.1297</v>
      </c>
      <c r="N1766" s="582">
        <v>11.1935</v>
      </c>
      <c r="O1766" s="582">
        <v>10.962</v>
      </c>
      <c r="P1766" s="582">
        <v>98.761399999999995</v>
      </c>
      <c r="Q1766" s="582">
        <f t="shared" si="182"/>
        <v>10.098297912906215</v>
      </c>
      <c r="R1766" s="582">
        <f t="shared" si="183"/>
        <v>0</v>
      </c>
      <c r="S1766" s="582">
        <f t="shared" si="181"/>
        <v>0.68140208709378469</v>
      </c>
      <c r="T1766" s="582">
        <f t="shared" si="184"/>
        <v>1.285202087093785</v>
      </c>
      <c r="U1766" s="582">
        <f t="shared" si="185"/>
        <v>1.1337020870937846</v>
      </c>
    </row>
    <row r="1767" spans="10:21">
      <c r="J1767" s="580">
        <v>41683</v>
      </c>
      <c r="K1767" s="581">
        <v>0.98958333333333337</v>
      </c>
      <c r="L1767" s="582">
        <v>10.163</v>
      </c>
      <c r="M1767" s="582">
        <v>10.15</v>
      </c>
      <c r="N1767" s="582">
        <v>11.1911</v>
      </c>
      <c r="O1767" s="582">
        <v>10.9534</v>
      </c>
      <c r="P1767" s="582">
        <v>98.9542</v>
      </c>
      <c r="Q1767" s="582">
        <f t="shared" si="182"/>
        <v>10.118011605073484</v>
      </c>
      <c r="R1767" s="582">
        <f t="shared" si="183"/>
        <v>0</v>
      </c>
      <c r="S1767" s="582">
        <f t="shared" ref="S1767:S1830" si="186">M1767-Q1767-$D$9+$E$9</f>
        <v>0.68198839492651664</v>
      </c>
      <c r="T1767" s="582">
        <f t="shared" si="184"/>
        <v>1.2630883949265166</v>
      </c>
      <c r="U1767" s="582">
        <f t="shared" si="185"/>
        <v>1.1053883949265164</v>
      </c>
    </row>
    <row r="1768" spans="10:21">
      <c r="J1768" s="580">
        <v>41684</v>
      </c>
      <c r="K1768" s="581">
        <v>0.98958333333333337</v>
      </c>
      <c r="L1768" s="582">
        <v>10.1571</v>
      </c>
      <c r="M1768" s="582">
        <v>10.142899999999999</v>
      </c>
      <c r="N1768" s="582">
        <v>11.164099999999999</v>
      </c>
      <c r="O1768" s="582">
        <v>10.9208</v>
      </c>
      <c r="P1768" s="582">
        <v>98.8934</v>
      </c>
      <c r="Q1768" s="582">
        <f t="shared" si="182"/>
        <v>10.111794839078827</v>
      </c>
      <c r="R1768" s="582">
        <f t="shared" si="183"/>
        <v>0</v>
      </c>
      <c r="S1768" s="582">
        <f t="shared" si="186"/>
        <v>0.68110516092117179</v>
      </c>
      <c r="T1768" s="582">
        <f t="shared" si="184"/>
        <v>1.2423051609211719</v>
      </c>
      <c r="U1768" s="582">
        <f t="shared" si="185"/>
        <v>1.0790051609211724</v>
      </c>
    </row>
    <row r="1769" spans="10:21">
      <c r="J1769" s="580">
        <v>41685</v>
      </c>
      <c r="K1769" s="581">
        <v>0.98958333333333337</v>
      </c>
      <c r="L1769" s="582">
        <v>10.1403</v>
      </c>
      <c r="M1769" s="582">
        <v>10.1228</v>
      </c>
      <c r="N1769" s="582">
        <v>11.1274</v>
      </c>
      <c r="O1769" s="582">
        <v>10.8809</v>
      </c>
      <c r="P1769" s="582">
        <v>98.735699999999994</v>
      </c>
      <c r="Q1769" s="582">
        <f t="shared" si="182"/>
        <v>10.095670102280184</v>
      </c>
      <c r="R1769" s="582">
        <f t="shared" si="183"/>
        <v>0</v>
      </c>
      <c r="S1769" s="582">
        <f t="shared" si="186"/>
        <v>0.67712989771981547</v>
      </c>
      <c r="T1769" s="582">
        <f t="shared" si="184"/>
        <v>1.2217298977198152</v>
      </c>
      <c r="U1769" s="582">
        <f t="shared" si="185"/>
        <v>1.055229897719816</v>
      </c>
    </row>
    <row r="1770" spans="10:21">
      <c r="J1770" s="580">
        <v>41686</v>
      </c>
      <c r="K1770" s="581">
        <v>0.98958333333333337</v>
      </c>
      <c r="L1770" s="582">
        <v>10.1524</v>
      </c>
      <c r="M1770" s="582">
        <v>10.1348</v>
      </c>
      <c r="N1770" s="582">
        <v>11.12</v>
      </c>
      <c r="O1770" s="582">
        <v>10.869300000000001</v>
      </c>
      <c r="P1770" s="582">
        <v>98.857200000000006</v>
      </c>
      <c r="Q1770" s="582">
        <f t="shared" si="182"/>
        <v>10.108093409325429</v>
      </c>
      <c r="R1770" s="582">
        <f t="shared" si="183"/>
        <v>0</v>
      </c>
      <c r="S1770" s="582">
        <f t="shared" si="186"/>
        <v>0.67670659067457151</v>
      </c>
      <c r="T1770" s="582">
        <f t="shared" si="184"/>
        <v>1.2019065906745703</v>
      </c>
      <c r="U1770" s="582">
        <f t="shared" si="185"/>
        <v>1.031206590674572</v>
      </c>
    </row>
    <row r="1771" spans="10:21">
      <c r="J1771" s="580">
        <v>41687</v>
      </c>
      <c r="K1771" s="581">
        <v>0.98958333333333337</v>
      </c>
      <c r="L1771" s="582">
        <v>10.1744</v>
      </c>
      <c r="M1771" s="582">
        <v>10.1576</v>
      </c>
      <c r="N1771" s="582">
        <v>11.119400000000001</v>
      </c>
      <c r="O1771" s="582">
        <v>10.864599999999999</v>
      </c>
      <c r="P1771" s="582">
        <v>99.0642</v>
      </c>
      <c r="Q1771" s="582">
        <f t="shared" si="182"/>
        <v>10.129259043550659</v>
      </c>
      <c r="R1771" s="582">
        <f t="shared" si="183"/>
        <v>0</v>
      </c>
      <c r="S1771" s="582">
        <f t="shared" si="186"/>
        <v>0.67834095644934123</v>
      </c>
      <c r="T1771" s="582">
        <f t="shared" si="184"/>
        <v>1.1801409564493412</v>
      </c>
      <c r="U1771" s="582">
        <f t="shared" si="185"/>
        <v>1.0053409564493401</v>
      </c>
    </row>
    <row r="1772" spans="10:21">
      <c r="J1772" s="580">
        <v>41688</v>
      </c>
      <c r="K1772" s="581">
        <v>0.98958333333333337</v>
      </c>
      <c r="L1772" s="582">
        <v>10.178699999999999</v>
      </c>
      <c r="M1772" s="582">
        <v>10.161199999999999</v>
      </c>
      <c r="N1772" s="582">
        <v>11.1112</v>
      </c>
      <c r="O1772" s="582">
        <v>10.8521</v>
      </c>
      <c r="P1772" s="582">
        <v>99.124300000000005</v>
      </c>
      <c r="Q1772" s="582">
        <f t="shared" si="182"/>
        <v>10.135404234936825</v>
      </c>
      <c r="R1772" s="582">
        <f t="shared" si="183"/>
        <v>0</v>
      </c>
      <c r="S1772" s="582">
        <f t="shared" si="186"/>
        <v>0.67579576506317429</v>
      </c>
      <c r="T1772" s="582">
        <f t="shared" si="184"/>
        <v>1.1657957650631752</v>
      </c>
      <c r="U1772" s="582">
        <f t="shared" si="185"/>
        <v>0.98669576506317513</v>
      </c>
    </row>
    <row r="1773" spans="10:21">
      <c r="J1773" s="580">
        <v>41689</v>
      </c>
      <c r="K1773" s="581">
        <v>0.98958333333333337</v>
      </c>
      <c r="L1773" s="582">
        <v>10.1633</v>
      </c>
      <c r="M1773" s="582">
        <v>10.1464</v>
      </c>
      <c r="N1773" s="582">
        <v>11.075100000000001</v>
      </c>
      <c r="O1773" s="582">
        <v>10.8141</v>
      </c>
      <c r="P1773" s="582">
        <v>98.990300000000005</v>
      </c>
      <c r="Q1773" s="582">
        <f t="shared" si="182"/>
        <v>10.121702809882811</v>
      </c>
      <c r="R1773" s="582">
        <f t="shared" si="183"/>
        <v>0</v>
      </c>
      <c r="S1773" s="582">
        <f t="shared" si="186"/>
        <v>0.67469719011718943</v>
      </c>
      <c r="T1773" s="582">
        <f t="shared" si="184"/>
        <v>1.1433971901171902</v>
      </c>
      <c r="U1773" s="582">
        <f t="shared" si="185"/>
        <v>0.96239719011718927</v>
      </c>
    </row>
    <row r="1774" spans="10:21">
      <c r="J1774" s="580">
        <v>41690</v>
      </c>
      <c r="K1774" s="581">
        <v>0.98958333333333337</v>
      </c>
      <c r="L1774" s="582">
        <v>10.181100000000001</v>
      </c>
      <c r="M1774" s="582">
        <v>10.1638</v>
      </c>
      <c r="N1774" s="582">
        <v>11.0708</v>
      </c>
      <c r="O1774" s="582">
        <v>10.6859</v>
      </c>
      <c r="P1774" s="582">
        <v>99.147999999999996</v>
      </c>
      <c r="Q1774" s="582">
        <f t="shared" si="182"/>
        <v>10.137827546681452</v>
      </c>
      <c r="R1774" s="582">
        <f t="shared" si="183"/>
        <v>0</v>
      </c>
      <c r="S1774" s="582">
        <f t="shared" si="186"/>
        <v>0.67597245331854849</v>
      </c>
      <c r="T1774" s="582">
        <f t="shared" si="184"/>
        <v>1.1229724533185483</v>
      </c>
      <c r="U1774" s="582">
        <f t="shared" si="185"/>
        <v>0.81807245331854839</v>
      </c>
    </row>
    <row r="1775" spans="10:21">
      <c r="J1775" s="580">
        <v>41691</v>
      </c>
      <c r="K1775" s="581">
        <v>0.98958333333333337</v>
      </c>
      <c r="L1775" s="582">
        <v>10.182700000000001</v>
      </c>
      <c r="M1775" s="582">
        <v>10.1648</v>
      </c>
      <c r="N1775" s="582">
        <v>11.048299999999999</v>
      </c>
      <c r="O1775" s="582">
        <v>10.618499999999999</v>
      </c>
      <c r="P1775" s="582">
        <v>99.1434</v>
      </c>
      <c r="Q1775" s="582">
        <f t="shared" si="182"/>
        <v>10.137357199254225</v>
      </c>
      <c r="R1775" s="582">
        <f t="shared" si="183"/>
        <v>0</v>
      </c>
      <c r="S1775" s="582">
        <f t="shared" si="186"/>
        <v>0.67744280074577445</v>
      </c>
      <c r="T1775" s="582">
        <f t="shared" si="184"/>
        <v>1.100942800745774</v>
      </c>
      <c r="U1775" s="582">
        <f t="shared" si="185"/>
        <v>0.75114280074577389</v>
      </c>
    </row>
    <row r="1776" spans="10:21">
      <c r="J1776" s="580">
        <v>41692</v>
      </c>
      <c r="K1776" s="581">
        <v>0.98958333333333337</v>
      </c>
      <c r="L1776" s="582">
        <v>10.1762</v>
      </c>
      <c r="M1776" s="582">
        <v>10.157299999999999</v>
      </c>
      <c r="N1776" s="582">
        <v>11.0258</v>
      </c>
      <c r="O1776" s="582">
        <v>10.540900000000001</v>
      </c>
      <c r="P1776" s="582">
        <v>99.103099999999998</v>
      </c>
      <c r="Q1776" s="582">
        <f t="shared" si="182"/>
        <v>10.133236546793951</v>
      </c>
      <c r="R1776" s="582">
        <f t="shared" si="183"/>
        <v>0</v>
      </c>
      <c r="S1776" s="582">
        <f t="shared" si="186"/>
        <v>0.67406345320604877</v>
      </c>
      <c r="T1776" s="582">
        <f t="shared" si="184"/>
        <v>1.0825634532060495</v>
      </c>
      <c r="U1776" s="582">
        <f t="shared" si="185"/>
        <v>0.67766345320604993</v>
      </c>
    </row>
    <row r="1777" spans="10:21">
      <c r="J1777" s="580">
        <v>41693</v>
      </c>
      <c r="K1777" s="581">
        <v>0.98958333333333337</v>
      </c>
      <c r="L1777" s="582">
        <v>10.1736</v>
      </c>
      <c r="M1777" s="582">
        <v>10.158200000000001</v>
      </c>
      <c r="N1777" s="582">
        <v>11.004899999999999</v>
      </c>
      <c r="O1777" s="582">
        <v>10.54</v>
      </c>
      <c r="P1777" s="582">
        <v>99.087900000000005</v>
      </c>
      <c r="Q1777" s="582">
        <f t="shared" si="182"/>
        <v>10.131682355295286</v>
      </c>
      <c r="R1777" s="582">
        <f t="shared" si="183"/>
        <v>0</v>
      </c>
      <c r="S1777" s="582">
        <f t="shared" si="186"/>
        <v>0.67651764470471476</v>
      </c>
      <c r="T1777" s="582">
        <f t="shared" si="184"/>
        <v>1.063217644704713</v>
      </c>
      <c r="U1777" s="582">
        <f t="shared" si="185"/>
        <v>0.67831764470471301</v>
      </c>
    </row>
    <row r="1778" spans="10:21">
      <c r="J1778" s="580">
        <v>41694</v>
      </c>
      <c r="K1778" s="581">
        <v>0.98958333333333337</v>
      </c>
      <c r="L1778" s="582">
        <v>10.180300000000001</v>
      </c>
      <c r="M1778" s="582">
        <v>10.166499999999999</v>
      </c>
      <c r="N1778" s="582">
        <v>10.997299999999999</v>
      </c>
      <c r="O1778" s="582">
        <v>10.5524</v>
      </c>
      <c r="P1778" s="582">
        <v>99.1327</v>
      </c>
      <c r="Q1778" s="582">
        <f t="shared" si="182"/>
        <v>10.136263130238717</v>
      </c>
      <c r="R1778" s="582">
        <f t="shared" si="183"/>
        <v>0</v>
      </c>
      <c r="S1778" s="582">
        <f t="shared" si="186"/>
        <v>0.68023686976128217</v>
      </c>
      <c r="T1778" s="582">
        <f t="shared" si="184"/>
        <v>1.051036869761282</v>
      </c>
      <c r="U1778" s="582">
        <f t="shared" si="185"/>
        <v>0.6861368697612833</v>
      </c>
    </row>
    <row r="1779" spans="10:21">
      <c r="J1779" s="580">
        <v>41695</v>
      </c>
      <c r="K1779" s="581">
        <v>0.98958333333333337</v>
      </c>
      <c r="L1779" s="582">
        <v>10.1799</v>
      </c>
      <c r="M1779" s="582">
        <v>10.166399999999999</v>
      </c>
      <c r="N1779" s="582">
        <v>10.977600000000001</v>
      </c>
      <c r="O1779" s="582">
        <v>10.5463</v>
      </c>
      <c r="P1779" s="582">
        <v>99.1755</v>
      </c>
      <c r="Q1779" s="582">
        <f t="shared" si="182"/>
        <v>10.140639406300746</v>
      </c>
      <c r="R1779" s="582">
        <f t="shared" si="183"/>
        <v>0</v>
      </c>
      <c r="S1779" s="582">
        <f t="shared" si="186"/>
        <v>0.67576059369925345</v>
      </c>
      <c r="T1779" s="582">
        <f t="shared" si="184"/>
        <v>1.0269605936992545</v>
      </c>
      <c r="U1779" s="582">
        <f t="shared" si="185"/>
        <v>0.67566059369925435</v>
      </c>
    </row>
    <row r="1780" spans="10:21">
      <c r="J1780" s="580">
        <v>41696</v>
      </c>
      <c r="K1780" s="581">
        <v>0.98958333333333337</v>
      </c>
      <c r="L1780" s="582">
        <v>10.1754</v>
      </c>
      <c r="M1780" s="582">
        <v>10.1617</v>
      </c>
      <c r="N1780" s="582">
        <v>10.9476</v>
      </c>
      <c r="O1780" s="582">
        <v>10.5398</v>
      </c>
      <c r="P1780" s="582">
        <v>99.112799999999993</v>
      </c>
      <c r="Q1780" s="582">
        <f t="shared" si="182"/>
        <v>10.134228366368756</v>
      </c>
      <c r="R1780" s="582">
        <f t="shared" si="183"/>
        <v>0</v>
      </c>
      <c r="S1780" s="582">
        <f t="shared" si="186"/>
        <v>0.67747163363124385</v>
      </c>
      <c r="T1780" s="582">
        <f t="shared" si="184"/>
        <v>1.0033716336312435</v>
      </c>
      <c r="U1780" s="582">
        <f t="shared" si="185"/>
        <v>0.67557163363124362</v>
      </c>
    </row>
    <row r="1781" spans="10:21">
      <c r="J1781" s="580">
        <v>41697</v>
      </c>
      <c r="K1781" s="581">
        <v>0.98958333333333337</v>
      </c>
      <c r="L1781" s="582">
        <v>10.1716</v>
      </c>
      <c r="M1781" s="582">
        <v>10.156700000000001</v>
      </c>
      <c r="N1781" s="582">
        <v>10.921900000000001</v>
      </c>
      <c r="O1781" s="582">
        <v>10.5319</v>
      </c>
      <c r="P1781" s="582">
        <v>99.063199999999995</v>
      </c>
      <c r="Q1781" s="582">
        <f t="shared" ref="Q1781:Q1844" si="187">P1781/($G$8*$H$8)</f>
        <v>10.129156794109957</v>
      </c>
      <c r="R1781" s="582">
        <f t="shared" ref="R1781:R1844" si="188">IF((L1781-Q1781-$D$8+$E$8)&lt;0,0,(L1781-Q1781-$D$8+$E$8))</f>
        <v>0</v>
      </c>
      <c r="S1781" s="582">
        <f t="shared" si="186"/>
        <v>0.67754320589004435</v>
      </c>
      <c r="T1781" s="582">
        <f t="shared" ref="T1781:T1844" si="189">N1781-Q1781-$D$10+$E$10</f>
        <v>0.98274320589004438</v>
      </c>
      <c r="U1781" s="582">
        <f t="shared" ref="U1781:U1844" si="190">O1781-Q1781-$D$11+$E$11</f>
        <v>0.67274320589004377</v>
      </c>
    </row>
    <row r="1782" spans="10:21">
      <c r="J1782" s="580">
        <v>41698</v>
      </c>
      <c r="K1782" s="581">
        <v>0.98958333333333337</v>
      </c>
      <c r="L1782" s="582">
        <v>10.164300000000001</v>
      </c>
      <c r="M1782" s="582">
        <v>10.1486</v>
      </c>
      <c r="N1782" s="582">
        <v>10.8904</v>
      </c>
      <c r="O1782" s="582">
        <v>10.5236</v>
      </c>
      <c r="P1782" s="582">
        <v>98.981099999999998</v>
      </c>
      <c r="Q1782" s="582">
        <f t="shared" si="187"/>
        <v>10.120762115028356</v>
      </c>
      <c r="R1782" s="582">
        <f t="shared" si="188"/>
        <v>0</v>
      </c>
      <c r="S1782" s="582">
        <f t="shared" si="186"/>
        <v>0.67783788497164443</v>
      </c>
      <c r="T1782" s="582">
        <f t="shared" si="189"/>
        <v>0.95963788497164393</v>
      </c>
      <c r="U1782" s="582">
        <f t="shared" si="190"/>
        <v>0.67283788497164432</v>
      </c>
    </row>
    <row r="1783" spans="10:21">
      <c r="J1783" s="580">
        <v>41699</v>
      </c>
      <c r="K1783" s="581">
        <v>0.98958333333333337</v>
      </c>
      <c r="L1783" s="582">
        <v>10.1655</v>
      </c>
      <c r="M1783" s="582">
        <v>10.1509</v>
      </c>
      <c r="N1783" s="582">
        <v>10.9358</v>
      </c>
      <c r="O1783" s="582">
        <v>10.6013</v>
      </c>
      <c r="P1783" s="582">
        <v>99.010599999999997</v>
      </c>
      <c r="Q1783" s="582">
        <f t="shared" si="187"/>
        <v>10.123778473529052</v>
      </c>
      <c r="R1783" s="582">
        <f t="shared" si="188"/>
        <v>0</v>
      </c>
      <c r="S1783" s="582">
        <f t="shared" si="186"/>
        <v>0.67712152647094803</v>
      </c>
      <c r="T1783" s="582">
        <f t="shared" si="189"/>
        <v>1.0020215264709482</v>
      </c>
      <c r="U1783" s="582">
        <f t="shared" si="190"/>
        <v>0.74752152647094805</v>
      </c>
    </row>
    <row r="1784" spans="10:21">
      <c r="J1784" s="580">
        <v>41700</v>
      </c>
      <c r="K1784" s="581">
        <v>0.98958333333333337</v>
      </c>
      <c r="L1784" s="582">
        <v>10.160600000000001</v>
      </c>
      <c r="M1784" s="582">
        <v>10.146000000000001</v>
      </c>
      <c r="N1784" s="582">
        <v>10.914099999999999</v>
      </c>
      <c r="O1784" s="582">
        <v>10.629200000000001</v>
      </c>
      <c r="P1784" s="582">
        <v>98.939099999999996</v>
      </c>
      <c r="Q1784" s="582">
        <f t="shared" si="187"/>
        <v>10.116467638518889</v>
      </c>
      <c r="R1784" s="582">
        <f t="shared" si="188"/>
        <v>0</v>
      </c>
      <c r="S1784" s="582">
        <f t="shared" si="186"/>
        <v>0.67953236148111151</v>
      </c>
      <c r="T1784" s="582">
        <f t="shared" si="189"/>
        <v>0.98763236148111011</v>
      </c>
      <c r="U1784" s="582">
        <f t="shared" si="190"/>
        <v>0.78273236148111147</v>
      </c>
    </row>
    <row r="1785" spans="10:21">
      <c r="J1785" s="580">
        <v>41701</v>
      </c>
      <c r="K1785" s="581">
        <v>0.98958333333333337</v>
      </c>
      <c r="L1785" s="582">
        <v>10.161899999999999</v>
      </c>
      <c r="M1785" s="582">
        <v>10.1441</v>
      </c>
      <c r="N1785" s="582">
        <v>10.897600000000001</v>
      </c>
      <c r="O1785" s="582">
        <v>10.5327</v>
      </c>
      <c r="P1785" s="582">
        <v>98.96</v>
      </c>
      <c r="Q1785" s="582">
        <f t="shared" si="187"/>
        <v>10.118604651829552</v>
      </c>
      <c r="R1785" s="582">
        <f t="shared" si="188"/>
        <v>0</v>
      </c>
      <c r="S1785" s="582">
        <f t="shared" si="186"/>
        <v>0.67549534817044843</v>
      </c>
      <c r="T1785" s="582">
        <f t="shared" si="189"/>
        <v>0.96899534817044908</v>
      </c>
      <c r="U1785" s="582">
        <f t="shared" si="190"/>
        <v>0.68409534817044859</v>
      </c>
    </row>
    <row r="1786" spans="10:21">
      <c r="J1786" s="580">
        <v>41702</v>
      </c>
      <c r="K1786" s="581">
        <v>0.98958333333333337</v>
      </c>
      <c r="L1786" s="582">
        <v>10.173299999999999</v>
      </c>
      <c r="M1786" s="582">
        <v>10.154199999999999</v>
      </c>
      <c r="N1786" s="582">
        <v>10.9284</v>
      </c>
      <c r="O1786" s="582">
        <v>10.541</v>
      </c>
      <c r="P1786" s="582">
        <v>99.071200000000005</v>
      </c>
      <c r="Q1786" s="582">
        <f t="shared" si="187"/>
        <v>10.12997478963557</v>
      </c>
      <c r="R1786" s="582">
        <f t="shared" si="188"/>
        <v>0</v>
      </c>
      <c r="S1786" s="582">
        <f t="shared" si="186"/>
        <v>0.67422521036442951</v>
      </c>
      <c r="T1786" s="582">
        <f t="shared" si="189"/>
        <v>0.98842521036442987</v>
      </c>
      <c r="U1786" s="582">
        <f t="shared" si="190"/>
        <v>0.68102521036443031</v>
      </c>
    </row>
    <row r="1787" spans="10:21">
      <c r="J1787" s="580">
        <v>41703</v>
      </c>
      <c r="K1787" s="581">
        <v>0.98958333333333337</v>
      </c>
      <c r="L1787" s="582">
        <v>10.17</v>
      </c>
      <c r="M1787" s="582">
        <v>10.151300000000001</v>
      </c>
      <c r="N1787" s="582">
        <v>10.8322</v>
      </c>
      <c r="O1787" s="582">
        <v>10.538399999999999</v>
      </c>
      <c r="P1787" s="582">
        <v>99.044700000000006</v>
      </c>
      <c r="Q1787" s="582">
        <f t="shared" si="187"/>
        <v>10.127265179456979</v>
      </c>
      <c r="R1787" s="582">
        <f t="shared" si="188"/>
        <v>0</v>
      </c>
      <c r="S1787" s="582">
        <f t="shared" si="186"/>
        <v>0.67403482054302244</v>
      </c>
      <c r="T1787" s="582">
        <f t="shared" si="189"/>
        <v>0.89493482054302176</v>
      </c>
      <c r="U1787" s="582">
        <f t="shared" si="190"/>
        <v>0.68113482054302077</v>
      </c>
    </row>
    <row r="1788" spans="10:21">
      <c r="J1788" s="580">
        <v>41704</v>
      </c>
      <c r="K1788" s="581">
        <v>0.98958333333333337</v>
      </c>
      <c r="L1788" s="582">
        <v>10.165100000000001</v>
      </c>
      <c r="M1788" s="582">
        <v>10.1464</v>
      </c>
      <c r="N1788" s="582">
        <v>10.5601</v>
      </c>
      <c r="O1788" s="582">
        <v>10.533899999999999</v>
      </c>
      <c r="P1788" s="582">
        <v>99.005499999999998</v>
      </c>
      <c r="Q1788" s="582">
        <f t="shared" si="187"/>
        <v>10.123257001381475</v>
      </c>
      <c r="R1788" s="582">
        <f t="shared" si="188"/>
        <v>0</v>
      </c>
      <c r="S1788" s="582">
        <f t="shared" si="186"/>
        <v>0.67314299861852489</v>
      </c>
      <c r="T1788" s="582">
        <f t="shared" si="189"/>
        <v>0.62684299861852522</v>
      </c>
      <c r="U1788" s="582">
        <f t="shared" si="190"/>
        <v>0.68064299861852406</v>
      </c>
    </row>
    <row r="1789" spans="10:21">
      <c r="J1789" s="580">
        <v>41543</v>
      </c>
      <c r="K1789" s="581">
        <v>0.99305555555555547</v>
      </c>
      <c r="L1789" s="582">
        <v>10.0563</v>
      </c>
      <c r="M1789" s="582">
        <v>10.069800000000001</v>
      </c>
      <c r="N1789" s="582">
        <v>10.0791</v>
      </c>
      <c r="O1789" s="582">
        <v>10.0906</v>
      </c>
      <c r="P1789" s="582">
        <v>98.786799999999999</v>
      </c>
      <c r="Q1789" s="582">
        <f t="shared" si="187"/>
        <v>10.100895048700037</v>
      </c>
      <c r="R1789" s="582">
        <f t="shared" si="188"/>
        <v>0</v>
      </c>
      <c r="S1789" s="582">
        <f t="shared" si="186"/>
        <v>0.61890495129996359</v>
      </c>
      <c r="T1789" s="582">
        <f t="shared" si="189"/>
        <v>0.16820495129996316</v>
      </c>
      <c r="U1789" s="582">
        <f t="shared" si="190"/>
        <v>0.25970495129996291</v>
      </c>
    </row>
    <row r="1790" spans="10:21">
      <c r="J1790" s="580">
        <v>41544</v>
      </c>
      <c r="K1790" s="581">
        <v>0.99305555555555547</v>
      </c>
      <c r="L1790" s="582">
        <v>10.0542</v>
      </c>
      <c r="M1790" s="582">
        <v>10.0695</v>
      </c>
      <c r="N1790" s="582">
        <v>10.077999999999999</v>
      </c>
      <c r="O1790" s="582">
        <v>10.090400000000001</v>
      </c>
      <c r="P1790" s="582">
        <v>98.776700000000005</v>
      </c>
      <c r="Q1790" s="582">
        <f t="shared" si="187"/>
        <v>10.099862329348952</v>
      </c>
      <c r="R1790" s="582">
        <f t="shared" si="188"/>
        <v>0</v>
      </c>
      <c r="S1790" s="582">
        <f t="shared" si="186"/>
        <v>0.61963767065104824</v>
      </c>
      <c r="T1790" s="582">
        <f t="shared" si="189"/>
        <v>0.1681376706510479</v>
      </c>
      <c r="U1790" s="582">
        <f t="shared" si="190"/>
        <v>0.2605376706510491</v>
      </c>
    </row>
    <row r="1791" spans="10:21">
      <c r="J1791" s="580">
        <v>41545</v>
      </c>
      <c r="K1791" s="581">
        <v>0.99305555555555547</v>
      </c>
      <c r="L1791" s="582">
        <v>10.034800000000001</v>
      </c>
      <c r="M1791" s="582">
        <v>10.049099999999999</v>
      </c>
      <c r="N1791" s="582">
        <v>10.057499999999999</v>
      </c>
      <c r="O1791" s="582">
        <v>10.070399999999999</v>
      </c>
      <c r="P1791" s="582">
        <v>98.5822</v>
      </c>
      <c r="Q1791" s="582">
        <f t="shared" si="187"/>
        <v>10.079974813132491</v>
      </c>
      <c r="R1791" s="582">
        <f t="shared" si="188"/>
        <v>0</v>
      </c>
      <c r="S1791" s="582">
        <f t="shared" si="186"/>
        <v>0.61912518686750828</v>
      </c>
      <c r="T1791" s="582">
        <f t="shared" si="189"/>
        <v>0.16752518686750817</v>
      </c>
      <c r="U1791" s="582">
        <f t="shared" si="190"/>
        <v>0.26042518686750821</v>
      </c>
    </row>
    <row r="1792" spans="10:21">
      <c r="J1792" s="580">
        <v>41546</v>
      </c>
      <c r="K1792" s="581">
        <v>0.99305555555555547</v>
      </c>
      <c r="L1792" s="582">
        <v>10.0128</v>
      </c>
      <c r="M1792" s="582">
        <v>10.026199999999999</v>
      </c>
      <c r="N1792" s="582">
        <v>10.034599999999999</v>
      </c>
      <c r="O1792" s="582">
        <v>10.0479</v>
      </c>
      <c r="P1792" s="582">
        <v>98.367599999999996</v>
      </c>
      <c r="Q1792" s="582">
        <f t="shared" si="187"/>
        <v>10.058032083157929</v>
      </c>
      <c r="R1792" s="582">
        <f t="shared" si="188"/>
        <v>0</v>
      </c>
      <c r="S1792" s="582">
        <f t="shared" si="186"/>
        <v>0.61816791684207018</v>
      </c>
      <c r="T1792" s="582">
        <f t="shared" si="189"/>
        <v>0.16656791684207006</v>
      </c>
      <c r="U1792" s="582">
        <f t="shared" si="190"/>
        <v>0.25986791684207095</v>
      </c>
    </row>
    <row r="1793" spans="10:21">
      <c r="J1793" s="580">
        <v>41547</v>
      </c>
      <c r="K1793" s="581">
        <v>0.99305555555555547</v>
      </c>
      <c r="L1793" s="582">
        <v>10.0114</v>
      </c>
      <c r="M1793" s="582">
        <v>10.026300000000001</v>
      </c>
      <c r="N1793" s="582">
        <v>10.0341</v>
      </c>
      <c r="O1793" s="582">
        <v>10.0471</v>
      </c>
      <c r="P1793" s="582">
        <v>98.357299999999995</v>
      </c>
      <c r="Q1793" s="582">
        <f t="shared" si="187"/>
        <v>10.056978913918703</v>
      </c>
      <c r="R1793" s="582">
        <f t="shared" si="188"/>
        <v>0</v>
      </c>
      <c r="S1793" s="582">
        <f t="shared" si="186"/>
        <v>0.61932108608129766</v>
      </c>
      <c r="T1793" s="582">
        <f t="shared" si="189"/>
        <v>0.16712108608129717</v>
      </c>
      <c r="U1793" s="582">
        <f t="shared" si="190"/>
        <v>0.26012108608129697</v>
      </c>
    </row>
    <row r="1794" spans="10:21">
      <c r="J1794" s="580">
        <v>41548</v>
      </c>
      <c r="K1794" s="581">
        <v>0.99305555555555547</v>
      </c>
      <c r="L1794" s="582">
        <v>10.021000000000001</v>
      </c>
      <c r="M1794" s="582">
        <v>10.034800000000001</v>
      </c>
      <c r="N1794" s="582">
        <v>10.043200000000001</v>
      </c>
      <c r="O1794" s="582">
        <v>10.0566</v>
      </c>
      <c r="P1794" s="582">
        <v>98.438100000000006</v>
      </c>
      <c r="Q1794" s="582">
        <f t="shared" si="187"/>
        <v>10.065240668727393</v>
      </c>
      <c r="R1794" s="582">
        <f t="shared" si="188"/>
        <v>0</v>
      </c>
      <c r="S1794" s="582">
        <f t="shared" si="186"/>
        <v>0.61955933127260798</v>
      </c>
      <c r="T1794" s="582">
        <f t="shared" si="189"/>
        <v>0.16795933127260787</v>
      </c>
      <c r="U1794" s="582">
        <f t="shared" si="190"/>
        <v>0.26135933127260674</v>
      </c>
    </row>
    <row r="1795" spans="10:21">
      <c r="J1795" s="580">
        <v>41549</v>
      </c>
      <c r="K1795" s="581">
        <v>0.99305555555555547</v>
      </c>
      <c r="L1795" s="582">
        <v>10.0365</v>
      </c>
      <c r="M1795" s="582">
        <v>10.0481</v>
      </c>
      <c r="N1795" s="582">
        <v>10.055999999999999</v>
      </c>
      <c r="O1795" s="582">
        <v>10.068199999999999</v>
      </c>
      <c r="P1795" s="582">
        <v>98.57</v>
      </c>
      <c r="Q1795" s="582">
        <f t="shared" si="187"/>
        <v>10.078727369955931</v>
      </c>
      <c r="R1795" s="582">
        <f t="shared" si="188"/>
        <v>0</v>
      </c>
      <c r="S1795" s="582">
        <f t="shared" si="186"/>
        <v>0.61937263004406851</v>
      </c>
      <c r="T1795" s="582">
        <f t="shared" si="189"/>
        <v>0.16727263004406778</v>
      </c>
      <c r="U1795" s="582">
        <f t="shared" si="190"/>
        <v>0.25947263004406768</v>
      </c>
    </row>
    <row r="1796" spans="10:21">
      <c r="J1796" s="580">
        <v>41550</v>
      </c>
      <c r="K1796" s="581">
        <v>0.99305555555555547</v>
      </c>
      <c r="L1796" s="582">
        <v>10.040800000000001</v>
      </c>
      <c r="M1796" s="582">
        <v>10.051600000000001</v>
      </c>
      <c r="N1796" s="582">
        <v>10.059200000000001</v>
      </c>
      <c r="O1796" s="582">
        <v>10.071899999999999</v>
      </c>
      <c r="P1796" s="582">
        <v>98.607600000000005</v>
      </c>
      <c r="Q1796" s="582">
        <f t="shared" si="187"/>
        <v>10.082571948926311</v>
      </c>
      <c r="R1796" s="582">
        <f t="shared" si="188"/>
        <v>0</v>
      </c>
      <c r="S1796" s="582">
        <f t="shared" si="186"/>
        <v>0.61902805107368919</v>
      </c>
      <c r="T1796" s="582">
        <f t="shared" si="189"/>
        <v>0.16662805107368917</v>
      </c>
      <c r="U1796" s="582">
        <f t="shared" si="190"/>
        <v>0.25932805107368789</v>
      </c>
    </row>
    <row r="1797" spans="10:21">
      <c r="J1797" s="580">
        <v>41551</v>
      </c>
      <c r="K1797" s="581">
        <v>0.99305555555555547</v>
      </c>
      <c r="L1797" s="582">
        <v>10.052199999999999</v>
      </c>
      <c r="M1797" s="582">
        <v>10.0633</v>
      </c>
      <c r="N1797" s="582">
        <v>10.0716</v>
      </c>
      <c r="O1797" s="582">
        <v>10.084</v>
      </c>
      <c r="P1797" s="582">
        <v>98.730699999999999</v>
      </c>
      <c r="Q1797" s="582">
        <f t="shared" si="187"/>
        <v>10.095158855076678</v>
      </c>
      <c r="R1797" s="582">
        <f t="shared" si="188"/>
        <v>0</v>
      </c>
      <c r="S1797" s="582">
        <f t="shared" si="186"/>
        <v>0.61814114492332251</v>
      </c>
      <c r="T1797" s="582">
        <f t="shared" si="189"/>
        <v>0.16644114492332263</v>
      </c>
      <c r="U1797" s="582">
        <f t="shared" si="190"/>
        <v>0.25884114492332205</v>
      </c>
    </row>
    <row r="1798" spans="10:21">
      <c r="J1798" s="580">
        <v>41552</v>
      </c>
      <c r="K1798" s="581">
        <v>0.99305555555555547</v>
      </c>
      <c r="L1798" s="582">
        <v>10.043699999999999</v>
      </c>
      <c r="M1798" s="582">
        <v>10.0542</v>
      </c>
      <c r="N1798" s="582">
        <v>10.0618</v>
      </c>
      <c r="O1798" s="582">
        <v>10.0761</v>
      </c>
      <c r="P1798" s="582">
        <v>98.638000000000005</v>
      </c>
      <c r="Q1798" s="582">
        <f t="shared" si="187"/>
        <v>10.085680331923641</v>
      </c>
      <c r="R1798" s="582">
        <f t="shared" si="188"/>
        <v>0</v>
      </c>
      <c r="S1798" s="582">
        <f t="shared" si="186"/>
        <v>0.61851966807635939</v>
      </c>
      <c r="T1798" s="582">
        <f t="shared" si="189"/>
        <v>0.16611966807635936</v>
      </c>
      <c r="U1798" s="582">
        <f t="shared" si="190"/>
        <v>0.26041966807635969</v>
      </c>
    </row>
    <row r="1799" spans="10:21">
      <c r="J1799" s="580">
        <v>41553</v>
      </c>
      <c r="K1799" s="581">
        <v>0.99305555555555547</v>
      </c>
      <c r="L1799" s="582">
        <v>10.043799999999999</v>
      </c>
      <c r="M1799" s="582">
        <v>10.054399999999999</v>
      </c>
      <c r="N1799" s="582">
        <v>10.062200000000001</v>
      </c>
      <c r="O1799" s="582">
        <v>10.076700000000001</v>
      </c>
      <c r="P1799" s="582">
        <v>98.638900000000007</v>
      </c>
      <c r="Q1799" s="582">
        <f t="shared" si="187"/>
        <v>10.085772356420271</v>
      </c>
      <c r="R1799" s="582">
        <f t="shared" si="188"/>
        <v>0</v>
      </c>
      <c r="S1799" s="582">
        <f t="shared" si="186"/>
        <v>0.61862764357972799</v>
      </c>
      <c r="T1799" s="582">
        <f t="shared" si="189"/>
        <v>0.16642764357972928</v>
      </c>
      <c r="U1799" s="582">
        <f t="shared" si="190"/>
        <v>0.26092764357972914</v>
      </c>
    </row>
    <row r="1800" spans="10:21">
      <c r="J1800" s="580">
        <v>41554</v>
      </c>
      <c r="K1800" s="581">
        <v>0.99305555555555547</v>
      </c>
      <c r="L1800" s="582">
        <v>10.048999999999999</v>
      </c>
      <c r="M1800" s="582">
        <v>10.0595</v>
      </c>
      <c r="N1800" s="582">
        <v>10.0677</v>
      </c>
      <c r="O1800" s="582">
        <v>10.0829</v>
      </c>
      <c r="P1800" s="582">
        <v>98.699299999999994</v>
      </c>
      <c r="Q1800" s="582">
        <f t="shared" si="187"/>
        <v>10.091948222638647</v>
      </c>
      <c r="R1800" s="582">
        <f t="shared" si="188"/>
        <v>0</v>
      </c>
      <c r="S1800" s="582">
        <f t="shared" si="186"/>
        <v>0.61755177736135258</v>
      </c>
      <c r="T1800" s="582">
        <f t="shared" si="189"/>
        <v>0.16575177736135294</v>
      </c>
      <c r="U1800" s="582">
        <f t="shared" si="190"/>
        <v>0.26095177736135294</v>
      </c>
    </row>
    <row r="1801" spans="10:21">
      <c r="J1801" s="580">
        <v>41555</v>
      </c>
      <c r="K1801" s="581">
        <v>0.99305555555555547</v>
      </c>
      <c r="L1801" s="582">
        <v>10.054399999999999</v>
      </c>
      <c r="M1801" s="582">
        <v>10.067500000000001</v>
      </c>
      <c r="N1801" s="582">
        <v>10.073</v>
      </c>
      <c r="O1801" s="582">
        <v>10.0877</v>
      </c>
      <c r="P1801" s="582">
        <v>98.774699999999996</v>
      </c>
      <c r="Q1801" s="582">
        <f t="shared" si="187"/>
        <v>10.099657830467548</v>
      </c>
      <c r="R1801" s="582">
        <f t="shared" si="188"/>
        <v>0</v>
      </c>
      <c r="S1801" s="582">
        <f t="shared" si="186"/>
        <v>0.61784216953245319</v>
      </c>
      <c r="T1801" s="582">
        <f t="shared" si="189"/>
        <v>0.16334216953245273</v>
      </c>
      <c r="U1801" s="582">
        <f t="shared" si="190"/>
        <v>0.25804216953245213</v>
      </c>
    </row>
    <row r="1802" spans="10:21">
      <c r="J1802" s="580">
        <v>41556</v>
      </c>
      <c r="K1802" s="581">
        <v>0.99305555555555547</v>
      </c>
      <c r="L1802" s="582">
        <v>10.045400000000001</v>
      </c>
      <c r="M1802" s="582">
        <v>10.0593</v>
      </c>
      <c r="N1802" s="582">
        <v>10.066700000000001</v>
      </c>
      <c r="O1802" s="582">
        <v>10.0799</v>
      </c>
      <c r="P1802" s="582">
        <v>98.695300000000003</v>
      </c>
      <c r="Q1802" s="582">
        <f t="shared" si="187"/>
        <v>10.091539224875842</v>
      </c>
      <c r="R1802" s="582">
        <f t="shared" si="188"/>
        <v>0</v>
      </c>
      <c r="S1802" s="582">
        <f t="shared" si="186"/>
        <v>0.61776077512415895</v>
      </c>
      <c r="T1802" s="582">
        <f t="shared" si="189"/>
        <v>0.16516077512415939</v>
      </c>
      <c r="U1802" s="582">
        <f t="shared" si="190"/>
        <v>0.25836077512415873</v>
      </c>
    </row>
    <row r="1803" spans="10:21">
      <c r="J1803" s="580">
        <v>41557</v>
      </c>
      <c r="K1803" s="581">
        <v>0.99305555555555547</v>
      </c>
      <c r="L1803" s="582">
        <v>10.051</v>
      </c>
      <c r="M1803" s="582">
        <v>10.065899999999999</v>
      </c>
      <c r="N1803" s="582">
        <v>10.0724</v>
      </c>
      <c r="O1803" s="582">
        <v>10.0846</v>
      </c>
      <c r="P1803" s="582">
        <v>98.743399999999994</v>
      </c>
      <c r="Q1803" s="582">
        <f t="shared" si="187"/>
        <v>10.096457422973588</v>
      </c>
      <c r="R1803" s="582">
        <f t="shared" si="188"/>
        <v>0</v>
      </c>
      <c r="S1803" s="582">
        <f t="shared" si="186"/>
        <v>0.61944257702641159</v>
      </c>
      <c r="T1803" s="582">
        <f t="shared" si="189"/>
        <v>0.16594257702641235</v>
      </c>
      <c r="U1803" s="582">
        <f t="shared" si="190"/>
        <v>0.25814257702641225</v>
      </c>
    </row>
    <row r="1804" spans="10:21">
      <c r="J1804" s="580">
        <v>41558</v>
      </c>
      <c r="K1804" s="581">
        <v>0.99305555555555547</v>
      </c>
      <c r="L1804" s="582">
        <v>10.030099999999999</v>
      </c>
      <c r="M1804" s="582">
        <v>10.0441</v>
      </c>
      <c r="N1804" s="582">
        <v>10.049899999999999</v>
      </c>
      <c r="O1804" s="582">
        <v>10.062799999999999</v>
      </c>
      <c r="P1804" s="582">
        <v>98.538399999999996</v>
      </c>
      <c r="Q1804" s="582">
        <f t="shared" si="187"/>
        <v>10.075496287629761</v>
      </c>
      <c r="R1804" s="582">
        <f t="shared" si="188"/>
        <v>0</v>
      </c>
      <c r="S1804" s="582">
        <f t="shared" si="186"/>
        <v>0.61860371237023926</v>
      </c>
      <c r="T1804" s="582">
        <f t="shared" si="189"/>
        <v>0.1644037123702381</v>
      </c>
      <c r="U1804" s="582">
        <f t="shared" si="190"/>
        <v>0.25730371237023814</v>
      </c>
    </row>
    <row r="1805" spans="10:21">
      <c r="J1805" s="580">
        <v>41559</v>
      </c>
      <c r="K1805" s="581">
        <v>0.99305555555555547</v>
      </c>
      <c r="L1805" s="582">
        <v>10.0213</v>
      </c>
      <c r="M1805" s="582">
        <v>10.033099999999999</v>
      </c>
      <c r="N1805" s="582">
        <v>10.0411</v>
      </c>
      <c r="O1805" s="582">
        <v>10.0534</v>
      </c>
      <c r="P1805" s="582">
        <v>98.401399999999995</v>
      </c>
      <c r="Q1805" s="582">
        <f t="shared" si="187"/>
        <v>10.061488114253644</v>
      </c>
      <c r="R1805" s="582">
        <f t="shared" si="188"/>
        <v>0</v>
      </c>
      <c r="S1805" s="582">
        <f t="shared" si="186"/>
        <v>0.62161188574635573</v>
      </c>
      <c r="T1805" s="582">
        <f t="shared" si="189"/>
        <v>0.16961188574635655</v>
      </c>
      <c r="U1805" s="582">
        <f t="shared" si="190"/>
        <v>0.26191188574635621</v>
      </c>
    </row>
    <row r="1806" spans="10:21">
      <c r="J1806" s="580">
        <v>41560</v>
      </c>
      <c r="K1806" s="581">
        <v>0.99305555555555547</v>
      </c>
      <c r="L1806" s="582">
        <v>10.0304</v>
      </c>
      <c r="M1806" s="582">
        <v>10.0425</v>
      </c>
      <c r="N1806" s="582">
        <v>10.051299999999999</v>
      </c>
      <c r="O1806" s="582">
        <v>10.0634</v>
      </c>
      <c r="P1806" s="582">
        <v>98.520200000000003</v>
      </c>
      <c r="Q1806" s="582">
        <f t="shared" si="187"/>
        <v>10.073635347808994</v>
      </c>
      <c r="R1806" s="582">
        <f t="shared" si="188"/>
        <v>0</v>
      </c>
      <c r="S1806" s="582">
        <f t="shared" si="186"/>
        <v>0.61886465219100706</v>
      </c>
      <c r="T1806" s="582">
        <f t="shared" si="189"/>
        <v>0.16766465219100601</v>
      </c>
      <c r="U1806" s="582">
        <f t="shared" si="190"/>
        <v>0.25976465219100614</v>
      </c>
    </row>
    <row r="1807" spans="10:21">
      <c r="J1807" s="580">
        <v>41561</v>
      </c>
      <c r="K1807" s="581">
        <v>0.99305555555555547</v>
      </c>
      <c r="L1807" s="582">
        <v>10.0473</v>
      </c>
      <c r="M1807" s="582">
        <v>10.0594</v>
      </c>
      <c r="N1807" s="582">
        <v>10.068</v>
      </c>
      <c r="O1807" s="582">
        <v>10.080299999999999</v>
      </c>
      <c r="P1807" s="582">
        <v>98.684299999999993</v>
      </c>
      <c r="Q1807" s="582">
        <f t="shared" si="187"/>
        <v>10.090414481028123</v>
      </c>
      <c r="R1807" s="582">
        <f t="shared" si="188"/>
        <v>0</v>
      </c>
      <c r="S1807" s="582">
        <f t="shared" si="186"/>
        <v>0.61898551897187715</v>
      </c>
      <c r="T1807" s="582">
        <f t="shared" si="189"/>
        <v>0.16758551897187657</v>
      </c>
      <c r="U1807" s="582">
        <f t="shared" si="190"/>
        <v>0.25988551897187623</v>
      </c>
    </row>
    <row r="1808" spans="10:21">
      <c r="J1808" s="580">
        <v>41562</v>
      </c>
      <c r="K1808" s="581">
        <v>0.99305555555555547</v>
      </c>
      <c r="L1808" s="582">
        <v>12.622400000000001</v>
      </c>
      <c r="M1808" s="582">
        <v>12.406599999999999</v>
      </c>
      <c r="N1808" s="582">
        <v>13.058400000000001</v>
      </c>
      <c r="O1808" s="582">
        <v>12.9933</v>
      </c>
      <c r="P1808" s="582">
        <v>98.739800000000002</v>
      </c>
      <c r="Q1808" s="582">
        <f t="shared" si="187"/>
        <v>10.096089324987062</v>
      </c>
      <c r="R1808" s="582">
        <f t="shared" si="188"/>
        <v>2.3413106750129384</v>
      </c>
      <c r="S1808" s="582">
        <f t="shared" si="186"/>
        <v>2.9605106750129373</v>
      </c>
      <c r="T1808" s="582">
        <f t="shared" si="189"/>
        <v>3.1523106750129388</v>
      </c>
      <c r="U1808" s="582">
        <f t="shared" si="190"/>
        <v>3.167210675012937</v>
      </c>
    </row>
    <row r="1809" spans="10:21">
      <c r="J1809" s="580">
        <v>41563</v>
      </c>
      <c r="K1809" s="581">
        <v>0.99305555555555547</v>
      </c>
      <c r="L1809" s="582">
        <v>13.275600000000001</v>
      </c>
      <c r="M1809" s="582">
        <v>12.6227</v>
      </c>
      <c r="N1809" s="582">
        <v>13.3057</v>
      </c>
      <c r="O1809" s="582">
        <v>13.256</v>
      </c>
      <c r="P1809" s="582">
        <v>98.740600000000001</v>
      </c>
      <c r="Q1809" s="582">
        <f t="shared" si="187"/>
        <v>10.096171124539623</v>
      </c>
      <c r="R1809" s="582">
        <f t="shared" si="188"/>
        <v>2.9944288754603776</v>
      </c>
      <c r="S1809" s="582">
        <f t="shared" si="186"/>
        <v>3.1765288754603773</v>
      </c>
      <c r="T1809" s="582">
        <f t="shared" si="189"/>
        <v>3.3995288754603772</v>
      </c>
      <c r="U1809" s="582">
        <f t="shared" si="190"/>
        <v>3.4298288754603767</v>
      </c>
    </row>
    <row r="1810" spans="10:21">
      <c r="J1810" s="580">
        <v>41564</v>
      </c>
      <c r="K1810" s="581">
        <v>0.99305555555555547</v>
      </c>
      <c r="L1810" s="582">
        <v>13.313499999999999</v>
      </c>
      <c r="M1810" s="582">
        <v>12.7255</v>
      </c>
      <c r="N1810" s="582">
        <v>13.5059</v>
      </c>
      <c r="O1810" s="582">
        <v>13.3231</v>
      </c>
      <c r="P1810" s="582">
        <v>98.784199999999998</v>
      </c>
      <c r="Q1810" s="582">
        <f t="shared" si="187"/>
        <v>10.100629200154213</v>
      </c>
      <c r="R1810" s="582">
        <f t="shared" si="188"/>
        <v>3.0278707998457866</v>
      </c>
      <c r="S1810" s="582">
        <f t="shared" si="186"/>
        <v>3.2748707998457878</v>
      </c>
      <c r="T1810" s="582">
        <f t="shared" si="189"/>
        <v>3.595270799845788</v>
      </c>
      <c r="U1810" s="582">
        <f t="shared" si="190"/>
        <v>3.4924707998457869</v>
      </c>
    </row>
    <row r="1811" spans="10:21">
      <c r="J1811" s="580">
        <v>41565</v>
      </c>
      <c r="K1811" s="581">
        <v>0.99305555555555547</v>
      </c>
      <c r="L1811" s="582">
        <v>13.4719</v>
      </c>
      <c r="M1811" s="582">
        <v>12.789099999999999</v>
      </c>
      <c r="N1811" s="582">
        <v>13.630699999999999</v>
      </c>
      <c r="O1811" s="582">
        <v>13.4017</v>
      </c>
      <c r="P1811" s="582">
        <v>98.8185</v>
      </c>
      <c r="Q1811" s="582">
        <f t="shared" si="187"/>
        <v>10.104136355970278</v>
      </c>
      <c r="R1811" s="582">
        <f t="shared" si="188"/>
        <v>3.182763644029722</v>
      </c>
      <c r="S1811" s="582">
        <f t="shared" si="186"/>
        <v>3.3349636440297221</v>
      </c>
      <c r="T1811" s="582">
        <f t="shared" si="189"/>
        <v>3.7165636440297218</v>
      </c>
      <c r="U1811" s="582">
        <f t="shared" si="190"/>
        <v>3.5675636440297218</v>
      </c>
    </row>
    <row r="1812" spans="10:21">
      <c r="J1812" s="580">
        <v>41566</v>
      </c>
      <c r="K1812" s="581">
        <v>0.99305555555555547</v>
      </c>
      <c r="L1812" s="582">
        <v>13.471399999999999</v>
      </c>
      <c r="M1812" s="582">
        <v>12.864000000000001</v>
      </c>
      <c r="N1812" s="582">
        <v>13.877800000000001</v>
      </c>
      <c r="O1812" s="582">
        <v>13.5283</v>
      </c>
      <c r="P1812" s="582">
        <v>98.912099999999995</v>
      </c>
      <c r="Q1812" s="582">
        <f t="shared" si="187"/>
        <v>10.113706903619946</v>
      </c>
      <c r="R1812" s="582">
        <f t="shared" si="188"/>
        <v>3.1726930963800535</v>
      </c>
      <c r="S1812" s="582">
        <f t="shared" si="186"/>
        <v>3.4002930963800555</v>
      </c>
      <c r="T1812" s="582">
        <f t="shared" si="189"/>
        <v>3.9540930963800553</v>
      </c>
      <c r="U1812" s="582">
        <f t="shared" si="190"/>
        <v>3.6845930963800537</v>
      </c>
    </row>
    <row r="1813" spans="10:21">
      <c r="J1813" s="580">
        <v>41567</v>
      </c>
      <c r="K1813" s="581">
        <v>0.99305555555555547</v>
      </c>
      <c r="L1813" s="582">
        <v>13.394500000000001</v>
      </c>
      <c r="M1813" s="582">
        <v>12.8505</v>
      </c>
      <c r="N1813" s="582">
        <v>13.9589</v>
      </c>
      <c r="O1813" s="582">
        <v>13.3033</v>
      </c>
      <c r="P1813" s="582">
        <v>98.569599999999994</v>
      </c>
      <c r="Q1813" s="582">
        <f t="shared" si="187"/>
        <v>10.078686470179651</v>
      </c>
      <c r="R1813" s="582">
        <f t="shared" si="188"/>
        <v>3.1308135298203497</v>
      </c>
      <c r="S1813" s="582">
        <f t="shared" si="186"/>
        <v>3.4218135298203496</v>
      </c>
      <c r="T1813" s="582">
        <f t="shared" si="189"/>
        <v>4.0702135298203492</v>
      </c>
      <c r="U1813" s="582">
        <f t="shared" si="190"/>
        <v>3.4946135298203487</v>
      </c>
    </row>
    <row r="1814" spans="10:21">
      <c r="J1814" s="580">
        <v>41568</v>
      </c>
      <c r="K1814" s="581">
        <v>0.99305555555555547</v>
      </c>
      <c r="L1814" s="582">
        <v>13.33</v>
      </c>
      <c r="M1814" s="582">
        <v>12.8165</v>
      </c>
      <c r="N1814" s="582">
        <v>13.9047</v>
      </c>
      <c r="O1814" s="582">
        <v>13.292199999999999</v>
      </c>
      <c r="P1814" s="582">
        <v>98.360799999999998</v>
      </c>
      <c r="Q1814" s="582">
        <f t="shared" si="187"/>
        <v>10.057336786961159</v>
      </c>
      <c r="R1814" s="582">
        <f t="shared" si="188"/>
        <v>3.0876632130388413</v>
      </c>
      <c r="S1814" s="582">
        <f t="shared" si="186"/>
        <v>3.4091632130388412</v>
      </c>
      <c r="T1814" s="582">
        <f t="shared" si="189"/>
        <v>4.0373632130388417</v>
      </c>
      <c r="U1814" s="582">
        <f t="shared" si="190"/>
        <v>3.5048632130388402</v>
      </c>
    </row>
    <row r="1815" spans="10:21">
      <c r="J1815" s="580">
        <v>41569</v>
      </c>
      <c r="K1815" s="581">
        <v>0.99305555555555547</v>
      </c>
      <c r="L1815" s="582">
        <v>13.283799999999999</v>
      </c>
      <c r="M1815" s="582">
        <v>12.7988</v>
      </c>
      <c r="N1815" s="582">
        <v>13.8543</v>
      </c>
      <c r="O1815" s="582">
        <v>13.2577</v>
      </c>
      <c r="P1815" s="582">
        <v>98.356800000000007</v>
      </c>
      <c r="Q1815" s="582">
        <f t="shared" si="187"/>
        <v>10.056927789198353</v>
      </c>
      <c r="R1815" s="582">
        <f t="shared" si="188"/>
        <v>3.0418722108016465</v>
      </c>
      <c r="S1815" s="582">
        <f t="shared" si="186"/>
        <v>3.3918722108016475</v>
      </c>
      <c r="T1815" s="582">
        <f t="shared" si="189"/>
        <v>3.9873722108016478</v>
      </c>
      <c r="U1815" s="582">
        <f t="shared" si="190"/>
        <v>3.4707722108016466</v>
      </c>
    </row>
    <row r="1816" spans="10:21">
      <c r="J1816" s="580">
        <v>41570</v>
      </c>
      <c r="K1816" s="581">
        <v>0.99305555555555547</v>
      </c>
      <c r="L1816" s="582">
        <v>13.2483</v>
      </c>
      <c r="M1816" s="582">
        <v>12.785600000000001</v>
      </c>
      <c r="N1816" s="582">
        <v>13.809799999999999</v>
      </c>
      <c r="O1816" s="582">
        <v>13.2325</v>
      </c>
      <c r="P1816" s="582">
        <v>98.420100000000005</v>
      </c>
      <c r="Q1816" s="582">
        <f t="shared" si="187"/>
        <v>10.063400178794764</v>
      </c>
      <c r="R1816" s="582">
        <f t="shared" si="188"/>
        <v>2.9998998212052368</v>
      </c>
      <c r="S1816" s="582">
        <f t="shared" si="186"/>
        <v>3.3721998212052373</v>
      </c>
      <c r="T1816" s="582">
        <f t="shared" si="189"/>
        <v>3.936399821205236</v>
      </c>
      <c r="U1816" s="582">
        <f t="shared" si="190"/>
        <v>3.4390998212052359</v>
      </c>
    </row>
    <row r="1817" spans="10:21">
      <c r="J1817" s="580">
        <v>41571</v>
      </c>
      <c r="K1817" s="581">
        <v>0.99305555555555547</v>
      </c>
      <c r="L1817" s="582">
        <v>13.2074</v>
      </c>
      <c r="M1817" s="582">
        <v>12.7622</v>
      </c>
      <c r="N1817" s="582">
        <v>13.7538</v>
      </c>
      <c r="O1817" s="582">
        <v>13.211499999999999</v>
      </c>
      <c r="P1817" s="582">
        <v>98.401799999999994</v>
      </c>
      <c r="Q1817" s="582">
        <f t="shared" si="187"/>
        <v>10.061529014029924</v>
      </c>
      <c r="R1817" s="582">
        <f t="shared" si="188"/>
        <v>2.9608709859700757</v>
      </c>
      <c r="S1817" s="582">
        <f t="shared" si="186"/>
        <v>3.3506709859700763</v>
      </c>
      <c r="T1817" s="582">
        <f t="shared" si="189"/>
        <v>3.8822709859700764</v>
      </c>
      <c r="U1817" s="582">
        <f t="shared" si="190"/>
        <v>3.4199709859700747</v>
      </c>
    </row>
    <row r="1818" spans="10:21">
      <c r="J1818" s="580">
        <v>41572</v>
      </c>
      <c r="K1818" s="581">
        <v>0.99305555555555547</v>
      </c>
      <c r="L1818" s="582">
        <v>13.166700000000001</v>
      </c>
      <c r="M1818" s="582">
        <v>12.7478</v>
      </c>
      <c r="N1818" s="582">
        <v>13.7036</v>
      </c>
      <c r="O1818" s="582">
        <v>13.2051</v>
      </c>
      <c r="P1818" s="582">
        <v>98.441000000000003</v>
      </c>
      <c r="Q1818" s="582">
        <f t="shared" si="187"/>
        <v>10.065537192105428</v>
      </c>
      <c r="R1818" s="582">
        <f t="shared" si="188"/>
        <v>2.9161628078945729</v>
      </c>
      <c r="S1818" s="582">
        <f t="shared" si="186"/>
        <v>3.3322628078945726</v>
      </c>
      <c r="T1818" s="582">
        <f t="shared" si="189"/>
        <v>3.8280628078945727</v>
      </c>
      <c r="U1818" s="582">
        <f t="shared" si="190"/>
        <v>3.4095628078945719</v>
      </c>
    </row>
    <row r="1819" spans="10:21">
      <c r="J1819" s="580">
        <v>41573</v>
      </c>
      <c r="K1819" s="581">
        <v>0.99305555555555547</v>
      </c>
      <c r="L1819" s="582">
        <v>13.153</v>
      </c>
      <c r="M1819" s="582">
        <v>12.753299999999999</v>
      </c>
      <c r="N1819" s="582">
        <v>13.688800000000001</v>
      </c>
      <c r="O1819" s="582">
        <v>13.207700000000001</v>
      </c>
      <c r="P1819" s="582">
        <v>98.680099999999996</v>
      </c>
      <c r="Q1819" s="582">
        <f t="shared" si="187"/>
        <v>10.089985033377177</v>
      </c>
      <c r="R1819" s="582">
        <f t="shared" si="188"/>
        <v>2.8780149666228234</v>
      </c>
      <c r="S1819" s="582">
        <f t="shared" si="186"/>
        <v>3.3133149666228228</v>
      </c>
      <c r="T1819" s="582">
        <f t="shared" si="189"/>
        <v>3.7888149666228239</v>
      </c>
      <c r="U1819" s="582">
        <f t="shared" si="190"/>
        <v>3.3877149666228235</v>
      </c>
    </row>
    <row r="1820" spans="10:21">
      <c r="J1820" s="580">
        <v>41574</v>
      </c>
      <c r="K1820" s="581">
        <v>0.99305555555555547</v>
      </c>
      <c r="L1820" s="582">
        <v>13.1235</v>
      </c>
      <c r="M1820" s="582">
        <v>12.741</v>
      </c>
      <c r="N1820" s="582">
        <v>13.6449</v>
      </c>
      <c r="O1820" s="582">
        <v>13.193</v>
      </c>
      <c r="P1820" s="582">
        <v>98.765600000000006</v>
      </c>
      <c r="Q1820" s="582">
        <f t="shared" si="187"/>
        <v>10.098727360557163</v>
      </c>
      <c r="R1820" s="582">
        <f t="shared" si="188"/>
        <v>2.8397726394428369</v>
      </c>
      <c r="S1820" s="582">
        <f t="shared" si="186"/>
        <v>3.292272639442837</v>
      </c>
      <c r="T1820" s="582">
        <f t="shared" si="189"/>
        <v>3.7361726394428372</v>
      </c>
      <c r="U1820" s="582">
        <f t="shared" si="190"/>
        <v>3.3642726394428362</v>
      </c>
    </row>
    <row r="1821" spans="10:21">
      <c r="J1821" s="580">
        <v>41575</v>
      </c>
      <c r="K1821" s="581">
        <v>0.99305555555555547</v>
      </c>
      <c r="L1821" s="582">
        <v>13.094799999999999</v>
      </c>
      <c r="M1821" s="582">
        <v>12.732699999999999</v>
      </c>
      <c r="N1821" s="582">
        <v>13.6091</v>
      </c>
      <c r="O1821" s="582">
        <v>13.1783</v>
      </c>
      <c r="P1821" s="582">
        <v>98.879199999999997</v>
      </c>
      <c r="Q1821" s="582">
        <f t="shared" si="187"/>
        <v>10.110342897020864</v>
      </c>
      <c r="R1821" s="582">
        <f t="shared" si="188"/>
        <v>2.7994571029791353</v>
      </c>
      <c r="S1821" s="582">
        <f t="shared" si="186"/>
        <v>3.2723571029791358</v>
      </c>
      <c r="T1821" s="582">
        <f t="shared" si="189"/>
        <v>3.6887571029791362</v>
      </c>
      <c r="U1821" s="582">
        <f t="shared" si="190"/>
        <v>3.3379571029791357</v>
      </c>
    </row>
    <row r="1822" spans="10:21">
      <c r="J1822" s="580">
        <v>41576</v>
      </c>
      <c r="K1822" s="581">
        <v>0.99305555555555547</v>
      </c>
      <c r="L1822" s="582">
        <v>13.067</v>
      </c>
      <c r="M1822" s="582">
        <v>12.7239</v>
      </c>
      <c r="N1822" s="582">
        <v>13.592599999999999</v>
      </c>
      <c r="O1822" s="582">
        <v>13.1706</v>
      </c>
      <c r="P1822" s="582">
        <v>98.981499999999997</v>
      </c>
      <c r="Q1822" s="582">
        <f t="shared" si="187"/>
        <v>10.120803014804636</v>
      </c>
      <c r="R1822" s="582">
        <f t="shared" si="188"/>
        <v>2.7611969851953639</v>
      </c>
      <c r="S1822" s="582">
        <f t="shared" si="186"/>
        <v>3.2530969851953646</v>
      </c>
      <c r="T1822" s="582">
        <f t="shared" si="189"/>
        <v>3.6617969851953633</v>
      </c>
      <c r="U1822" s="582">
        <f t="shared" si="190"/>
        <v>3.3197969851953637</v>
      </c>
    </row>
    <row r="1823" spans="10:21">
      <c r="J1823" s="580">
        <v>41577</v>
      </c>
      <c r="K1823" s="581">
        <v>0.99305555555555547</v>
      </c>
      <c r="L1823" s="582">
        <v>13.0288</v>
      </c>
      <c r="M1823" s="582">
        <v>12.7041</v>
      </c>
      <c r="N1823" s="582">
        <v>13.546900000000001</v>
      </c>
      <c r="O1823" s="582">
        <v>13.152100000000001</v>
      </c>
      <c r="P1823" s="582">
        <v>98.980599999999995</v>
      </c>
      <c r="Q1823" s="582">
        <f t="shared" si="187"/>
        <v>10.120710990308005</v>
      </c>
      <c r="R1823" s="582">
        <f t="shared" si="188"/>
        <v>2.7230890096919951</v>
      </c>
      <c r="S1823" s="582">
        <f t="shared" si="186"/>
        <v>3.2333890096919955</v>
      </c>
      <c r="T1823" s="582">
        <f t="shared" si="189"/>
        <v>3.616189009691996</v>
      </c>
      <c r="U1823" s="582">
        <f t="shared" si="190"/>
        <v>3.3013890096919951</v>
      </c>
    </row>
    <row r="1824" spans="10:21">
      <c r="J1824" s="580">
        <v>41578</v>
      </c>
      <c r="K1824" s="581">
        <v>0.99305555555555547</v>
      </c>
      <c r="L1824" s="582">
        <v>13.0017</v>
      </c>
      <c r="M1824" s="582">
        <v>12.6836</v>
      </c>
      <c r="N1824" s="582">
        <v>13.495200000000001</v>
      </c>
      <c r="O1824" s="582">
        <v>13.1334</v>
      </c>
      <c r="P1824" s="582">
        <v>98.971100000000007</v>
      </c>
      <c r="Q1824" s="582">
        <f t="shared" si="187"/>
        <v>10.119739620621342</v>
      </c>
      <c r="R1824" s="582">
        <f t="shared" si="188"/>
        <v>2.6969603793786576</v>
      </c>
      <c r="S1824" s="582">
        <f t="shared" si="186"/>
        <v>3.2138603793786586</v>
      </c>
      <c r="T1824" s="582">
        <f t="shared" si="189"/>
        <v>3.565460379378659</v>
      </c>
      <c r="U1824" s="582">
        <f t="shared" si="190"/>
        <v>3.2836603793786576</v>
      </c>
    </row>
    <row r="1825" spans="10:21">
      <c r="J1825" s="580">
        <v>41579</v>
      </c>
      <c r="K1825" s="581">
        <v>0.99305555555555547</v>
      </c>
      <c r="L1825" s="582">
        <v>12.9564</v>
      </c>
      <c r="M1825" s="582">
        <v>12.656599999999999</v>
      </c>
      <c r="N1825" s="582">
        <v>13.437200000000001</v>
      </c>
      <c r="O1825" s="582">
        <v>13.106</v>
      </c>
      <c r="P1825" s="582">
        <v>98.902299999999997</v>
      </c>
      <c r="Q1825" s="582">
        <f t="shared" si="187"/>
        <v>10.11270485910107</v>
      </c>
      <c r="R1825" s="582">
        <f t="shared" si="188"/>
        <v>2.6586951408989301</v>
      </c>
      <c r="S1825" s="582">
        <f t="shared" si="186"/>
        <v>3.1938951408989293</v>
      </c>
      <c r="T1825" s="582">
        <f t="shared" si="189"/>
        <v>3.5144951408989309</v>
      </c>
      <c r="U1825" s="582">
        <f t="shared" si="190"/>
        <v>3.2632951408989292</v>
      </c>
    </row>
    <row r="1826" spans="10:21">
      <c r="J1826" s="580">
        <v>41580</v>
      </c>
      <c r="K1826" s="581">
        <v>0.99305555555555547</v>
      </c>
      <c r="L1826" s="582">
        <v>12.923299999999999</v>
      </c>
      <c r="M1826" s="582">
        <v>12.6409</v>
      </c>
      <c r="N1826" s="582">
        <v>13.4053</v>
      </c>
      <c r="O1826" s="582">
        <v>13.0884</v>
      </c>
      <c r="P1826" s="582">
        <v>98.906700000000001</v>
      </c>
      <c r="Q1826" s="582">
        <f t="shared" si="187"/>
        <v>10.113154756640158</v>
      </c>
      <c r="R1826" s="582">
        <f t="shared" si="188"/>
        <v>2.625145243359841</v>
      </c>
      <c r="S1826" s="582">
        <f t="shared" si="186"/>
        <v>3.1777452433598423</v>
      </c>
      <c r="T1826" s="582">
        <f t="shared" si="189"/>
        <v>3.4821452433598425</v>
      </c>
      <c r="U1826" s="582">
        <f t="shared" si="190"/>
        <v>3.2452452433598413</v>
      </c>
    </row>
    <row r="1827" spans="10:21">
      <c r="J1827" s="580">
        <v>41581</v>
      </c>
      <c r="K1827" s="581">
        <v>0.99305555555555547</v>
      </c>
      <c r="L1827" s="582">
        <v>12.894399999999999</v>
      </c>
      <c r="M1827" s="582">
        <v>12.6286</v>
      </c>
      <c r="N1827" s="582">
        <v>13.376899999999999</v>
      </c>
      <c r="O1827" s="582">
        <v>13.075900000000001</v>
      </c>
      <c r="P1827" s="582">
        <v>98.965800000000002</v>
      </c>
      <c r="Q1827" s="582">
        <f t="shared" si="187"/>
        <v>10.119197698585623</v>
      </c>
      <c r="R1827" s="582">
        <f t="shared" si="188"/>
        <v>2.5902023014143762</v>
      </c>
      <c r="S1827" s="582">
        <f t="shared" si="186"/>
        <v>3.1594023014143779</v>
      </c>
      <c r="T1827" s="582">
        <f t="shared" si="189"/>
        <v>3.4477023014143766</v>
      </c>
      <c r="U1827" s="582">
        <f t="shared" si="190"/>
        <v>3.2267023014143774</v>
      </c>
    </row>
    <row r="1828" spans="10:21">
      <c r="J1828" s="580">
        <v>41582</v>
      </c>
      <c r="K1828" s="581">
        <v>0.99305555555555547</v>
      </c>
      <c r="L1828" s="582">
        <v>12.926399999999999</v>
      </c>
      <c r="M1828" s="582">
        <v>12.649100000000001</v>
      </c>
      <c r="N1828" s="582">
        <v>13.3863</v>
      </c>
      <c r="O1828" s="582">
        <v>13.1004</v>
      </c>
      <c r="P1828" s="582">
        <v>99.077299999999994</v>
      </c>
      <c r="Q1828" s="582">
        <f t="shared" si="187"/>
        <v>10.130598511223848</v>
      </c>
      <c r="R1828" s="582">
        <f t="shared" si="188"/>
        <v>2.610801488776151</v>
      </c>
      <c r="S1828" s="582">
        <f t="shared" si="186"/>
        <v>3.1685014887761529</v>
      </c>
      <c r="T1828" s="582">
        <f t="shared" si="189"/>
        <v>3.4457014887761526</v>
      </c>
      <c r="U1828" s="582">
        <f t="shared" si="190"/>
        <v>3.2398014887761519</v>
      </c>
    </row>
    <row r="1829" spans="10:21">
      <c r="J1829" s="580">
        <v>41583</v>
      </c>
      <c r="K1829" s="581">
        <v>0.99305555555555547</v>
      </c>
      <c r="L1829" s="582">
        <v>12.913</v>
      </c>
      <c r="M1829" s="582">
        <v>12.6462</v>
      </c>
      <c r="N1829" s="582">
        <v>13.3581</v>
      </c>
      <c r="O1829" s="582">
        <v>13.087899999999999</v>
      </c>
      <c r="P1829" s="582">
        <v>99.042599999999993</v>
      </c>
      <c r="Q1829" s="582">
        <f t="shared" si="187"/>
        <v>10.127050455631503</v>
      </c>
      <c r="R1829" s="582">
        <f t="shared" si="188"/>
        <v>2.6009495443684973</v>
      </c>
      <c r="S1829" s="582">
        <f t="shared" si="186"/>
        <v>3.1691495443684978</v>
      </c>
      <c r="T1829" s="582">
        <f t="shared" si="189"/>
        <v>3.4210495443684978</v>
      </c>
      <c r="U1829" s="582">
        <f t="shared" si="190"/>
        <v>3.2308495443684961</v>
      </c>
    </row>
    <row r="1830" spans="10:21">
      <c r="J1830" s="580">
        <v>41584</v>
      </c>
      <c r="K1830" s="581">
        <v>0.99305555555555547</v>
      </c>
      <c r="L1830" s="582">
        <v>12.874000000000001</v>
      </c>
      <c r="M1830" s="582">
        <v>12.6203</v>
      </c>
      <c r="N1830" s="582">
        <v>13.3192</v>
      </c>
      <c r="O1830" s="582">
        <v>13.0618</v>
      </c>
      <c r="P1830" s="582">
        <v>98.9983</v>
      </c>
      <c r="Q1830" s="582">
        <f t="shared" si="187"/>
        <v>10.122520805408424</v>
      </c>
      <c r="R1830" s="582">
        <f t="shared" si="188"/>
        <v>2.5664791945915764</v>
      </c>
      <c r="S1830" s="582">
        <f t="shared" si="186"/>
        <v>3.1477791945915765</v>
      </c>
      <c r="T1830" s="582">
        <f t="shared" si="189"/>
        <v>3.3866791945915766</v>
      </c>
      <c r="U1830" s="582">
        <f t="shared" si="190"/>
        <v>3.2092791945915753</v>
      </c>
    </row>
    <row r="1831" spans="10:21">
      <c r="J1831" s="580">
        <v>41585</v>
      </c>
      <c r="K1831" s="581">
        <v>0.99305555555555547</v>
      </c>
      <c r="L1831" s="582">
        <v>12.832000000000001</v>
      </c>
      <c r="M1831" s="582">
        <v>12.5952</v>
      </c>
      <c r="N1831" s="582">
        <v>13.2735</v>
      </c>
      <c r="O1831" s="582">
        <v>13.031700000000001</v>
      </c>
      <c r="P1831" s="582">
        <v>98.927300000000002</v>
      </c>
      <c r="Q1831" s="582">
        <f t="shared" si="187"/>
        <v>10.11526109511861</v>
      </c>
      <c r="R1831" s="582">
        <f t="shared" si="188"/>
        <v>2.5317389048813905</v>
      </c>
      <c r="S1831" s="582">
        <f t="shared" ref="S1831:S1862" si="191">M1831-Q1831-$D$9+$E$9</f>
        <v>3.1299389048813904</v>
      </c>
      <c r="T1831" s="582">
        <f t="shared" si="189"/>
        <v>3.3482389048813905</v>
      </c>
      <c r="U1831" s="582">
        <f t="shared" si="190"/>
        <v>3.1864389048813901</v>
      </c>
    </row>
    <row r="1832" spans="10:21">
      <c r="J1832" s="580">
        <v>41586</v>
      </c>
      <c r="K1832" s="581">
        <v>0.99305555555555547</v>
      </c>
      <c r="L1832" s="582">
        <v>12.7887</v>
      </c>
      <c r="M1832" s="582">
        <v>12.564299999999999</v>
      </c>
      <c r="N1832" s="582">
        <v>13.2218</v>
      </c>
      <c r="O1832" s="582">
        <v>12.996499999999999</v>
      </c>
      <c r="P1832" s="582">
        <v>98.8125</v>
      </c>
      <c r="Q1832" s="582">
        <f t="shared" si="187"/>
        <v>10.103522859326068</v>
      </c>
      <c r="R1832" s="582">
        <f t="shared" si="188"/>
        <v>2.5001771406739324</v>
      </c>
      <c r="S1832" s="582">
        <f t="shared" si="191"/>
        <v>3.1107771406739317</v>
      </c>
      <c r="T1832" s="582">
        <f t="shared" si="189"/>
        <v>3.3082771406739324</v>
      </c>
      <c r="U1832" s="582">
        <f t="shared" si="190"/>
        <v>3.1629771406739309</v>
      </c>
    </row>
    <row r="1833" spans="10:21">
      <c r="J1833" s="580">
        <v>41587</v>
      </c>
      <c r="K1833" s="581">
        <v>0.99305555555555547</v>
      </c>
      <c r="L1833" s="582">
        <v>12.744199999999999</v>
      </c>
      <c r="M1833" s="582">
        <v>12.5381</v>
      </c>
      <c r="N1833" s="582">
        <v>13.174799999999999</v>
      </c>
      <c r="O1833" s="582">
        <v>12.9655</v>
      </c>
      <c r="P1833" s="582">
        <v>98.736699999999999</v>
      </c>
      <c r="Q1833" s="582">
        <f t="shared" si="187"/>
        <v>10.095772351720887</v>
      </c>
      <c r="R1833" s="582">
        <f t="shared" si="188"/>
        <v>2.463427648279112</v>
      </c>
      <c r="S1833" s="582">
        <f t="shared" si="191"/>
        <v>3.0923276482791131</v>
      </c>
      <c r="T1833" s="582">
        <f t="shared" si="189"/>
        <v>3.2690276482791125</v>
      </c>
      <c r="U1833" s="582">
        <f t="shared" si="190"/>
        <v>3.1397276482791128</v>
      </c>
    </row>
    <row r="1834" spans="10:21">
      <c r="J1834" s="580">
        <v>41588</v>
      </c>
      <c r="K1834" s="581">
        <v>0.99305555555555547</v>
      </c>
      <c r="L1834" s="582">
        <v>12.7112</v>
      </c>
      <c r="M1834" s="582">
        <v>12.5221</v>
      </c>
      <c r="N1834" s="582">
        <v>13.139699999999999</v>
      </c>
      <c r="O1834" s="582">
        <v>12.9434</v>
      </c>
      <c r="P1834" s="582">
        <v>98.790999999999997</v>
      </c>
      <c r="Q1834" s="582">
        <f t="shared" si="187"/>
        <v>10.101324496350983</v>
      </c>
      <c r="R1834" s="582">
        <f t="shared" si="188"/>
        <v>2.4248755036490164</v>
      </c>
      <c r="S1834" s="582">
        <f t="shared" si="191"/>
        <v>3.070775503649017</v>
      </c>
      <c r="T1834" s="582">
        <f t="shared" si="189"/>
        <v>3.2283755036490165</v>
      </c>
      <c r="U1834" s="582">
        <f t="shared" si="190"/>
        <v>3.1120755036490166</v>
      </c>
    </row>
    <row r="1835" spans="10:21">
      <c r="J1835" s="580">
        <v>41589</v>
      </c>
      <c r="K1835" s="581">
        <v>0.99305555555555547</v>
      </c>
      <c r="L1835" s="582">
        <v>12.665699999999999</v>
      </c>
      <c r="M1835" s="582">
        <v>12.4918</v>
      </c>
      <c r="N1835" s="582">
        <v>13.0885</v>
      </c>
      <c r="O1835" s="582">
        <v>12.8947</v>
      </c>
      <c r="P1835" s="582">
        <v>98.699100000000001</v>
      </c>
      <c r="Q1835" s="582">
        <f t="shared" si="187"/>
        <v>10.091927772750507</v>
      </c>
      <c r="R1835" s="582">
        <f t="shared" si="188"/>
        <v>2.388772227249492</v>
      </c>
      <c r="S1835" s="582">
        <f t="shared" si="191"/>
        <v>3.0498722272494927</v>
      </c>
      <c r="T1835" s="582">
        <f t="shared" si="189"/>
        <v>3.186572227249493</v>
      </c>
      <c r="U1835" s="582">
        <f t="shared" si="190"/>
        <v>3.0727722272494926</v>
      </c>
    </row>
    <row r="1836" spans="10:21">
      <c r="J1836" s="580">
        <v>41590</v>
      </c>
      <c r="K1836" s="581">
        <v>0.99305555555555547</v>
      </c>
      <c r="L1836" s="582">
        <v>12.633699999999999</v>
      </c>
      <c r="M1836" s="582">
        <v>12.472300000000001</v>
      </c>
      <c r="N1836" s="582">
        <v>13.0572</v>
      </c>
      <c r="O1836" s="582">
        <v>12.8759</v>
      </c>
      <c r="P1836" s="582">
        <v>98.734399999999994</v>
      </c>
      <c r="Q1836" s="582">
        <f t="shared" si="187"/>
        <v>10.095537178007273</v>
      </c>
      <c r="R1836" s="582">
        <f t="shared" si="188"/>
        <v>2.3531628219927261</v>
      </c>
      <c r="S1836" s="582">
        <f t="shared" si="191"/>
        <v>3.0267628219927278</v>
      </c>
      <c r="T1836" s="582">
        <f t="shared" si="189"/>
        <v>3.1516628219927272</v>
      </c>
      <c r="U1836" s="582">
        <f t="shared" si="190"/>
        <v>3.0503628219927261</v>
      </c>
    </row>
    <row r="1837" spans="10:21">
      <c r="J1837" s="580">
        <v>41591</v>
      </c>
      <c r="K1837" s="581">
        <v>0.99305555555555547</v>
      </c>
      <c r="L1837" s="582">
        <v>12.612</v>
      </c>
      <c r="M1837" s="582">
        <v>12.4605</v>
      </c>
      <c r="N1837" s="582">
        <v>13.034800000000001</v>
      </c>
      <c r="O1837" s="582">
        <v>12.8659</v>
      </c>
      <c r="P1837" s="582">
        <v>98.819699999999997</v>
      </c>
      <c r="Q1837" s="582">
        <f t="shared" si="187"/>
        <v>10.104259055299119</v>
      </c>
      <c r="R1837" s="582">
        <f t="shared" si="188"/>
        <v>2.3227409447008811</v>
      </c>
      <c r="S1837" s="582">
        <f t="shared" si="191"/>
        <v>3.0062409447008811</v>
      </c>
      <c r="T1837" s="582">
        <f t="shared" si="189"/>
        <v>3.1205409447008821</v>
      </c>
      <c r="U1837" s="582">
        <f t="shared" si="190"/>
        <v>3.0316409447008805</v>
      </c>
    </row>
    <row r="1838" spans="10:21">
      <c r="J1838" s="580">
        <v>41592</v>
      </c>
      <c r="K1838" s="581">
        <v>0.99305555555555547</v>
      </c>
      <c r="L1838" s="582">
        <v>12.573600000000001</v>
      </c>
      <c r="M1838" s="582">
        <v>12.4381</v>
      </c>
      <c r="N1838" s="582">
        <v>13.0022</v>
      </c>
      <c r="O1838" s="582">
        <v>12.8459</v>
      </c>
      <c r="P1838" s="582">
        <v>98.851500000000001</v>
      </c>
      <c r="Q1838" s="582">
        <f t="shared" si="187"/>
        <v>10.107510587513429</v>
      </c>
      <c r="R1838" s="582">
        <f t="shared" si="188"/>
        <v>2.2810894124865713</v>
      </c>
      <c r="S1838" s="582">
        <f t="shared" si="191"/>
        <v>2.9805894124865713</v>
      </c>
      <c r="T1838" s="582">
        <f t="shared" si="189"/>
        <v>3.0846894124865711</v>
      </c>
      <c r="U1838" s="582">
        <f t="shared" si="190"/>
        <v>3.0083894124865704</v>
      </c>
    </row>
    <row r="1839" spans="10:21">
      <c r="J1839" s="580">
        <v>41593</v>
      </c>
      <c r="K1839" s="581">
        <v>0.99305555555555547</v>
      </c>
      <c r="L1839" s="582">
        <v>12.513999999999999</v>
      </c>
      <c r="M1839" s="582">
        <v>12.3977</v>
      </c>
      <c r="N1839" s="582">
        <v>12.943</v>
      </c>
      <c r="O1839" s="582">
        <v>12.7926</v>
      </c>
      <c r="P1839" s="582">
        <v>98.688699999999997</v>
      </c>
      <c r="Q1839" s="582">
        <f t="shared" si="187"/>
        <v>10.090864378567211</v>
      </c>
      <c r="R1839" s="582">
        <f t="shared" si="188"/>
        <v>2.2381356214327881</v>
      </c>
      <c r="S1839" s="582">
        <f t="shared" si="191"/>
        <v>2.9568356214327896</v>
      </c>
      <c r="T1839" s="582">
        <f t="shared" si="189"/>
        <v>3.0421356214327888</v>
      </c>
      <c r="U1839" s="582">
        <f t="shared" si="190"/>
        <v>2.9717356214327886</v>
      </c>
    </row>
    <row r="1840" spans="10:21">
      <c r="J1840" s="580">
        <v>41594</v>
      </c>
      <c r="K1840" s="581">
        <v>0.99305555555555547</v>
      </c>
      <c r="L1840" s="582">
        <v>12.461</v>
      </c>
      <c r="M1840" s="582">
        <v>12.363099999999999</v>
      </c>
      <c r="N1840" s="582">
        <v>12.8956</v>
      </c>
      <c r="O1840" s="582">
        <v>12.748100000000001</v>
      </c>
      <c r="P1840" s="582">
        <v>98.629400000000004</v>
      </c>
      <c r="Q1840" s="582">
        <f t="shared" si="187"/>
        <v>10.084800986733606</v>
      </c>
      <c r="R1840" s="582">
        <f t="shared" si="188"/>
        <v>2.1911990132663939</v>
      </c>
      <c r="S1840" s="582">
        <f t="shared" si="191"/>
        <v>2.9282990132663933</v>
      </c>
      <c r="T1840" s="582">
        <f t="shared" si="189"/>
        <v>3.000799013266394</v>
      </c>
      <c r="U1840" s="582">
        <f t="shared" si="190"/>
        <v>2.9332990132663941</v>
      </c>
    </row>
    <row r="1841" spans="10:21">
      <c r="J1841" s="580">
        <v>41595</v>
      </c>
      <c r="K1841" s="581">
        <v>0.99305555555555547</v>
      </c>
      <c r="L1841" s="582">
        <v>12.5472</v>
      </c>
      <c r="M1841" s="582">
        <v>12.6868</v>
      </c>
      <c r="N1841" s="582">
        <v>13.7012</v>
      </c>
      <c r="O1841" s="582">
        <v>13.285600000000001</v>
      </c>
      <c r="P1841" s="582">
        <v>98.837900000000005</v>
      </c>
      <c r="Q1841" s="582">
        <f t="shared" si="187"/>
        <v>10.106119995119888</v>
      </c>
      <c r="R1841" s="582">
        <f t="shared" si="188"/>
        <v>2.2560800048801117</v>
      </c>
      <c r="S1841" s="582">
        <f t="shared" si="191"/>
        <v>3.2306800048801119</v>
      </c>
      <c r="T1841" s="582">
        <f t="shared" si="189"/>
        <v>3.7850800048801121</v>
      </c>
      <c r="U1841" s="582">
        <f t="shared" si="190"/>
        <v>3.4494800048801117</v>
      </c>
    </row>
    <row r="1842" spans="10:21">
      <c r="J1842" s="580">
        <v>41596</v>
      </c>
      <c r="K1842" s="581">
        <v>0.99305555555555547</v>
      </c>
      <c r="L1842" s="582">
        <v>12.521699999999999</v>
      </c>
      <c r="M1842" s="582">
        <v>12.6852</v>
      </c>
      <c r="N1842" s="582">
        <v>13.712199999999999</v>
      </c>
      <c r="O1842" s="582">
        <v>13.2849</v>
      </c>
      <c r="P1842" s="582">
        <v>99.01</v>
      </c>
      <c r="Q1842" s="582">
        <f t="shared" si="187"/>
        <v>10.123717123864633</v>
      </c>
      <c r="R1842" s="582">
        <f t="shared" si="188"/>
        <v>2.2129828761353658</v>
      </c>
      <c r="S1842" s="582">
        <f t="shared" si="191"/>
        <v>3.2114828761353671</v>
      </c>
      <c r="T1842" s="582">
        <f t="shared" si="189"/>
        <v>3.7784828761353664</v>
      </c>
      <c r="U1842" s="582">
        <f t="shared" si="190"/>
        <v>3.4311828761353667</v>
      </c>
    </row>
    <row r="1843" spans="10:21">
      <c r="J1843" s="580">
        <v>41597</v>
      </c>
      <c r="K1843" s="581">
        <v>0.99305555555555547</v>
      </c>
      <c r="L1843" s="582">
        <v>12.4659</v>
      </c>
      <c r="M1843" s="582">
        <v>12.654500000000001</v>
      </c>
      <c r="N1843" s="582">
        <v>13.662800000000001</v>
      </c>
      <c r="O1843" s="582">
        <v>13.2499</v>
      </c>
      <c r="P1843" s="582">
        <v>98.894999999999996</v>
      </c>
      <c r="Q1843" s="582">
        <f t="shared" si="187"/>
        <v>10.111958438183949</v>
      </c>
      <c r="R1843" s="582">
        <f t="shared" si="188"/>
        <v>2.1689415618160504</v>
      </c>
      <c r="S1843" s="582">
        <f t="shared" si="191"/>
        <v>3.1925415618160518</v>
      </c>
      <c r="T1843" s="582">
        <f t="shared" si="189"/>
        <v>3.740841561816052</v>
      </c>
      <c r="U1843" s="582">
        <f t="shared" si="190"/>
        <v>3.4079415618160507</v>
      </c>
    </row>
    <row r="1844" spans="10:21">
      <c r="J1844" s="580">
        <v>41598</v>
      </c>
      <c r="K1844" s="581">
        <v>0.99305555555555547</v>
      </c>
      <c r="L1844" s="582">
        <v>12.388500000000001</v>
      </c>
      <c r="M1844" s="582">
        <v>12.6007</v>
      </c>
      <c r="N1844" s="582">
        <v>13.589700000000001</v>
      </c>
      <c r="O1844" s="582">
        <v>13.192500000000001</v>
      </c>
      <c r="P1844" s="582">
        <v>98.572199999999995</v>
      </c>
      <c r="Q1844" s="582">
        <f t="shared" si="187"/>
        <v>10.078952318725475</v>
      </c>
      <c r="R1844" s="582">
        <f t="shared" si="188"/>
        <v>2.124547681274525</v>
      </c>
      <c r="S1844" s="582">
        <f t="shared" si="191"/>
        <v>3.1717476812745247</v>
      </c>
      <c r="T1844" s="582">
        <f t="shared" si="189"/>
        <v>3.7007476812745255</v>
      </c>
      <c r="U1844" s="582">
        <f t="shared" si="190"/>
        <v>3.3835476812745249</v>
      </c>
    </row>
    <row r="1845" spans="10:21">
      <c r="J1845" s="580">
        <v>41599</v>
      </c>
      <c r="K1845" s="581">
        <v>0.99305555555555547</v>
      </c>
      <c r="L1845" s="582">
        <v>12.339</v>
      </c>
      <c r="M1845" s="582">
        <v>12.582700000000001</v>
      </c>
      <c r="N1845" s="582">
        <v>13.5542</v>
      </c>
      <c r="O1845" s="582">
        <v>13.1715</v>
      </c>
      <c r="P1845" s="582">
        <v>98.619100000000003</v>
      </c>
      <c r="Q1845" s="582">
        <f t="shared" ref="Q1845:Q1908" si="192">P1845/($G$8*$H$8)</f>
        <v>10.08374781749438</v>
      </c>
      <c r="R1845" s="582">
        <f t="shared" ref="R1845:R1908" si="193">IF((L1845-Q1845-$D$8+$E$8)&lt;0,0,(L1845-Q1845-$D$8+$E$8))</f>
        <v>2.0702521825056199</v>
      </c>
      <c r="S1845" s="582">
        <f t="shared" si="191"/>
        <v>3.1489521825056208</v>
      </c>
      <c r="T1845" s="582">
        <f t="shared" ref="T1845:T1908" si="194">N1845-Q1845-$D$10+$E$10</f>
        <v>3.6604521825056198</v>
      </c>
      <c r="U1845" s="582">
        <f t="shared" ref="U1845:U1908" si="195">O1845-Q1845-$D$11+$E$11</f>
        <v>3.3577521825056191</v>
      </c>
    </row>
    <row r="1846" spans="10:21">
      <c r="J1846" s="580">
        <v>41600</v>
      </c>
      <c r="K1846" s="581">
        <v>0.99305555555555547</v>
      </c>
      <c r="L1846" s="582">
        <v>12.296900000000001</v>
      </c>
      <c r="M1846" s="582">
        <v>12.571899999999999</v>
      </c>
      <c r="N1846" s="582">
        <v>13.5289</v>
      </c>
      <c r="O1846" s="582">
        <v>13.158200000000001</v>
      </c>
      <c r="P1846" s="582">
        <v>98.745900000000006</v>
      </c>
      <c r="Q1846" s="582">
        <f t="shared" si="192"/>
        <v>10.096713046575342</v>
      </c>
      <c r="R1846" s="582">
        <f t="shared" si="193"/>
        <v>2.0151869534246587</v>
      </c>
      <c r="S1846" s="582">
        <f t="shared" si="191"/>
        <v>3.1251869534246577</v>
      </c>
      <c r="T1846" s="582">
        <f t="shared" si="194"/>
        <v>3.6221869534246585</v>
      </c>
      <c r="U1846" s="582">
        <f t="shared" si="195"/>
        <v>3.3314869534246583</v>
      </c>
    </row>
    <row r="1847" spans="10:21">
      <c r="J1847" s="580">
        <v>41601</v>
      </c>
      <c r="K1847" s="581">
        <v>0.99305555555555547</v>
      </c>
      <c r="L1847" s="582">
        <v>12.2593</v>
      </c>
      <c r="M1847" s="582">
        <v>12.561400000000001</v>
      </c>
      <c r="N1847" s="582">
        <v>13.4975</v>
      </c>
      <c r="O1847" s="582">
        <v>13.1427</v>
      </c>
      <c r="P1847" s="582">
        <v>98.8459</v>
      </c>
      <c r="Q1847" s="582">
        <f t="shared" si="192"/>
        <v>10.106937990645502</v>
      </c>
      <c r="R1847" s="582">
        <f t="shared" si="193"/>
        <v>1.9673620093544977</v>
      </c>
      <c r="S1847" s="582">
        <f t="shared" si="191"/>
        <v>3.1044620093544992</v>
      </c>
      <c r="T1847" s="582">
        <f t="shared" si="194"/>
        <v>3.580562009354499</v>
      </c>
      <c r="U1847" s="582">
        <f t="shared" si="195"/>
        <v>3.3057620093544973</v>
      </c>
    </row>
    <row r="1848" spans="10:21">
      <c r="J1848" s="580">
        <v>41602</v>
      </c>
      <c r="K1848" s="581">
        <v>0.99305555555555547</v>
      </c>
      <c r="L1848" s="582">
        <v>12.2163</v>
      </c>
      <c r="M1848" s="582">
        <v>12.542999999999999</v>
      </c>
      <c r="N1848" s="582">
        <v>13.461499999999999</v>
      </c>
      <c r="O1848" s="582">
        <v>13.1229</v>
      </c>
      <c r="P1848" s="582">
        <v>98.893500000000003</v>
      </c>
      <c r="Q1848" s="582">
        <f t="shared" si="192"/>
        <v>10.111805064022898</v>
      </c>
      <c r="R1848" s="582">
        <f t="shared" si="193"/>
        <v>1.9194949359771027</v>
      </c>
      <c r="S1848" s="582">
        <f t="shared" si="191"/>
        <v>3.081194935977102</v>
      </c>
      <c r="T1848" s="582">
        <f t="shared" si="194"/>
        <v>3.5396949359771019</v>
      </c>
      <c r="U1848" s="582">
        <f t="shared" si="195"/>
        <v>3.2810949359771016</v>
      </c>
    </row>
    <row r="1849" spans="10:21">
      <c r="J1849" s="580">
        <v>41603</v>
      </c>
      <c r="K1849" s="581">
        <v>0.99305555555555547</v>
      </c>
      <c r="L1849" s="582">
        <v>12.1564</v>
      </c>
      <c r="M1849" s="582">
        <v>12.501099999999999</v>
      </c>
      <c r="N1849" s="582">
        <v>13.408099999999999</v>
      </c>
      <c r="O1849" s="582">
        <v>13.084199999999999</v>
      </c>
      <c r="P1849" s="582">
        <v>98.751400000000004</v>
      </c>
      <c r="Q1849" s="582">
        <f t="shared" si="192"/>
        <v>10.097275418499201</v>
      </c>
      <c r="R1849" s="582">
        <f t="shared" si="193"/>
        <v>1.8741245815007983</v>
      </c>
      <c r="S1849" s="582">
        <f t="shared" si="191"/>
        <v>3.0538245815007983</v>
      </c>
      <c r="T1849" s="582">
        <f t="shared" si="194"/>
        <v>3.5008245815007983</v>
      </c>
      <c r="U1849" s="582">
        <f t="shared" si="195"/>
        <v>3.2569245815007974</v>
      </c>
    </row>
    <row r="1850" spans="10:21">
      <c r="J1850" s="580">
        <v>41604</v>
      </c>
      <c r="K1850" s="581">
        <v>0.99305555555555547</v>
      </c>
      <c r="L1850" s="582">
        <v>12.116899999999999</v>
      </c>
      <c r="M1850" s="582">
        <v>12.469799999999999</v>
      </c>
      <c r="N1850" s="582">
        <v>13.3696</v>
      </c>
      <c r="O1850" s="582">
        <v>13.057</v>
      </c>
      <c r="P1850" s="582">
        <v>98.736599999999996</v>
      </c>
      <c r="Q1850" s="582">
        <f t="shared" si="192"/>
        <v>10.095762126776817</v>
      </c>
      <c r="R1850" s="582">
        <f t="shared" si="193"/>
        <v>1.8361378732231821</v>
      </c>
      <c r="S1850" s="582">
        <f t="shared" si="191"/>
        <v>3.0240378732231825</v>
      </c>
      <c r="T1850" s="582">
        <f t="shared" si="194"/>
        <v>3.4638378732231834</v>
      </c>
      <c r="U1850" s="582">
        <f t="shared" si="195"/>
        <v>3.2312378732231828</v>
      </c>
    </row>
    <row r="1851" spans="10:21">
      <c r="J1851" s="580">
        <v>41605</v>
      </c>
      <c r="K1851" s="581">
        <v>0.99305555555555547</v>
      </c>
      <c r="L1851" s="582">
        <v>12.0884</v>
      </c>
      <c r="M1851" s="582">
        <v>12.4504</v>
      </c>
      <c r="N1851" s="582">
        <v>13.3323</v>
      </c>
      <c r="O1851" s="582">
        <v>13.0379</v>
      </c>
      <c r="P1851" s="582">
        <v>98.813100000000006</v>
      </c>
      <c r="Q1851" s="582">
        <f t="shared" si="192"/>
        <v>10.103584208990489</v>
      </c>
      <c r="R1851" s="582">
        <f t="shared" si="193"/>
        <v>1.7998157910095114</v>
      </c>
      <c r="S1851" s="582">
        <f t="shared" si="191"/>
        <v>2.9968157910095119</v>
      </c>
      <c r="T1851" s="582">
        <f t="shared" si="194"/>
        <v>3.4187157910095118</v>
      </c>
      <c r="U1851" s="582">
        <f t="shared" si="195"/>
        <v>3.2043157910095115</v>
      </c>
    </row>
    <row r="1852" spans="10:21">
      <c r="J1852" s="580">
        <v>41606</v>
      </c>
      <c r="K1852" s="581">
        <v>0.99305555555555547</v>
      </c>
      <c r="L1852" s="582">
        <v>12.067600000000001</v>
      </c>
      <c r="M1852" s="582">
        <v>12.441599999999999</v>
      </c>
      <c r="N1852" s="582">
        <v>13.302899999999999</v>
      </c>
      <c r="O1852" s="582">
        <v>13.0259</v>
      </c>
      <c r="P1852" s="582">
        <v>98.961500000000001</v>
      </c>
      <c r="Q1852" s="582">
        <f t="shared" si="192"/>
        <v>10.118758025990605</v>
      </c>
      <c r="R1852" s="582">
        <f t="shared" si="193"/>
        <v>1.7638419740093956</v>
      </c>
      <c r="S1852" s="582">
        <f t="shared" si="191"/>
        <v>2.9728419740093948</v>
      </c>
      <c r="T1852" s="582">
        <f t="shared" si="194"/>
        <v>3.3741419740093948</v>
      </c>
      <c r="U1852" s="582">
        <f t="shared" si="195"/>
        <v>3.1771419740093947</v>
      </c>
    </row>
    <row r="1853" spans="10:21">
      <c r="J1853" s="580">
        <v>41607</v>
      </c>
      <c r="K1853" s="581">
        <v>0.99305555555555547</v>
      </c>
      <c r="L1853" s="582">
        <v>12.0242</v>
      </c>
      <c r="M1853" s="582">
        <v>12.4244</v>
      </c>
      <c r="N1853" s="582">
        <v>13.274100000000001</v>
      </c>
      <c r="O1853" s="582">
        <v>13.004899999999999</v>
      </c>
      <c r="P1853" s="582">
        <v>99.016499999999994</v>
      </c>
      <c r="Q1853" s="582">
        <f t="shared" si="192"/>
        <v>10.124381745229192</v>
      </c>
      <c r="R1853" s="582">
        <f t="shared" si="193"/>
        <v>1.7148182547708086</v>
      </c>
      <c r="S1853" s="582">
        <f t="shared" si="191"/>
        <v>2.9500182547708089</v>
      </c>
      <c r="T1853" s="582">
        <f t="shared" si="194"/>
        <v>3.3397182547708093</v>
      </c>
      <c r="U1853" s="582">
        <f t="shared" si="195"/>
        <v>3.150518254770807</v>
      </c>
    </row>
    <row r="1854" spans="10:21">
      <c r="J1854" s="580">
        <v>41608</v>
      </c>
      <c r="K1854" s="581">
        <v>0.99305555555555547</v>
      </c>
      <c r="L1854" s="582">
        <v>11.9779</v>
      </c>
      <c r="M1854" s="582">
        <v>12.3948</v>
      </c>
      <c r="N1854" s="582">
        <v>13.243399999999999</v>
      </c>
      <c r="O1854" s="582">
        <v>12.975099999999999</v>
      </c>
      <c r="P1854" s="582">
        <v>98.975999999999999</v>
      </c>
      <c r="Q1854" s="582">
        <f t="shared" si="192"/>
        <v>10.120240642880779</v>
      </c>
      <c r="R1854" s="582">
        <f t="shared" si="193"/>
        <v>1.6726593571192212</v>
      </c>
      <c r="S1854" s="582">
        <f t="shared" si="191"/>
        <v>2.9245593571192217</v>
      </c>
      <c r="T1854" s="582">
        <f t="shared" si="194"/>
        <v>3.313159357119221</v>
      </c>
      <c r="U1854" s="582">
        <f t="shared" si="195"/>
        <v>3.1248593571192202</v>
      </c>
    </row>
    <row r="1855" spans="10:21">
      <c r="J1855" s="580">
        <v>41609</v>
      </c>
      <c r="K1855" s="581">
        <v>0.99305555555555547</v>
      </c>
      <c r="L1855" s="582">
        <v>11.9472</v>
      </c>
      <c r="M1855" s="582">
        <v>12.3748</v>
      </c>
      <c r="N1855" s="582">
        <v>13.2087</v>
      </c>
      <c r="O1855" s="582">
        <v>12.951700000000001</v>
      </c>
      <c r="P1855" s="582">
        <v>99.004999999999995</v>
      </c>
      <c r="Q1855" s="582">
        <f t="shared" si="192"/>
        <v>10.123205876661125</v>
      </c>
      <c r="R1855" s="582">
        <f t="shared" si="193"/>
        <v>1.6389941233388758</v>
      </c>
      <c r="S1855" s="582">
        <f t="shared" si="191"/>
        <v>2.9015941233388762</v>
      </c>
      <c r="T1855" s="582">
        <f t="shared" si="194"/>
        <v>3.2754941233388761</v>
      </c>
      <c r="U1855" s="582">
        <f t="shared" si="195"/>
        <v>3.0984941233388756</v>
      </c>
    </row>
    <row r="1856" spans="10:21">
      <c r="J1856" s="580">
        <v>41610</v>
      </c>
      <c r="K1856" s="581">
        <v>0.99305555555555547</v>
      </c>
      <c r="L1856" s="582">
        <v>11.9457</v>
      </c>
      <c r="M1856" s="582">
        <v>12.3774</v>
      </c>
      <c r="N1856" s="582">
        <v>13.2029</v>
      </c>
      <c r="O1856" s="582">
        <v>12.9488</v>
      </c>
      <c r="P1856" s="582">
        <v>99.089299999999994</v>
      </c>
      <c r="Q1856" s="582">
        <f t="shared" si="192"/>
        <v>10.131825504512268</v>
      </c>
      <c r="R1856" s="582">
        <f t="shared" si="193"/>
        <v>1.6288744954877328</v>
      </c>
      <c r="S1856" s="582">
        <f t="shared" si="191"/>
        <v>2.8955744954877325</v>
      </c>
      <c r="T1856" s="582">
        <f t="shared" si="194"/>
        <v>3.2610744954877324</v>
      </c>
      <c r="U1856" s="582">
        <f t="shared" si="195"/>
        <v>3.0869744954877323</v>
      </c>
    </row>
    <row r="1857" spans="10:21">
      <c r="J1857" s="580">
        <v>41611</v>
      </c>
      <c r="K1857" s="581">
        <v>0.99305555555555547</v>
      </c>
      <c r="L1857" s="582">
        <v>11.8888</v>
      </c>
      <c r="M1857" s="582">
        <v>12.331799999999999</v>
      </c>
      <c r="N1857" s="582">
        <v>13.149900000000001</v>
      </c>
      <c r="O1857" s="582">
        <v>12.9025</v>
      </c>
      <c r="P1857" s="582">
        <v>98.833100000000002</v>
      </c>
      <c r="Q1857" s="582">
        <f t="shared" si="192"/>
        <v>10.105629197804522</v>
      </c>
      <c r="R1857" s="582">
        <f t="shared" si="193"/>
        <v>1.5981708021954781</v>
      </c>
      <c r="S1857" s="582">
        <f t="shared" si="191"/>
        <v>2.8761708021954782</v>
      </c>
      <c r="T1857" s="582">
        <f t="shared" si="194"/>
        <v>3.2342708021954794</v>
      </c>
      <c r="U1857" s="582">
        <f t="shared" si="195"/>
        <v>3.0668708021954778</v>
      </c>
    </row>
    <row r="1858" spans="10:21">
      <c r="J1858" s="580">
        <v>41612</v>
      </c>
      <c r="K1858" s="581">
        <v>0.99305555555555547</v>
      </c>
      <c r="L1858" s="582">
        <v>11.8513</v>
      </c>
      <c r="M1858" s="582">
        <v>12.297700000000001</v>
      </c>
      <c r="N1858" s="582">
        <v>13.1121</v>
      </c>
      <c r="O1858" s="582">
        <v>12.8698</v>
      </c>
      <c r="P1858" s="582">
        <v>98.772599999999997</v>
      </c>
      <c r="Q1858" s="582">
        <f t="shared" si="192"/>
        <v>10.099443106642074</v>
      </c>
      <c r="R1858" s="582">
        <f t="shared" si="193"/>
        <v>1.5668568933579263</v>
      </c>
      <c r="S1858" s="582">
        <f t="shared" si="191"/>
        <v>2.8482568933579273</v>
      </c>
      <c r="T1858" s="582">
        <f t="shared" si="194"/>
        <v>3.2026568933579265</v>
      </c>
      <c r="U1858" s="582">
        <f t="shared" si="195"/>
        <v>3.0403568933579255</v>
      </c>
    </row>
    <row r="1859" spans="10:21">
      <c r="J1859" s="580">
        <v>41613</v>
      </c>
      <c r="K1859" s="581">
        <v>0.99305555555555547</v>
      </c>
      <c r="L1859" s="582">
        <v>11.8025</v>
      </c>
      <c r="M1859" s="582">
        <v>12.2499</v>
      </c>
      <c r="N1859" s="582">
        <v>13.0581</v>
      </c>
      <c r="O1859" s="582">
        <v>12.823</v>
      </c>
      <c r="P1859" s="582">
        <v>98.600200000000001</v>
      </c>
      <c r="Q1859" s="582">
        <f t="shared" si="192"/>
        <v>10.08181530306512</v>
      </c>
      <c r="R1859" s="582">
        <f t="shared" si="193"/>
        <v>1.5356846969348799</v>
      </c>
      <c r="S1859" s="582">
        <f t="shared" si="191"/>
        <v>2.8180846969348803</v>
      </c>
      <c r="T1859" s="582">
        <f t="shared" si="194"/>
        <v>3.1662846969348797</v>
      </c>
      <c r="U1859" s="582">
        <f t="shared" si="195"/>
        <v>3.0111846969348797</v>
      </c>
    </row>
    <row r="1860" spans="10:21">
      <c r="J1860" s="580">
        <v>41614</v>
      </c>
      <c r="K1860" s="581">
        <v>0.99305555555555547</v>
      </c>
      <c r="L1860" s="582">
        <v>11.767799999999999</v>
      </c>
      <c r="M1860" s="582">
        <v>12.2094</v>
      </c>
      <c r="N1860" s="582">
        <v>13.0154</v>
      </c>
      <c r="O1860" s="582">
        <v>12.782</v>
      </c>
      <c r="P1860" s="582">
        <v>98.576999999999998</v>
      </c>
      <c r="Q1860" s="582">
        <f t="shared" si="192"/>
        <v>10.079443116040842</v>
      </c>
      <c r="R1860" s="582">
        <f t="shared" si="193"/>
        <v>1.5033568839591571</v>
      </c>
      <c r="S1860" s="582">
        <f t="shared" si="191"/>
        <v>2.7799568839591586</v>
      </c>
      <c r="T1860" s="582">
        <f t="shared" si="194"/>
        <v>3.1259568839591578</v>
      </c>
      <c r="U1860" s="582">
        <f t="shared" si="195"/>
        <v>2.9725568839591574</v>
      </c>
    </row>
    <row r="1861" spans="10:21">
      <c r="J1861" s="580">
        <v>41615</v>
      </c>
      <c r="K1861" s="581">
        <v>0.99305555555555547</v>
      </c>
      <c r="L1861" s="582">
        <v>11.744899999999999</v>
      </c>
      <c r="M1861" s="582">
        <v>12.179399999999999</v>
      </c>
      <c r="N1861" s="582">
        <v>12.99</v>
      </c>
      <c r="O1861" s="582">
        <v>12.751200000000001</v>
      </c>
      <c r="P1861" s="582">
        <v>98.610200000000006</v>
      </c>
      <c r="Q1861" s="582">
        <f t="shared" si="192"/>
        <v>10.082837797472136</v>
      </c>
      <c r="R1861" s="582">
        <f t="shared" si="193"/>
        <v>1.4770622025278635</v>
      </c>
      <c r="S1861" s="582">
        <f t="shared" si="191"/>
        <v>2.7465622025278638</v>
      </c>
      <c r="T1861" s="582">
        <f t="shared" si="194"/>
        <v>3.0971622025278647</v>
      </c>
      <c r="U1861" s="582">
        <f t="shared" si="195"/>
        <v>2.9383622025278644</v>
      </c>
    </row>
    <row r="1862" spans="10:21">
      <c r="J1862" s="580">
        <v>41616</v>
      </c>
      <c r="K1862" s="581">
        <v>0.99305555555555547</v>
      </c>
      <c r="L1862" s="582">
        <v>11.722799999999999</v>
      </c>
      <c r="M1862" s="582">
        <v>12.1503</v>
      </c>
      <c r="N1862" s="582">
        <v>12.9695</v>
      </c>
      <c r="O1862" s="582">
        <v>12.7212</v>
      </c>
      <c r="P1862" s="582">
        <v>98.676900000000003</v>
      </c>
      <c r="Q1862" s="582">
        <f t="shared" si="192"/>
        <v>10.089657835166932</v>
      </c>
      <c r="R1862" s="582">
        <f t="shared" si="193"/>
        <v>1.4481421648330675</v>
      </c>
      <c r="S1862" s="582">
        <f t="shared" si="191"/>
        <v>2.7106421648330681</v>
      </c>
      <c r="T1862" s="582">
        <f t="shared" si="194"/>
        <v>3.0698421648330685</v>
      </c>
      <c r="U1862" s="582">
        <f t="shared" si="195"/>
        <v>2.9015421648330673</v>
      </c>
    </row>
    <row r="1863" spans="10:21">
      <c r="J1863" s="580">
        <v>41617</v>
      </c>
      <c r="K1863" s="581">
        <v>0.99305555555555547</v>
      </c>
      <c r="L1863" s="582">
        <v>11.684900000000001</v>
      </c>
      <c r="M1863" s="582">
        <v>12.1029</v>
      </c>
      <c r="N1863" s="582">
        <v>12.919700000000001</v>
      </c>
      <c r="O1863" s="582">
        <v>12.6753</v>
      </c>
      <c r="P1863" s="582">
        <v>98.568899999999999</v>
      </c>
      <c r="Q1863" s="582">
        <f t="shared" si="192"/>
        <v>10.07861489557116</v>
      </c>
      <c r="R1863" s="582">
        <f t="shared" si="193"/>
        <v>1.4212851044288404</v>
      </c>
      <c r="S1863" s="582">
        <v>2.6751851044288397</v>
      </c>
      <c r="T1863" s="582">
        <f t="shared" si="194"/>
        <v>3.0310851044288407</v>
      </c>
      <c r="U1863" s="582">
        <f t="shared" si="195"/>
        <v>2.8666851044288393</v>
      </c>
    </row>
    <row r="1864" spans="10:21">
      <c r="J1864" s="580">
        <v>41618</v>
      </c>
      <c r="K1864" s="581">
        <v>0.99305555555555547</v>
      </c>
      <c r="L1864" s="582">
        <v>11.667199999999999</v>
      </c>
      <c r="M1864" s="582">
        <v>12.071999999999999</v>
      </c>
      <c r="N1864" s="582">
        <v>12.8939</v>
      </c>
      <c r="O1864" s="582">
        <v>12.648899999999999</v>
      </c>
      <c r="P1864" s="582">
        <v>98.654200000000003</v>
      </c>
      <c r="Q1864" s="582">
        <f t="shared" si="192"/>
        <v>10.087336772863006</v>
      </c>
      <c r="R1864" s="582">
        <f t="shared" si="193"/>
        <v>1.3948632271369932</v>
      </c>
      <c r="S1864" s="582">
        <v>2.635163227136994</v>
      </c>
      <c r="T1864" s="582">
        <f t="shared" si="194"/>
        <v>2.9965632271369946</v>
      </c>
      <c r="U1864" s="582">
        <f t="shared" si="195"/>
        <v>2.8315632271369928</v>
      </c>
    </row>
    <row r="1865" spans="10:21">
      <c r="J1865" s="580">
        <v>41619</v>
      </c>
      <c r="K1865" s="581">
        <v>0.99305555555555547</v>
      </c>
      <c r="L1865" s="582">
        <v>11.6252</v>
      </c>
      <c r="M1865" s="582">
        <v>12.010999999999999</v>
      </c>
      <c r="N1865" s="582">
        <v>12.8331</v>
      </c>
      <c r="O1865" s="582">
        <v>12.591200000000001</v>
      </c>
      <c r="P1865" s="582">
        <v>98.477199999999996</v>
      </c>
      <c r="Q1865" s="582">
        <f t="shared" si="192"/>
        <v>10.069238621858824</v>
      </c>
      <c r="R1865" s="582">
        <f t="shared" si="193"/>
        <v>1.3709613781411751</v>
      </c>
      <c r="S1865" s="582">
        <f t="shared" ref="S1865:S1928" si="196">M1865-Q1865-$D$9+$E$9</f>
        <v>2.5917613781411752</v>
      </c>
      <c r="T1865" s="582">
        <f t="shared" si="194"/>
        <v>2.953861378141176</v>
      </c>
      <c r="U1865" s="582">
        <f t="shared" si="195"/>
        <v>2.7919613781411758</v>
      </c>
    </row>
    <row r="1866" spans="10:21">
      <c r="J1866" s="580">
        <v>41620</v>
      </c>
      <c r="K1866" s="581">
        <v>0.99305555555555547</v>
      </c>
      <c r="L1866" s="582">
        <v>11.6083</v>
      </c>
      <c r="M1866" s="582">
        <v>11.994400000000001</v>
      </c>
      <c r="N1866" s="582">
        <v>12.813599999999999</v>
      </c>
      <c r="O1866" s="582">
        <v>12.5747</v>
      </c>
      <c r="P1866" s="582">
        <v>98.355400000000003</v>
      </c>
      <c r="Q1866" s="582">
        <f t="shared" si="192"/>
        <v>10.05678463998137</v>
      </c>
      <c r="R1866" s="582">
        <f t="shared" si="193"/>
        <v>1.3665153600186302</v>
      </c>
      <c r="S1866" s="582">
        <f t="shared" si="196"/>
        <v>2.5876153600186313</v>
      </c>
      <c r="T1866" s="582">
        <f t="shared" si="194"/>
        <v>2.94681536001863</v>
      </c>
      <c r="U1866" s="582">
        <f t="shared" si="195"/>
        <v>2.7879153600186299</v>
      </c>
    </row>
    <row r="1867" spans="10:21">
      <c r="J1867" s="580">
        <v>41621</v>
      </c>
      <c r="K1867" s="581">
        <v>0.99305555555555547</v>
      </c>
      <c r="L1867" s="582">
        <v>11.6638</v>
      </c>
      <c r="M1867" s="582">
        <v>12.077</v>
      </c>
      <c r="N1867" s="582">
        <v>12.873200000000001</v>
      </c>
      <c r="O1867" s="582">
        <v>12.646699999999999</v>
      </c>
      <c r="P1867" s="582">
        <v>98.82</v>
      </c>
      <c r="Q1867" s="582">
        <f t="shared" si="192"/>
        <v>10.104289730131329</v>
      </c>
      <c r="R1867" s="582">
        <f t="shared" si="193"/>
        <v>1.3745102698686709</v>
      </c>
      <c r="S1867" s="582">
        <f t="shared" si="196"/>
        <v>2.6227102698686711</v>
      </c>
      <c r="T1867" s="582">
        <f t="shared" si="194"/>
        <v>2.9589102698686718</v>
      </c>
      <c r="U1867" s="582">
        <f t="shared" si="195"/>
        <v>2.8124102698686695</v>
      </c>
    </row>
    <row r="1868" spans="10:21">
      <c r="J1868" s="580">
        <v>41622</v>
      </c>
      <c r="K1868" s="581">
        <v>0.99305555555555547</v>
      </c>
      <c r="L1868" s="582">
        <v>11.6433</v>
      </c>
      <c r="M1868" s="582">
        <v>12.0596</v>
      </c>
      <c r="N1868" s="582">
        <v>12.8619</v>
      </c>
      <c r="O1868" s="582">
        <v>12.6328</v>
      </c>
      <c r="P1868" s="582">
        <v>98.897900000000007</v>
      </c>
      <c r="Q1868" s="582">
        <f t="shared" si="192"/>
        <v>10.112254961561984</v>
      </c>
      <c r="R1868" s="582">
        <f t="shared" si="193"/>
        <v>1.346045038438016</v>
      </c>
      <c r="S1868" s="582">
        <f t="shared" si="196"/>
        <v>2.5973450384380161</v>
      </c>
      <c r="T1868" s="582">
        <f t="shared" si="194"/>
        <v>2.9396450384380168</v>
      </c>
      <c r="U1868" s="582">
        <f t="shared" si="195"/>
        <v>2.7905450384380153</v>
      </c>
    </row>
    <row r="1869" spans="10:21">
      <c r="J1869" s="580">
        <v>41623</v>
      </c>
      <c r="K1869" s="581">
        <v>0.99305555555555547</v>
      </c>
      <c r="L1869" s="582">
        <v>11.620200000000001</v>
      </c>
      <c r="M1869" s="582">
        <v>12.044600000000001</v>
      </c>
      <c r="N1869" s="582">
        <v>12.838800000000001</v>
      </c>
      <c r="O1869" s="582">
        <v>12.613799999999999</v>
      </c>
      <c r="P1869" s="582">
        <v>98.965000000000003</v>
      </c>
      <c r="Q1869" s="582">
        <f t="shared" si="192"/>
        <v>10.11911589903306</v>
      </c>
      <c r="R1869" s="582">
        <f t="shared" si="193"/>
        <v>1.3160841009669402</v>
      </c>
      <c r="S1869" s="582">
        <f t="shared" si="196"/>
        <v>2.5754841009669409</v>
      </c>
      <c r="T1869" s="582">
        <f t="shared" si="194"/>
        <v>2.909684100966941</v>
      </c>
      <c r="U1869" s="582">
        <f t="shared" si="195"/>
        <v>2.7646841009669387</v>
      </c>
    </row>
    <row r="1870" spans="10:21">
      <c r="J1870" s="580">
        <v>41624</v>
      </c>
      <c r="K1870" s="581">
        <v>0.99305555555555547</v>
      </c>
      <c r="L1870" s="582">
        <v>11.592499999999999</v>
      </c>
      <c r="M1870" s="582">
        <v>12.023400000000001</v>
      </c>
      <c r="N1870" s="582">
        <v>12.8109</v>
      </c>
      <c r="O1870" s="582">
        <v>12.584300000000001</v>
      </c>
      <c r="P1870" s="582">
        <v>98.970500000000001</v>
      </c>
      <c r="Q1870" s="582">
        <f t="shared" si="192"/>
        <v>10.11967827095692</v>
      </c>
      <c r="R1870" s="582">
        <f t="shared" si="193"/>
        <v>1.2878217290430798</v>
      </c>
      <c r="S1870" s="582">
        <f t="shared" si="196"/>
        <v>2.5537217290430814</v>
      </c>
      <c r="T1870" s="582">
        <f t="shared" si="194"/>
        <v>2.881221729043081</v>
      </c>
      <c r="U1870" s="582">
        <f t="shared" si="195"/>
        <v>2.7346217290430808</v>
      </c>
    </row>
    <row r="1871" spans="10:21">
      <c r="J1871" s="580">
        <v>41625</v>
      </c>
      <c r="K1871" s="581">
        <v>0.99305555555555547</v>
      </c>
      <c r="L1871" s="582">
        <v>11.5525</v>
      </c>
      <c r="M1871" s="582">
        <v>11.985200000000001</v>
      </c>
      <c r="N1871" s="582">
        <v>12.7629</v>
      </c>
      <c r="O1871" s="582">
        <v>12.5351</v>
      </c>
      <c r="P1871" s="582">
        <v>98.850700000000003</v>
      </c>
      <c r="Q1871" s="582">
        <f t="shared" si="192"/>
        <v>10.107428787960869</v>
      </c>
      <c r="R1871" s="582">
        <f t="shared" si="193"/>
        <v>1.2600712120391315</v>
      </c>
      <c r="S1871" s="582">
        <f t="shared" si="196"/>
        <v>2.5277712120391325</v>
      </c>
      <c r="T1871" s="582">
        <f t="shared" si="194"/>
        <v>2.8454712120391319</v>
      </c>
      <c r="U1871" s="582">
        <f t="shared" si="195"/>
        <v>2.6976712120391313</v>
      </c>
    </row>
    <row r="1872" spans="10:21">
      <c r="J1872" s="580">
        <v>41626</v>
      </c>
      <c r="K1872" s="581">
        <v>0.99305555555555547</v>
      </c>
      <c r="L1872" s="582">
        <v>11.5222</v>
      </c>
      <c r="M1872" s="582">
        <v>11.950799999999999</v>
      </c>
      <c r="N1872" s="582">
        <v>12.7224</v>
      </c>
      <c r="O1872" s="582">
        <v>12.496700000000001</v>
      </c>
      <c r="P1872" s="582">
        <v>98.838999999999999</v>
      </c>
      <c r="Q1872" s="582">
        <f t="shared" si="192"/>
        <v>10.106232469504659</v>
      </c>
      <c r="R1872" s="582">
        <f t="shared" si="193"/>
        <v>1.2309675304953402</v>
      </c>
      <c r="S1872" s="582">
        <f t="shared" si="196"/>
        <v>2.4945675304953401</v>
      </c>
      <c r="T1872" s="582">
        <f t="shared" si="194"/>
        <v>2.8061675304953413</v>
      </c>
      <c r="U1872" s="582">
        <f t="shared" si="195"/>
        <v>2.6604675304953411</v>
      </c>
    </row>
    <row r="1873" spans="10:21">
      <c r="J1873" s="580">
        <v>41627</v>
      </c>
      <c r="K1873" s="581">
        <v>0.99305555555555547</v>
      </c>
      <c r="L1873" s="582">
        <v>11.500299999999999</v>
      </c>
      <c r="M1873" s="582">
        <v>11.9171</v>
      </c>
      <c r="N1873" s="582">
        <v>12.685700000000001</v>
      </c>
      <c r="O1873" s="582">
        <v>12.444900000000001</v>
      </c>
      <c r="P1873" s="582">
        <v>98.871499999999997</v>
      </c>
      <c r="Q1873" s="582">
        <f t="shared" si="192"/>
        <v>10.109555576327461</v>
      </c>
      <c r="R1873" s="582">
        <f t="shared" si="193"/>
        <v>1.2057444236725385</v>
      </c>
      <c r="S1873" s="582">
        <f t="shared" si="196"/>
        <v>2.4575444236725392</v>
      </c>
      <c r="T1873" s="582">
        <f t="shared" si="194"/>
        <v>2.7661444236725403</v>
      </c>
      <c r="U1873" s="582">
        <f t="shared" si="195"/>
        <v>2.6053444236725398</v>
      </c>
    </row>
    <row r="1874" spans="10:21">
      <c r="J1874" s="580">
        <v>41628</v>
      </c>
      <c r="K1874" s="581">
        <v>0.99305555555555547</v>
      </c>
      <c r="L1874" s="582">
        <v>11.492000000000001</v>
      </c>
      <c r="M1874" s="582">
        <v>11.9026</v>
      </c>
      <c r="N1874" s="582">
        <v>12.658899999999999</v>
      </c>
      <c r="O1874" s="582">
        <v>12.375999999999999</v>
      </c>
      <c r="P1874" s="582">
        <v>99.024199999999993</v>
      </c>
      <c r="Q1874" s="582">
        <f t="shared" si="192"/>
        <v>10.125169065922595</v>
      </c>
      <c r="R1874" s="582">
        <f t="shared" si="193"/>
        <v>1.1818309340774058</v>
      </c>
      <c r="S1874" s="582">
        <f t="shared" si="196"/>
        <v>2.427430934077405</v>
      </c>
      <c r="T1874" s="582">
        <f t="shared" si="194"/>
        <v>2.7237309340774045</v>
      </c>
      <c r="U1874" s="582">
        <f t="shared" si="195"/>
        <v>2.5208309340774044</v>
      </c>
    </row>
    <row r="1875" spans="10:21">
      <c r="J1875" s="580">
        <v>41629</v>
      </c>
      <c r="K1875" s="581">
        <v>0.99305555555555547</v>
      </c>
      <c r="L1875" s="582">
        <v>11.4754</v>
      </c>
      <c r="M1875" s="582">
        <v>11.8788</v>
      </c>
      <c r="N1875" s="582">
        <v>12.622999999999999</v>
      </c>
      <c r="O1875" s="582">
        <v>12.3004</v>
      </c>
      <c r="P1875" s="582">
        <v>99.124899999999997</v>
      </c>
      <c r="Q1875" s="582">
        <f t="shared" si="192"/>
        <v>10.135465584601246</v>
      </c>
      <c r="R1875" s="582">
        <f t="shared" si="193"/>
        <v>1.1549344153987549</v>
      </c>
      <c r="S1875" s="582">
        <f t="shared" si="196"/>
        <v>2.3933344153987548</v>
      </c>
      <c r="T1875" s="582">
        <f t="shared" si="194"/>
        <v>2.6775344153987541</v>
      </c>
      <c r="U1875" s="582">
        <f t="shared" si="195"/>
        <v>2.4349344153987542</v>
      </c>
    </row>
    <row r="1876" spans="10:21">
      <c r="J1876" s="580">
        <v>41630</v>
      </c>
      <c r="K1876" s="581">
        <v>0.99305555555555547</v>
      </c>
      <c r="L1876" s="582">
        <v>11.453200000000001</v>
      </c>
      <c r="M1876" s="582">
        <v>11.8399</v>
      </c>
      <c r="N1876" s="582">
        <v>12.5938</v>
      </c>
      <c r="O1876" s="582">
        <v>12.235900000000001</v>
      </c>
      <c r="P1876" s="582">
        <v>99.156899999999993</v>
      </c>
      <c r="Q1876" s="582">
        <f t="shared" si="192"/>
        <v>10.138737566703696</v>
      </c>
      <c r="R1876" s="582">
        <f t="shared" si="193"/>
        <v>1.1294624332963044</v>
      </c>
      <c r="S1876" s="582">
        <f t="shared" si="196"/>
        <v>2.3511624332963041</v>
      </c>
      <c r="T1876" s="582">
        <f t="shared" si="194"/>
        <v>2.645062433296304</v>
      </c>
      <c r="U1876" s="582">
        <f t="shared" si="195"/>
        <v>2.3671624332963046</v>
      </c>
    </row>
    <row r="1877" spans="10:21">
      <c r="J1877" s="580">
        <v>41631</v>
      </c>
      <c r="K1877" s="581">
        <v>0.99305555555555547</v>
      </c>
      <c r="L1877" s="582">
        <v>11.430400000000001</v>
      </c>
      <c r="M1877" s="582">
        <v>11.8047</v>
      </c>
      <c r="N1877" s="582">
        <v>12.5664</v>
      </c>
      <c r="O1877" s="582">
        <v>12.186500000000001</v>
      </c>
      <c r="P1877" s="582">
        <v>99.202600000000004</v>
      </c>
      <c r="Q1877" s="582">
        <f t="shared" si="192"/>
        <v>10.14341036614376</v>
      </c>
      <c r="R1877" s="582">
        <f t="shared" si="193"/>
        <v>1.1019896338562405</v>
      </c>
      <c r="S1877" s="582">
        <f t="shared" si="196"/>
        <v>2.3112896338562408</v>
      </c>
      <c r="T1877" s="582">
        <f t="shared" si="194"/>
        <v>2.6129896338562402</v>
      </c>
      <c r="U1877" s="582">
        <f t="shared" si="195"/>
        <v>2.3130896338562406</v>
      </c>
    </row>
    <row r="1878" spans="10:21">
      <c r="J1878" s="580">
        <v>41632</v>
      </c>
      <c r="K1878" s="581">
        <v>0.99305555555555547</v>
      </c>
      <c r="L1878" s="582">
        <v>11.413500000000001</v>
      </c>
      <c r="M1878" s="582">
        <v>11.7773</v>
      </c>
      <c r="N1878" s="582">
        <v>12.5389</v>
      </c>
      <c r="O1878" s="582">
        <v>12.1472</v>
      </c>
      <c r="P1878" s="582">
        <v>99.269499999999994</v>
      </c>
      <c r="Q1878" s="582">
        <f t="shared" si="192"/>
        <v>10.150250853726694</v>
      </c>
      <c r="R1878" s="582">
        <f t="shared" si="193"/>
        <v>1.0782491462733064</v>
      </c>
      <c r="S1878" s="582">
        <f t="shared" si="196"/>
        <v>2.2770491462733062</v>
      </c>
      <c r="T1878" s="582">
        <f t="shared" si="194"/>
        <v>2.5786491462733059</v>
      </c>
      <c r="U1878" s="582">
        <f t="shared" si="195"/>
        <v>2.2669491462733053</v>
      </c>
    </row>
    <row r="1879" spans="10:21">
      <c r="J1879" s="580">
        <v>41633</v>
      </c>
      <c r="K1879" s="581">
        <v>0.99305555555555547</v>
      </c>
      <c r="L1879" s="582">
        <v>11.3903</v>
      </c>
      <c r="M1879" s="582">
        <v>11.7456</v>
      </c>
      <c r="N1879" s="582">
        <v>12.5092</v>
      </c>
      <c r="O1879" s="582">
        <v>12.119199999999999</v>
      </c>
      <c r="P1879" s="582">
        <v>99.300799999999995</v>
      </c>
      <c r="Q1879" s="582">
        <f t="shared" si="192"/>
        <v>10.153451261220654</v>
      </c>
      <c r="R1879" s="582">
        <f t="shared" si="193"/>
        <v>1.0518487387793454</v>
      </c>
      <c r="S1879" s="582">
        <f t="shared" si="196"/>
        <v>2.2421487387793455</v>
      </c>
      <c r="T1879" s="582">
        <f t="shared" si="194"/>
        <v>2.5457487387793458</v>
      </c>
      <c r="U1879" s="582">
        <f t="shared" si="195"/>
        <v>2.2357487387793449</v>
      </c>
    </row>
    <row r="1880" spans="10:21">
      <c r="J1880" s="580">
        <v>41634</v>
      </c>
      <c r="K1880" s="581">
        <v>0.99305555555555547</v>
      </c>
      <c r="L1880" s="582">
        <v>11.345800000000001</v>
      </c>
      <c r="M1880" s="582">
        <v>11.6957</v>
      </c>
      <c r="N1880" s="582">
        <v>12.457800000000001</v>
      </c>
      <c r="O1880" s="582">
        <v>12.085800000000001</v>
      </c>
      <c r="P1880" s="582">
        <v>99.163799999999995</v>
      </c>
      <c r="Q1880" s="582">
        <f t="shared" si="192"/>
        <v>10.139443087844537</v>
      </c>
      <c r="R1880" s="582">
        <f t="shared" si="193"/>
        <v>1.0213569121554635</v>
      </c>
      <c r="S1880" s="582">
        <f t="shared" si="196"/>
        <v>2.2062569121554638</v>
      </c>
      <c r="T1880" s="582">
        <f t="shared" si="194"/>
        <v>2.5083569121554641</v>
      </c>
      <c r="U1880" s="582">
        <f t="shared" si="195"/>
        <v>2.2163569121554638</v>
      </c>
    </row>
    <row r="1881" spans="10:21">
      <c r="J1881" s="580">
        <v>41635</v>
      </c>
      <c r="K1881" s="581">
        <v>0.99305555555555547</v>
      </c>
      <c r="L1881" s="582">
        <v>11.314399999999999</v>
      </c>
      <c r="M1881" s="582">
        <v>11.6569</v>
      </c>
      <c r="N1881" s="582">
        <v>12.4161</v>
      </c>
      <c r="O1881" s="582">
        <v>12.0648</v>
      </c>
      <c r="P1881" s="582">
        <v>99.143199999999993</v>
      </c>
      <c r="Q1881" s="582">
        <f t="shared" si="192"/>
        <v>10.137336749366083</v>
      </c>
      <c r="R1881" s="582">
        <f t="shared" si="193"/>
        <v>0.99206325063391587</v>
      </c>
      <c r="S1881" s="582">
        <f t="shared" si="196"/>
        <v>2.1695632506339173</v>
      </c>
      <c r="T1881" s="582">
        <f t="shared" si="194"/>
        <v>2.4687632506339172</v>
      </c>
      <c r="U1881" s="582">
        <f t="shared" si="195"/>
        <v>2.1974632506339167</v>
      </c>
    </row>
    <row r="1882" spans="10:21">
      <c r="J1882" s="580">
        <v>41636</v>
      </c>
      <c r="K1882" s="581">
        <v>0.99305555555555547</v>
      </c>
      <c r="L1882" s="582">
        <v>11.284000000000001</v>
      </c>
      <c r="M1882" s="582">
        <v>11.6113</v>
      </c>
      <c r="N1882" s="582">
        <v>12.373799999999999</v>
      </c>
      <c r="O1882" s="582">
        <v>12.0418</v>
      </c>
      <c r="P1882" s="582">
        <v>99.095600000000005</v>
      </c>
      <c r="Q1882" s="582">
        <f t="shared" si="192"/>
        <v>10.132469675988689</v>
      </c>
      <c r="R1882" s="582">
        <f t="shared" si="193"/>
        <v>0.96653032401131134</v>
      </c>
      <c r="S1882" s="582">
        <f t="shared" si="196"/>
        <v>2.1288303240113109</v>
      </c>
      <c r="T1882" s="582">
        <f t="shared" si="194"/>
        <v>2.4313303240113102</v>
      </c>
      <c r="U1882" s="582">
        <f t="shared" si="195"/>
        <v>2.1793303240113109</v>
      </c>
    </row>
    <row r="1883" spans="10:21">
      <c r="J1883" s="580">
        <v>41637</v>
      </c>
      <c r="K1883" s="581">
        <v>0.99305555555555547</v>
      </c>
      <c r="L1883" s="582">
        <v>11.265700000000001</v>
      </c>
      <c r="M1883" s="582">
        <v>11.5731</v>
      </c>
      <c r="N1883" s="582">
        <v>12.337300000000001</v>
      </c>
      <c r="O1883" s="582">
        <v>12.008900000000001</v>
      </c>
      <c r="P1883" s="582">
        <v>99.103399999999993</v>
      </c>
      <c r="Q1883" s="582">
        <f t="shared" si="192"/>
        <v>10.133267221626161</v>
      </c>
      <c r="R1883" s="582">
        <f t="shared" si="193"/>
        <v>0.94743277837383977</v>
      </c>
      <c r="S1883" s="582">
        <f t="shared" si="196"/>
        <v>2.0898327783738395</v>
      </c>
      <c r="T1883" s="582">
        <f t="shared" si="194"/>
        <v>2.3940327783738402</v>
      </c>
      <c r="U1883" s="582">
        <f t="shared" si="195"/>
        <v>2.1456327783738396</v>
      </c>
    </row>
    <row r="1884" spans="10:21">
      <c r="J1884" s="580">
        <v>41638</v>
      </c>
      <c r="K1884" s="581">
        <v>0.99305555555555547</v>
      </c>
      <c r="L1884" s="582">
        <v>11.2492</v>
      </c>
      <c r="M1884" s="582">
        <v>11.5352</v>
      </c>
      <c r="N1884" s="582">
        <v>12.2974</v>
      </c>
      <c r="O1884" s="582">
        <v>11.972799999999999</v>
      </c>
      <c r="P1884" s="582">
        <v>99.138900000000007</v>
      </c>
      <c r="Q1884" s="582">
        <f t="shared" si="192"/>
        <v>10.136897076771069</v>
      </c>
      <c r="R1884" s="582">
        <f t="shared" si="193"/>
        <v>0.92730292322893126</v>
      </c>
      <c r="S1884" s="582">
        <f t="shared" si="196"/>
        <v>2.0483029232289311</v>
      </c>
      <c r="T1884" s="582">
        <f t="shared" si="194"/>
        <v>2.3505029232289312</v>
      </c>
      <c r="U1884" s="582">
        <f t="shared" si="195"/>
        <v>2.1059029232289306</v>
      </c>
    </row>
    <row r="1885" spans="10:21">
      <c r="J1885" s="580">
        <v>41639</v>
      </c>
      <c r="K1885" s="581">
        <v>0.99305555555555547</v>
      </c>
      <c r="L1885" s="582">
        <v>11.222300000000001</v>
      </c>
      <c r="M1885" s="582">
        <v>11.4855</v>
      </c>
      <c r="N1885" s="582">
        <v>12.242599999999999</v>
      </c>
      <c r="O1885" s="582">
        <v>11.929399999999999</v>
      </c>
      <c r="P1885" s="582">
        <v>99.074700000000007</v>
      </c>
      <c r="Q1885" s="582">
        <f t="shared" si="192"/>
        <v>10.130332662678025</v>
      </c>
      <c r="R1885" s="582">
        <f t="shared" si="193"/>
        <v>0.90696733732197521</v>
      </c>
      <c r="S1885" s="582">
        <f t="shared" si="196"/>
        <v>2.0051673373219749</v>
      </c>
      <c r="T1885" s="582">
        <f t="shared" si="194"/>
        <v>2.3022673373219744</v>
      </c>
      <c r="U1885" s="582">
        <f t="shared" si="195"/>
        <v>2.0690673373219739</v>
      </c>
    </row>
    <row r="1886" spans="10:21">
      <c r="J1886" s="580">
        <v>41640</v>
      </c>
      <c r="K1886" s="581">
        <v>0.99305555555555547</v>
      </c>
      <c r="L1886" s="582">
        <v>11.2013</v>
      </c>
      <c r="M1886" s="582">
        <v>11.4617</v>
      </c>
      <c r="N1886" s="582">
        <v>12.2104</v>
      </c>
      <c r="O1886" s="582">
        <v>11.8957</v>
      </c>
      <c r="P1886" s="582">
        <v>99.078800000000001</v>
      </c>
      <c r="Q1886" s="582">
        <f t="shared" si="192"/>
        <v>10.130751885384901</v>
      </c>
      <c r="R1886" s="582">
        <f t="shared" si="193"/>
        <v>0.88554811461509841</v>
      </c>
      <c r="S1886" s="582">
        <f t="shared" si="196"/>
        <v>1.9809481146150991</v>
      </c>
      <c r="T1886" s="582">
        <f t="shared" si="194"/>
        <v>2.2696481146150989</v>
      </c>
      <c r="U1886" s="582">
        <f t="shared" si="195"/>
        <v>2.0349481146150983</v>
      </c>
    </row>
    <row r="1887" spans="10:21">
      <c r="J1887" s="580">
        <v>41641</v>
      </c>
      <c r="K1887" s="581">
        <v>0.99305555555555547</v>
      </c>
      <c r="L1887" s="582">
        <v>11.173299999999999</v>
      </c>
      <c r="M1887" s="582">
        <v>11.440200000000001</v>
      </c>
      <c r="N1887" s="582">
        <v>12.1814</v>
      </c>
      <c r="O1887" s="582">
        <v>11.869400000000001</v>
      </c>
      <c r="P1887" s="582">
        <v>99.092699999999994</v>
      </c>
      <c r="Q1887" s="582">
        <f t="shared" si="192"/>
        <v>10.132173152610653</v>
      </c>
      <c r="R1887" s="582">
        <f t="shared" si="193"/>
        <v>0.85612684738934652</v>
      </c>
      <c r="S1887" s="582">
        <f t="shared" si="196"/>
        <v>1.9580268473893481</v>
      </c>
      <c r="T1887" s="582">
        <f t="shared" si="194"/>
        <v>2.2392268473893475</v>
      </c>
      <c r="U1887" s="582">
        <f t="shared" si="195"/>
        <v>2.0072268473893478</v>
      </c>
    </row>
    <row r="1888" spans="10:21">
      <c r="J1888" s="580">
        <v>41642</v>
      </c>
      <c r="K1888" s="581">
        <v>0.99305555555555547</v>
      </c>
      <c r="L1888" s="582">
        <v>11.138</v>
      </c>
      <c r="M1888" s="582">
        <v>11.411099999999999</v>
      </c>
      <c r="N1888" s="582">
        <v>12.1472</v>
      </c>
      <c r="O1888" s="582">
        <v>11.8377</v>
      </c>
      <c r="P1888" s="582">
        <v>99.024100000000004</v>
      </c>
      <c r="Q1888" s="582">
        <f t="shared" si="192"/>
        <v>10.125158840978525</v>
      </c>
      <c r="R1888" s="582">
        <f t="shared" si="193"/>
        <v>0.82784115902147504</v>
      </c>
      <c r="S1888" s="582">
        <f t="shared" si="196"/>
        <v>1.9359411590214746</v>
      </c>
      <c r="T1888" s="582">
        <f t="shared" si="194"/>
        <v>2.2120411590214752</v>
      </c>
      <c r="U1888" s="582">
        <f t="shared" si="195"/>
        <v>1.982541159021475</v>
      </c>
    </row>
    <row r="1889" spans="10:21">
      <c r="J1889" s="580">
        <v>41643</v>
      </c>
      <c r="K1889" s="581">
        <v>0.99305555555555547</v>
      </c>
      <c r="L1889" s="582">
        <v>11.0939</v>
      </c>
      <c r="M1889" s="582">
        <v>11.3764</v>
      </c>
      <c r="N1889" s="582">
        <v>12.1096</v>
      </c>
      <c r="O1889" s="582">
        <v>11.8089</v>
      </c>
      <c r="P1889" s="582">
        <v>98.925799999999995</v>
      </c>
      <c r="Q1889" s="582">
        <f t="shared" si="192"/>
        <v>10.115107720957559</v>
      </c>
      <c r="R1889" s="582">
        <f t="shared" si="193"/>
        <v>0.7937922790424411</v>
      </c>
      <c r="S1889" s="582">
        <f t="shared" si="196"/>
        <v>1.9112922790424418</v>
      </c>
      <c r="T1889" s="582">
        <f t="shared" si="194"/>
        <v>2.1844922790424421</v>
      </c>
      <c r="U1889" s="582">
        <f t="shared" si="195"/>
        <v>1.9637922790424409</v>
      </c>
    </row>
    <row r="1890" spans="10:21">
      <c r="J1890" s="580">
        <v>41644</v>
      </c>
      <c r="K1890" s="581">
        <v>0.99305555555555547</v>
      </c>
      <c r="L1890" s="582">
        <v>11.0456</v>
      </c>
      <c r="M1890" s="582">
        <v>11.332599999999999</v>
      </c>
      <c r="N1890" s="582">
        <v>12.058199999999999</v>
      </c>
      <c r="O1890" s="582">
        <v>11.769600000000001</v>
      </c>
      <c r="P1890" s="582">
        <v>98.734200000000001</v>
      </c>
      <c r="Q1890" s="582">
        <f t="shared" si="192"/>
        <v>10.095516728119133</v>
      </c>
      <c r="R1890" s="582">
        <f t="shared" si="193"/>
        <v>0.76508327188086744</v>
      </c>
      <c r="S1890" s="582">
        <f t="shared" si="196"/>
        <v>1.8870832718808666</v>
      </c>
      <c r="T1890" s="582">
        <f t="shared" si="194"/>
        <v>2.1526832718808668</v>
      </c>
      <c r="U1890" s="582">
        <f t="shared" si="195"/>
        <v>1.9440832718808676</v>
      </c>
    </row>
    <row r="1891" spans="10:21">
      <c r="J1891" s="580">
        <v>41645</v>
      </c>
      <c r="K1891" s="581">
        <v>0.99305555555555547</v>
      </c>
      <c r="L1891" s="582">
        <v>11.030200000000001</v>
      </c>
      <c r="M1891" s="582">
        <v>11.322100000000001</v>
      </c>
      <c r="N1891" s="582">
        <v>12.0343</v>
      </c>
      <c r="O1891" s="582">
        <v>11.756500000000001</v>
      </c>
      <c r="P1891" s="582">
        <v>98.801000000000002</v>
      </c>
      <c r="Q1891" s="582">
        <f t="shared" si="192"/>
        <v>10.102346990757999</v>
      </c>
      <c r="R1891" s="582">
        <f t="shared" si="193"/>
        <v>0.74285300924200159</v>
      </c>
      <c r="S1891" s="582">
        <f t="shared" si="196"/>
        <v>1.8697530092420018</v>
      </c>
      <c r="T1891" s="582">
        <f t="shared" si="194"/>
        <v>2.1219530092420014</v>
      </c>
      <c r="U1891" s="582">
        <f t="shared" si="195"/>
        <v>1.9241530092420018</v>
      </c>
    </row>
    <row r="1892" spans="10:21">
      <c r="J1892" s="580">
        <v>41646</v>
      </c>
      <c r="K1892" s="581">
        <v>0.99305555555555547</v>
      </c>
      <c r="L1892" s="582">
        <v>11.032</v>
      </c>
      <c r="M1892" s="582">
        <v>11.117800000000001</v>
      </c>
      <c r="N1892" s="582">
        <v>12.029299999999999</v>
      </c>
      <c r="O1892" s="582">
        <v>11.757899999999999</v>
      </c>
      <c r="P1892" s="582">
        <v>98.979500000000002</v>
      </c>
      <c r="Q1892" s="582">
        <f t="shared" si="192"/>
        <v>10.120598515923234</v>
      </c>
      <c r="R1892" s="582">
        <f t="shared" si="193"/>
        <v>0.72640148407676586</v>
      </c>
      <c r="S1892" s="582">
        <f t="shared" si="196"/>
        <v>1.6472014840767668</v>
      </c>
      <c r="T1892" s="582">
        <f t="shared" si="194"/>
        <v>2.0987014840767655</v>
      </c>
      <c r="U1892" s="582">
        <f t="shared" si="195"/>
        <v>1.9073014840767653</v>
      </c>
    </row>
    <row r="1893" spans="10:21">
      <c r="J1893" s="580">
        <v>41647</v>
      </c>
      <c r="K1893" s="581">
        <v>0.99305555555555547</v>
      </c>
      <c r="L1893" s="582">
        <v>11.032999999999999</v>
      </c>
      <c r="M1893" s="582">
        <v>11.284000000000001</v>
      </c>
      <c r="N1893" s="582">
        <v>12.0183</v>
      </c>
      <c r="O1893" s="582">
        <v>11.761200000000001</v>
      </c>
      <c r="P1893" s="582">
        <v>99.0441</v>
      </c>
      <c r="Q1893" s="582">
        <f t="shared" si="192"/>
        <v>10.127203829792556</v>
      </c>
      <c r="R1893" s="582">
        <f t="shared" si="193"/>
        <v>0.72079617020744324</v>
      </c>
      <c r="S1893" s="582">
        <f t="shared" si="196"/>
        <v>1.8067961702074447</v>
      </c>
      <c r="T1893" s="582">
        <f t="shared" si="194"/>
        <v>2.0810961702074442</v>
      </c>
      <c r="U1893" s="582">
        <f t="shared" si="195"/>
        <v>1.9039961702074444</v>
      </c>
    </row>
    <row r="1894" spans="10:21">
      <c r="J1894" s="580">
        <v>41648</v>
      </c>
      <c r="K1894" s="581">
        <v>0.99305555555555547</v>
      </c>
      <c r="L1894" s="582">
        <v>11.0161</v>
      </c>
      <c r="M1894" s="582">
        <v>11.276899999999999</v>
      </c>
      <c r="N1894" s="582">
        <v>11.9933</v>
      </c>
      <c r="O1894" s="582">
        <v>11.744400000000001</v>
      </c>
      <c r="P1894" s="582">
        <v>99.038200000000003</v>
      </c>
      <c r="Q1894" s="582">
        <f t="shared" si="192"/>
        <v>10.126600558092418</v>
      </c>
      <c r="R1894" s="582">
        <f t="shared" si="193"/>
        <v>0.7044994419075814</v>
      </c>
      <c r="S1894" s="582">
        <f t="shared" si="196"/>
        <v>1.8002994419075813</v>
      </c>
      <c r="T1894" s="582">
        <f t="shared" si="194"/>
        <v>2.0566994419075817</v>
      </c>
      <c r="U1894" s="582">
        <f t="shared" si="195"/>
        <v>1.8877994419075823</v>
      </c>
    </row>
    <row r="1895" spans="10:21">
      <c r="J1895" s="580">
        <v>41649</v>
      </c>
      <c r="K1895" s="581">
        <v>0.99305555555555547</v>
      </c>
      <c r="L1895" s="582">
        <v>10.9979</v>
      </c>
      <c r="M1895" s="582">
        <v>11.254300000000001</v>
      </c>
      <c r="N1895" s="582">
        <v>11.9695</v>
      </c>
      <c r="O1895" s="582">
        <v>11.731</v>
      </c>
      <c r="P1895" s="582">
        <v>99.082800000000006</v>
      </c>
      <c r="Q1895" s="582">
        <f t="shared" si="192"/>
        <v>10.131160883147709</v>
      </c>
      <c r="R1895" s="582">
        <f t="shared" si="193"/>
        <v>0.68173911685229038</v>
      </c>
      <c r="S1895" s="582">
        <f t="shared" si="196"/>
        <v>1.7731391168522916</v>
      </c>
      <c r="T1895" s="582">
        <f t="shared" si="194"/>
        <v>2.0283391168522913</v>
      </c>
      <c r="U1895" s="582">
        <f t="shared" si="195"/>
        <v>1.8698391168522908</v>
      </c>
    </row>
    <row r="1896" spans="10:21">
      <c r="J1896" s="580">
        <v>41650</v>
      </c>
      <c r="K1896" s="581">
        <v>0.99305555555555547</v>
      </c>
      <c r="L1896" s="582">
        <v>10.9801</v>
      </c>
      <c r="M1896" s="582">
        <v>10.651199999999999</v>
      </c>
      <c r="N1896" s="582">
        <v>11.947100000000001</v>
      </c>
      <c r="O1896" s="582">
        <v>11.7217</v>
      </c>
      <c r="P1896" s="582">
        <v>99.137799999999999</v>
      </c>
      <c r="Q1896" s="582">
        <f t="shared" si="192"/>
        <v>10.136784602386296</v>
      </c>
      <c r="R1896" s="582">
        <f t="shared" si="193"/>
        <v>0.65831539761370417</v>
      </c>
      <c r="S1896" s="582">
        <f t="shared" si="196"/>
        <v>1.1644153976137035</v>
      </c>
      <c r="T1896" s="582">
        <f t="shared" si="194"/>
        <v>2.0003153976137051</v>
      </c>
      <c r="U1896" s="582">
        <f t="shared" si="195"/>
        <v>1.8549153976137043</v>
      </c>
    </row>
    <row r="1897" spans="10:21">
      <c r="J1897" s="580">
        <v>41651</v>
      </c>
      <c r="K1897" s="581">
        <v>0.99305555555555547</v>
      </c>
      <c r="L1897" s="582">
        <v>10.936</v>
      </c>
      <c r="M1897" s="582">
        <v>10.606199999999999</v>
      </c>
      <c r="N1897" s="582">
        <v>11.9191</v>
      </c>
      <c r="O1897" s="582">
        <v>11.705</v>
      </c>
      <c r="P1897" s="582">
        <v>99.145300000000006</v>
      </c>
      <c r="Q1897" s="582">
        <f t="shared" si="192"/>
        <v>10.137551473191559</v>
      </c>
      <c r="R1897" s="582">
        <f t="shared" si="193"/>
        <v>0.61344852680844086</v>
      </c>
      <c r="S1897" s="582">
        <f t="shared" si="196"/>
        <v>1.1186485268084405</v>
      </c>
      <c r="T1897" s="582">
        <f t="shared" si="194"/>
        <v>1.9715485268084414</v>
      </c>
      <c r="U1897" s="582">
        <f t="shared" si="195"/>
        <v>1.8374485268084411</v>
      </c>
    </row>
    <row r="1898" spans="10:21">
      <c r="J1898" s="580">
        <v>41652</v>
      </c>
      <c r="K1898" s="581">
        <v>0.99305555555555547</v>
      </c>
      <c r="L1898" s="582">
        <v>10.8584</v>
      </c>
      <c r="M1898" s="582">
        <v>10.5764</v>
      </c>
      <c r="N1898" s="582">
        <v>11.891400000000001</v>
      </c>
      <c r="O1898" s="582">
        <v>11.684799999999999</v>
      </c>
      <c r="P1898" s="582">
        <v>99.132599999999996</v>
      </c>
      <c r="Q1898" s="582">
        <f t="shared" si="192"/>
        <v>10.136252905294647</v>
      </c>
      <c r="R1898" s="582">
        <f t="shared" si="193"/>
        <v>0.53714709470535249</v>
      </c>
      <c r="S1898" s="582">
        <f t="shared" si="196"/>
        <v>1.0901470947053526</v>
      </c>
      <c r="T1898" s="582">
        <f t="shared" si="194"/>
        <v>1.945147094705354</v>
      </c>
      <c r="U1898" s="582">
        <f t="shared" si="195"/>
        <v>1.8185470947053521</v>
      </c>
    </row>
    <row r="1899" spans="10:21">
      <c r="J1899" s="580">
        <v>41653</v>
      </c>
      <c r="K1899" s="581">
        <v>0.99305555555555547</v>
      </c>
      <c r="L1899" s="582">
        <v>10.7759</v>
      </c>
      <c r="M1899" s="582">
        <v>10.577999999999999</v>
      </c>
      <c r="N1899" s="582">
        <v>11.8649</v>
      </c>
      <c r="O1899" s="582">
        <v>11.665900000000001</v>
      </c>
      <c r="P1899" s="582">
        <v>99.122100000000003</v>
      </c>
      <c r="Q1899" s="582">
        <f t="shared" si="192"/>
        <v>10.135179286167281</v>
      </c>
      <c r="R1899" s="582">
        <f t="shared" si="193"/>
        <v>0.45572071383271912</v>
      </c>
      <c r="S1899" s="582">
        <f t="shared" si="196"/>
        <v>1.0928207138327186</v>
      </c>
      <c r="T1899" s="582">
        <f t="shared" si="194"/>
        <v>1.9197207138327197</v>
      </c>
      <c r="U1899" s="582">
        <f t="shared" si="195"/>
        <v>1.8007207138327197</v>
      </c>
    </row>
    <row r="1900" spans="10:21">
      <c r="J1900" s="580">
        <v>41654</v>
      </c>
      <c r="K1900" s="581">
        <v>0.99305555555555547</v>
      </c>
      <c r="L1900" s="582">
        <v>10.733700000000001</v>
      </c>
      <c r="M1900" s="582">
        <v>10.589</v>
      </c>
      <c r="N1900" s="582">
        <v>11.844099999999999</v>
      </c>
      <c r="O1900" s="582">
        <v>11.6548</v>
      </c>
      <c r="P1900" s="582">
        <v>99.190600000000003</v>
      </c>
      <c r="Q1900" s="582">
        <f t="shared" si="192"/>
        <v>10.142183372855341</v>
      </c>
      <c r="R1900" s="582">
        <f t="shared" si="193"/>
        <v>0.40651662714466014</v>
      </c>
      <c r="S1900" s="582">
        <f t="shared" si="196"/>
        <v>1.09681662714466</v>
      </c>
      <c r="T1900" s="582">
        <f t="shared" si="194"/>
        <v>1.8919166271446588</v>
      </c>
      <c r="U1900" s="582">
        <f t="shared" si="195"/>
        <v>1.7826166271446593</v>
      </c>
    </row>
    <row r="1901" spans="10:21">
      <c r="J1901" s="580">
        <v>41655</v>
      </c>
      <c r="K1901" s="581">
        <v>0.99305555555555547</v>
      </c>
      <c r="L1901" s="582">
        <v>10.6372</v>
      </c>
      <c r="M1901" s="582">
        <v>10.589700000000001</v>
      </c>
      <c r="N1901" s="582">
        <v>11.818</v>
      </c>
      <c r="O1901" s="582">
        <v>11.6373</v>
      </c>
      <c r="P1901" s="582">
        <v>99.200199999999995</v>
      </c>
      <c r="Q1901" s="582">
        <f t="shared" si="192"/>
        <v>10.143164967486074</v>
      </c>
      <c r="R1901" s="582">
        <f t="shared" si="193"/>
        <v>0.309035032513926</v>
      </c>
      <c r="S1901" s="582">
        <f t="shared" si="196"/>
        <v>1.0965350325139267</v>
      </c>
      <c r="T1901" s="582">
        <f t="shared" si="194"/>
        <v>1.8648350325139258</v>
      </c>
      <c r="U1901" s="582">
        <f t="shared" si="195"/>
        <v>1.7641350325139258</v>
      </c>
    </row>
    <row r="1902" spans="10:21">
      <c r="J1902" s="580">
        <v>41656</v>
      </c>
      <c r="K1902" s="581">
        <v>0.99305555555555547</v>
      </c>
      <c r="L1902" s="582">
        <v>10.533099999999999</v>
      </c>
      <c r="M1902" s="582">
        <v>10.577</v>
      </c>
      <c r="N1902" s="582">
        <v>11.788600000000001</v>
      </c>
      <c r="O1902" s="582">
        <v>11.610200000000001</v>
      </c>
      <c r="P1902" s="582">
        <v>99.126300000000001</v>
      </c>
      <c r="Q1902" s="582">
        <f t="shared" si="192"/>
        <v>10.135608733818227</v>
      </c>
      <c r="R1902" s="582">
        <f t="shared" si="193"/>
        <v>0.21249126618177222</v>
      </c>
      <c r="S1902" s="582">
        <f t="shared" si="196"/>
        <v>1.0913912661817731</v>
      </c>
      <c r="T1902" s="582">
        <f t="shared" si="194"/>
        <v>1.8429912661817738</v>
      </c>
      <c r="U1902" s="582">
        <f t="shared" si="195"/>
        <v>1.7445912661817737</v>
      </c>
    </row>
    <row r="1903" spans="10:21">
      <c r="J1903" s="580">
        <v>41657</v>
      </c>
      <c r="K1903" s="581">
        <v>0.99305555555555547</v>
      </c>
      <c r="L1903" s="582">
        <v>10.551</v>
      </c>
      <c r="M1903" s="582">
        <v>10.5975</v>
      </c>
      <c r="N1903" s="582">
        <v>11.784700000000001</v>
      </c>
      <c r="O1903" s="582">
        <v>11.609500000000001</v>
      </c>
      <c r="P1903" s="582">
        <v>99.311300000000003</v>
      </c>
      <c r="Q1903" s="582">
        <f t="shared" si="192"/>
        <v>10.154524880348022</v>
      </c>
      <c r="R1903" s="582">
        <f t="shared" si="193"/>
        <v>0.21147511965197779</v>
      </c>
      <c r="S1903" s="582">
        <f t="shared" si="196"/>
        <v>1.0929751196519779</v>
      </c>
      <c r="T1903" s="582">
        <f t="shared" si="194"/>
        <v>1.8201751196519786</v>
      </c>
      <c r="U1903" s="582">
        <f t="shared" si="195"/>
        <v>1.7249751196519783</v>
      </c>
    </row>
    <row r="1904" spans="10:21">
      <c r="J1904" s="580">
        <v>41658</v>
      </c>
      <c r="K1904" s="581">
        <v>0.99305555555555547</v>
      </c>
      <c r="L1904" s="582">
        <v>10.5496</v>
      </c>
      <c r="M1904" s="582">
        <v>10.594099999999999</v>
      </c>
      <c r="N1904" s="582">
        <v>11.7662</v>
      </c>
      <c r="O1904" s="582">
        <v>11.592599999999999</v>
      </c>
      <c r="P1904" s="582">
        <v>99.346999999999994</v>
      </c>
      <c r="Q1904" s="582">
        <f t="shared" si="192"/>
        <v>10.158175185381069</v>
      </c>
      <c r="R1904" s="582">
        <f t="shared" si="193"/>
        <v>0.2064248146189312</v>
      </c>
      <c r="S1904" s="582">
        <f t="shared" si="196"/>
        <v>1.0859248146189306</v>
      </c>
      <c r="T1904" s="582">
        <f t="shared" si="194"/>
        <v>1.798024814618931</v>
      </c>
      <c r="U1904" s="582">
        <f t="shared" si="195"/>
        <v>1.7044248146189305</v>
      </c>
    </row>
    <row r="1905" spans="10:21">
      <c r="J1905" s="580">
        <v>41659</v>
      </c>
      <c r="K1905" s="581">
        <v>0.99305555555555547</v>
      </c>
      <c r="L1905" s="582">
        <v>10.198499999999999</v>
      </c>
      <c r="M1905" s="582">
        <v>10.194699999999999</v>
      </c>
      <c r="N1905" s="582">
        <v>11.743</v>
      </c>
      <c r="O1905" s="582">
        <v>11.571199999999999</v>
      </c>
      <c r="P1905" s="582">
        <v>99.346100000000007</v>
      </c>
      <c r="Q1905" s="582">
        <f t="shared" si="192"/>
        <v>10.158083160884438</v>
      </c>
      <c r="R1905" s="582">
        <f t="shared" si="193"/>
        <v>0</v>
      </c>
      <c r="S1905" s="582">
        <f t="shared" si="196"/>
        <v>0.68661683911556159</v>
      </c>
      <c r="T1905" s="582">
        <f t="shared" si="194"/>
        <v>1.7749168391155627</v>
      </c>
      <c r="U1905" s="582">
        <f t="shared" si="195"/>
        <v>1.6831168391155615</v>
      </c>
    </row>
    <row r="1906" spans="10:21">
      <c r="J1906" s="580">
        <v>41660</v>
      </c>
      <c r="K1906" s="581">
        <v>0.99305555555555547</v>
      </c>
      <c r="L1906" s="582">
        <v>10.1798</v>
      </c>
      <c r="M1906" s="582">
        <v>10.1761</v>
      </c>
      <c r="N1906" s="582">
        <v>11.7034</v>
      </c>
      <c r="O1906" s="582">
        <v>11.5337</v>
      </c>
      <c r="P1906" s="582">
        <v>99.186999999999998</v>
      </c>
      <c r="Q1906" s="582">
        <f t="shared" si="192"/>
        <v>10.141815274868813</v>
      </c>
      <c r="R1906" s="582">
        <f t="shared" si="193"/>
        <v>0</v>
      </c>
      <c r="S1906" s="582">
        <f t="shared" si="196"/>
        <v>0.68428472513118677</v>
      </c>
      <c r="T1906" s="582">
        <f t="shared" si="194"/>
        <v>1.7515847251311871</v>
      </c>
      <c r="U1906" s="582">
        <f t="shared" si="195"/>
        <v>1.6618847251311863</v>
      </c>
    </row>
    <row r="1907" spans="10:21">
      <c r="J1907" s="580">
        <v>41661</v>
      </c>
      <c r="K1907" s="581">
        <v>0.99305555555555547</v>
      </c>
      <c r="L1907" s="582">
        <v>10.1891</v>
      </c>
      <c r="M1907" s="582">
        <v>10.176600000000001</v>
      </c>
      <c r="N1907" s="582">
        <v>11.6843</v>
      </c>
      <c r="O1907" s="582">
        <v>11.5158</v>
      </c>
      <c r="P1907" s="582">
        <v>99.222499999999997</v>
      </c>
      <c r="Q1907" s="582">
        <f t="shared" si="192"/>
        <v>10.145445130013719</v>
      </c>
      <c r="R1907" s="582">
        <f t="shared" si="193"/>
        <v>0</v>
      </c>
      <c r="S1907" s="582">
        <f t="shared" si="196"/>
        <v>0.68115486998628128</v>
      </c>
      <c r="T1907" s="582">
        <f t="shared" si="194"/>
        <v>1.7288548699862811</v>
      </c>
      <c r="U1907" s="582">
        <f t="shared" si="195"/>
        <v>1.6403548699862811</v>
      </c>
    </row>
    <row r="1908" spans="10:21">
      <c r="J1908" s="580">
        <v>41662</v>
      </c>
      <c r="K1908" s="581">
        <v>0.99305555555555547</v>
      </c>
      <c r="L1908" s="582">
        <v>10.1868</v>
      </c>
      <c r="M1908" s="582">
        <v>10.174300000000001</v>
      </c>
      <c r="N1908" s="582">
        <v>11.6623</v>
      </c>
      <c r="O1908" s="582">
        <v>11.494</v>
      </c>
      <c r="P1908" s="582">
        <v>99.230900000000005</v>
      </c>
      <c r="Q1908" s="582">
        <f t="shared" si="192"/>
        <v>10.146304025315615</v>
      </c>
      <c r="R1908" s="582">
        <f t="shared" si="193"/>
        <v>0</v>
      </c>
      <c r="S1908" s="582">
        <f t="shared" si="196"/>
        <v>0.67799597468438555</v>
      </c>
      <c r="T1908" s="582">
        <f t="shared" si="194"/>
        <v>1.7059959746843851</v>
      </c>
      <c r="U1908" s="582">
        <f t="shared" si="195"/>
        <v>1.6176959746843846</v>
      </c>
    </row>
    <row r="1909" spans="10:21">
      <c r="J1909" s="580">
        <v>41663</v>
      </c>
      <c r="K1909" s="581">
        <v>0.99305555555555547</v>
      </c>
      <c r="L1909" s="582">
        <v>10.1716</v>
      </c>
      <c r="M1909" s="582">
        <v>10.158300000000001</v>
      </c>
      <c r="N1909" s="582">
        <v>11.6221</v>
      </c>
      <c r="O1909" s="582">
        <v>11.453799999999999</v>
      </c>
      <c r="P1909" s="582">
        <v>99.0505</v>
      </c>
      <c r="Q1909" s="582">
        <f t="shared" ref="Q1909:Q1972" si="197">P1909/($G$8*$H$8)</f>
        <v>10.127858226213046</v>
      </c>
      <c r="R1909" s="582">
        <f t="shared" ref="R1909:R1972" si="198">IF((L1909-Q1909-$D$8+$E$8)&lt;0,0,(L1909-Q1909-$D$8+$E$8))</f>
        <v>0</v>
      </c>
      <c r="S1909" s="582">
        <f t="shared" si="196"/>
        <v>0.68044177378695436</v>
      </c>
      <c r="T1909" s="582">
        <f t="shared" ref="T1909:T1972" si="199">N1909-Q1909-$D$10+$E$10</f>
        <v>1.6842417737869535</v>
      </c>
      <c r="U1909" s="582">
        <f t="shared" ref="U1909:U1972" si="200">O1909-Q1909-$D$11+$E$11</f>
        <v>1.595941773786953</v>
      </c>
    </row>
    <row r="1910" spans="10:21">
      <c r="J1910" s="580">
        <v>41664</v>
      </c>
      <c r="K1910" s="581">
        <v>0.99305555555555547</v>
      </c>
      <c r="L1910" s="582">
        <v>10.1729</v>
      </c>
      <c r="M1910" s="582">
        <v>10.1587</v>
      </c>
      <c r="N1910" s="582">
        <v>11.6013</v>
      </c>
      <c r="O1910" s="582">
        <v>11.4297</v>
      </c>
      <c r="P1910" s="582">
        <v>99.040300000000002</v>
      </c>
      <c r="Q1910" s="582">
        <f t="shared" si="197"/>
        <v>10.12681528191789</v>
      </c>
      <c r="R1910" s="582">
        <f t="shared" si="198"/>
        <v>0</v>
      </c>
      <c r="S1910" s="582">
        <f t="shared" si="196"/>
        <v>0.68188471808210926</v>
      </c>
      <c r="T1910" s="582">
        <f t="shared" si="199"/>
        <v>1.6644847180821098</v>
      </c>
      <c r="U1910" s="582">
        <f t="shared" si="200"/>
        <v>1.5728847180821099</v>
      </c>
    </row>
    <row r="1911" spans="10:21">
      <c r="J1911" s="580">
        <v>41665</v>
      </c>
      <c r="K1911" s="581">
        <v>0.99305555555555547</v>
      </c>
      <c r="L1911" s="582">
        <v>10.174200000000001</v>
      </c>
      <c r="M1911" s="582">
        <v>10.160299999999999</v>
      </c>
      <c r="N1911" s="582">
        <v>11.5808</v>
      </c>
      <c r="O1911" s="582">
        <v>11.4079</v>
      </c>
      <c r="P1911" s="582">
        <v>99.056600000000003</v>
      </c>
      <c r="Q1911" s="582">
        <f t="shared" si="197"/>
        <v>10.128481947801326</v>
      </c>
      <c r="R1911" s="582">
        <f t="shared" si="198"/>
        <v>0</v>
      </c>
      <c r="S1911" s="582">
        <f t="shared" si="196"/>
        <v>0.68181805219867342</v>
      </c>
      <c r="T1911" s="582">
        <f t="shared" si="199"/>
        <v>1.642318052198674</v>
      </c>
      <c r="U1911" s="582">
        <f t="shared" si="200"/>
        <v>1.5494180521986736</v>
      </c>
    </row>
    <row r="1912" spans="10:21">
      <c r="J1912" s="580">
        <v>41666</v>
      </c>
      <c r="K1912" s="581">
        <v>0.99305555555555547</v>
      </c>
      <c r="L1912" s="582">
        <v>10.172000000000001</v>
      </c>
      <c r="M1912" s="582">
        <v>10.159700000000001</v>
      </c>
      <c r="N1912" s="582">
        <v>11.5585</v>
      </c>
      <c r="O1912" s="582">
        <v>11.383800000000001</v>
      </c>
      <c r="P1912" s="582">
        <v>99.0578</v>
      </c>
      <c r="Q1912" s="582">
        <f t="shared" si="197"/>
        <v>10.128604647130169</v>
      </c>
      <c r="R1912" s="582">
        <f t="shared" si="198"/>
        <v>0</v>
      </c>
      <c r="S1912" s="582">
        <f t="shared" si="196"/>
        <v>0.6810953528698318</v>
      </c>
      <c r="T1912" s="582">
        <f t="shared" si="199"/>
        <v>1.6198953528698314</v>
      </c>
      <c r="U1912" s="582">
        <f t="shared" si="200"/>
        <v>1.5251953528698317</v>
      </c>
    </row>
    <row r="1913" spans="10:21">
      <c r="J1913" s="580">
        <v>41667</v>
      </c>
      <c r="K1913" s="581">
        <v>0.99305555555555547</v>
      </c>
      <c r="L1913" s="582">
        <v>10.173</v>
      </c>
      <c r="M1913" s="582">
        <v>10.1614</v>
      </c>
      <c r="N1913" s="582">
        <v>11.538</v>
      </c>
      <c r="O1913" s="582">
        <v>11.360900000000001</v>
      </c>
      <c r="P1913" s="582">
        <v>99.055499999999995</v>
      </c>
      <c r="Q1913" s="582">
        <f t="shared" si="197"/>
        <v>10.128369473416555</v>
      </c>
      <c r="R1913" s="582">
        <f t="shared" si="198"/>
        <v>0</v>
      </c>
      <c r="S1913" s="582">
        <f t="shared" si="196"/>
        <v>0.68303052658344554</v>
      </c>
      <c r="T1913" s="582">
        <f t="shared" si="199"/>
        <v>1.5996305265834454</v>
      </c>
      <c r="U1913" s="582">
        <f t="shared" si="200"/>
        <v>1.5025305265834459</v>
      </c>
    </row>
    <row r="1914" spans="10:21">
      <c r="J1914" s="580">
        <v>41668</v>
      </c>
      <c r="K1914" s="581">
        <v>0.99305555555555547</v>
      </c>
      <c r="L1914" s="582">
        <v>10.1812</v>
      </c>
      <c r="M1914" s="582">
        <v>10.1676</v>
      </c>
      <c r="N1914" s="582">
        <v>11.5265</v>
      </c>
      <c r="O1914" s="582">
        <v>11.3467</v>
      </c>
      <c r="P1914" s="582">
        <v>99.158799999999999</v>
      </c>
      <c r="Q1914" s="582">
        <f t="shared" si="197"/>
        <v>10.138931840641028</v>
      </c>
      <c r="R1914" s="582">
        <f t="shared" si="198"/>
        <v>0</v>
      </c>
      <c r="S1914" s="582">
        <f t="shared" si="196"/>
        <v>0.67866815935897207</v>
      </c>
      <c r="T1914" s="582">
        <f t="shared" si="199"/>
        <v>1.5775681593589723</v>
      </c>
      <c r="U1914" s="582">
        <f t="shared" si="200"/>
        <v>1.477768159358972</v>
      </c>
    </row>
    <row r="1915" spans="10:21">
      <c r="J1915" s="580">
        <v>41669</v>
      </c>
      <c r="K1915" s="581">
        <v>0.99305555555555547</v>
      </c>
      <c r="L1915" s="582">
        <v>10.180899999999999</v>
      </c>
      <c r="M1915" s="582">
        <v>10.167299999999999</v>
      </c>
      <c r="N1915" s="582">
        <v>11.503299999999999</v>
      </c>
      <c r="O1915" s="582">
        <v>11.319599999999999</v>
      </c>
      <c r="P1915" s="582">
        <v>99.141499999999994</v>
      </c>
      <c r="Q1915" s="582">
        <f t="shared" si="197"/>
        <v>10.137162925316892</v>
      </c>
      <c r="R1915" s="582">
        <f t="shared" si="198"/>
        <v>0</v>
      </c>
      <c r="S1915" s="582">
        <f t="shared" si="196"/>
        <v>0.68013707468310769</v>
      </c>
      <c r="T1915" s="582">
        <f t="shared" si="199"/>
        <v>1.556137074683108</v>
      </c>
      <c r="U1915" s="582">
        <f t="shared" si="200"/>
        <v>1.4524370746831079</v>
      </c>
    </row>
    <row r="1916" spans="10:21">
      <c r="J1916" s="580">
        <v>41670</v>
      </c>
      <c r="K1916" s="581">
        <v>0.99305555555555547</v>
      </c>
      <c r="L1916" s="582">
        <v>10.163399999999999</v>
      </c>
      <c r="M1916" s="582">
        <v>10.149699999999999</v>
      </c>
      <c r="N1916" s="582">
        <v>11.4657</v>
      </c>
      <c r="O1916" s="582">
        <v>11.278499999999999</v>
      </c>
      <c r="P1916" s="582">
        <v>98.981200000000001</v>
      </c>
      <c r="Q1916" s="582">
        <f t="shared" si="197"/>
        <v>10.120772339972426</v>
      </c>
      <c r="R1916" s="582">
        <f t="shared" si="198"/>
        <v>0</v>
      </c>
      <c r="S1916" s="582">
        <f t="shared" si="196"/>
        <v>0.67892766002757354</v>
      </c>
      <c r="T1916" s="582">
        <f t="shared" si="199"/>
        <v>1.5349276600275741</v>
      </c>
      <c r="U1916" s="582">
        <f t="shared" si="200"/>
        <v>1.4277276600275735</v>
      </c>
    </row>
    <row r="1917" spans="10:21">
      <c r="J1917" s="580">
        <v>41671</v>
      </c>
      <c r="K1917" s="581">
        <v>0.99305555555555547</v>
      </c>
      <c r="L1917" s="582">
        <v>10.1769</v>
      </c>
      <c r="M1917" s="582">
        <v>10.163</v>
      </c>
      <c r="N1917" s="582">
        <v>11.4588</v>
      </c>
      <c r="O1917" s="582">
        <v>11.2662</v>
      </c>
      <c r="P1917" s="582">
        <v>99.106899999999996</v>
      </c>
      <c r="Q1917" s="582">
        <f t="shared" si="197"/>
        <v>10.133625094668616</v>
      </c>
      <c r="R1917" s="582">
        <f t="shared" si="198"/>
        <v>0</v>
      </c>
      <c r="S1917" s="582">
        <f t="shared" si="196"/>
        <v>0.679374905331384</v>
      </c>
      <c r="T1917" s="582">
        <f t="shared" si="199"/>
        <v>1.5151749053313837</v>
      </c>
      <c r="U1917" s="582">
        <f t="shared" si="200"/>
        <v>1.4025749053313832</v>
      </c>
    </row>
    <row r="1918" spans="10:21">
      <c r="J1918" s="580">
        <v>41672</v>
      </c>
      <c r="K1918" s="581">
        <v>0.99305555555555547</v>
      </c>
      <c r="L1918" s="582">
        <v>10.1593</v>
      </c>
      <c r="M1918" s="582">
        <v>10.145799999999999</v>
      </c>
      <c r="N1918" s="582">
        <v>11.4216</v>
      </c>
      <c r="O1918" s="582">
        <v>11.225</v>
      </c>
      <c r="P1918" s="582">
        <v>98.933400000000006</v>
      </c>
      <c r="Q1918" s="582">
        <f t="shared" si="197"/>
        <v>10.115884816706892</v>
      </c>
      <c r="R1918" s="582">
        <f t="shared" si="198"/>
        <v>0</v>
      </c>
      <c r="S1918" s="582">
        <f t="shared" si="196"/>
        <v>0.67991518329310785</v>
      </c>
      <c r="T1918" s="582">
        <f t="shared" si="199"/>
        <v>1.4957151832931079</v>
      </c>
      <c r="U1918" s="582">
        <f t="shared" si="200"/>
        <v>1.3791151832931079</v>
      </c>
    </row>
    <row r="1919" spans="10:21">
      <c r="J1919" s="580">
        <v>41673</v>
      </c>
      <c r="K1919" s="581">
        <v>0.99305555555555547</v>
      </c>
      <c r="L1919" s="582">
        <v>10.151</v>
      </c>
      <c r="M1919" s="582">
        <v>10.1386</v>
      </c>
      <c r="N1919" s="582">
        <v>11.389200000000001</v>
      </c>
      <c r="O1919" s="582">
        <v>11.192</v>
      </c>
      <c r="P1919" s="582">
        <v>98.851200000000006</v>
      </c>
      <c r="Q1919" s="582">
        <f t="shared" si="197"/>
        <v>10.107479912681221</v>
      </c>
      <c r="R1919" s="582">
        <f t="shared" si="198"/>
        <v>0</v>
      </c>
      <c r="S1919" s="582">
        <f t="shared" si="196"/>
        <v>0.68112008731877949</v>
      </c>
      <c r="T1919" s="582">
        <f t="shared" si="199"/>
        <v>1.4717200873187797</v>
      </c>
      <c r="U1919" s="582">
        <f t="shared" si="200"/>
        <v>1.3545200873187793</v>
      </c>
    </row>
    <row r="1920" spans="10:21">
      <c r="J1920" s="580">
        <v>41674</v>
      </c>
      <c r="K1920" s="581">
        <v>0.99305555555555547</v>
      </c>
      <c r="L1920" s="582">
        <v>10.1387</v>
      </c>
      <c r="M1920" s="582">
        <v>10.1259</v>
      </c>
      <c r="N1920" s="582">
        <v>11.355399999999999</v>
      </c>
      <c r="O1920" s="582">
        <v>11.152699999999999</v>
      </c>
      <c r="P1920" s="582">
        <v>98.705500000000001</v>
      </c>
      <c r="Q1920" s="582">
        <f t="shared" si="197"/>
        <v>10.092582169170997</v>
      </c>
      <c r="R1920" s="582">
        <f t="shared" si="198"/>
        <v>0</v>
      </c>
      <c r="S1920" s="582">
        <f t="shared" si="196"/>
        <v>0.68331783082900244</v>
      </c>
      <c r="T1920" s="582">
        <f t="shared" si="199"/>
        <v>1.4528178308290021</v>
      </c>
      <c r="U1920" s="582">
        <f t="shared" si="200"/>
        <v>1.330117830829002</v>
      </c>
    </row>
    <row r="1921" spans="10:21">
      <c r="J1921" s="580">
        <v>41675</v>
      </c>
      <c r="K1921" s="581">
        <v>0.99305555555555547</v>
      </c>
      <c r="L1921" s="582">
        <v>10.148</v>
      </c>
      <c r="M1921" s="582">
        <v>10.1349</v>
      </c>
      <c r="N1921" s="582">
        <v>11.343999999999999</v>
      </c>
      <c r="O1921" s="582">
        <v>11.139200000000001</v>
      </c>
      <c r="P1921" s="582">
        <v>98.803399999999996</v>
      </c>
      <c r="Q1921" s="582">
        <f t="shared" si="197"/>
        <v>10.102592389415683</v>
      </c>
      <c r="R1921" s="582">
        <f t="shared" si="198"/>
        <v>0</v>
      </c>
      <c r="S1921" s="582">
        <f t="shared" si="196"/>
        <v>0.68230761058431688</v>
      </c>
      <c r="T1921" s="582">
        <f t="shared" si="199"/>
        <v>1.4314076105843161</v>
      </c>
      <c r="U1921" s="582">
        <f t="shared" si="200"/>
        <v>1.3066076105843174</v>
      </c>
    </row>
    <row r="1922" spans="10:21">
      <c r="J1922" s="580">
        <v>41676</v>
      </c>
      <c r="K1922" s="581">
        <v>0.99305555555555547</v>
      </c>
      <c r="L1922" s="582">
        <v>10.1408</v>
      </c>
      <c r="M1922" s="582">
        <v>10.1282</v>
      </c>
      <c r="N1922" s="582">
        <v>11.3161</v>
      </c>
      <c r="O1922" s="582">
        <v>11.1105</v>
      </c>
      <c r="P1922" s="582">
        <v>98.737399999999994</v>
      </c>
      <c r="Q1922" s="582">
        <f t="shared" si="197"/>
        <v>10.095843926329378</v>
      </c>
      <c r="R1922" s="582">
        <f t="shared" si="198"/>
        <v>0</v>
      </c>
      <c r="S1922" s="582">
        <f t="shared" si="196"/>
        <v>0.68235607367062179</v>
      </c>
      <c r="T1922" s="582">
        <f t="shared" si="199"/>
        <v>1.4102560736706224</v>
      </c>
      <c r="U1922" s="582">
        <f t="shared" si="200"/>
        <v>1.2846560736706221</v>
      </c>
    </row>
    <row r="1923" spans="10:21">
      <c r="J1923" s="580">
        <v>41677</v>
      </c>
      <c r="K1923" s="581">
        <v>0.99305555555555547</v>
      </c>
      <c r="L1923" s="582">
        <v>10.148300000000001</v>
      </c>
      <c r="M1923" s="582">
        <v>10.135999999999999</v>
      </c>
      <c r="N1923" s="582">
        <v>11.3019</v>
      </c>
      <c r="O1923" s="582">
        <v>11.094200000000001</v>
      </c>
      <c r="P1923" s="582">
        <v>98.803600000000003</v>
      </c>
      <c r="Q1923" s="582">
        <f t="shared" si="197"/>
        <v>10.102612839303823</v>
      </c>
      <c r="R1923" s="582">
        <f t="shared" si="198"/>
        <v>0</v>
      </c>
      <c r="S1923" s="582">
        <f t="shared" si="196"/>
        <v>0.68338716069617589</v>
      </c>
      <c r="T1923" s="582">
        <f t="shared" si="199"/>
        <v>1.3892871606961763</v>
      </c>
      <c r="U1923" s="582">
        <f t="shared" si="200"/>
        <v>1.2615871606961773</v>
      </c>
    </row>
    <row r="1924" spans="10:21">
      <c r="J1924" s="580">
        <v>41678</v>
      </c>
      <c r="K1924" s="581">
        <v>0.99305555555555547</v>
      </c>
      <c r="L1924" s="582">
        <v>10.1388</v>
      </c>
      <c r="M1924" s="582">
        <v>10.1258</v>
      </c>
      <c r="N1924" s="582">
        <v>11.270899999999999</v>
      </c>
      <c r="O1924" s="582">
        <v>11.059100000000001</v>
      </c>
      <c r="P1924" s="582">
        <v>98.713300000000004</v>
      </c>
      <c r="Q1924" s="582">
        <f t="shared" si="197"/>
        <v>10.093379714808471</v>
      </c>
      <c r="R1924" s="582">
        <f t="shared" si="198"/>
        <v>0</v>
      </c>
      <c r="S1924" s="582">
        <f t="shared" si="196"/>
        <v>0.68242028519152931</v>
      </c>
      <c r="T1924" s="582">
        <f t="shared" si="199"/>
        <v>1.3675202851915285</v>
      </c>
      <c r="U1924" s="582">
        <f t="shared" si="200"/>
        <v>1.2357202851915301</v>
      </c>
    </row>
    <row r="1925" spans="10:21">
      <c r="J1925" s="580">
        <v>41679</v>
      </c>
      <c r="K1925" s="581">
        <v>0.99305555555555547</v>
      </c>
      <c r="L1925" s="582">
        <v>10.144299999999999</v>
      </c>
      <c r="M1925" s="582">
        <v>10.132400000000001</v>
      </c>
      <c r="N1925" s="582">
        <v>11.256</v>
      </c>
      <c r="O1925" s="582">
        <v>11.040100000000001</v>
      </c>
      <c r="P1925" s="582">
        <v>98.766000000000005</v>
      </c>
      <c r="Q1925" s="582">
        <f t="shared" si="197"/>
        <v>10.098768260333445</v>
      </c>
      <c r="R1925" s="582">
        <f t="shared" si="198"/>
        <v>0</v>
      </c>
      <c r="S1925" s="582">
        <f t="shared" si="196"/>
        <v>0.68363173966655544</v>
      </c>
      <c r="T1925" s="582">
        <f t="shared" si="199"/>
        <v>1.347231739666555</v>
      </c>
      <c r="U1925" s="582">
        <f t="shared" si="200"/>
        <v>1.2113317396665555</v>
      </c>
    </row>
    <row r="1926" spans="10:21">
      <c r="J1926" s="580">
        <v>41680</v>
      </c>
      <c r="K1926" s="581">
        <v>0.99305555555555547</v>
      </c>
      <c r="L1926" s="582">
        <v>10.1432</v>
      </c>
      <c r="M1926" s="582">
        <v>10.1302</v>
      </c>
      <c r="N1926" s="582">
        <v>11.2315</v>
      </c>
      <c r="O1926" s="582">
        <v>11.009600000000001</v>
      </c>
      <c r="P1926" s="582">
        <v>98.737499999999997</v>
      </c>
      <c r="Q1926" s="582">
        <f t="shared" si="197"/>
        <v>10.095854151273448</v>
      </c>
      <c r="R1926" s="582">
        <f t="shared" si="198"/>
        <v>0</v>
      </c>
      <c r="S1926" s="582">
        <f t="shared" si="196"/>
        <v>0.68434584872655235</v>
      </c>
      <c r="T1926" s="582">
        <f t="shared" si="199"/>
        <v>1.3256458487265523</v>
      </c>
      <c r="U1926" s="582">
        <f t="shared" si="200"/>
        <v>1.1837458487265526</v>
      </c>
    </row>
    <row r="1927" spans="10:21">
      <c r="J1927" s="580">
        <v>41681</v>
      </c>
      <c r="K1927" s="581">
        <v>0.99305555555555547</v>
      </c>
      <c r="L1927" s="582">
        <v>10.126300000000001</v>
      </c>
      <c r="M1927" s="582">
        <v>10.1119</v>
      </c>
      <c r="N1927" s="582">
        <v>11.1951</v>
      </c>
      <c r="O1927" s="582">
        <v>10.968400000000001</v>
      </c>
      <c r="P1927" s="582">
        <v>98.587400000000002</v>
      </c>
      <c r="Q1927" s="582">
        <f t="shared" si="197"/>
        <v>10.08050651022414</v>
      </c>
      <c r="R1927" s="582">
        <f t="shared" si="198"/>
        <v>0</v>
      </c>
      <c r="S1927" s="582">
        <f t="shared" si="196"/>
        <v>0.68139348977586045</v>
      </c>
      <c r="T1927" s="582">
        <f t="shared" si="199"/>
        <v>1.30459348977586</v>
      </c>
      <c r="U1927" s="582">
        <f t="shared" si="200"/>
        <v>1.1578934897758608</v>
      </c>
    </row>
    <row r="1928" spans="10:21">
      <c r="J1928" s="580">
        <v>41682</v>
      </c>
      <c r="K1928" s="581">
        <v>0.99305555555555547</v>
      </c>
      <c r="L1928" s="582">
        <v>10.1441</v>
      </c>
      <c r="M1928" s="582">
        <v>10.129899999999999</v>
      </c>
      <c r="N1928" s="582">
        <v>11.1936</v>
      </c>
      <c r="O1928" s="582">
        <v>10.9618</v>
      </c>
      <c r="P1928" s="582">
        <v>98.763499999999993</v>
      </c>
      <c r="Q1928" s="582">
        <f t="shared" si="197"/>
        <v>10.098512636731689</v>
      </c>
      <c r="R1928" s="582">
        <f t="shared" si="198"/>
        <v>0</v>
      </c>
      <c r="S1928" s="582">
        <f t="shared" si="196"/>
        <v>0.68138736326831029</v>
      </c>
      <c r="T1928" s="582">
        <f t="shared" si="199"/>
        <v>1.2850873632683109</v>
      </c>
      <c r="U1928" s="582">
        <f t="shared" si="200"/>
        <v>1.1332873632683111</v>
      </c>
    </row>
    <row r="1929" spans="10:21">
      <c r="J1929" s="580">
        <v>41683</v>
      </c>
      <c r="K1929" s="581">
        <v>0.99305555555555547</v>
      </c>
      <c r="L1929" s="582">
        <v>10.1633</v>
      </c>
      <c r="M1929" s="582">
        <v>10.15</v>
      </c>
      <c r="N1929" s="582">
        <v>11.190799999999999</v>
      </c>
      <c r="O1929" s="582">
        <v>10.954000000000001</v>
      </c>
      <c r="P1929" s="582">
        <v>98.959599999999995</v>
      </c>
      <c r="Q1929" s="582">
        <f t="shared" si="197"/>
        <v>10.118563752053271</v>
      </c>
      <c r="R1929" s="582">
        <f t="shared" si="198"/>
        <v>0</v>
      </c>
      <c r="S1929" s="582">
        <f t="shared" ref="S1929:S1992" si="201">M1929-Q1929-$D$9+$E$9</f>
        <v>0.6814362479467293</v>
      </c>
      <c r="T1929" s="582">
        <f t="shared" si="199"/>
        <v>1.2622362479467282</v>
      </c>
      <c r="U1929" s="582">
        <f t="shared" si="200"/>
        <v>1.1054362479467295</v>
      </c>
    </row>
    <row r="1930" spans="10:21">
      <c r="J1930" s="580">
        <v>41684</v>
      </c>
      <c r="K1930" s="581">
        <v>0.99305555555555547</v>
      </c>
      <c r="L1930" s="582">
        <v>10.157</v>
      </c>
      <c r="M1930" s="582">
        <v>10.1424</v>
      </c>
      <c r="N1930" s="582">
        <v>11.163399999999999</v>
      </c>
      <c r="O1930" s="582">
        <v>10.920500000000001</v>
      </c>
      <c r="P1930" s="582">
        <v>98.890600000000006</v>
      </c>
      <c r="Q1930" s="582">
        <f t="shared" si="197"/>
        <v>10.111508540644863</v>
      </c>
      <c r="R1930" s="582">
        <f t="shared" si="198"/>
        <v>0</v>
      </c>
      <c r="S1930" s="582">
        <f t="shared" si="201"/>
        <v>0.68089145935513762</v>
      </c>
      <c r="T1930" s="582">
        <f t="shared" si="199"/>
        <v>1.2418914593551365</v>
      </c>
      <c r="U1930" s="582">
        <f t="shared" si="200"/>
        <v>1.0789914593551377</v>
      </c>
    </row>
    <row r="1931" spans="10:21">
      <c r="J1931" s="580">
        <v>41685</v>
      </c>
      <c r="K1931" s="581">
        <v>0.99305555555555547</v>
      </c>
      <c r="L1931" s="582">
        <v>10.1403</v>
      </c>
      <c r="M1931" s="582">
        <v>10.122199999999999</v>
      </c>
      <c r="N1931" s="582">
        <v>11.1271</v>
      </c>
      <c r="O1931" s="582">
        <v>10.880599999999999</v>
      </c>
      <c r="P1931" s="582">
        <v>98.728499999999997</v>
      </c>
      <c r="Q1931" s="582">
        <f t="shared" si="197"/>
        <v>10.094933906307133</v>
      </c>
      <c r="R1931" s="582">
        <f t="shared" si="198"/>
        <v>0</v>
      </c>
      <c r="S1931" s="582">
        <f t="shared" si="201"/>
        <v>0.67726609369286606</v>
      </c>
      <c r="T1931" s="582">
        <f t="shared" si="199"/>
        <v>1.2221660936928669</v>
      </c>
      <c r="U1931" s="582">
        <f t="shared" si="200"/>
        <v>1.0556660936928659</v>
      </c>
    </row>
    <row r="1932" spans="10:21">
      <c r="J1932" s="580">
        <v>41686</v>
      </c>
      <c r="K1932" s="581">
        <v>0.99305555555555547</v>
      </c>
      <c r="L1932" s="582">
        <v>10.1518</v>
      </c>
      <c r="M1932" s="582">
        <v>10.134</v>
      </c>
      <c r="N1932" s="582">
        <v>11.1203</v>
      </c>
      <c r="O1932" s="582">
        <v>10.8696</v>
      </c>
      <c r="P1932" s="582">
        <v>98.860399999999998</v>
      </c>
      <c r="Q1932" s="582">
        <f t="shared" si="197"/>
        <v>10.108420607535674</v>
      </c>
      <c r="R1932" s="582">
        <f t="shared" si="198"/>
        <v>0</v>
      </c>
      <c r="S1932" s="582">
        <f t="shared" si="201"/>
        <v>0.67557939246432652</v>
      </c>
      <c r="T1932" s="582">
        <f t="shared" si="199"/>
        <v>1.2018793924643263</v>
      </c>
      <c r="U1932" s="582">
        <f t="shared" si="200"/>
        <v>1.0311793924643262</v>
      </c>
    </row>
    <row r="1933" spans="10:21">
      <c r="J1933" s="580">
        <v>41687</v>
      </c>
      <c r="K1933" s="581">
        <v>0.99305555555555547</v>
      </c>
      <c r="L1933" s="582">
        <v>10.174300000000001</v>
      </c>
      <c r="M1933" s="582">
        <v>10.1568</v>
      </c>
      <c r="N1933" s="582">
        <v>11.1196</v>
      </c>
      <c r="O1933" s="582">
        <v>10.864699999999999</v>
      </c>
      <c r="P1933" s="582">
        <v>99.0655</v>
      </c>
      <c r="Q1933" s="582">
        <f t="shared" si="197"/>
        <v>10.129391967823571</v>
      </c>
      <c r="R1933" s="582">
        <f t="shared" si="198"/>
        <v>0</v>
      </c>
      <c r="S1933" s="582">
        <f t="shared" si="201"/>
        <v>0.67740803217642998</v>
      </c>
      <c r="T1933" s="582">
        <f t="shared" si="199"/>
        <v>1.1802080321764294</v>
      </c>
      <c r="U1933" s="582">
        <f t="shared" si="200"/>
        <v>1.0053080321764285</v>
      </c>
    </row>
    <row r="1934" spans="10:21">
      <c r="J1934" s="580">
        <v>41688</v>
      </c>
      <c r="K1934" s="581">
        <v>0.99305555555555547</v>
      </c>
      <c r="L1934" s="582">
        <v>10.178100000000001</v>
      </c>
      <c r="M1934" s="582">
        <v>10.1608</v>
      </c>
      <c r="N1934" s="582">
        <v>11.110799999999999</v>
      </c>
      <c r="O1934" s="582">
        <v>10.851800000000001</v>
      </c>
      <c r="P1934" s="582">
        <v>99.122699999999995</v>
      </c>
      <c r="Q1934" s="582">
        <f t="shared" si="197"/>
        <v>10.135240635831702</v>
      </c>
      <c r="R1934" s="582">
        <f t="shared" si="198"/>
        <v>0</v>
      </c>
      <c r="S1934" s="582">
        <f t="shared" si="201"/>
        <v>0.67555936416829865</v>
      </c>
      <c r="T1934" s="582">
        <f t="shared" si="199"/>
        <v>1.1655593641682978</v>
      </c>
      <c r="U1934" s="582">
        <f t="shared" si="200"/>
        <v>0.98655936416829926</v>
      </c>
    </row>
    <row r="1935" spans="10:21">
      <c r="J1935" s="580">
        <v>41689</v>
      </c>
      <c r="K1935" s="581">
        <v>0.99305555555555547</v>
      </c>
      <c r="L1935" s="582">
        <v>10.162599999999999</v>
      </c>
      <c r="M1935" s="582">
        <v>10.1462</v>
      </c>
      <c r="N1935" s="582">
        <v>11.074999999999999</v>
      </c>
      <c r="O1935" s="582">
        <v>10.8139</v>
      </c>
      <c r="P1935" s="582">
        <v>98.986699999999999</v>
      </c>
      <c r="Q1935" s="582">
        <f t="shared" si="197"/>
        <v>10.121334711896285</v>
      </c>
      <c r="R1935" s="582">
        <f t="shared" si="198"/>
        <v>0</v>
      </c>
      <c r="S1935" s="582">
        <f t="shared" si="201"/>
        <v>0.67486528810371538</v>
      </c>
      <c r="T1935" s="582">
        <f t="shared" si="199"/>
        <v>1.1436652881037142</v>
      </c>
      <c r="U1935" s="582">
        <f t="shared" si="200"/>
        <v>0.96256528810371522</v>
      </c>
    </row>
    <row r="1936" spans="10:21">
      <c r="J1936" s="580">
        <v>41690</v>
      </c>
      <c r="K1936" s="581">
        <v>0.99305555555555547</v>
      </c>
      <c r="L1936" s="582">
        <v>10.1814</v>
      </c>
      <c r="M1936" s="582">
        <v>10.163500000000001</v>
      </c>
      <c r="N1936" s="582">
        <v>11.0701</v>
      </c>
      <c r="O1936" s="582">
        <v>10.686</v>
      </c>
      <c r="P1936" s="582">
        <v>99.143100000000004</v>
      </c>
      <c r="Q1936" s="582">
        <f t="shared" si="197"/>
        <v>10.137326524422015</v>
      </c>
      <c r="R1936" s="582">
        <f t="shared" si="198"/>
        <v>0</v>
      </c>
      <c r="S1936" s="582">
        <f t="shared" si="201"/>
        <v>0.67617347557798602</v>
      </c>
      <c r="T1936" s="582">
        <f t="shared" si="199"/>
        <v>1.122773475577985</v>
      </c>
      <c r="U1936" s="582">
        <f t="shared" si="200"/>
        <v>0.81867347557798498</v>
      </c>
    </row>
    <row r="1937" spans="10:21">
      <c r="J1937" s="580">
        <v>41691</v>
      </c>
      <c r="K1937" s="581">
        <v>0.99305555555555547</v>
      </c>
      <c r="L1937" s="582">
        <v>10.182</v>
      </c>
      <c r="M1937" s="582">
        <v>10.164400000000001</v>
      </c>
      <c r="N1937" s="582">
        <v>11.0494</v>
      </c>
      <c r="O1937" s="582">
        <v>10.6168</v>
      </c>
      <c r="P1937" s="582">
        <v>99.128699999999995</v>
      </c>
      <c r="Q1937" s="582">
        <f t="shared" si="197"/>
        <v>10.135854132475911</v>
      </c>
      <c r="R1937" s="582">
        <f t="shared" si="198"/>
        <v>0</v>
      </c>
      <c r="S1937" s="582">
        <f t="shared" si="201"/>
        <v>0.67854586752408941</v>
      </c>
      <c r="T1937" s="582">
        <f t="shared" si="199"/>
        <v>1.103545867524089</v>
      </c>
      <c r="U1937" s="582">
        <f t="shared" si="200"/>
        <v>0.75094586752408832</v>
      </c>
    </row>
    <row r="1938" spans="10:21">
      <c r="J1938" s="580">
        <v>41692</v>
      </c>
      <c r="K1938" s="581">
        <v>0.99305555555555547</v>
      </c>
      <c r="L1938" s="582">
        <v>10.1755</v>
      </c>
      <c r="M1938" s="582">
        <v>10.1572</v>
      </c>
      <c r="N1938" s="582">
        <v>11.0253</v>
      </c>
      <c r="O1938" s="582">
        <v>10.5402</v>
      </c>
      <c r="P1938" s="582">
        <v>99.094099999999997</v>
      </c>
      <c r="Q1938" s="582">
        <f t="shared" si="197"/>
        <v>10.132316301827636</v>
      </c>
      <c r="R1938" s="582">
        <f t="shared" si="198"/>
        <v>0</v>
      </c>
      <c r="S1938" s="582">
        <f t="shared" si="201"/>
        <v>0.6748836981723636</v>
      </c>
      <c r="T1938" s="582">
        <f t="shared" si="199"/>
        <v>1.0829836981723635</v>
      </c>
      <c r="U1938" s="582">
        <f t="shared" si="200"/>
        <v>0.67788369817236438</v>
      </c>
    </row>
    <row r="1939" spans="10:21">
      <c r="J1939" s="580">
        <v>41693</v>
      </c>
      <c r="K1939" s="581">
        <v>0.99305555555555547</v>
      </c>
      <c r="L1939" s="582">
        <v>10.1738</v>
      </c>
      <c r="M1939" s="582">
        <v>10.157500000000001</v>
      </c>
      <c r="N1939" s="582">
        <v>11.0045</v>
      </c>
      <c r="O1939" s="582">
        <v>10.54</v>
      </c>
      <c r="P1939" s="582">
        <v>99.082099999999997</v>
      </c>
      <c r="Q1939" s="582">
        <f t="shared" si="197"/>
        <v>10.131089308539217</v>
      </c>
      <c r="R1939" s="582">
        <f t="shared" si="198"/>
        <v>0</v>
      </c>
      <c r="S1939" s="582">
        <f t="shared" si="201"/>
        <v>0.67641069146078414</v>
      </c>
      <c r="T1939" s="582">
        <f t="shared" si="199"/>
        <v>1.0634106914607835</v>
      </c>
      <c r="U1939" s="582">
        <f t="shared" si="200"/>
        <v>0.67891069146078253</v>
      </c>
    </row>
    <row r="1940" spans="10:21">
      <c r="J1940" s="580">
        <v>41694</v>
      </c>
      <c r="K1940" s="581">
        <v>0.99305555555555547</v>
      </c>
      <c r="L1940" s="582">
        <v>10.1793</v>
      </c>
      <c r="M1940" s="582">
        <v>10.165800000000001</v>
      </c>
      <c r="N1940" s="582">
        <v>10.997</v>
      </c>
      <c r="O1940" s="582">
        <v>10.5524</v>
      </c>
      <c r="P1940" s="582">
        <v>99.131299999999996</v>
      </c>
      <c r="Q1940" s="582">
        <f t="shared" si="197"/>
        <v>10.136119981021736</v>
      </c>
      <c r="R1940" s="582">
        <f t="shared" si="198"/>
        <v>0</v>
      </c>
      <c r="S1940" s="582">
        <f t="shared" si="201"/>
        <v>0.67968001897826524</v>
      </c>
      <c r="T1940" s="582">
        <f t="shared" si="199"/>
        <v>1.0508800189782641</v>
      </c>
      <c r="U1940" s="582">
        <f t="shared" si="200"/>
        <v>0.68628001897826474</v>
      </c>
    </row>
    <row r="1941" spans="10:21">
      <c r="J1941" s="580">
        <v>41695</v>
      </c>
      <c r="K1941" s="581">
        <v>0.99305555555555547</v>
      </c>
      <c r="L1941" s="582">
        <v>10.180400000000001</v>
      </c>
      <c r="M1941" s="582">
        <v>10.167199999999999</v>
      </c>
      <c r="N1941" s="582">
        <v>10.9772</v>
      </c>
      <c r="O1941" s="582">
        <v>10.5467</v>
      </c>
      <c r="P1941" s="582">
        <v>99.175899999999999</v>
      </c>
      <c r="Q1941" s="582">
        <f t="shared" si="197"/>
        <v>10.140680306077027</v>
      </c>
      <c r="R1941" s="582">
        <f t="shared" si="198"/>
        <v>0</v>
      </c>
      <c r="S1941" s="582">
        <f t="shared" si="201"/>
        <v>0.67651969392297295</v>
      </c>
      <c r="T1941" s="582">
        <f t="shared" si="199"/>
        <v>1.0265196939229733</v>
      </c>
      <c r="U1941" s="582">
        <f t="shared" si="200"/>
        <v>0.67601969392297301</v>
      </c>
    </row>
    <row r="1942" spans="10:21">
      <c r="J1942" s="580">
        <v>41696</v>
      </c>
      <c r="K1942" s="581">
        <v>0.99305555555555547</v>
      </c>
      <c r="L1942" s="582">
        <v>10.175700000000001</v>
      </c>
      <c r="M1942" s="582">
        <v>10.161899999999999</v>
      </c>
      <c r="N1942" s="582">
        <v>10.946899999999999</v>
      </c>
      <c r="O1942" s="582">
        <v>10.539300000000001</v>
      </c>
      <c r="P1942" s="582">
        <v>99.106899999999996</v>
      </c>
      <c r="Q1942" s="582">
        <f t="shared" si="197"/>
        <v>10.133625094668616</v>
      </c>
      <c r="R1942" s="582">
        <f t="shared" si="198"/>
        <v>0</v>
      </c>
      <c r="S1942" s="582">
        <f t="shared" si="201"/>
        <v>0.67827490533138302</v>
      </c>
      <c r="T1942" s="582">
        <f t="shared" si="199"/>
        <v>1.003274905331383</v>
      </c>
      <c r="U1942" s="582">
        <f t="shared" si="200"/>
        <v>0.67567490533138441</v>
      </c>
    </row>
    <row r="1943" spans="10:21">
      <c r="J1943" s="580">
        <v>41697</v>
      </c>
      <c r="K1943" s="581">
        <v>0.99305555555555547</v>
      </c>
      <c r="L1943" s="582">
        <v>10.171099999999999</v>
      </c>
      <c r="M1943" s="582">
        <v>10.156499999999999</v>
      </c>
      <c r="N1943" s="582">
        <v>10.921799999999999</v>
      </c>
      <c r="O1943" s="582">
        <v>10.531700000000001</v>
      </c>
      <c r="P1943" s="582">
        <v>99.060599999999994</v>
      </c>
      <c r="Q1943" s="582">
        <f t="shared" si="197"/>
        <v>10.128890945564132</v>
      </c>
      <c r="R1943" s="582">
        <f t="shared" si="198"/>
        <v>0</v>
      </c>
      <c r="S1943" s="582">
        <f t="shared" si="201"/>
        <v>0.6776090544358675</v>
      </c>
      <c r="T1943" s="582">
        <f t="shared" si="199"/>
        <v>0.98290905443586729</v>
      </c>
      <c r="U1943" s="582">
        <f t="shared" si="200"/>
        <v>0.67280905443586869</v>
      </c>
    </row>
    <row r="1944" spans="10:21">
      <c r="J1944" s="580">
        <v>41698</v>
      </c>
      <c r="K1944" s="581">
        <v>0.99305555555555547</v>
      </c>
      <c r="L1944" s="582">
        <v>10.1629</v>
      </c>
      <c r="M1944" s="582">
        <v>10.147399999999999</v>
      </c>
      <c r="N1944" s="582">
        <v>10.8894</v>
      </c>
      <c r="O1944" s="582">
        <v>10.523099999999999</v>
      </c>
      <c r="P1944" s="582">
        <v>98.972399999999993</v>
      </c>
      <c r="Q1944" s="582">
        <f t="shared" si="197"/>
        <v>10.119872544894251</v>
      </c>
      <c r="R1944" s="582">
        <f t="shared" si="198"/>
        <v>0</v>
      </c>
      <c r="S1944" s="582">
        <f t="shared" si="201"/>
        <v>0.67752745510574797</v>
      </c>
      <c r="T1944" s="582">
        <f t="shared" si="199"/>
        <v>0.95952745510574877</v>
      </c>
      <c r="U1944" s="582">
        <f t="shared" si="200"/>
        <v>0.673227455105748</v>
      </c>
    </row>
    <row r="1945" spans="10:21">
      <c r="J1945" s="580">
        <v>41699</v>
      </c>
      <c r="K1945" s="581">
        <v>0.99305555555555547</v>
      </c>
      <c r="L1945" s="582">
        <v>10.1648</v>
      </c>
      <c r="M1945" s="582">
        <v>10.149800000000001</v>
      </c>
      <c r="N1945" s="582">
        <v>10.936400000000001</v>
      </c>
      <c r="O1945" s="582">
        <v>10.6004</v>
      </c>
      <c r="P1945" s="582">
        <v>99.0047</v>
      </c>
      <c r="Q1945" s="582">
        <f t="shared" si="197"/>
        <v>10.123175201828914</v>
      </c>
      <c r="R1945" s="582">
        <f t="shared" si="198"/>
        <v>0</v>
      </c>
      <c r="S1945" s="582">
        <f t="shared" si="201"/>
        <v>0.67662479817108667</v>
      </c>
      <c r="T1945" s="582">
        <f t="shared" si="199"/>
        <v>1.0032247981710865</v>
      </c>
      <c r="U1945" s="582">
        <f t="shared" si="200"/>
        <v>0.74722479817108622</v>
      </c>
    </row>
    <row r="1946" spans="10:21">
      <c r="J1946" s="580">
        <v>41700</v>
      </c>
      <c r="K1946" s="581">
        <v>0.99305555555555547</v>
      </c>
      <c r="L1946" s="582">
        <v>10.16</v>
      </c>
      <c r="M1946" s="582">
        <v>10.145099999999999</v>
      </c>
      <c r="N1946" s="582">
        <v>10.9131</v>
      </c>
      <c r="O1946" s="582">
        <v>10.629</v>
      </c>
      <c r="P1946" s="582">
        <v>98.936599999999999</v>
      </c>
      <c r="Q1946" s="582">
        <f t="shared" si="197"/>
        <v>10.116212014917135</v>
      </c>
      <c r="R1946" s="582">
        <f t="shared" si="198"/>
        <v>0</v>
      </c>
      <c r="S1946" s="582">
        <f t="shared" si="201"/>
        <v>0.67888798508286441</v>
      </c>
      <c r="T1946" s="582">
        <f t="shared" si="199"/>
        <v>0.98688798508286502</v>
      </c>
      <c r="U1946" s="582">
        <f t="shared" si="200"/>
        <v>0.78278798508286451</v>
      </c>
    </row>
    <row r="1947" spans="10:21">
      <c r="J1947" s="580">
        <v>41701</v>
      </c>
      <c r="K1947" s="581">
        <v>0.99305555555555547</v>
      </c>
      <c r="L1947" s="582">
        <v>10.1625</v>
      </c>
      <c r="M1947" s="582">
        <v>10.1447</v>
      </c>
      <c r="N1947" s="582">
        <v>10.8978</v>
      </c>
      <c r="O1947" s="582">
        <v>10.533200000000001</v>
      </c>
      <c r="P1947" s="582">
        <v>98.965500000000006</v>
      </c>
      <c r="Q1947" s="582">
        <f t="shared" si="197"/>
        <v>10.119167023753413</v>
      </c>
      <c r="R1947" s="582">
        <f t="shared" si="198"/>
        <v>0</v>
      </c>
      <c r="S1947" s="582">
        <f t="shared" si="201"/>
        <v>0.67553297624658781</v>
      </c>
      <c r="T1947" s="582">
        <f t="shared" si="199"/>
        <v>0.96863297624658762</v>
      </c>
      <c r="U1947" s="582">
        <f t="shared" si="200"/>
        <v>0.68403297624658821</v>
      </c>
    </row>
    <row r="1948" spans="10:21">
      <c r="J1948" s="580">
        <v>41702</v>
      </c>
      <c r="K1948" s="581">
        <v>0.99305555555555547</v>
      </c>
      <c r="L1948" s="582">
        <v>10.174099999999999</v>
      </c>
      <c r="M1948" s="582">
        <v>10.154999999999999</v>
      </c>
      <c r="N1948" s="582">
        <v>10.928599999999999</v>
      </c>
      <c r="O1948" s="582">
        <v>10.5405</v>
      </c>
      <c r="P1948" s="582">
        <v>99.064800000000005</v>
      </c>
      <c r="Q1948" s="582">
        <f t="shared" si="197"/>
        <v>10.12932039321508</v>
      </c>
      <c r="R1948" s="582">
        <f t="shared" si="198"/>
        <v>0</v>
      </c>
      <c r="S1948" s="582">
        <f t="shared" si="201"/>
        <v>0.67567960678491956</v>
      </c>
      <c r="T1948" s="582">
        <f t="shared" si="199"/>
        <v>0.98927960678491955</v>
      </c>
      <c r="U1948" s="582">
        <f t="shared" si="200"/>
        <v>0.68117960678491984</v>
      </c>
    </row>
    <row r="1949" spans="10:21">
      <c r="J1949" s="580">
        <v>41703</v>
      </c>
      <c r="K1949" s="581">
        <v>0.99305555555555547</v>
      </c>
      <c r="L1949" s="582">
        <v>10.1699</v>
      </c>
      <c r="M1949" s="582">
        <v>10.1508</v>
      </c>
      <c r="N1949" s="582">
        <v>10.830500000000001</v>
      </c>
      <c r="O1949" s="582">
        <v>10.5383</v>
      </c>
      <c r="P1949" s="582">
        <v>99.047899999999998</v>
      </c>
      <c r="Q1949" s="582">
        <f t="shared" si="197"/>
        <v>10.127592377667222</v>
      </c>
      <c r="R1949" s="582">
        <f t="shared" si="198"/>
        <v>0</v>
      </c>
      <c r="S1949" s="582">
        <f t="shared" si="201"/>
        <v>0.67320762233277853</v>
      </c>
      <c r="T1949" s="582">
        <f t="shared" si="199"/>
        <v>0.89290762233277887</v>
      </c>
      <c r="U1949" s="582">
        <f t="shared" si="200"/>
        <v>0.68070762233277771</v>
      </c>
    </row>
    <row r="1950" spans="10:21">
      <c r="J1950" s="580">
        <v>41704</v>
      </c>
      <c r="K1950" s="581">
        <v>0.99305555555555547</v>
      </c>
      <c r="L1950" s="582">
        <v>10.1655</v>
      </c>
      <c r="M1950" s="582">
        <v>10.146000000000001</v>
      </c>
      <c r="N1950" s="582">
        <v>10.5601</v>
      </c>
      <c r="O1950" s="582">
        <v>10.5344</v>
      </c>
      <c r="P1950" s="582">
        <v>99.005099999999999</v>
      </c>
      <c r="Q1950" s="582">
        <f t="shared" si="197"/>
        <v>10.123216101605195</v>
      </c>
      <c r="R1950" s="582">
        <f t="shared" si="198"/>
        <v>0</v>
      </c>
      <c r="S1950" s="582">
        <f t="shared" si="201"/>
        <v>0.67278389839480623</v>
      </c>
      <c r="T1950" s="582">
        <f t="shared" si="199"/>
        <v>0.62688389839480563</v>
      </c>
      <c r="U1950" s="582">
        <f t="shared" si="200"/>
        <v>0.68118389839480509</v>
      </c>
    </row>
    <row r="1951" spans="10:21">
      <c r="J1951" s="580">
        <v>41543</v>
      </c>
      <c r="K1951" s="581">
        <v>0.99652777777777779</v>
      </c>
      <c r="L1951" s="582">
        <v>10.055</v>
      </c>
      <c r="M1951" s="582">
        <v>10.069900000000001</v>
      </c>
      <c r="N1951" s="582">
        <v>10.078900000000001</v>
      </c>
      <c r="O1951" s="582">
        <v>10.0908</v>
      </c>
      <c r="P1951" s="582">
        <v>98.785600000000002</v>
      </c>
      <c r="Q1951" s="582">
        <f t="shared" si="197"/>
        <v>10.100772349371196</v>
      </c>
      <c r="R1951" s="582">
        <f t="shared" si="198"/>
        <v>0</v>
      </c>
      <c r="S1951" s="582">
        <f t="shared" si="201"/>
        <v>0.61912765062880459</v>
      </c>
      <c r="T1951" s="582">
        <f t="shared" si="199"/>
        <v>0.16812765062880486</v>
      </c>
      <c r="U1951" s="582">
        <f t="shared" si="200"/>
        <v>0.26002765062880367</v>
      </c>
    </row>
    <row r="1952" spans="10:21">
      <c r="J1952" s="580">
        <v>41544</v>
      </c>
      <c r="K1952" s="581">
        <v>0.99652777777777779</v>
      </c>
      <c r="L1952" s="582">
        <v>10.0525</v>
      </c>
      <c r="M1952" s="582">
        <v>10.068300000000001</v>
      </c>
      <c r="N1952" s="582">
        <v>10.0769</v>
      </c>
      <c r="O1952" s="582">
        <v>10.0892</v>
      </c>
      <c r="P1952" s="582">
        <v>98.764899999999997</v>
      </c>
      <c r="Q1952" s="582">
        <f t="shared" si="197"/>
        <v>10.098655785948672</v>
      </c>
      <c r="R1952" s="582">
        <f t="shared" si="198"/>
        <v>0</v>
      </c>
      <c r="S1952" s="582">
        <f t="shared" si="201"/>
        <v>0.61964421405132852</v>
      </c>
      <c r="T1952" s="582">
        <f t="shared" si="199"/>
        <v>0.16824421405132794</v>
      </c>
      <c r="U1952" s="582">
        <f t="shared" si="200"/>
        <v>0.26054421405132761</v>
      </c>
    </row>
    <row r="1953" spans="10:21">
      <c r="J1953" s="580">
        <v>41545</v>
      </c>
      <c r="K1953" s="581">
        <v>0.99652777777777779</v>
      </c>
      <c r="L1953" s="582">
        <v>10.0341</v>
      </c>
      <c r="M1953" s="582">
        <v>10.0488</v>
      </c>
      <c r="N1953" s="582">
        <v>10.056900000000001</v>
      </c>
      <c r="O1953" s="582">
        <v>10.0695</v>
      </c>
      <c r="P1953" s="582">
        <v>98.572900000000004</v>
      </c>
      <c r="Q1953" s="582">
        <f t="shared" si="197"/>
        <v>10.079023893333966</v>
      </c>
      <c r="R1953" s="582">
        <f t="shared" si="198"/>
        <v>0</v>
      </c>
      <c r="S1953" s="582">
        <f t="shared" si="201"/>
        <v>0.61977610666603389</v>
      </c>
      <c r="T1953" s="582">
        <f t="shared" si="199"/>
        <v>0.16787610666603447</v>
      </c>
      <c r="U1953" s="582">
        <f t="shared" si="200"/>
        <v>0.26047610666603344</v>
      </c>
    </row>
    <row r="1954" spans="10:21">
      <c r="J1954" s="580">
        <v>41546</v>
      </c>
      <c r="K1954" s="581">
        <v>0.99652777777777779</v>
      </c>
      <c r="L1954" s="582">
        <v>10.013299999999999</v>
      </c>
      <c r="M1954" s="582">
        <v>10.026199999999999</v>
      </c>
      <c r="N1954" s="582">
        <v>10.034000000000001</v>
      </c>
      <c r="O1954" s="582">
        <v>10.047000000000001</v>
      </c>
      <c r="P1954" s="582">
        <v>98.357799999999997</v>
      </c>
      <c r="Q1954" s="582">
        <f t="shared" si="197"/>
        <v>10.057030038639054</v>
      </c>
      <c r="R1954" s="582">
        <f t="shared" si="198"/>
        <v>0</v>
      </c>
      <c r="S1954" s="582">
        <f t="shared" si="201"/>
        <v>0.6191699613609456</v>
      </c>
      <c r="T1954" s="582">
        <f t="shared" si="199"/>
        <v>0.16696996136094688</v>
      </c>
      <c r="U1954" s="582">
        <f t="shared" si="200"/>
        <v>0.25996996136094669</v>
      </c>
    </row>
    <row r="1955" spans="10:21">
      <c r="J1955" s="580">
        <v>41547</v>
      </c>
      <c r="K1955" s="581">
        <v>0.99652777777777779</v>
      </c>
      <c r="L1955" s="582">
        <v>10.0114</v>
      </c>
      <c r="M1955" s="582">
        <v>10.0266</v>
      </c>
      <c r="N1955" s="582">
        <v>10.0342</v>
      </c>
      <c r="O1955" s="582">
        <v>10.046799999999999</v>
      </c>
      <c r="P1955" s="582">
        <v>98.352999999999994</v>
      </c>
      <c r="Q1955" s="582">
        <f t="shared" si="197"/>
        <v>10.056539241323685</v>
      </c>
      <c r="R1955" s="582">
        <f t="shared" si="198"/>
        <v>0</v>
      </c>
      <c r="S1955" s="582">
        <f t="shared" si="201"/>
        <v>0.62006075867631494</v>
      </c>
      <c r="T1955" s="582">
        <f t="shared" si="199"/>
        <v>0.16766075867631491</v>
      </c>
      <c r="U1955" s="582">
        <f t="shared" si="200"/>
        <v>0.26026075867631387</v>
      </c>
    </row>
    <row r="1956" spans="10:21">
      <c r="J1956" s="580">
        <v>41548</v>
      </c>
      <c r="K1956" s="581">
        <v>0.99652777777777779</v>
      </c>
      <c r="L1956" s="582">
        <v>10.020200000000001</v>
      </c>
      <c r="M1956" s="582">
        <v>10.034700000000001</v>
      </c>
      <c r="N1956" s="582">
        <v>10.0427</v>
      </c>
      <c r="O1956" s="582">
        <v>10.0564</v>
      </c>
      <c r="P1956" s="582">
        <v>98.436599999999999</v>
      </c>
      <c r="Q1956" s="582">
        <f t="shared" si="197"/>
        <v>10.065087294566339</v>
      </c>
      <c r="R1956" s="582">
        <f t="shared" si="198"/>
        <v>0</v>
      </c>
      <c r="S1956" s="582">
        <f t="shared" si="201"/>
        <v>0.61961270543366154</v>
      </c>
      <c r="T1956" s="582">
        <f t="shared" si="199"/>
        <v>0.16761270543366058</v>
      </c>
      <c r="U1956" s="582">
        <f t="shared" si="200"/>
        <v>0.26131270543366053</v>
      </c>
    </row>
    <row r="1957" spans="10:21">
      <c r="J1957" s="580">
        <v>41549</v>
      </c>
      <c r="K1957" s="581">
        <v>0.99652777777777779</v>
      </c>
      <c r="L1957" s="582">
        <v>10.035600000000001</v>
      </c>
      <c r="M1957" s="582">
        <v>10.0472</v>
      </c>
      <c r="N1957" s="582">
        <v>10.0548</v>
      </c>
      <c r="O1957" s="582">
        <v>10.067399999999999</v>
      </c>
      <c r="P1957" s="582">
        <v>98.559200000000004</v>
      </c>
      <c r="Q1957" s="582">
        <f t="shared" si="197"/>
        <v>10.077623075996355</v>
      </c>
      <c r="R1957" s="582">
        <f t="shared" si="198"/>
        <v>0</v>
      </c>
      <c r="S1957" s="582">
        <f t="shared" si="201"/>
        <v>0.61957692400364528</v>
      </c>
      <c r="T1957" s="582">
        <f t="shared" si="199"/>
        <v>0.16717692400364526</v>
      </c>
      <c r="U1957" s="582">
        <f t="shared" si="200"/>
        <v>0.25977692400364422</v>
      </c>
    </row>
    <row r="1958" spans="10:21">
      <c r="J1958" s="580">
        <v>41550</v>
      </c>
      <c r="K1958" s="581">
        <v>0.99652777777777779</v>
      </c>
      <c r="L1958" s="582">
        <v>10.0398</v>
      </c>
      <c r="M1958" s="582">
        <v>10.052199999999999</v>
      </c>
      <c r="N1958" s="582">
        <v>10.059900000000001</v>
      </c>
      <c r="O1958" s="582">
        <v>10.0716</v>
      </c>
      <c r="P1958" s="582">
        <v>98.586299999999994</v>
      </c>
      <c r="Q1958" s="582">
        <f t="shared" si="197"/>
        <v>10.080394035839367</v>
      </c>
      <c r="R1958" s="582">
        <f t="shared" si="198"/>
        <v>0</v>
      </c>
      <c r="S1958" s="582">
        <f t="shared" si="201"/>
        <v>0.62180596416063216</v>
      </c>
      <c r="T1958" s="582">
        <f t="shared" si="199"/>
        <v>0.16950596416063368</v>
      </c>
      <c r="U1958" s="582">
        <f t="shared" si="200"/>
        <v>0.26120596416063296</v>
      </c>
    </row>
    <row r="1959" spans="10:21">
      <c r="J1959" s="580">
        <v>41551</v>
      </c>
      <c r="K1959" s="581">
        <v>0.99652777777777779</v>
      </c>
      <c r="L1959" s="582">
        <v>10.052</v>
      </c>
      <c r="M1959" s="582">
        <v>10.062200000000001</v>
      </c>
      <c r="N1959" s="582">
        <v>10.071099999999999</v>
      </c>
      <c r="O1959" s="582">
        <v>10.0839</v>
      </c>
      <c r="P1959" s="582">
        <v>98.724800000000002</v>
      </c>
      <c r="Q1959" s="582">
        <f t="shared" si="197"/>
        <v>10.094555583376538</v>
      </c>
      <c r="R1959" s="582">
        <f t="shared" si="198"/>
        <v>0</v>
      </c>
      <c r="S1959" s="582">
        <f t="shared" si="201"/>
        <v>0.61764441662346292</v>
      </c>
      <c r="T1959" s="582">
        <f t="shared" si="199"/>
        <v>0.16654441662346164</v>
      </c>
      <c r="U1959" s="582">
        <f t="shared" si="200"/>
        <v>0.25934441662346192</v>
      </c>
    </row>
    <row r="1960" spans="10:21">
      <c r="J1960" s="580">
        <v>41552</v>
      </c>
      <c r="K1960" s="581">
        <v>0.99652777777777779</v>
      </c>
      <c r="L1960" s="582">
        <v>10.0434</v>
      </c>
      <c r="M1960" s="582">
        <v>10.0532</v>
      </c>
      <c r="N1960" s="582">
        <v>10.0616</v>
      </c>
      <c r="O1960" s="582">
        <v>10.0756</v>
      </c>
      <c r="P1960" s="582">
        <v>98.639200000000002</v>
      </c>
      <c r="Q1960" s="582">
        <f t="shared" si="197"/>
        <v>10.085803031252482</v>
      </c>
      <c r="R1960" s="582">
        <f t="shared" si="198"/>
        <v>0</v>
      </c>
      <c r="S1960" s="582">
        <f t="shared" si="201"/>
        <v>0.6173969687475187</v>
      </c>
      <c r="T1960" s="582">
        <f t="shared" si="199"/>
        <v>0.16579696874751859</v>
      </c>
      <c r="U1960" s="582">
        <f t="shared" si="200"/>
        <v>0.25979696874751784</v>
      </c>
    </row>
    <row r="1961" spans="10:21">
      <c r="J1961" s="580">
        <v>41553</v>
      </c>
      <c r="K1961" s="581">
        <v>0.99652777777777779</v>
      </c>
      <c r="L1961" s="582">
        <v>10.0433</v>
      </c>
      <c r="M1961" s="582">
        <v>10.0543</v>
      </c>
      <c r="N1961" s="582">
        <v>10.061999999999999</v>
      </c>
      <c r="O1961" s="582">
        <v>10.0764</v>
      </c>
      <c r="P1961" s="582">
        <v>98.634900000000002</v>
      </c>
      <c r="Q1961" s="582">
        <f t="shared" si="197"/>
        <v>10.085363358657466</v>
      </c>
      <c r="R1961" s="582">
        <f t="shared" si="198"/>
        <v>0</v>
      </c>
      <c r="S1961" s="582">
        <f t="shared" si="201"/>
        <v>0.61893664134253412</v>
      </c>
      <c r="T1961" s="582">
        <f t="shared" si="199"/>
        <v>0.16663664134253386</v>
      </c>
      <c r="U1961" s="582">
        <f t="shared" si="200"/>
        <v>0.26103664134253396</v>
      </c>
    </row>
    <row r="1962" spans="10:21">
      <c r="J1962" s="580">
        <v>41554</v>
      </c>
      <c r="K1962" s="581">
        <v>0.99652777777777779</v>
      </c>
      <c r="L1962" s="582">
        <v>10.0474</v>
      </c>
      <c r="M1962" s="582">
        <v>10.0578</v>
      </c>
      <c r="N1962" s="582">
        <v>10.0662</v>
      </c>
      <c r="O1962" s="582">
        <v>10.081799999999999</v>
      </c>
      <c r="P1962" s="582">
        <v>98.682400000000001</v>
      </c>
      <c r="Q1962" s="582">
        <f t="shared" si="197"/>
        <v>10.090220207090791</v>
      </c>
      <c r="R1962" s="582">
        <f t="shared" si="198"/>
        <v>0</v>
      </c>
      <c r="S1962" s="582">
        <f t="shared" si="201"/>
        <v>0.61757979290920928</v>
      </c>
      <c r="T1962" s="582">
        <f t="shared" si="199"/>
        <v>0.16597979290920917</v>
      </c>
      <c r="U1962" s="582">
        <f t="shared" si="200"/>
        <v>0.26157979290920824</v>
      </c>
    </row>
    <row r="1963" spans="10:21">
      <c r="J1963" s="580">
        <v>41555</v>
      </c>
      <c r="K1963" s="581">
        <v>0.99652777777777779</v>
      </c>
      <c r="L1963" s="582">
        <v>10.054600000000001</v>
      </c>
      <c r="M1963" s="582">
        <v>10.0678</v>
      </c>
      <c r="N1963" s="582">
        <v>10.0739</v>
      </c>
      <c r="O1963" s="582">
        <v>10.0886</v>
      </c>
      <c r="P1963" s="582">
        <v>98.781400000000005</v>
      </c>
      <c r="Q1963" s="582">
        <f t="shared" si="197"/>
        <v>10.100342901720248</v>
      </c>
      <c r="R1963" s="582">
        <f t="shared" si="198"/>
        <v>0</v>
      </c>
      <c r="S1963" s="582">
        <f t="shared" si="201"/>
        <v>0.61745709827975204</v>
      </c>
      <c r="T1963" s="582">
        <f t="shared" si="199"/>
        <v>0.16355709827975196</v>
      </c>
      <c r="U1963" s="582">
        <f t="shared" si="200"/>
        <v>0.25825709827975135</v>
      </c>
    </row>
    <row r="1964" spans="10:21">
      <c r="J1964" s="580">
        <v>41556</v>
      </c>
      <c r="K1964" s="581">
        <v>0.99652777777777779</v>
      </c>
      <c r="L1964" s="582">
        <v>10.045400000000001</v>
      </c>
      <c r="M1964" s="582">
        <v>10.0589</v>
      </c>
      <c r="N1964" s="582">
        <v>10.066700000000001</v>
      </c>
      <c r="O1964" s="582">
        <v>10.079499999999999</v>
      </c>
      <c r="P1964" s="582">
        <v>98.688100000000006</v>
      </c>
      <c r="Q1964" s="582">
        <f t="shared" si="197"/>
        <v>10.090803028902791</v>
      </c>
      <c r="R1964" s="582">
        <f t="shared" si="198"/>
        <v>0</v>
      </c>
      <c r="S1964" s="582">
        <f t="shared" si="201"/>
        <v>0.61809697109720907</v>
      </c>
      <c r="T1964" s="582">
        <f t="shared" si="199"/>
        <v>0.16589697109721036</v>
      </c>
      <c r="U1964" s="582">
        <f t="shared" si="200"/>
        <v>0.25869697109720885</v>
      </c>
    </row>
    <row r="1965" spans="10:21">
      <c r="J1965" s="580">
        <v>41557</v>
      </c>
      <c r="K1965" s="581">
        <v>0.99652777777777779</v>
      </c>
      <c r="L1965" s="582">
        <v>10.050700000000001</v>
      </c>
      <c r="M1965" s="582">
        <v>10.065</v>
      </c>
      <c r="N1965" s="582">
        <v>10.0717</v>
      </c>
      <c r="O1965" s="582">
        <v>10.0845</v>
      </c>
      <c r="P1965" s="582">
        <v>98.738100000000003</v>
      </c>
      <c r="Q1965" s="582">
        <f t="shared" si="197"/>
        <v>10.09591550093787</v>
      </c>
      <c r="R1965" s="582">
        <f t="shared" si="198"/>
        <v>0</v>
      </c>
      <c r="S1965" s="582">
        <f t="shared" si="201"/>
        <v>0.61908449906212915</v>
      </c>
      <c r="T1965" s="582">
        <f t="shared" si="199"/>
        <v>0.16578449906212944</v>
      </c>
      <c r="U1965" s="582">
        <f t="shared" si="200"/>
        <v>0.25858449906212971</v>
      </c>
    </row>
    <row r="1966" spans="10:21">
      <c r="J1966" s="580">
        <v>41558</v>
      </c>
      <c r="K1966" s="581">
        <v>0.99652777777777779</v>
      </c>
      <c r="L1966" s="582">
        <v>10.0304</v>
      </c>
      <c r="M1966" s="582">
        <v>10.043699999999999</v>
      </c>
      <c r="N1966" s="582">
        <v>10.0494</v>
      </c>
      <c r="O1966" s="582">
        <v>10.0619</v>
      </c>
      <c r="P1966" s="582">
        <v>98.534000000000006</v>
      </c>
      <c r="Q1966" s="582">
        <f t="shared" si="197"/>
        <v>10.075046390090675</v>
      </c>
      <c r="R1966" s="582">
        <f t="shared" si="198"/>
        <v>0</v>
      </c>
      <c r="S1966" s="582">
        <f t="shared" si="201"/>
        <v>0.61865360990932472</v>
      </c>
      <c r="T1966" s="582">
        <f t="shared" si="199"/>
        <v>0.16435360990932557</v>
      </c>
      <c r="U1966" s="582">
        <f t="shared" si="200"/>
        <v>0.25685360990932476</v>
      </c>
    </row>
    <row r="1967" spans="10:21">
      <c r="J1967" s="580">
        <v>41559</v>
      </c>
      <c r="K1967" s="581">
        <v>0.99652777777777779</v>
      </c>
      <c r="L1967" s="582">
        <v>10.020099999999999</v>
      </c>
      <c r="M1967" s="582">
        <v>10.0328</v>
      </c>
      <c r="N1967" s="582">
        <v>10.0403</v>
      </c>
      <c r="O1967" s="582">
        <v>10.0525</v>
      </c>
      <c r="P1967" s="582">
        <v>98.400800000000004</v>
      </c>
      <c r="Q1967" s="582">
        <f t="shared" si="197"/>
        <v>10.061426764589223</v>
      </c>
      <c r="R1967" s="582">
        <f t="shared" si="198"/>
        <v>0</v>
      </c>
      <c r="S1967" s="582">
        <f t="shared" si="201"/>
        <v>0.62137323541077705</v>
      </c>
      <c r="T1967" s="582">
        <f t="shared" si="199"/>
        <v>0.16887323541077726</v>
      </c>
      <c r="U1967" s="582">
        <f t="shared" si="200"/>
        <v>0.26107323541077715</v>
      </c>
    </row>
    <row r="1968" spans="10:21">
      <c r="J1968" s="580">
        <v>41560</v>
      </c>
      <c r="K1968" s="581">
        <v>0.99652777777777779</v>
      </c>
      <c r="L1968" s="582">
        <v>10.029400000000001</v>
      </c>
      <c r="M1968" s="582">
        <v>10.039899999999999</v>
      </c>
      <c r="N1968" s="582">
        <v>10.0505</v>
      </c>
      <c r="O1968" s="582">
        <v>10.0625</v>
      </c>
      <c r="P1968" s="582">
        <v>98.506200000000007</v>
      </c>
      <c r="Q1968" s="582">
        <f t="shared" si="197"/>
        <v>10.07220385563917</v>
      </c>
      <c r="R1968" s="582">
        <f t="shared" si="198"/>
        <v>0</v>
      </c>
      <c r="S1968" s="582">
        <f t="shared" si="201"/>
        <v>0.61769614436082931</v>
      </c>
      <c r="T1968" s="582">
        <f t="shared" si="199"/>
        <v>0.1682961443608294</v>
      </c>
      <c r="U1968" s="582">
        <f t="shared" si="200"/>
        <v>0.26029614436082976</v>
      </c>
    </row>
    <row r="1969" spans="10:21">
      <c r="J1969" s="580">
        <v>41561</v>
      </c>
      <c r="K1969" s="581">
        <v>0.99652777777777779</v>
      </c>
      <c r="L1969" s="582">
        <v>10.046799999999999</v>
      </c>
      <c r="M1969" s="582">
        <v>10.0579</v>
      </c>
      <c r="N1969" s="582">
        <v>10.067</v>
      </c>
      <c r="O1969" s="582">
        <v>10.0793</v>
      </c>
      <c r="P1969" s="582">
        <v>98.6751</v>
      </c>
      <c r="Q1969" s="582">
        <f t="shared" si="197"/>
        <v>10.089473786173668</v>
      </c>
      <c r="R1969" s="582">
        <f t="shared" si="198"/>
        <v>0</v>
      </c>
      <c r="S1969" s="582">
        <f t="shared" si="201"/>
        <v>0.61842621382633189</v>
      </c>
      <c r="T1969" s="582">
        <f t="shared" si="199"/>
        <v>0.16752621382633193</v>
      </c>
      <c r="U1969" s="582">
        <f t="shared" si="200"/>
        <v>0.25982621382633159</v>
      </c>
    </row>
    <row r="1970" spans="10:21">
      <c r="J1970" s="580">
        <v>41562</v>
      </c>
      <c r="K1970" s="581">
        <v>0.99652777777777779</v>
      </c>
      <c r="L1970" s="582">
        <v>12.6225</v>
      </c>
      <c r="M1970" s="582">
        <v>12.408799999999999</v>
      </c>
      <c r="N1970" s="582">
        <v>13.058199999999999</v>
      </c>
      <c r="O1970" s="582">
        <v>12.9945</v>
      </c>
      <c r="P1970" s="582">
        <v>98.735600000000005</v>
      </c>
      <c r="Q1970" s="582">
        <f t="shared" si="197"/>
        <v>10.095659877336116</v>
      </c>
      <c r="R1970" s="582">
        <f t="shared" si="198"/>
        <v>2.3418401226638843</v>
      </c>
      <c r="S1970" s="582">
        <f t="shared" si="201"/>
        <v>2.9631401226638836</v>
      </c>
      <c r="T1970" s="582">
        <f t="shared" si="199"/>
        <v>3.1525401226638836</v>
      </c>
      <c r="U1970" s="582">
        <f t="shared" si="200"/>
        <v>3.1688401226638838</v>
      </c>
    </row>
    <row r="1971" spans="10:21">
      <c r="J1971" s="580">
        <v>41563</v>
      </c>
      <c r="K1971" s="581">
        <v>0.99652777777777779</v>
      </c>
      <c r="L1971" s="582">
        <v>13.2788</v>
      </c>
      <c r="M1971" s="582">
        <v>12.6236</v>
      </c>
      <c r="N1971" s="582">
        <v>13.307</v>
      </c>
      <c r="O1971" s="582">
        <v>13.257199999999999</v>
      </c>
      <c r="P1971" s="582">
        <v>98.736199999999997</v>
      </c>
      <c r="Q1971" s="582">
        <f t="shared" si="197"/>
        <v>10.095721227000537</v>
      </c>
      <c r="R1971" s="582">
        <f t="shared" si="198"/>
        <v>2.9980787729994636</v>
      </c>
      <c r="S1971" s="582">
        <f t="shared" si="201"/>
        <v>3.1778787729994633</v>
      </c>
      <c r="T1971" s="582">
        <f t="shared" si="199"/>
        <v>3.401278772999464</v>
      </c>
      <c r="U1971" s="582">
        <f t="shared" si="200"/>
        <v>3.431478772999462</v>
      </c>
    </row>
    <row r="1972" spans="10:21">
      <c r="J1972" s="580">
        <v>41564</v>
      </c>
      <c r="K1972" s="581">
        <v>0.99652777777777779</v>
      </c>
      <c r="L1972" s="582">
        <v>13.312799999999999</v>
      </c>
      <c r="M1972" s="582">
        <v>12.7254</v>
      </c>
      <c r="N1972" s="582">
        <v>13.505699999999999</v>
      </c>
      <c r="O1972" s="582">
        <v>13.3224</v>
      </c>
      <c r="P1972" s="582">
        <v>98.778899999999993</v>
      </c>
      <c r="Q1972" s="582">
        <f t="shared" si="197"/>
        <v>10.100087278118494</v>
      </c>
      <c r="R1972" s="582">
        <f t="shared" si="198"/>
        <v>3.0277127218815054</v>
      </c>
      <c r="S1972" s="582">
        <f t="shared" si="201"/>
        <v>3.275312721881507</v>
      </c>
      <c r="T1972" s="582">
        <f t="shared" si="199"/>
        <v>3.5956127218815057</v>
      </c>
      <c r="U1972" s="582">
        <f t="shared" si="200"/>
        <v>3.4923127218815058</v>
      </c>
    </row>
    <row r="1973" spans="10:21">
      <c r="J1973" s="580">
        <v>41565</v>
      </c>
      <c r="K1973" s="581">
        <v>0.99652777777777779</v>
      </c>
      <c r="L1973" s="582">
        <v>13.472899999999999</v>
      </c>
      <c r="M1973" s="582">
        <v>12.788500000000001</v>
      </c>
      <c r="N1973" s="582">
        <v>13.6309</v>
      </c>
      <c r="O1973" s="582">
        <v>13.399800000000001</v>
      </c>
      <c r="P1973" s="582">
        <v>98.822500000000005</v>
      </c>
      <c r="Q1973" s="582">
        <f t="shared" ref="Q1973:Q2036" si="202">P1973/($G$8*$H$8)</f>
        <v>10.104545353733084</v>
      </c>
      <c r="R1973" s="582">
        <f t="shared" ref="R1973:R2036" si="203">IF((L1973-Q1973-$D$8+$E$8)&lt;0,0,(L1973-Q1973-$D$8+$E$8))</f>
        <v>3.1833546462669156</v>
      </c>
      <c r="S1973" s="582">
        <f t="shared" si="201"/>
        <v>3.3339546462669176</v>
      </c>
      <c r="T1973" s="582">
        <f t="shared" ref="T1973:T2036" si="204">N1973-Q1973-$D$10+$E$10</f>
        <v>3.7163546462669172</v>
      </c>
      <c r="U1973" s="582">
        <f t="shared" ref="U1973:U2036" si="205">O1973-Q1973-$D$11+$E$11</f>
        <v>3.5652546462669168</v>
      </c>
    </row>
    <row r="1974" spans="10:21">
      <c r="J1974" s="580">
        <v>41566</v>
      </c>
      <c r="K1974" s="581">
        <v>0.99652777777777779</v>
      </c>
      <c r="L1974" s="582">
        <v>13.470800000000001</v>
      </c>
      <c r="M1974" s="582">
        <v>12.8644</v>
      </c>
      <c r="N1974" s="582">
        <v>13.883100000000001</v>
      </c>
      <c r="O1974" s="582">
        <v>13.530200000000001</v>
      </c>
      <c r="P1974" s="582">
        <v>98.904200000000003</v>
      </c>
      <c r="Q1974" s="582">
        <f t="shared" si="202"/>
        <v>10.112899133038404</v>
      </c>
      <c r="R1974" s="582">
        <f t="shared" si="203"/>
        <v>3.1729008669615966</v>
      </c>
      <c r="S1974" s="582">
        <f t="shared" si="201"/>
        <v>3.4015008669615963</v>
      </c>
      <c r="T1974" s="582">
        <f t="shared" si="204"/>
        <v>3.9602008669615971</v>
      </c>
      <c r="U1974" s="582">
        <f t="shared" si="205"/>
        <v>3.6873008669615963</v>
      </c>
    </row>
    <row r="1975" spans="10:21">
      <c r="J1975" s="580">
        <v>41567</v>
      </c>
      <c r="K1975" s="581">
        <v>0.99652777777777779</v>
      </c>
      <c r="L1975" s="582">
        <v>13.3935</v>
      </c>
      <c r="M1975" s="582">
        <v>12.849</v>
      </c>
      <c r="N1975" s="582">
        <v>13.9573</v>
      </c>
      <c r="O1975" s="582">
        <v>13.302199999999999</v>
      </c>
      <c r="P1975" s="582">
        <v>98.552499999999995</v>
      </c>
      <c r="Q1975" s="582">
        <f t="shared" si="202"/>
        <v>10.076938004743653</v>
      </c>
      <c r="R1975" s="582">
        <f t="shared" si="203"/>
        <v>3.1315619952563467</v>
      </c>
      <c r="S1975" s="582">
        <f t="shared" si="201"/>
        <v>3.4220619952563478</v>
      </c>
      <c r="T1975" s="582">
        <f t="shared" si="204"/>
        <v>4.0703619952563477</v>
      </c>
      <c r="U1975" s="582">
        <f t="shared" si="205"/>
        <v>3.495261995256346</v>
      </c>
    </row>
    <row r="1976" spans="10:21">
      <c r="J1976" s="580">
        <v>41568</v>
      </c>
      <c r="K1976" s="581">
        <v>0.99652777777777779</v>
      </c>
      <c r="L1976" s="582">
        <v>13.328799999999999</v>
      </c>
      <c r="M1976" s="582">
        <v>12.8156</v>
      </c>
      <c r="N1976" s="582">
        <v>13.904199999999999</v>
      </c>
      <c r="O1976" s="582">
        <v>13.291600000000001</v>
      </c>
      <c r="P1976" s="582">
        <v>98.359499999999997</v>
      </c>
      <c r="Q1976" s="582">
        <f t="shared" si="202"/>
        <v>10.057203862688246</v>
      </c>
      <c r="R1976" s="582">
        <f t="shared" si="203"/>
        <v>3.0865961373117536</v>
      </c>
      <c r="S1976" s="582">
        <f t="shared" si="201"/>
        <v>3.4083961373117546</v>
      </c>
      <c r="T1976" s="582">
        <f t="shared" si="204"/>
        <v>4.0369961373117542</v>
      </c>
      <c r="U1976" s="582">
        <f t="shared" si="205"/>
        <v>3.5043961373117547</v>
      </c>
    </row>
    <row r="1977" spans="10:21">
      <c r="J1977" s="580">
        <v>41569</v>
      </c>
      <c r="K1977" s="581">
        <v>0.99652777777777779</v>
      </c>
      <c r="L1977" s="582">
        <v>13.2837</v>
      </c>
      <c r="M1977" s="582">
        <v>12.799099999999999</v>
      </c>
      <c r="N1977" s="582">
        <v>13.8537</v>
      </c>
      <c r="O1977" s="582">
        <v>13.2561</v>
      </c>
      <c r="P1977" s="582">
        <v>98.356099999999998</v>
      </c>
      <c r="Q1977" s="582">
        <f t="shared" si="202"/>
        <v>10.05685621458986</v>
      </c>
      <c r="R1977" s="582">
        <f t="shared" si="203"/>
        <v>3.0418437854101392</v>
      </c>
      <c r="S1977" s="582">
        <f t="shared" si="201"/>
        <v>3.3922437854101393</v>
      </c>
      <c r="T1977" s="582">
        <f t="shared" si="204"/>
        <v>3.98684378541014</v>
      </c>
      <c r="U1977" s="582">
        <f t="shared" si="205"/>
        <v>3.4692437854101392</v>
      </c>
    </row>
    <row r="1978" spans="10:21">
      <c r="J1978" s="580">
        <v>41570</v>
      </c>
      <c r="K1978" s="581">
        <v>0.99652777777777779</v>
      </c>
      <c r="L1978" s="582">
        <v>13.2476</v>
      </c>
      <c r="M1978" s="582">
        <v>12.785299999999999</v>
      </c>
      <c r="N1978" s="582">
        <v>13.8093</v>
      </c>
      <c r="O1978" s="582">
        <v>13.2319</v>
      </c>
      <c r="P1978" s="582">
        <v>98.412800000000004</v>
      </c>
      <c r="Q1978" s="582">
        <f t="shared" si="202"/>
        <v>10.062653757877642</v>
      </c>
      <c r="R1978" s="582">
        <f t="shared" si="203"/>
        <v>2.9999462421223577</v>
      </c>
      <c r="S1978" s="582">
        <f t="shared" si="201"/>
        <v>3.3726462421223573</v>
      </c>
      <c r="T1978" s="582">
        <f t="shared" si="204"/>
        <v>3.9366462421223583</v>
      </c>
      <c r="U1978" s="582">
        <f t="shared" si="205"/>
        <v>3.4392462421223566</v>
      </c>
    </row>
    <row r="1979" spans="10:21">
      <c r="J1979" s="580">
        <v>41571</v>
      </c>
      <c r="K1979" s="581">
        <v>0.99652777777777779</v>
      </c>
      <c r="L1979" s="582">
        <v>13.2066</v>
      </c>
      <c r="M1979" s="582">
        <v>12.762</v>
      </c>
      <c r="N1979" s="582">
        <v>13.7532</v>
      </c>
      <c r="O1979" s="582">
        <v>13.210599999999999</v>
      </c>
      <c r="P1979" s="582">
        <v>98.391199999999998</v>
      </c>
      <c r="Q1979" s="582">
        <f t="shared" si="202"/>
        <v>10.060445169958486</v>
      </c>
      <c r="R1979" s="582">
        <f t="shared" si="203"/>
        <v>2.9611548300415138</v>
      </c>
      <c r="S1979" s="582">
        <f t="shared" si="201"/>
        <v>3.3515548300415148</v>
      </c>
      <c r="T1979" s="582">
        <f t="shared" si="204"/>
        <v>3.882754830041514</v>
      </c>
      <c r="U1979" s="582">
        <f t="shared" si="205"/>
        <v>3.420154830041513</v>
      </c>
    </row>
    <row r="1980" spans="10:21">
      <c r="J1980" s="580">
        <v>41572</v>
      </c>
      <c r="K1980" s="581">
        <v>0.99652777777777779</v>
      </c>
      <c r="L1980" s="582">
        <v>13.1654</v>
      </c>
      <c r="M1980" s="582">
        <v>12.747</v>
      </c>
      <c r="N1980" s="582">
        <v>13.703200000000001</v>
      </c>
      <c r="O1980" s="582">
        <v>13.2043</v>
      </c>
      <c r="P1980" s="582">
        <v>98.433199999999999</v>
      </c>
      <c r="Q1980" s="582">
        <f t="shared" si="202"/>
        <v>10.064739646467954</v>
      </c>
      <c r="R1980" s="582">
        <f t="shared" si="203"/>
        <v>2.9156603535320458</v>
      </c>
      <c r="S1980" s="582">
        <f t="shared" si="201"/>
        <v>3.3322603535320461</v>
      </c>
      <c r="T1980" s="582">
        <f t="shared" si="204"/>
        <v>3.8284603535320469</v>
      </c>
      <c r="U1980" s="582">
        <f t="shared" si="205"/>
        <v>3.4095603535320453</v>
      </c>
    </row>
    <row r="1981" spans="10:21">
      <c r="J1981" s="580">
        <v>41573</v>
      </c>
      <c r="K1981" s="581">
        <v>0.99652777777777779</v>
      </c>
      <c r="L1981" s="582">
        <v>13.1524</v>
      </c>
      <c r="M1981" s="582">
        <v>12.7531</v>
      </c>
      <c r="N1981" s="582">
        <v>13.688599999999999</v>
      </c>
      <c r="O1981" s="582">
        <v>13.207700000000001</v>
      </c>
      <c r="P1981" s="582">
        <v>98.676900000000003</v>
      </c>
      <c r="Q1981" s="582">
        <f t="shared" si="202"/>
        <v>10.089657835166932</v>
      </c>
      <c r="R1981" s="582">
        <f t="shared" si="203"/>
        <v>2.8777421648330681</v>
      </c>
      <c r="S1981" s="582">
        <f t="shared" si="201"/>
        <v>3.3134421648330683</v>
      </c>
      <c r="T1981" s="582">
        <f t="shared" si="204"/>
        <v>3.7889421648330677</v>
      </c>
      <c r="U1981" s="582">
        <f t="shared" si="205"/>
        <v>3.3880421648330685</v>
      </c>
    </row>
    <row r="1982" spans="10:21">
      <c r="J1982" s="580">
        <v>41574</v>
      </c>
      <c r="K1982" s="581">
        <v>0.99652777777777779</v>
      </c>
      <c r="L1982" s="582">
        <v>13.1229</v>
      </c>
      <c r="M1982" s="582">
        <v>12.740500000000001</v>
      </c>
      <c r="N1982" s="582">
        <v>13.644399999999999</v>
      </c>
      <c r="O1982" s="582">
        <v>13.192500000000001</v>
      </c>
      <c r="P1982" s="582">
        <v>98.761300000000006</v>
      </c>
      <c r="Q1982" s="582">
        <f t="shared" si="202"/>
        <v>10.098287687962147</v>
      </c>
      <c r="R1982" s="582">
        <f t="shared" si="203"/>
        <v>2.8396123120378527</v>
      </c>
      <c r="S1982" s="582">
        <f t="shared" si="201"/>
        <v>3.2922123120378544</v>
      </c>
      <c r="T1982" s="582">
        <f t="shared" si="204"/>
        <v>3.7361123120378528</v>
      </c>
      <c r="U1982" s="582">
        <f t="shared" si="205"/>
        <v>3.3642123120378535</v>
      </c>
    </row>
    <row r="1983" spans="10:21">
      <c r="J1983" s="580">
        <v>41575</v>
      </c>
      <c r="K1983" s="581">
        <v>0.99652777777777779</v>
      </c>
      <c r="L1983" s="582">
        <v>13.0936</v>
      </c>
      <c r="M1983" s="582">
        <v>12.7323</v>
      </c>
      <c r="N1983" s="582">
        <v>13.608499999999999</v>
      </c>
      <c r="O1983" s="582">
        <v>13.1778</v>
      </c>
      <c r="P1983" s="582">
        <v>98.870999999999995</v>
      </c>
      <c r="Q1983" s="582">
        <f t="shared" si="202"/>
        <v>10.10950445160711</v>
      </c>
      <c r="R1983" s="582">
        <f t="shared" si="203"/>
        <v>2.7990955483928901</v>
      </c>
      <c r="S1983" s="582">
        <f t="shared" si="201"/>
        <v>3.2727955483928906</v>
      </c>
      <c r="T1983" s="582">
        <f t="shared" si="204"/>
        <v>3.6889955483928896</v>
      </c>
      <c r="U1983" s="582">
        <f t="shared" si="205"/>
        <v>3.3382955483928889</v>
      </c>
    </row>
    <row r="1984" spans="10:21">
      <c r="J1984" s="580">
        <v>41576</v>
      </c>
      <c r="K1984" s="581">
        <v>0.99652777777777779</v>
      </c>
      <c r="L1984" s="582">
        <v>13.066000000000001</v>
      </c>
      <c r="M1984" s="582">
        <v>12.722899999999999</v>
      </c>
      <c r="N1984" s="582">
        <v>13.590999999999999</v>
      </c>
      <c r="O1984" s="582">
        <v>13.169700000000001</v>
      </c>
      <c r="P1984" s="582">
        <v>98.966399999999993</v>
      </c>
      <c r="Q1984" s="582">
        <f t="shared" si="202"/>
        <v>10.119259048250042</v>
      </c>
      <c r="R1984" s="582">
        <f t="shared" si="203"/>
        <v>2.7617409517499589</v>
      </c>
      <c r="S1984" s="582">
        <f t="shared" si="201"/>
        <v>3.2536409517499578</v>
      </c>
      <c r="T1984" s="582">
        <f t="shared" si="204"/>
        <v>3.661740951749958</v>
      </c>
      <c r="U1984" s="582">
        <f t="shared" si="205"/>
        <v>3.3204409517499585</v>
      </c>
    </row>
    <row r="1985" spans="10:21">
      <c r="J1985" s="580">
        <v>41577</v>
      </c>
      <c r="K1985" s="581">
        <v>0.99652777777777779</v>
      </c>
      <c r="L1985" s="582">
        <v>13.028</v>
      </c>
      <c r="M1985" s="582">
        <v>12.7036</v>
      </c>
      <c r="N1985" s="582">
        <v>13.5464</v>
      </c>
      <c r="O1985" s="582">
        <v>13.1517</v>
      </c>
      <c r="P1985" s="582">
        <v>98.976699999999994</v>
      </c>
      <c r="Q1985" s="582">
        <f t="shared" si="202"/>
        <v>10.120312217489269</v>
      </c>
      <c r="R1985" s="582">
        <f t="shared" si="203"/>
        <v>2.722687782510731</v>
      </c>
      <c r="S1985" s="582">
        <f t="shared" si="201"/>
        <v>3.2332877825107307</v>
      </c>
      <c r="T1985" s="582">
        <f t="shared" si="204"/>
        <v>3.6160877825107312</v>
      </c>
      <c r="U1985" s="582">
        <f t="shared" si="205"/>
        <v>3.3013877825107301</v>
      </c>
    </row>
    <row r="1986" spans="10:21">
      <c r="J1986" s="580">
        <v>41578</v>
      </c>
      <c r="K1986" s="581">
        <v>0.99652777777777779</v>
      </c>
      <c r="L1986" s="582">
        <v>13.0009</v>
      </c>
      <c r="M1986" s="582">
        <v>12.683400000000001</v>
      </c>
      <c r="N1986" s="582">
        <v>13.4945</v>
      </c>
      <c r="O1986" s="582">
        <v>13.132899999999999</v>
      </c>
      <c r="P1986" s="582">
        <v>98.966300000000004</v>
      </c>
      <c r="Q1986" s="582">
        <f t="shared" si="202"/>
        <v>10.119248823305973</v>
      </c>
      <c r="R1986" s="582">
        <f t="shared" si="203"/>
        <v>2.6966511766940262</v>
      </c>
      <c r="S1986" s="582">
        <f t="shared" si="201"/>
        <v>3.2141511766940276</v>
      </c>
      <c r="T1986" s="582">
        <f t="shared" si="204"/>
        <v>3.5652511766940274</v>
      </c>
      <c r="U1986" s="582">
        <f t="shared" si="205"/>
        <v>3.2836511766940255</v>
      </c>
    </row>
    <row r="1987" spans="10:21">
      <c r="J1987" s="580">
        <v>41579</v>
      </c>
      <c r="K1987" s="581">
        <v>0.99652777777777779</v>
      </c>
      <c r="L1987" s="582">
        <v>12.956</v>
      </c>
      <c r="M1987" s="582">
        <v>12.656499999999999</v>
      </c>
      <c r="N1987" s="582">
        <v>13.4367</v>
      </c>
      <c r="O1987" s="582">
        <v>13.1053</v>
      </c>
      <c r="P1987" s="582">
        <v>98.895600000000002</v>
      </c>
      <c r="Q1987" s="582">
        <f t="shared" si="202"/>
        <v>10.11201978784837</v>
      </c>
      <c r="R1987" s="582">
        <f t="shared" si="203"/>
        <v>2.6589802121516297</v>
      </c>
      <c r="S1987" s="582">
        <f t="shared" si="201"/>
        <v>3.19448021215163</v>
      </c>
      <c r="T1987" s="582">
        <f t="shared" si="204"/>
        <v>3.5146802121516307</v>
      </c>
      <c r="U1987" s="582">
        <f t="shared" si="205"/>
        <v>3.2632802121516296</v>
      </c>
    </row>
    <row r="1988" spans="10:21">
      <c r="J1988" s="580">
        <v>41580</v>
      </c>
      <c r="K1988" s="581">
        <v>0.99652777777777779</v>
      </c>
      <c r="L1988" s="582">
        <v>12.922800000000001</v>
      </c>
      <c r="M1988" s="582">
        <v>12.6403</v>
      </c>
      <c r="N1988" s="582">
        <v>13.4047</v>
      </c>
      <c r="O1988" s="582">
        <v>13.0886</v>
      </c>
      <c r="P1988" s="582">
        <v>98.901399999999995</v>
      </c>
      <c r="Q1988" s="582">
        <f t="shared" si="202"/>
        <v>10.112612834604439</v>
      </c>
      <c r="R1988" s="582">
        <f t="shared" si="203"/>
        <v>2.6251871653955612</v>
      </c>
      <c r="S1988" s="582">
        <f t="shared" si="201"/>
        <v>3.177687165395561</v>
      </c>
      <c r="T1988" s="582">
        <f t="shared" si="204"/>
        <v>3.4820871653955612</v>
      </c>
      <c r="U1988" s="582">
        <f t="shared" si="205"/>
        <v>3.2459871653955599</v>
      </c>
    </row>
    <row r="1989" spans="10:21">
      <c r="J1989" s="580">
        <v>41581</v>
      </c>
      <c r="K1989" s="581">
        <v>0.99652777777777779</v>
      </c>
      <c r="L1989" s="582">
        <v>12.894500000000001</v>
      </c>
      <c r="M1989" s="582">
        <v>12.6286</v>
      </c>
      <c r="N1989" s="582">
        <v>13.3766</v>
      </c>
      <c r="O1989" s="582">
        <v>13.0761</v>
      </c>
      <c r="P1989" s="582">
        <v>98.962900000000005</v>
      </c>
      <c r="Q1989" s="582">
        <f t="shared" si="202"/>
        <v>10.118901175207588</v>
      </c>
      <c r="R1989" s="582">
        <f t="shared" si="203"/>
        <v>2.5905988247924125</v>
      </c>
      <c r="S1989" s="582">
        <f t="shared" si="201"/>
        <v>3.1596988247924127</v>
      </c>
      <c r="T1989" s="582">
        <f t="shared" si="204"/>
        <v>3.4476988247924121</v>
      </c>
      <c r="U1989" s="582">
        <f t="shared" si="205"/>
        <v>3.2271988247924117</v>
      </c>
    </row>
    <row r="1990" spans="10:21">
      <c r="J1990" s="580">
        <v>41582</v>
      </c>
      <c r="K1990" s="581">
        <v>0.99652777777777779</v>
      </c>
      <c r="L1990" s="582">
        <v>12.925800000000001</v>
      </c>
      <c r="M1990" s="582">
        <v>12.648400000000001</v>
      </c>
      <c r="N1990" s="582">
        <v>13.385</v>
      </c>
      <c r="O1990" s="582">
        <v>13.099299999999999</v>
      </c>
      <c r="P1990" s="582">
        <v>99.069599999999994</v>
      </c>
      <c r="Q1990" s="582">
        <f t="shared" si="202"/>
        <v>10.129811190530447</v>
      </c>
      <c r="R1990" s="582">
        <f t="shared" si="203"/>
        <v>2.6109888094695539</v>
      </c>
      <c r="S1990" s="582">
        <f t="shared" si="201"/>
        <v>3.1685888094695542</v>
      </c>
      <c r="T1990" s="582">
        <f t="shared" si="204"/>
        <v>3.4451888094695535</v>
      </c>
      <c r="U1990" s="582">
        <f t="shared" si="205"/>
        <v>3.2394888094695524</v>
      </c>
    </row>
    <row r="1991" spans="10:21">
      <c r="J1991" s="580">
        <v>41583</v>
      </c>
      <c r="K1991" s="581">
        <v>0.99652777777777779</v>
      </c>
      <c r="L1991" s="582">
        <v>12.913</v>
      </c>
      <c r="M1991" s="582">
        <v>12.646000000000001</v>
      </c>
      <c r="N1991" s="582">
        <v>13.358000000000001</v>
      </c>
      <c r="O1991" s="582">
        <v>13.087199999999999</v>
      </c>
      <c r="P1991" s="582">
        <v>99.042100000000005</v>
      </c>
      <c r="Q1991" s="582">
        <f t="shared" si="202"/>
        <v>10.126999330911154</v>
      </c>
      <c r="R1991" s="582">
        <f t="shared" si="203"/>
        <v>2.6010006690888461</v>
      </c>
      <c r="S1991" s="582">
        <f t="shared" si="201"/>
        <v>3.169000669088847</v>
      </c>
      <c r="T1991" s="582">
        <f t="shared" si="204"/>
        <v>3.4210006690888468</v>
      </c>
      <c r="U1991" s="582">
        <f t="shared" si="205"/>
        <v>3.2302006690888447</v>
      </c>
    </row>
    <row r="1992" spans="10:21">
      <c r="J1992" s="580">
        <v>41584</v>
      </c>
      <c r="K1992" s="581">
        <v>0.99652777777777779</v>
      </c>
      <c r="L1992" s="582">
        <v>12.8735</v>
      </c>
      <c r="M1992" s="582">
        <v>12.6203</v>
      </c>
      <c r="N1992" s="582">
        <v>13.3195</v>
      </c>
      <c r="O1992" s="582">
        <v>13.0616</v>
      </c>
      <c r="P1992" s="582">
        <v>98.997399999999999</v>
      </c>
      <c r="Q1992" s="582">
        <f t="shared" si="202"/>
        <v>10.122428780911791</v>
      </c>
      <c r="R1992" s="582">
        <f t="shared" si="203"/>
        <v>2.5660712190882085</v>
      </c>
      <c r="S1992" s="582">
        <f t="shared" si="201"/>
        <v>3.1478712190882092</v>
      </c>
      <c r="T1992" s="582">
        <f t="shared" si="204"/>
        <v>3.3870712190882086</v>
      </c>
      <c r="U1992" s="582">
        <f t="shared" si="205"/>
        <v>3.2091712190882085</v>
      </c>
    </row>
    <row r="1993" spans="10:21">
      <c r="J1993" s="580">
        <v>41585</v>
      </c>
      <c r="K1993" s="581">
        <v>0.99652777777777779</v>
      </c>
      <c r="L1993" s="582">
        <v>12.8315</v>
      </c>
      <c r="M1993" s="582">
        <v>12.594900000000001</v>
      </c>
      <c r="N1993" s="582">
        <v>13.2728</v>
      </c>
      <c r="O1993" s="582">
        <v>13.0313</v>
      </c>
      <c r="P1993" s="582">
        <v>98.919499999999999</v>
      </c>
      <c r="Q1993" s="582">
        <f t="shared" si="202"/>
        <v>10.114463549481139</v>
      </c>
      <c r="R1993" s="582">
        <f t="shared" si="203"/>
        <v>2.5320364505188615</v>
      </c>
      <c r="S1993" s="582">
        <f t="shared" ref="S1993:S2024" si="206">M1993-Q1993-$D$9+$E$9</f>
        <v>3.1304364505188627</v>
      </c>
      <c r="T1993" s="582">
        <f t="shared" si="204"/>
        <v>3.348336450518862</v>
      </c>
      <c r="U1993" s="582">
        <f t="shared" si="205"/>
        <v>3.1868364505188609</v>
      </c>
    </row>
    <row r="1994" spans="10:21">
      <c r="J1994" s="580">
        <v>41586</v>
      </c>
      <c r="K1994" s="581">
        <v>0.99652777777777779</v>
      </c>
      <c r="L1994" s="582">
        <v>12.7883</v>
      </c>
      <c r="M1994" s="582">
        <v>12.563800000000001</v>
      </c>
      <c r="N1994" s="582">
        <v>13.221399999999999</v>
      </c>
      <c r="O1994" s="582">
        <v>12.9961</v>
      </c>
      <c r="P1994" s="582">
        <v>98.818299999999994</v>
      </c>
      <c r="Q1994" s="582">
        <f t="shared" si="202"/>
        <v>10.104115906082136</v>
      </c>
      <c r="R1994" s="582">
        <f t="shared" si="203"/>
        <v>2.4991840939178638</v>
      </c>
      <c r="S1994" s="582">
        <f t="shared" si="206"/>
        <v>3.1096840939178652</v>
      </c>
      <c r="T1994" s="582">
        <f t="shared" si="204"/>
        <v>3.3072840939178638</v>
      </c>
      <c r="U1994" s="582">
        <f t="shared" si="205"/>
        <v>3.1619840939178641</v>
      </c>
    </row>
    <row r="1995" spans="10:21">
      <c r="J1995" s="580">
        <v>41587</v>
      </c>
      <c r="K1995" s="581">
        <v>0.99652777777777779</v>
      </c>
      <c r="L1995" s="582">
        <v>12.7441</v>
      </c>
      <c r="M1995" s="582">
        <v>12.5383</v>
      </c>
      <c r="N1995" s="582">
        <v>13.1745</v>
      </c>
      <c r="O1995" s="582">
        <v>12.9649</v>
      </c>
      <c r="P1995" s="582">
        <v>98.735200000000006</v>
      </c>
      <c r="Q1995" s="582">
        <f t="shared" si="202"/>
        <v>10.095618977559836</v>
      </c>
      <c r="R1995" s="582">
        <f t="shared" si="203"/>
        <v>2.4634810224401638</v>
      </c>
      <c r="S1995" s="582">
        <f t="shared" si="206"/>
        <v>3.0926810224401642</v>
      </c>
      <c r="T1995" s="582">
        <f t="shared" si="204"/>
        <v>3.2688810224401648</v>
      </c>
      <c r="U1995" s="582">
        <f t="shared" si="205"/>
        <v>3.1392810224401639</v>
      </c>
    </row>
    <row r="1996" spans="10:21">
      <c r="J1996" s="580">
        <v>41588</v>
      </c>
      <c r="K1996" s="581">
        <v>0.99652777777777779</v>
      </c>
      <c r="L1996" s="582">
        <v>12.7113</v>
      </c>
      <c r="M1996" s="582">
        <v>12.5223</v>
      </c>
      <c r="N1996" s="582">
        <v>13.1394</v>
      </c>
      <c r="O1996" s="582">
        <v>12.9435</v>
      </c>
      <c r="P1996" s="582">
        <v>98.790899999999993</v>
      </c>
      <c r="Q1996" s="582">
        <f t="shared" si="202"/>
        <v>10.101314271406913</v>
      </c>
      <c r="R1996" s="582">
        <f t="shared" si="203"/>
        <v>2.4249857285930863</v>
      </c>
      <c r="S1996" s="582">
        <f t="shared" si="206"/>
        <v>3.0709857285930866</v>
      </c>
      <c r="T1996" s="582">
        <f t="shared" si="204"/>
        <v>3.2280857285930873</v>
      </c>
      <c r="U1996" s="582">
        <f t="shared" si="205"/>
        <v>3.1121857285930865</v>
      </c>
    </row>
    <row r="1997" spans="10:21">
      <c r="J1997" s="580">
        <v>41589</v>
      </c>
      <c r="K1997" s="581">
        <v>0.99652777777777779</v>
      </c>
      <c r="L1997" s="582">
        <v>12.664899999999999</v>
      </c>
      <c r="M1997" s="582">
        <v>12.491199999999999</v>
      </c>
      <c r="N1997" s="582">
        <v>13.0876</v>
      </c>
      <c r="O1997" s="582">
        <v>12.8942</v>
      </c>
      <c r="P1997" s="582">
        <v>98.696100000000001</v>
      </c>
      <c r="Q1997" s="582">
        <f t="shared" si="202"/>
        <v>10.091621024428402</v>
      </c>
      <c r="R1997" s="582">
        <f t="shared" si="203"/>
        <v>2.388278975571597</v>
      </c>
      <c r="S1997" s="582">
        <f t="shared" si="206"/>
        <v>3.0495789755715972</v>
      </c>
      <c r="T1997" s="582">
        <f t="shared" si="204"/>
        <v>3.1859789755715981</v>
      </c>
      <c r="U1997" s="582">
        <f t="shared" si="205"/>
        <v>3.0725789755715969</v>
      </c>
    </row>
    <row r="1998" spans="10:21">
      <c r="J1998" s="580">
        <v>41590</v>
      </c>
      <c r="K1998" s="581">
        <v>0.99652777777777779</v>
      </c>
      <c r="L1998" s="582">
        <v>12.6332</v>
      </c>
      <c r="M1998" s="582">
        <v>12.4719</v>
      </c>
      <c r="N1998" s="582">
        <v>13.0566</v>
      </c>
      <c r="O1998" s="582">
        <v>12.8757</v>
      </c>
      <c r="P1998" s="582">
        <v>98.730400000000003</v>
      </c>
      <c r="Q1998" s="582">
        <f t="shared" si="202"/>
        <v>10.095128180244467</v>
      </c>
      <c r="R1998" s="582">
        <f t="shared" si="203"/>
        <v>2.3530718197555331</v>
      </c>
      <c r="S1998" s="582">
        <f t="shared" si="206"/>
        <v>3.0267718197555329</v>
      </c>
      <c r="T1998" s="582">
        <f t="shared" si="204"/>
        <v>3.1514718197555327</v>
      </c>
      <c r="U1998" s="582">
        <f t="shared" si="205"/>
        <v>3.0505718197555325</v>
      </c>
    </row>
    <row r="1999" spans="10:21">
      <c r="J1999" s="580">
        <v>41591</v>
      </c>
      <c r="K1999" s="581">
        <v>0.99652777777777779</v>
      </c>
      <c r="L1999" s="582">
        <v>12.6122</v>
      </c>
      <c r="M1999" s="582">
        <v>12.460599999999999</v>
      </c>
      <c r="N1999" s="582">
        <v>13.034700000000001</v>
      </c>
      <c r="O1999" s="582">
        <v>12.8652</v>
      </c>
      <c r="P1999" s="582">
        <v>98.818700000000007</v>
      </c>
      <c r="Q1999" s="582">
        <f t="shared" si="202"/>
        <v>10.104156805858418</v>
      </c>
      <c r="R1999" s="582">
        <f t="shared" si="203"/>
        <v>2.3230431941415817</v>
      </c>
      <c r="S1999" s="582">
        <f t="shared" si="206"/>
        <v>3.0064431941415819</v>
      </c>
      <c r="T1999" s="582">
        <f t="shared" si="204"/>
        <v>3.1205431941415833</v>
      </c>
      <c r="U1999" s="582">
        <f t="shared" si="205"/>
        <v>3.0310431941415814</v>
      </c>
    </row>
    <row r="2000" spans="10:21">
      <c r="J2000" s="580">
        <v>41592</v>
      </c>
      <c r="K2000" s="581">
        <v>0.99652777777777779</v>
      </c>
      <c r="L2000" s="582">
        <v>12.573499999999999</v>
      </c>
      <c r="M2000" s="582">
        <v>12.437799999999999</v>
      </c>
      <c r="N2000" s="582">
        <v>13.001300000000001</v>
      </c>
      <c r="O2000" s="582">
        <v>12.8452</v>
      </c>
      <c r="P2000" s="582">
        <v>98.842600000000004</v>
      </c>
      <c r="Q2000" s="582">
        <f t="shared" si="202"/>
        <v>10.106600567491187</v>
      </c>
      <c r="R2000" s="582">
        <f t="shared" si="203"/>
        <v>2.2818994325088124</v>
      </c>
      <c r="S2000" s="582">
        <f t="shared" si="206"/>
        <v>2.9811994325088129</v>
      </c>
      <c r="T2000" s="582">
        <f t="shared" si="204"/>
        <v>3.0846994325088142</v>
      </c>
      <c r="U2000" s="582">
        <f t="shared" si="205"/>
        <v>3.008599432508813</v>
      </c>
    </row>
    <row r="2001" spans="10:21">
      <c r="J2001" s="580">
        <v>41593</v>
      </c>
      <c r="K2001" s="581">
        <v>0.99652777777777779</v>
      </c>
      <c r="L2001" s="582">
        <v>12.5137</v>
      </c>
      <c r="M2001" s="582">
        <v>12.397600000000001</v>
      </c>
      <c r="N2001" s="582">
        <v>12.943</v>
      </c>
      <c r="O2001" s="582">
        <v>12.792400000000001</v>
      </c>
      <c r="P2001" s="582">
        <v>98.692700000000002</v>
      </c>
      <c r="Q2001" s="582">
        <f t="shared" si="202"/>
        <v>10.091273376330017</v>
      </c>
      <c r="R2001" s="582">
        <f t="shared" si="203"/>
        <v>2.2374266236699829</v>
      </c>
      <c r="S2001" s="582">
        <f t="shared" si="206"/>
        <v>2.9563266236699839</v>
      </c>
      <c r="T2001" s="582">
        <f t="shared" si="204"/>
        <v>3.0417266236699829</v>
      </c>
      <c r="U2001" s="582">
        <f t="shared" si="205"/>
        <v>2.9711266236699831</v>
      </c>
    </row>
    <row r="2002" spans="10:21">
      <c r="J2002" s="580">
        <v>41594</v>
      </c>
      <c r="K2002" s="581">
        <v>0.99652777777777779</v>
      </c>
      <c r="L2002" s="582">
        <v>12.460599999999999</v>
      </c>
      <c r="M2002" s="582">
        <v>12.3628</v>
      </c>
      <c r="N2002" s="582">
        <v>12.895200000000001</v>
      </c>
      <c r="O2002" s="582">
        <v>12.747299999999999</v>
      </c>
      <c r="P2002" s="582">
        <v>98.622299999999996</v>
      </c>
      <c r="Q2002" s="582">
        <f t="shared" si="202"/>
        <v>10.084075015704624</v>
      </c>
      <c r="R2002" s="582">
        <f t="shared" si="203"/>
        <v>2.1915249842953757</v>
      </c>
      <c r="S2002" s="582">
        <f t="shared" si="206"/>
        <v>2.9287249842953766</v>
      </c>
      <c r="T2002" s="582">
        <f t="shared" si="204"/>
        <v>3.0011249842953776</v>
      </c>
      <c r="U2002" s="582">
        <f t="shared" si="205"/>
        <v>2.933224984295375</v>
      </c>
    </row>
    <row r="2003" spans="10:21">
      <c r="J2003" s="580">
        <v>41595</v>
      </c>
      <c r="K2003" s="581">
        <v>0.99652777777777779</v>
      </c>
      <c r="L2003" s="582">
        <v>12.5466</v>
      </c>
      <c r="M2003" s="582">
        <v>12.686299999999999</v>
      </c>
      <c r="N2003" s="582">
        <v>13.7014</v>
      </c>
      <c r="O2003" s="582">
        <v>13.285399999999999</v>
      </c>
      <c r="P2003" s="582">
        <v>98.84</v>
      </c>
      <c r="Q2003" s="582">
        <f t="shared" si="202"/>
        <v>10.106334718945362</v>
      </c>
      <c r="R2003" s="582">
        <f t="shared" si="203"/>
        <v>2.2552652810546374</v>
      </c>
      <c r="S2003" s="582">
        <f t="shared" si="206"/>
        <v>3.2299652810546373</v>
      </c>
      <c r="T2003" s="582">
        <f t="shared" si="204"/>
        <v>3.7850652810546377</v>
      </c>
      <c r="U2003" s="582">
        <f t="shared" si="205"/>
        <v>3.4490652810546365</v>
      </c>
    </row>
    <row r="2004" spans="10:21">
      <c r="J2004" s="580">
        <v>41596</v>
      </c>
      <c r="K2004" s="581">
        <v>0.99652777777777779</v>
      </c>
      <c r="L2004" s="582">
        <v>12.5206</v>
      </c>
      <c r="M2004" s="582">
        <v>12.6846</v>
      </c>
      <c r="N2004" s="582">
        <v>13.7117</v>
      </c>
      <c r="O2004" s="582">
        <v>13.284599999999999</v>
      </c>
      <c r="P2004" s="582">
        <v>99.001900000000006</v>
      </c>
      <c r="Q2004" s="582">
        <f t="shared" si="202"/>
        <v>10.12288890339495</v>
      </c>
      <c r="R2004" s="582">
        <f t="shared" si="203"/>
        <v>2.2127110966050503</v>
      </c>
      <c r="S2004" s="582">
        <f t="shared" si="206"/>
        <v>3.2117110966050504</v>
      </c>
      <c r="T2004" s="582">
        <f t="shared" si="204"/>
        <v>3.7788110966050512</v>
      </c>
      <c r="U2004" s="582">
        <f t="shared" si="205"/>
        <v>3.4317110966050492</v>
      </c>
    </row>
    <row r="2005" spans="10:21">
      <c r="J2005" s="580">
        <v>41597</v>
      </c>
      <c r="K2005" s="581">
        <v>0.99652777777777779</v>
      </c>
      <c r="L2005" s="582">
        <v>12.465199999999999</v>
      </c>
      <c r="M2005" s="582">
        <v>12.6534</v>
      </c>
      <c r="N2005" s="582">
        <v>13.661799999999999</v>
      </c>
      <c r="O2005" s="582">
        <v>13.249599999999999</v>
      </c>
      <c r="P2005" s="582">
        <v>98.884100000000004</v>
      </c>
      <c r="Q2005" s="582">
        <f t="shared" si="202"/>
        <v>10.110843919280303</v>
      </c>
      <c r="R2005" s="582">
        <f t="shared" si="203"/>
        <v>2.1693560807196968</v>
      </c>
      <c r="S2005" s="582">
        <f t="shared" si="206"/>
        <v>3.1925560807196973</v>
      </c>
      <c r="T2005" s="582">
        <f t="shared" si="204"/>
        <v>3.7409560807196973</v>
      </c>
      <c r="U2005" s="582">
        <f t="shared" si="205"/>
        <v>3.4087560807196962</v>
      </c>
    </row>
    <row r="2006" spans="10:21">
      <c r="J2006" s="580">
        <v>41598</v>
      </c>
      <c r="K2006" s="581">
        <v>0.99652777777777779</v>
      </c>
      <c r="L2006" s="582">
        <v>12.3879</v>
      </c>
      <c r="M2006" s="582">
        <v>12.599600000000001</v>
      </c>
      <c r="N2006" s="582">
        <v>13.5885</v>
      </c>
      <c r="O2006" s="582">
        <v>13.191000000000001</v>
      </c>
      <c r="P2006" s="582">
        <v>98.558400000000006</v>
      </c>
      <c r="Q2006" s="582">
        <f t="shared" si="202"/>
        <v>10.077541276443794</v>
      </c>
      <c r="R2006" s="582">
        <f t="shared" si="203"/>
        <v>2.1253587235562059</v>
      </c>
      <c r="S2006" s="582">
        <f t="shared" si="206"/>
        <v>3.1720587235562068</v>
      </c>
      <c r="T2006" s="582">
        <f t="shared" si="204"/>
        <v>3.700958723556206</v>
      </c>
      <c r="U2006" s="582">
        <f t="shared" si="205"/>
        <v>3.3834587235562061</v>
      </c>
    </row>
    <row r="2007" spans="10:21">
      <c r="J2007" s="580">
        <v>41599</v>
      </c>
      <c r="K2007" s="581">
        <v>0.99652777777777779</v>
      </c>
      <c r="L2007" s="582">
        <v>12.3386</v>
      </c>
      <c r="M2007" s="582">
        <v>12.582599999999999</v>
      </c>
      <c r="N2007" s="582">
        <v>13.5549</v>
      </c>
      <c r="O2007" s="582">
        <v>13.1721</v>
      </c>
      <c r="P2007" s="582">
        <v>98.624499999999998</v>
      </c>
      <c r="Q2007" s="582">
        <f t="shared" si="202"/>
        <v>10.084299964474168</v>
      </c>
      <c r="R2007" s="582">
        <f t="shared" si="203"/>
        <v>2.0693000355258317</v>
      </c>
      <c r="S2007" s="582">
        <f t="shared" si="206"/>
        <v>3.1483000355258319</v>
      </c>
      <c r="T2007" s="582">
        <f t="shared" si="204"/>
        <v>3.6606000355258326</v>
      </c>
      <c r="U2007" s="582">
        <f t="shared" si="205"/>
        <v>3.3578000355258322</v>
      </c>
    </row>
    <row r="2008" spans="10:21">
      <c r="J2008" s="580">
        <v>41600</v>
      </c>
      <c r="K2008" s="581">
        <v>0.99652777777777779</v>
      </c>
      <c r="L2008" s="582">
        <v>12.2971</v>
      </c>
      <c r="M2008" s="582">
        <v>12.5715</v>
      </c>
      <c r="N2008" s="582">
        <v>13.528700000000001</v>
      </c>
      <c r="O2008" s="582">
        <v>13.1579</v>
      </c>
      <c r="P2008" s="582">
        <v>98.741900000000001</v>
      </c>
      <c r="Q2008" s="582">
        <f t="shared" si="202"/>
        <v>10.096304048812536</v>
      </c>
      <c r="R2008" s="582">
        <f t="shared" si="203"/>
        <v>2.0157959511874641</v>
      </c>
      <c r="S2008" s="582">
        <f t="shared" si="206"/>
        <v>3.1251959511874645</v>
      </c>
      <c r="T2008" s="582">
        <f t="shared" si="204"/>
        <v>3.6223959511874648</v>
      </c>
      <c r="U2008" s="582">
        <f t="shared" si="205"/>
        <v>3.3315959511874631</v>
      </c>
    </row>
    <row r="2009" spans="10:21">
      <c r="J2009" s="580">
        <v>41601</v>
      </c>
      <c r="K2009" s="581">
        <v>0.99652777777777779</v>
      </c>
      <c r="L2009" s="582">
        <v>12.2584</v>
      </c>
      <c r="M2009" s="582">
        <v>12.561299999999999</v>
      </c>
      <c r="N2009" s="582">
        <v>13.4971</v>
      </c>
      <c r="O2009" s="582">
        <v>13.1427</v>
      </c>
      <c r="P2009" s="582">
        <v>98.846999999999994</v>
      </c>
      <c r="Q2009" s="582">
        <f t="shared" si="202"/>
        <v>10.107050465030273</v>
      </c>
      <c r="R2009" s="582">
        <f t="shared" si="203"/>
        <v>1.9663495349697269</v>
      </c>
      <c r="S2009" s="582">
        <f t="shared" si="206"/>
        <v>3.1042495349697266</v>
      </c>
      <c r="T2009" s="582">
        <f t="shared" si="204"/>
        <v>3.580049534969727</v>
      </c>
      <c r="U2009" s="582">
        <f t="shared" si="205"/>
        <v>3.3056495349697261</v>
      </c>
    </row>
    <row r="2010" spans="10:21">
      <c r="J2010" s="580">
        <v>41602</v>
      </c>
      <c r="K2010" s="581">
        <v>0.99652777777777779</v>
      </c>
      <c r="L2010" s="582">
        <v>12.2157</v>
      </c>
      <c r="M2010" s="582">
        <v>12.542400000000001</v>
      </c>
      <c r="N2010" s="582">
        <v>13.460699999999999</v>
      </c>
      <c r="O2010" s="582">
        <v>13.122</v>
      </c>
      <c r="P2010" s="582">
        <v>98.885599999999997</v>
      </c>
      <c r="Q2010" s="582">
        <f t="shared" si="202"/>
        <v>10.110997293441354</v>
      </c>
      <c r="R2010" s="582">
        <f t="shared" si="203"/>
        <v>1.9197027065586458</v>
      </c>
      <c r="S2010" s="582">
        <f t="shared" si="206"/>
        <v>3.0814027065586469</v>
      </c>
      <c r="T2010" s="582">
        <f t="shared" si="204"/>
        <v>3.5397027065586455</v>
      </c>
      <c r="U2010" s="582">
        <f t="shared" si="205"/>
        <v>3.2810027065586453</v>
      </c>
    </row>
    <row r="2011" spans="10:21">
      <c r="J2011" s="580">
        <v>41603</v>
      </c>
      <c r="K2011" s="581">
        <v>0.99652777777777779</v>
      </c>
      <c r="L2011" s="582">
        <v>12.1563</v>
      </c>
      <c r="M2011" s="582">
        <v>12.5008</v>
      </c>
      <c r="N2011" s="582">
        <v>13.4076</v>
      </c>
      <c r="O2011" s="582">
        <v>13.0837</v>
      </c>
      <c r="P2011" s="582">
        <v>98.747799999999998</v>
      </c>
      <c r="Q2011" s="582">
        <f t="shared" si="202"/>
        <v>10.096907320512674</v>
      </c>
      <c r="R2011" s="582">
        <f t="shared" si="203"/>
        <v>1.8743926794873258</v>
      </c>
      <c r="S2011" s="582">
        <f t="shared" si="206"/>
        <v>3.0538926794873262</v>
      </c>
      <c r="T2011" s="582">
        <f t="shared" si="204"/>
        <v>3.5006926794873268</v>
      </c>
      <c r="U2011" s="582">
        <f t="shared" si="205"/>
        <v>3.2567926794873259</v>
      </c>
    </row>
    <row r="2012" spans="10:21">
      <c r="J2012" s="580">
        <v>41604</v>
      </c>
      <c r="K2012" s="581">
        <v>0.99652777777777779</v>
      </c>
      <c r="L2012" s="582">
        <v>12.115600000000001</v>
      </c>
      <c r="M2012" s="582">
        <v>12.4686</v>
      </c>
      <c r="N2012" s="582">
        <v>13.3681</v>
      </c>
      <c r="O2012" s="582">
        <v>13.0549</v>
      </c>
      <c r="P2012" s="582">
        <v>98.718599999999995</v>
      </c>
      <c r="Q2012" s="582">
        <f t="shared" si="202"/>
        <v>10.093921636844188</v>
      </c>
      <c r="R2012" s="582">
        <f t="shared" si="203"/>
        <v>1.8366783631558126</v>
      </c>
      <c r="S2012" s="582">
        <f t="shared" si="206"/>
        <v>3.0246783631558127</v>
      </c>
      <c r="T2012" s="582">
        <f t="shared" si="204"/>
        <v>3.4641783631558125</v>
      </c>
      <c r="U2012" s="582">
        <f t="shared" si="205"/>
        <v>3.2309783631558116</v>
      </c>
    </row>
    <row r="2013" spans="10:21">
      <c r="J2013" s="580">
        <v>41605</v>
      </c>
      <c r="K2013" s="581">
        <v>0.99652777777777779</v>
      </c>
      <c r="L2013" s="582">
        <v>12.0883</v>
      </c>
      <c r="M2013" s="582">
        <v>12.450200000000001</v>
      </c>
      <c r="N2013" s="582">
        <v>13.332000000000001</v>
      </c>
      <c r="O2013" s="582">
        <v>13.0372</v>
      </c>
      <c r="P2013" s="582">
        <v>98.813800000000001</v>
      </c>
      <c r="Q2013" s="582">
        <f t="shared" si="202"/>
        <v>10.103655783598979</v>
      </c>
      <c r="R2013" s="582">
        <f t="shared" si="203"/>
        <v>1.7996442164010209</v>
      </c>
      <c r="S2013" s="582">
        <f t="shared" si="206"/>
        <v>2.9965442164010216</v>
      </c>
      <c r="T2013" s="582">
        <f t="shared" si="204"/>
        <v>3.4183442164010218</v>
      </c>
      <c r="U2013" s="582">
        <f t="shared" si="205"/>
        <v>3.2035442164010206</v>
      </c>
    </row>
    <row r="2014" spans="10:21">
      <c r="J2014" s="580">
        <v>41606</v>
      </c>
      <c r="K2014" s="581">
        <v>0.99652777777777779</v>
      </c>
      <c r="L2014" s="582">
        <v>12.0672</v>
      </c>
      <c r="M2014" s="582">
        <v>12.4415</v>
      </c>
      <c r="N2014" s="582">
        <v>13.302899999999999</v>
      </c>
      <c r="O2014" s="582">
        <v>13.025700000000001</v>
      </c>
      <c r="P2014" s="582">
        <v>98.960800000000006</v>
      </c>
      <c r="Q2014" s="582">
        <f t="shared" si="202"/>
        <v>10.118686451382114</v>
      </c>
      <c r="R2014" s="582">
        <f t="shared" si="203"/>
        <v>1.7635135486178855</v>
      </c>
      <c r="S2014" s="582">
        <f t="shared" si="206"/>
        <v>2.9728135486178857</v>
      </c>
      <c r="T2014" s="582">
        <f t="shared" si="204"/>
        <v>3.3742135486178855</v>
      </c>
      <c r="U2014" s="582">
        <f t="shared" si="205"/>
        <v>3.1770135486178859</v>
      </c>
    </row>
    <row r="2015" spans="10:21">
      <c r="J2015" s="580">
        <v>41607</v>
      </c>
      <c r="K2015" s="581">
        <v>0.99652777777777779</v>
      </c>
      <c r="L2015" s="582">
        <v>12.023400000000001</v>
      </c>
      <c r="M2015" s="582">
        <v>12.4238</v>
      </c>
      <c r="N2015" s="582">
        <v>13.2728</v>
      </c>
      <c r="O2015" s="582">
        <v>13.0045</v>
      </c>
      <c r="P2015" s="582">
        <v>99.008399999999995</v>
      </c>
      <c r="Q2015" s="582">
        <f t="shared" si="202"/>
        <v>10.12355352475951</v>
      </c>
      <c r="R2015" s="582">
        <f t="shared" si="203"/>
        <v>1.7148464752404906</v>
      </c>
      <c r="S2015" s="582">
        <f t="shared" si="206"/>
        <v>2.9502464752404904</v>
      </c>
      <c r="T2015" s="582">
        <f t="shared" si="204"/>
        <v>3.3392464752404907</v>
      </c>
      <c r="U2015" s="582">
        <f t="shared" si="205"/>
        <v>3.1509464752404899</v>
      </c>
    </row>
    <row r="2016" spans="10:21">
      <c r="J2016" s="580">
        <v>41608</v>
      </c>
      <c r="K2016" s="581">
        <v>0.99652777777777779</v>
      </c>
      <c r="L2016" s="582">
        <v>11.9777</v>
      </c>
      <c r="M2016" s="582">
        <v>12.395099999999999</v>
      </c>
      <c r="N2016" s="582">
        <v>13.2432</v>
      </c>
      <c r="O2016" s="582">
        <v>12.975300000000001</v>
      </c>
      <c r="P2016" s="582">
        <v>98.979399999999998</v>
      </c>
      <c r="Q2016" s="582">
        <f t="shared" si="202"/>
        <v>10.120588290979164</v>
      </c>
      <c r="R2016" s="582">
        <f t="shared" si="203"/>
        <v>1.6721117090208364</v>
      </c>
      <c r="S2016" s="582">
        <f t="shared" si="206"/>
        <v>2.9245117090208357</v>
      </c>
      <c r="T2016" s="582">
        <f t="shared" si="204"/>
        <v>3.3126117090208362</v>
      </c>
      <c r="U2016" s="582">
        <f t="shared" si="205"/>
        <v>3.1247117090208363</v>
      </c>
    </row>
    <row r="2017" spans="10:21">
      <c r="J2017" s="580">
        <v>41609</v>
      </c>
      <c r="K2017" s="581">
        <v>0.99652777777777779</v>
      </c>
      <c r="L2017" s="582">
        <v>11.947100000000001</v>
      </c>
      <c r="M2017" s="582">
        <v>12.3748</v>
      </c>
      <c r="N2017" s="582">
        <v>13.208399999999999</v>
      </c>
      <c r="O2017" s="582">
        <v>12.9511</v>
      </c>
      <c r="P2017" s="582">
        <v>99.005399999999995</v>
      </c>
      <c r="Q2017" s="582">
        <f t="shared" si="202"/>
        <v>10.123246776437405</v>
      </c>
      <c r="R2017" s="582">
        <f t="shared" si="203"/>
        <v>1.6388532235625957</v>
      </c>
      <c r="S2017" s="582">
        <f t="shared" si="206"/>
        <v>2.9015532235625958</v>
      </c>
      <c r="T2017" s="582">
        <f t="shared" si="204"/>
        <v>3.2751532235625946</v>
      </c>
      <c r="U2017" s="582">
        <f t="shared" si="205"/>
        <v>3.0978532235625948</v>
      </c>
    </row>
    <row r="2018" spans="10:21">
      <c r="J2018" s="580">
        <v>41610</v>
      </c>
      <c r="K2018" s="581">
        <v>0.99652777777777779</v>
      </c>
      <c r="L2018" s="582">
        <v>11.9459</v>
      </c>
      <c r="M2018" s="582">
        <v>12.3774</v>
      </c>
      <c r="N2018" s="582">
        <v>13.2026</v>
      </c>
      <c r="O2018" s="582">
        <v>12.949199999999999</v>
      </c>
      <c r="P2018" s="582">
        <v>99.087900000000005</v>
      </c>
      <c r="Q2018" s="582">
        <f t="shared" si="202"/>
        <v>10.131682355295286</v>
      </c>
      <c r="R2018" s="582">
        <f t="shared" si="203"/>
        <v>1.6292176447047138</v>
      </c>
      <c r="S2018" s="582">
        <f t="shared" si="206"/>
        <v>2.8957176447047139</v>
      </c>
      <c r="T2018" s="582">
        <f t="shared" si="204"/>
        <v>3.2609176447047146</v>
      </c>
      <c r="U2018" s="582">
        <f t="shared" si="205"/>
        <v>3.0875176447047128</v>
      </c>
    </row>
    <row r="2019" spans="10:21">
      <c r="J2019" s="580">
        <v>41611</v>
      </c>
      <c r="K2019" s="581">
        <v>0.99652777777777779</v>
      </c>
      <c r="L2019" s="582">
        <v>11.888999999999999</v>
      </c>
      <c r="M2019" s="582">
        <v>12.3315</v>
      </c>
      <c r="N2019" s="582">
        <v>13.149800000000001</v>
      </c>
      <c r="O2019" s="582">
        <v>12.902100000000001</v>
      </c>
      <c r="P2019" s="582">
        <v>98.834999999999994</v>
      </c>
      <c r="Q2019" s="582">
        <f t="shared" si="202"/>
        <v>10.105823471741854</v>
      </c>
      <c r="R2019" s="582">
        <f t="shared" si="203"/>
        <v>1.5981765282581457</v>
      </c>
      <c r="S2019" s="582">
        <f t="shared" si="206"/>
        <v>2.8756765282581469</v>
      </c>
      <c r="T2019" s="582">
        <f t="shared" si="204"/>
        <v>3.2339765282581476</v>
      </c>
      <c r="U2019" s="582">
        <f t="shared" si="205"/>
        <v>3.0662765282581468</v>
      </c>
    </row>
    <row r="2020" spans="10:21">
      <c r="J2020" s="580">
        <v>41612</v>
      </c>
      <c r="K2020" s="581">
        <v>0.99652777777777779</v>
      </c>
      <c r="L2020" s="582">
        <v>11.851599999999999</v>
      </c>
      <c r="M2020" s="582">
        <v>12.2971</v>
      </c>
      <c r="N2020" s="582">
        <v>13.111700000000001</v>
      </c>
      <c r="O2020" s="582">
        <v>12.870100000000001</v>
      </c>
      <c r="P2020" s="582">
        <v>98.770200000000003</v>
      </c>
      <c r="Q2020" s="582">
        <f t="shared" si="202"/>
        <v>10.099197707984391</v>
      </c>
      <c r="R2020" s="582">
        <f t="shared" si="203"/>
        <v>1.5674022920156081</v>
      </c>
      <c r="S2020" s="582">
        <f t="shared" si="206"/>
        <v>2.8479022920156094</v>
      </c>
      <c r="T2020" s="582">
        <f t="shared" si="204"/>
        <v>3.2025022920156099</v>
      </c>
      <c r="U2020" s="582">
        <f t="shared" si="205"/>
        <v>3.040902292015609</v>
      </c>
    </row>
    <row r="2021" spans="10:21">
      <c r="J2021" s="580">
        <v>41613</v>
      </c>
      <c r="K2021" s="581">
        <v>0.99652777777777779</v>
      </c>
      <c r="L2021" s="582">
        <v>11.8018</v>
      </c>
      <c r="M2021" s="582">
        <v>12.2498</v>
      </c>
      <c r="N2021" s="582">
        <v>13.057700000000001</v>
      </c>
      <c r="O2021" s="582">
        <v>12.8222</v>
      </c>
      <c r="P2021" s="582">
        <v>98.601500000000001</v>
      </c>
      <c r="Q2021" s="582">
        <f t="shared" si="202"/>
        <v>10.081948227338032</v>
      </c>
      <c r="R2021" s="582">
        <f t="shared" si="203"/>
        <v>1.5348517726619684</v>
      </c>
      <c r="S2021" s="582">
        <f t="shared" si="206"/>
        <v>2.8178517726619692</v>
      </c>
      <c r="T2021" s="582">
        <f t="shared" si="204"/>
        <v>3.1657517726619693</v>
      </c>
      <c r="U2021" s="582">
        <f t="shared" si="205"/>
        <v>3.0102517726619684</v>
      </c>
    </row>
    <row r="2022" spans="10:21">
      <c r="J2022" s="580">
        <v>41614</v>
      </c>
      <c r="K2022" s="581">
        <v>0.99652777777777779</v>
      </c>
      <c r="L2022" s="582">
        <v>11.7677</v>
      </c>
      <c r="M2022" s="582">
        <v>12.2089</v>
      </c>
      <c r="N2022" s="582">
        <v>13.014200000000001</v>
      </c>
      <c r="O2022" s="582">
        <v>12.780900000000001</v>
      </c>
      <c r="P2022" s="582">
        <v>98.567700000000002</v>
      </c>
      <c r="Q2022" s="582">
        <f t="shared" si="202"/>
        <v>10.078492196242319</v>
      </c>
      <c r="R2022" s="582">
        <f t="shared" si="203"/>
        <v>1.5042078037576805</v>
      </c>
      <c r="S2022" s="582">
        <f t="shared" si="206"/>
        <v>2.7804078037576812</v>
      </c>
      <c r="T2022" s="582">
        <f t="shared" si="204"/>
        <v>3.125707803757682</v>
      </c>
      <c r="U2022" s="582">
        <f t="shared" si="205"/>
        <v>2.9724078037576813</v>
      </c>
    </row>
    <row r="2023" spans="10:21">
      <c r="J2023" s="580">
        <v>41615</v>
      </c>
      <c r="K2023" s="581">
        <v>0.99652777777777779</v>
      </c>
      <c r="L2023" s="582">
        <v>11.744999999999999</v>
      </c>
      <c r="M2023" s="582">
        <v>12.1792</v>
      </c>
      <c r="N2023" s="582">
        <v>12.989800000000001</v>
      </c>
      <c r="O2023" s="582">
        <v>12.7507</v>
      </c>
      <c r="P2023" s="582">
        <v>98.608800000000002</v>
      </c>
      <c r="Q2023" s="582">
        <f t="shared" si="202"/>
        <v>10.082694648255154</v>
      </c>
      <c r="R2023" s="582">
        <f t="shared" si="203"/>
        <v>1.4773053517448447</v>
      </c>
      <c r="S2023" s="582">
        <f t="shared" si="206"/>
        <v>2.7465053517448457</v>
      </c>
      <c r="T2023" s="582">
        <f t="shared" si="204"/>
        <v>3.0971053517448466</v>
      </c>
      <c r="U2023" s="582">
        <f t="shared" si="205"/>
        <v>2.9380053517448452</v>
      </c>
    </row>
    <row r="2024" spans="10:21">
      <c r="J2024" s="580">
        <v>41616</v>
      </c>
      <c r="K2024" s="581">
        <v>0.99652777777777779</v>
      </c>
      <c r="L2024" s="582">
        <v>11.7226</v>
      </c>
      <c r="M2024" s="582">
        <v>12.1503</v>
      </c>
      <c r="N2024" s="582">
        <v>12.968999999999999</v>
      </c>
      <c r="O2024" s="582">
        <v>12.720800000000001</v>
      </c>
      <c r="P2024" s="582">
        <v>98.674199999999999</v>
      </c>
      <c r="Q2024" s="582">
        <f t="shared" si="202"/>
        <v>10.089381761677037</v>
      </c>
      <c r="R2024" s="582">
        <f t="shared" si="203"/>
        <v>1.4482182383229625</v>
      </c>
      <c r="S2024" s="582">
        <f t="shared" si="206"/>
        <v>2.7109182383229626</v>
      </c>
      <c r="T2024" s="582">
        <f t="shared" si="204"/>
        <v>3.0696182383229624</v>
      </c>
      <c r="U2024" s="582">
        <f t="shared" si="205"/>
        <v>2.9014182383229628</v>
      </c>
    </row>
    <row r="2025" spans="10:21">
      <c r="J2025" s="580">
        <v>41617</v>
      </c>
      <c r="K2025" s="581">
        <v>0.99652777777777779</v>
      </c>
      <c r="L2025" s="582">
        <v>11.6844</v>
      </c>
      <c r="M2025" s="582">
        <v>12.1022</v>
      </c>
      <c r="N2025" s="582">
        <v>12.918699999999999</v>
      </c>
      <c r="O2025" s="582">
        <v>12.673999999999999</v>
      </c>
      <c r="P2025" s="582">
        <v>98.558300000000003</v>
      </c>
      <c r="Q2025" s="582">
        <f t="shared" si="202"/>
        <v>10.077531051499724</v>
      </c>
      <c r="R2025" s="582">
        <f t="shared" si="203"/>
        <v>1.421868948500276</v>
      </c>
      <c r="S2025" s="582">
        <v>2.6753689485002763</v>
      </c>
      <c r="T2025" s="582">
        <f t="shared" si="204"/>
        <v>3.0311689485002757</v>
      </c>
      <c r="U2025" s="582">
        <f t="shared" si="205"/>
        <v>2.866468948500275</v>
      </c>
    </row>
    <row r="2026" spans="10:21">
      <c r="J2026" s="580">
        <v>41618</v>
      </c>
      <c r="K2026" s="581">
        <v>0.99652777777777779</v>
      </c>
      <c r="L2026" s="582">
        <v>11.667400000000001</v>
      </c>
      <c r="M2026" s="582"/>
      <c r="N2026" s="582">
        <v>12.8932</v>
      </c>
      <c r="O2026" s="582">
        <v>12.6477</v>
      </c>
      <c r="P2026" s="582">
        <v>98.654200000000003</v>
      </c>
      <c r="Q2026" s="582">
        <f t="shared" si="202"/>
        <v>10.087336772863006</v>
      </c>
      <c r="R2026" s="582">
        <f t="shared" si="203"/>
        <v>1.3950632271369945</v>
      </c>
      <c r="S2026" s="582">
        <v>2.6346632271369934</v>
      </c>
      <c r="T2026" s="582">
        <f t="shared" si="204"/>
        <v>2.9958632271369945</v>
      </c>
      <c r="U2026" s="582">
        <f t="shared" si="205"/>
        <v>2.8303632271369938</v>
      </c>
    </row>
    <row r="2027" spans="10:21">
      <c r="J2027" s="580">
        <v>41619</v>
      </c>
      <c r="K2027" s="581">
        <v>0.99652777777777779</v>
      </c>
      <c r="L2027" s="582">
        <v>11.624599999999999</v>
      </c>
      <c r="M2027" s="582">
        <v>12.0108</v>
      </c>
      <c r="N2027" s="582">
        <v>12.8323</v>
      </c>
      <c r="O2027" s="582">
        <v>12.5909</v>
      </c>
      <c r="P2027" s="582">
        <v>98.471400000000003</v>
      </c>
      <c r="Q2027" s="582">
        <f t="shared" si="202"/>
        <v>10.068645575102755</v>
      </c>
      <c r="R2027" s="582">
        <f t="shared" si="203"/>
        <v>1.3709544248972443</v>
      </c>
      <c r="S2027" s="582">
        <f t="shared" ref="S2027:S2090" si="207">M2027-Q2027-$D$9+$E$9</f>
        <v>2.5921544248972452</v>
      </c>
      <c r="T2027" s="582">
        <f t="shared" si="204"/>
        <v>2.9536544248972456</v>
      </c>
      <c r="U2027" s="582">
        <f t="shared" si="205"/>
        <v>2.7922544248972443</v>
      </c>
    </row>
    <row r="2028" spans="10:21">
      <c r="J2028" s="580">
        <v>41620</v>
      </c>
      <c r="K2028" s="581">
        <v>0.99652777777777779</v>
      </c>
      <c r="L2028" s="582">
        <v>11.607799999999999</v>
      </c>
      <c r="M2028" s="582">
        <v>11.9947</v>
      </c>
      <c r="N2028" s="582">
        <v>12.8134</v>
      </c>
      <c r="O2028" s="582">
        <v>12.5738</v>
      </c>
      <c r="P2028" s="582">
        <v>98.349100000000007</v>
      </c>
      <c r="Q2028" s="582">
        <f t="shared" si="202"/>
        <v>10.056140468504951</v>
      </c>
      <c r="R2028" s="582">
        <f t="shared" si="203"/>
        <v>1.3666595314950478</v>
      </c>
      <c r="S2028" s="582">
        <f t="shared" si="207"/>
        <v>2.5885595314950489</v>
      </c>
      <c r="T2028" s="582">
        <f t="shared" si="204"/>
        <v>2.9472595314950487</v>
      </c>
      <c r="U2028" s="582">
        <f t="shared" si="205"/>
        <v>2.7876595314950485</v>
      </c>
    </row>
    <row r="2029" spans="10:21">
      <c r="J2029" s="580">
        <v>41622</v>
      </c>
      <c r="K2029" s="581">
        <v>0.99652777777777779</v>
      </c>
      <c r="L2029" s="582">
        <v>11.6633</v>
      </c>
      <c r="M2029" s="582">
        <v>12.076499999999999</v>
      </c>
      <c r="N2029" s="582">
        <v>12.8729</v>
      </c>
      <c r="O2029" s="582">
        <v>12.6463</v>
      </c>
      <c r="P2029" s="582">
        <v>98.817499999999995</v>
      </c>
      <c r="Q2029" s="582">
        <f t="shared" si="202"/>
        <v>10.104034106529575</v>
      </c>
      <c r="R2029" s="582">
        <f t="shared" si="203"/>
        <v>1.3742658934704246</v>
      </c>
      <c r="S2029" s="582">
        <f t="shared" si="207"/>
        <v>2.6224658934704248</v>
      </c>
      <c r="T2029" s="582">
        <f t="shared" si="204"/>
        <v>2.9588658934704251</v>
      </c>
      <c r="U2029" s="582">
        <f t="shared" si="205"/>
        <v>2.8122658934704248</v>
      </c>
    </row>
    <row r="2030" spans="10:21">
      <c r="J2030" s="580">
        <v>41623</v>
      </c>
      <c r="K2030" s="581">
        <v>0.99652777777777779</v>
      </c>
      <c r="L2030" s="582">
        <v>11.641999999999999</v>
      </c>
      <c r="M2030" s="582">
        <v>12.0585</v>
      </c>
      <c r="N2030" s="582">
        <v>12.861499999999999</v>
      </c>
      <c r="O2030" s="582">
        <v>12.631600000000001</v>
      </c>
      <c r="P2030" s="582">
        <v>98.888900000000007</v>
      </c>
      <c r="Q2030" s="582">
        <f t="shared" si="202"/>
        <v>10.111334716595669</v>
      </c>
      <c r="R2030" s="582">
        <f t="shared" si="203"/>
        <v>1.3456652834043301</v>
      </c>
      <c r="S2030" s="582">
        <f t="shared" si="207"/>
        <v>2.5971652834043315</v>
      </c>
      <c r="T2030" s="582">
        <f t="shared" si="204"/>
        <v>2.9401652834043306</v>
      </c>
      <c r="U2030" s="582">
        <f t="shared" si="205"/>
        <v>2.7902652834043309</v>
      </c>
    </row>
    <row r="2031" spans="10:21">
      <c r="J2031" s="580">
        <v>41624</v>
      </c>
      <c r="K2031" s="581">
        <v>0.99652777777777779</v>
      </c>
      <c r="L2031" s="582">
        <v>11.620900000000001</v>
      </c>
      <c r="M2031" s="582">
        <v>12.0442</v>
      </c>
      <c r="N2031" s="582">
        <v>12.837999999999999</v>
      </c>
      <c r="O2031" s="582">
        <v>12.613799999999999</v>
      </c>
      <c r="P2031" s="582">
        <v>98.962599999999995</v>
      </c>
      <c r="Q2031" s="582">
        <f t="shared" si="202"/>
        <v>10.118870500375376</v>
      </c>
      <c r="R2031" s="582">
        <f t="shared" si="203"/>
        <v>1.3170294996246246</v>
      </c>
      <c r="S2031" s="582">
        <f t="shared" si="207"/>
        <v>2.5753294996246243</v>
      </c>
      <c r="T2031" s="582">
        <f t="shared" si="204"/>
        <v>2.9091294996246235</v>
      </c>
      <c r="U2031" s="582">
        <f t="shared" si="205"/>
        <v>2.764929499624623</v>
      </c>
    </row>
    <row r="2032" spans="10:21">
      <c r="J2032" s="580">
        <v>41625</v>
      </c>
      <c r="K2032" s="581">
        <v>0.99652777777777779</v>
      </c>
      <c r="L2032" s="582">
        <v>11.591699999999999</v>
      </c>
      <c r="M2032" s="582">
        <v>12.022600000000001</v>
      </c>
      <c r="N2032" s="582">
        <v>12.810600000000001</v>
      </c>
      <c r="O2032" s="582">
        <v>12.5837</v>
      </c>
      <c r="P2032" s="582">
        <v>98.9636</v>
      </c>
      <c r="Q2032" s="582">
        <f t="shared" si="202"/>
        <v>10.118972749816079</v>
      </c>
      <c r="R2032" s="582">
        <f t="shared" si="203"/>
        <v>1.2877272501839205</v>
      </c>
      <c r="S2032" s="582">
        <f t="shared" si="207"/>
        <v>2.5536272501839221</v>
      </c>
      <c r="T2032" s="582">
        <f t="shared" si="204"/>
        <v>2.8816272501839224</v>
      </c>
      <c r="U2032" s="582">
        <f t="shared" si="205"/>
        <v>2.734727250183921</v>
      </c>
    </row>
    <row r="2033" spans="10:21">
      <c r="J2033" s="580">
        <v>41626</v>
      </c>
      <c r="K2033" s="581">
        <v>0.99652777777777779</v>
      </c>
      <c r="L2033" s="582">
        <v>11.5527</v>
      </c>
      <c r="M2033" s="582">
        <v>11.984999999999999</v>
      </c>
      <c r="N2033" s="582">
        <v>12.762499999999999</v>
      </c>
      <c r="O2033" s="582">
        <v>12.534700000000001</v>
      </c>
      <c r="P2033" s="582">
        <v>98.851200000000006</v>
      </c>
      <c r="Q2033" s="582">
        <f t="shared" si="202"/>
        <v>10.107479912681221</v>
      </c>
      <c r="R2033" s="582">
        <f t="shared" si="203"/>
        <v>1.2602200873187788</v>
      </c>
      <c r="S2033" s="582">
        <f t="shared" si="207"/>
        <v>2.5275200873187789</v>
      </c>
      <c r="T2033" s="582">
        <f t="shared" si="204"/>
        <v>2.8450200873187788</v>
      </c>
      <c r="U2033" s="582">
        <f t="shared" si="205"/>
        <v>2.6972200873187799</v>
      </c>
    </row>
    <row r="2034" spans="10:21">
      <c r="J2034" s="580">
        <v>41627</v>
      </c>
      <c r="K2034" s="581">
        <v>0.99652777777777779</v>
      </c>
      <c r="L2034" s="582">
        <v>11.522500000000001</v>
      </c>
      <c r="M2034" s="582">
        <v>11.9503</v>
      </c>
      <c r="N2034" s="582">
        <v>12.722</v>
      </c>
      <c r="O2034" s="582">
        <v>12.496499999999999</v>
      </c>
      <c r="P2034" s="582">
        <v>98.8386</v>
      </c>
      <c r="Q2034" s="582">
        <f t="shared" si="202"/>
        <v>10.106191569728379</v>
      </c>
      <c r="R2034" s="582">
        <f t="shared" si="203"/>
        <v>1.2313084302716217</v>
      </c>
      <c r="S2034" s="582">
        <f t="shared" si="207"/>
        <v>2.4941084302716217</v>
      </c>
      <c r="T2034" s="582">
        <f t="shared" si="204"/>
        <v>2.8058084302716209</v>
      </c>
      <c r="U2034" s="582">
        <f t="shared" si="205"/>
        <v>2.6603084302716202</v>
      </c>
    </row>
    <row r="2035" spans="10:21">
      <c r="J2035" s="580">
        <v>41628</v>
      </c>
      <c r="K2035" s="581">
        <v>0.99652777777777779</v>
      </c>
      <c r="L2035" s="582">
        <v>11.5001</v>
      </c>
      <c r="M2035" s="582">
        <v>11.916600000000001</v>
      </c>
      <c r="N2035" s="582">
        <v>12.6852</v>
      </c>
      <c r="O2035" s="582">
        <v>12.444699999999999</v>
      </c>
      <c r="P2035" s="582">
        <v>98.872299999999996</v>
      </c>
      <c r="Q2035" s="582">
        <f t="shared" si="202"/>
        <v>10.109637375880023</v>
      </c>
      <c r="R2035" s="582">
        <f t="shared" si="203"/>
        <v>1.2054626241199764</v>
      </c>
      <c r="S2035" s="582">
        <f t="shared" si="207"/>
        <v>2.4569626241199778</v>
      </c>
      <c r="T2035" s="582">
        <f t="shared" si="204"/>
        <v>2.7655626241199771</v>
      </c>
      <c r="U2035" s="582">
        <f t="shared" si="205"/>
        <v>2.6050626241199759</v>
      </c>
    </row>
    <row r="2036" spans="10:21">
      <c r="J2036" s="580">
        <v>41629</v>
      </c>
      <c r="K2036" s="581">
        <v>0.99652777777777779</v>
      </c>
      <c r="L2036" s="582">
        <v>11.4923</v>
      </c>
      <c r="M2036" s="582">
        <v>11.9025</v>
      </c>
      <c r="N2036" s="582">
        <v>12.6591</v>
      </c>
      <c r="O2036" s="582">
        <v>12.3765</v>
      </c>
      <c r="P2036" s="582">
        <v>99.033199999999994</v>
      </c>
      <c r="Q2036" s="582">
        <f t="shared" si="202"/>
        <v>10.126089310888908</v>
      </c>
      <c r="R2036" s="582">
        <f t="shared" si="203"/>
        <v>1.1812106891110923</v>
      </c>
      <c r="S2036" s="582">
        <f t="shared" si="207"/>
        <v>2.4264106891110924</v>
      </c>
      <c r="T2036" s="582">
        <f t="shared" si="204"/>
        <v>2.723010689111093</v>
      </c>
      <c r="U2036" s="582">
        <f t="shared" si="205"/>
        <v>2.5204106891110922</v>
      </c>
    </row>
    <row r="2037" spans="10:21">
      <c r="J2037" s="580">
        <v>41630</v>
      </c>
      <c r="K2037" s="581">
        <v>0.99652777777777779</v>
      </c>
      <c r="L2037" s="582">
        <v>11.475099999999999</v>
      </c>
      <c r="M2037" s="582">
        <v>11.878500000000001</v>
      </c>
      <c r="N2037" s="582">
        <v>12.6229</v>
      </c>
      <c r="O2037" s="582">
        <v>12.299899999999999</v>
      </c>
      <c r="P2037" s="582">
        <v>99.118700000000004</v>
      </c>
      <c r="Q2037" s="582">
        <f t="shared" ref="Q2037:Q2100" si="208">P2037/($G$8*$H$8)</f>
        <v>10.134831638068896</v>
      </c>
      <c r="R2037" s="582">
        <f t="shared" ref="R2037:R2100" si="209">IF((L2037-Q2037-$D$8+$E$8)&lt;0,0,(L2037-Q2037-$D$8+$E$8))</f>
        <v>1.1552683619311037</v>
      </c>
      <c r="S2037" s="582">
        <f t="shared" si="207"/>
        <v>2.3936683619311054</v>
      </c>
      <c r="T2037" s="582">
        <f t="shared" ref="T2037:T2100" si="210">N2037-Q2037-$D$10+$E$10</f>
        <v>2.6780683619311043</v>
      </c>
      <c r="U2037" s="582">
        <f t="shared" ref="U2037:U2100" si="211">O2037-Q2037-$D$11+$E$11</f>
        <v>2.4350683619311035</v>
      </c>
    </row>
    <row r="2038" spans="10:21">
      <c r="J2038" s="580">
        <v>41631</v>
      </c>
      <c r="K2038" s="581">
        <v>0.99652777777777779</v>
      </c>
      <c r="L2038" s="582">
        <v>11.4535</v>
      </c>
      <c r="M2038" s="582">
        <v>11.839399999999999</v>
      </c>
      <c r="N2038" s="582">
        <v>12.5939</v>
      </c>
      <c r="O2038" s="582">
        <v>12.2354</v>
      </c>
      <c r="P2038" s="582">
        <v>99.156000000000006</v>
      </c>
      <c r="Q2038" s="582">
        <f t="shared" si="208"/>
        <v>10.138645542207065</v>
      </c>
      <c r="R2038" s="582">
        <f t="shared" si="209"/>
        <v>1.1298544577929346</v>
      </c>
      <c r="S2038" s="582">
        <f t="shared" si="207"/>
        <v>2.3507544577929345</v>
      </c>
      <c r="T2038" s="582">
        <f t="shared" si="210"/>
        <v>2.6452544577929347</v>
      </c>
      <c r="U2038" s="582">
        <f t="shared" si="211"/>
        <v>2.3667544577929349</v>
      </c>
    </row>
    <row r="2039" spans="10:21">
      <c r="J2039" s="580">
        <v>41632</v>
      </c>
      <c r="K2039" s="581">
        <v>0.99652777777777779</v>
      </c>
      <c r="L2039" s="582">
        <v>11.4305</v>
      </c>
      <c r="M2039" s="582">
        <v>11.8043</v>
      </c>
      <c r="N2039" s="582">
        <v>12.5655</v>
      </c>
      <c r="O2039" s="582">
        <v>12.186199999999999</v>
      </c>
      <c r="P2039" s="582">
        <v>99.202200000000005</v>
      </c>
      <c r="Q2039" s="582">
        <f t="shared" si="208"/>
        <v>10.14336946636748</v>
      </c>
      <c r="R2039" s="582">
        <f t="shared" si="209"/>
        <v>1.1021305336325207</v>
      </c>
      <c r="S2039" s="582">
        <f t="shared" si="207"/>
        <v>2.3109305336325203</v>
      </c>
      <c r="T2039" s="582">
        <f t="shared" si="210"/>
        <v>2.6121305336325209</v>
      </c>
      <c r="U2039" s="582">
        <f t="shared" si="211"/>
        <v>2.3128305336325199</v>
      </c>
    </row>
    <row r="2040" spans="10:21">
      <c r="J2040" s="580">
        <v>41633</v>
      </c>
      <c r="K2040" s="581">
        <v>0.99652777777777779</v>
      </c>
      <c r="L2040" s="582">
        <v>11.4138</v>
      </c>
      <c r="M2040" s="582">
        <v>11.777100000000001</v>
      </c>
      <c r="N2040" s="582">
        <v>12.538399999999999</v>
      </c>
      <c r="O2040" s="582">
        <v>12.1471</v>
      </c>
      <c r="P2040" s="582">
        <v>99.268500000000003</v>
      </c>
      <c r="Q2040" s="582">
        <f t="shared" si="208"/>
        <v>10.150148604285993</v>
      </c>
      <c r="R2040" s="582">
        <f t="shared" si="209"/>
        <v>1.0786513957140067</v>
      </c>
      <c r="S2040" s="582">
        <f t="shared" si="207"/>
        <v>2.2769513957140077</v>
      </c>
      <c r="T2040" s="582">
        <f t="shared" si="210"/>
        <v>2.5782513957140063</v>
      </c>
      <c r="U2040" s="582">
        <f t="shared" si="211"/>
        <v>2.2669513957140066</v>
      </c>
    </row>
    <row r="2041" spans="10:21">
      <c r="J2041" s="580">
        <v>41634</v>
      </c>
      <c r="K2041" s="581">
        <v>0.99652777777777779</v>
      </c>
      <c r="L2041" s="582">
        <v>11.39</v>
      </c>
      <c r="M2041" s="582">
        <v>11.745900000000001</v>
      </c>
      <c r="N2041" s="582">
        <v>12.509399999999999</v>
      </c>
      <c r="O2041" s="582">
        <v>12.119300000000001</v>
      </c>
      <c r="P2041" s="582">
        <v>99.301900000000003</v>
      </c>
      <c r="Q2041" s="582">
        <f t="shared" si="208"/>
        <v>10.153563735605427</v>
      </c>
      <c r="R2041" s="582">
        <f t="shared" si="209"/>
        <v>1.0514362643945732</v>
      </c>
      <c r="S2041" s="582">
        <f t="shared" si="207"/>
        <v>2.2423362643945737</v>
      </c>
      <c r="T2041" s="582">
        <f t="shared" si="210"/>
        <v>2.5458362643945724</v>
      </c>
      <c r="U2041" s="582">
        <f t="shared" si="211"/>
        <v>2.2357362643945735</v>
      </c>
    </row>
    <row r="2042" spans="10:21">
      <c r="J2042" s="580">
        <v>41635</v>
      </c>
      <c r="K2042" s="581">
        <v>0.99652777777777779</v>
      </c>
      <c r="L2042" s="582">
        <v>11.3453</v>
      </c>
      <c r="M2042" s="582">
        <v>11.6953</v>
      </c>
      <c r="N2042" s="582">
        <v>12.457700000000001</v>
      </c>
      <c r="O2042" s="582">
        <v>12.084899999999999</v>
      </c>
      <c r="P2042" s="582">
        <v>99.162700000000001</v>
      </c>
      <c r="Q2042" s="582">
        <f t="shared" si="208"/>
        <v>10.139330613459766</v>
      </c>
      <c r="R2042" s="582">
        <f t="shared" si="209"/>
        <v>1.0209693865402341</v>
      </c>
      <c r="S2042" s="582">
        <f t="shared" si="207"/>
        <v>2.2059693865402341</v>
      </c>
      <c r="T2042" s="582">
        <f t="shared" si="210"/>
        <v>2.5083693865402354</v>
      </c>
      <c r="U2042" s="582">
        <f t="shared" si="211"/>
        <v>2.2155693865402335</v>
      </c>
    </row>
    <row r="2043" spans="10:21">
      <c r="J2043" s="580">
        <v>41636</v>
      </c>
      <c r="K2043" s="581">
        <v>0.99652777777777779</v>
      </c>
      <c r="L2043" s="582">
        <v>11.313700000000001</v>
      </c>
      <c r="M2043" s="582">
        <v>11.6562</v>
      </c>
      <c r="N2043" s="582">
        <v>12.4153</v>
      </c>
      <c r="O2043" s="582">
        <v>12.0639</v>
      </c>
      <c r="P2043" s="582">
        <v>99.134900000000002</v>
      </c>
      <c r="Q2043" s="582">
        <f t="shared" si="208"/>
        <v>10.136488079008261</v>
      </c>
      <c r="R2043" s="582">
        <f t="shared" si="209"/>
        <v>0.9922119209917396</v>
      </c>
      <c r="S2043" s="582">
        <f t="shared" si="207"/>
        <v>2.1697119209917393</v>
      </c>
      <c r="T2043" s="582">
        <f t="shared" si="210"/>
        <v>2.4688119209917394</v>
      </c>
      <c r="U2043" s="582">
        <f t="shared" si="211"/>
        <v>2.1974119209917391</v>
      </c>
    </row>
    <row r="2044" spans="10:21">
      <c r="J2044" s="580">
        <v>41637</v>
      </c>
      <c r="K2044" s="581">
        <v>0.99652777777777779</v>
      </c>
      <c r="L2044" s="582">
        <v>11.2834</v>
      </c>
      <c r="M2044" s="582">
        <v>11.610900000000001</v>
      </c>
      <c r="N2044" s="582">
        <v>12.3729</v>
      </c>
      <c r="O2044" s="582">
        <v>12.041700000000001</v>
      </c>
      <c r="P2044" s="582">
        <v>99.092699999999994</v>
      </c>
      <c r="Q2044" s="582">
        <f t="shared" si="208"/>
        <v>10.132173152610653</v>
      </c>
      <c r="R2044" s="582">
        <f t="shared" si="209"/>
        <v>0.9662268473893475</v>
      </c>
      <c r="S2044" s="582">
        <f t="shared" si="207"/>
        <v>2.1287268473893484</v>
      </c>
      <c r="T2044" s="582">
        <f t="shared" si="210"/>
        <v>2.4307268473893471</v>
      </c>
      <c r="U2044" s="582">
        <f t="shared" si="211"/>
        <v>2.1795268473893477</v>
      </c>
    </row>
    <row r="2045" spans="10:21">
      <c r="J2045" s="580">
        <v>41638</v>
      </c>
      <c r="K2045" s="581">
        <v>0.99652777777777779</v>
      </c>
      <c r="L2045" s="582">
        <v>11.2652</v>
      </c>
      <c r="M2045" s="582">
        <v>11.5725</v>
      </c>
      <c r="N2045" s="582">
        <v>12.336499999999999</v>
      </c>
      <c r="O2045" s="582">
        <v>12.008699999999999</v>
      </c>
      <c r="P2045" s="582">
        <v>99.103899999999996</v>
      </c>
      <c r="Q2045" s="582">
        <f t="shared" si="208"/>
        <v>10.133318346346512</v>
      </c>
      <c r="R2045" s="582">
        <f t="shared" si="209"/>
        <v>0.94688165365348864</v>
      </c>
      <c r="S2045" s="582">
        <f t="shared" si="207"/>
        <v>2.0891816536534886</v>
      </c>
      <c r="T2045" s="582">
        <f t="shared" si="210"/>
        <v>2.393181653653488</v>
      </c>
      <c r="U2045" s="582">
        <f t="shared" si="211"/>
        <v>2.1453816536534878</v>
      </c>
    </row>
    <row r="2046" spans="10:21">
      <c r="J2046" s="580">
        <v>41639</v>
      </c>
      <c r="K2046" s="581">
        <v>0.99652777777777779</v>
      </c>
      <c r="L2046" s="582">
        <v>11.2485</v>
      </c>
      <c r="M2046" s="582">
        <v>11.5352</v>
      </c>
      <c r="N2046" s="582">
        <v>12.2974</v>
      </c>
      <c r="O2046" s="582">
        <v>11.9733</v>
      </c>
      <c r="P2046" s="582">
        <v>99.134200000000007</v>
      </c>
      <c r="Q2046" s="582">
        <f t="shared" si="208"/>
        <v>10.13641650439977</v>
      </c>
      <c r="R2046" s="582">
        <f t="shared" si="209"/>
        <v>0.92708349560022951</v>
      </c>
      <c r="S2046" s="582">
        <f t="shared" si="207"/>
        <v>2.0487834956002295</v>
      </c>
      <c r="T2046" s="582">
        <f t="shared" si="210"/>
        <v>2.3509834956002296</v>
      </c>
      <c r="U2046" s="582">
        <f t="shared" si="211"/>
        <v>2.1068834956002296</v>
      </c>
    </row>
    <row r="2047" spans="10:21">
      <c r="J2047" s="580">
        <v>41640</v>
      </c>
      <c r="K2047" s="581">
        <v>0.99652777777777779</v>
      </c>
      <c r="L2047" s="582">
        <v>11.222200000000001</v>
      </c>
      <c r="M2047" s="582">
        <v>11.484999999999999</v>
      </c>
      <c r="N2047" s="582">
        <v>12.242599999999999</v>
      </c>
      <c r="O2047" s="582">
        <v>11.928800000000001</v>
      </c>
      <c r="P2047" s="582">
        <v>99.075800000000001</v>
      </c>
      <c r="Q2047" s="582">
        <f t="shared" si="208"/>
        <v>10.130445137062797</v>
      </c>
      <c r="R2047" s="582">
        <f t="shared" si="209"/>
        <v>0.90675486293720431</v>
      </c>
      <c r="S2047" s="582">
        <f t="shared" si="207"/>
        <v>2.0045548629372032</v>
      </c>
      <c r="T2047" s="582">
        <f t="shared" si="210"/>
        <v>2.3021548629372033</v>
      </c>
      <c r="U2047" s="582">
        <f t="shared" si="211"/>
        <v>2.0683548629372042</v>
      </c>
    </row>
    <row r="2048" spans="10:21">
      <c r="J2048" s="580">
        <v>41641</v>
      </c>
      <c r="K2048" s="581">
        <v>0.99652777777777779</v>
      </c>
      <c r="L2048" s="582">
        <v>11.2013</v>
      </c>
      <c r="M2048" s="582">
        <v>11.4613</v>
      </c>
      <c r="N2048" s="582">
        <v>12.209899999999999</v>
      </c>
      <c r="O2048" s="582">
        <v>11.8955</v>
      </c>
      <c r="P2048" s="582">
        <v>99.073400000000007</v>
      </c>
      <c r="Q2048" s="582">
        <f t="shared" si="208"/>
        <v>10.130199738405114</v>
      </c>
      <c r="R2048" s="582">
        <f t="shared" si="209"/>
        <v>0.88610026159488575</v>
      </c>
      <c r="S2048" s="582">
        <f t="shared" si="207"/>
        <v>1.9811002615948856</v>
      </c>
      <c r="T2048" s="582">
        <f t="shared" si="210"/>
        <v>2.2697002615948856</v>
      </c>
      <c r="U2048" s="582">
        <f t="shared" si="211"/>
        <v>2.0353002615948861</v>
      </c>
    </row>
    <row r="2049" spans="10:21">
      <c r="J2049" s="580">
        <v>41642</v>
      </c>
      <c r="K2049" s="581">
        <v>0.99652777777777779</v>
      </c>
      <c r="L2049" s="582">
        <v>11.172700000000001</v>
      </c>
      <c r="M2049" s="582">
        <v>11.440099999999999</v>
      </c>
      <c r="N2049" s="582">
        <v>12.1813</v>
      </c>
      <c r="O2049" s="582">
        <v>11.869</v>
      </c>
      <c r="P2049" s="582">
        <v>99.085300000000004</v>
      </c>
      <c r="Q2049" s="582">
        <f t="shared" si="208"/>
        <v>10.131416506749462</v>
      </c>
      <c r="R2049" s="582">
        <f t="shared" si="209"/>
        <v>0.8562834932505391</v>
      </c>
      <c r="S2049" s="582">
        <f t="shared" si="207"/>
        <v>1.9586834932505377</v>
      </c>
      <c r="T2049" s="582">
        <f t="shared" si="210"/>
        <v>2.2398834932505389</v>
      </c>
      <c r="U2049" s="582">
        <f t="shared" si="211"/>
        <v>2.0075834932505381</v>
      </c>
    </row>
    <row r="2050" spans="10:21">
      <c r="J2050" s="580">
        <v>41643</v>
      </c>
      <c r="K2050" s="581">
        <v>0.99652777777777779</v>
      </c>
      <c r="L2050" s="582">
        <v>11.1386</v>
      </c>
      <c r="M2050" s="582">
        <v>11.4115</v>
      </c>
      <c r="N2050" s="582">
        <v>12.146699999999999</v>
      </c>
      <c r="O2050" s="582">
        <v>11.838200000000001</v>
      </c>
      <c r="P2050" s="582">
        <v>99.023600000000002</v>
      </c>
      <c r="Q2050" s="582">
        <f t="shared" si="208"/>
        <v>10.125107716258174</v>
      </c>
      <c r="R2050" s="582">
        <f t="shared" si="209"/>
        <v>0.82849228374182593</v>
      </c>
      <c r="S2050" s="582">
        <f t="shared" si="207"/>
        <v>1.9363922837418259</v>
      </c>
      <c r="T2050" s="582">
        <f t="shared" si="210"/>
        <v>2.2115922837418251</v>
      </c>
      <c r="U2050" s="582">
        <f t="shared" si="211"/>
        <v>1.9830922837418261</v>
      </c>
    </row>
    <row r="2051" spans="10:21">
      <c r="J2051" s="580">
        <v>41644</v>
      </c>
      <c r="K2051" s="581">
        <v>0.99652777777777779</v>
      </c>
      <c r="L2051" s="582">
        <v>11.0943</v>
      </c>
      <c r="M2051" s="582">
        <v>11.3764</v>
      </c>
      <c r="N2051" s="582">
        <v>12.108700000000001</v>
      </c>
      <c r="O2051" s="582">
        <v>11.809100000000001</v>
      </c>
      <c r="P2051" s="582">
        <v>98.924999999999997</v>
      </c>
      <c r="Q2051" s="582">
        <f t="shared" si="208"/>
        <v>10.115025921404996</v>
      </c>
      <c r="R2051" s="582">
        <f t="shared" si="209"/>
        <v>0.79427407859500454</v>
      </c>
      <c r="S2051" s="582">
        <f t="shared" si="207"/>
        <v>1.9113740785950044</v>
      </c>
      <c r="T2051" s="582">
        <f t="shared" si="210"/>
        <v>2.1836740785950051</v>
      </c>
      <c r="U2051" s="582">
        <f t="shared" si="211"/>
        <v>1.9640740785950048</v>
      </c>
    </row>
    <row r="2052" spans="10:21">
      <c r="J2052" s="580">
        <v>41645</v>
      </c>
      <c r="K2052" s="581">
        <v>0.99652777777777779</v>
      </c>
      <c r="L2052" s="582">
        <v>11.045299999999999</v>
      </c>
      <c r="M2052" s="582">
        <v>11.3324</v>
      </c>
      <c r="N2052" s="582">
        <v>12.0579</v>
      </c>
      <c r="O2052" s="582">
        <v>11.769</v>
      </c>
      <c r="P2052" s="582">
        <v>98.729900000000001</v>
      </c>
      <c r="Q2052" s="582">
        <f t="shared" si="208"/>
        <v>10.095077055524117</v>
      </c>
      <c r="R2052" s="582">
        <f t="shared" si="209"/>
        <v>0.76522294447588257</v>
      </c>
      <c r="S2052" s="582">
        <f t="shared" si="207"/>
        <v>1.8873229444758832</v>
      </c>
      <c r="T2052" s="582">
        <f t="shared" si="210"/>
        <v>2.1528229444758837</v>
      </c>
      <c r="U2052" s="582">
        <f t="shared" si="211"/>
        <v>1.9439229444758834</v>
      </c>
    </row>
    <row r="2053" spans="10:21">
      <c r="J2053" s="580">
        <v>41646</v>
      </c>
      <c r="K2053" s="581">
        <v>0.99652777777777779</v>
      </c>
      <c r="L2053" s="582">
        <v>11.0304</v>
      </c>
      <c r="M2053" s="582">
        <v>11.3223</v>
      </c>
      <c r="N2053" s="582">
        <v>12.0343</v>
      </c>
      <c r="O2053" s="582">
        <v>11.7563</v>
      </c>
      <c r="P2053" s="582">
        <v>98.799700000000001</v>
      </c>
      <c r="Q2053" s="582">
        <f t="shared" si="208"/>
        <v>10.102214066485088</v>
      </c>
      <c r="R2053" s="582">
        <f t="shared" si="209"/>
        <v>0.74318593351491247</v>
      </c>
      <c r="S2053" s="582">
        <f t="shared" si="207"/>
        <v>1.8700859335149127</v>
      </c>
      <c r="T2053" s="582">
        <f t="shared" si="210"/>
        <v>2.1220859335149127</v>
      </c>
      <c r="U2053" s="582">
        <f t="shared" si="211"/>
        <v>1.9240859335149119</v>
      </c>
    </row>
    <row r="2054" spans="10:21">
      <c r="J2054" s="580">
        <v>41647</v>
      </c>
      <c r="K2054" s="581">
        <v>0.99652777777777779</v>
      </c>
      <c r="L2054" s="582">
        <v>11.031499999999999</v>
      </c>
      <c r="M2054" s="582">
        <v>11.118399999999999</v>
      </c>
      <c r="N2054" s="582">
        <v>12.0281</v>
      </c>
      <c r="O2054" s="582">
        <v>11.7577</v>
      </c>
      <c r="P2054" s="582">
        <v>98.974000000000004</v>
      </c>
      <c r="Q2054" s="582">
        <f t="shared" si="208"/>
        <v>10.120036143999375</v>
      </c>
      <c r="R2054" s="582">
        <f t="shared" si="209"/>
        <v>0.72646385600062446</v>
      </c>
      <c r="S2054" s="582">
        <f t="shared" si="207"/>
        <v>1.6483638560006246</v>
      </c>
      <c r="T2054" s="582">
        <f t="shared" si="210"/>
        <v>2.0980638560006257</v>
      </c>
      <c r="U2054" s="582">
        <f t="shared" si="211"/>
        <v>1.9076638560006249</v>
      </c>
    </row>
    <row r="2055" spans="10:21">
      <c r="J2055" s="580">
        <v>41648</v>
      </c>
      <c r="K2055" s="581">
        <v>0.99652777777777779</v>
      </c>
      <c r="L2055" s="582">
        <v>11.0334</v>
      </c>
      <c r="M2055" s="582">
        <v>11.2837</v>
      </c>
      <c r="N2055" s="582">
        <v>12.0177</v>
      </c>
      <c r="O2055" s="582">
        <v>11.76</v>
      </c>
      <c r="P2055" s="582">
        <v>99.038200000000003</v>
      </c>
      <c r="Q2055" s="582">
        <f t="shared" si="208"/>
        <v>10.126600558092418</v>
      </c>
      <c r="R2055" s="582">
        <f t="shared" si="209"/>
        <v>0.72179944190758194</v>
      </c>
      <c r="S2055" s="582">
        <f t="shared" si="207"/>
        <v>1.8070994419075814</v>
      </c>
      <c r="T2055" s="582">
        <f t="shared" si="210"/>
        <v>2.0810994419075817</v>
      </c>
      <c r="U2055" s="582">
        <f t="shared" si="211"/>
        <v>1.9033994419075815</v>
      </c>
    </row>
    <row r="2056" spans="10:21">
      <c r="J2056" s="580">
        <v>41649</v>
      </c>
      <c r="K2056" s="581">
        <v>0.99652777777777779</v>
      </c>
      <c r="L2056" s="582">
        <v>11.0162</v>
      </c>
      <c r="M2056" s="582">
        <v>11.276999999999999</v>
      </c>
      <c r="N2056" s="582">
        <v>11.992699999999999</v>
      </c>
      <c r="O2056" s="582">
        <v>11.744300000000001</v>
      </c>
      <c r="P2056" s="582">
        <v>99.040999999999997</v>
      </c>
      <c r="Q2056" s="582">
        <f t="shared" si="208"/>
        <v>10.126886856526381</v>
      </c>
      <c r="R2056" s="582">
        <f t="shared" si="209"/>
        <v>0.70431314347361829</v>
      </c>
      <c r="S2056" s="582">
        <f t="shared" si="207"/>
        <v>1.8001131434736182</v>
      </c>
      <c r="T2056" s="582">
        <f t="shared" si="210"/>
        <v>2.0558131434736184</v>
      </c>
      <c r="U2056" s="582">
        <f t="shared" si="211"/>
        <v>1.8874131434736197</v>
      </c>
    </row>
    <row r="2057" spans="10:21">
      <c r="J2057" s="580">
        <v>41650</v>
      </c>
      <c r="K2057" s="581">
        <v>0.99652777777777779</v>
      </c>
      <c r="L2057" s="582">
        <v>10.9979</v>
      </c>
      <c r="M2057" s="582">
        <v>11.254</v>
      </c>
      <c r="N2057" s="582">
        <v>11.9697</v>
      </c>
      <c r="O2057" s="582">
        <v>11.7311</v>
      </c>
      <c r="P2057" s="582">
        <v>99.082400000000007</v>
      </c>
      <c r="Q2057" s="582">
        <f t="shared" si="208"/>
        <v>10.131119983371429</v>
      </c>
      <c r="R2057" s="582">
        <f t="shared" si="209"/>
        <v>0.6817800166285708</v>
      </c>
      <c r="S2057" s="582">
        <f t="shared" si="207"/>
        <v>1.772880016628571</v>
      </c>
      <c r="T2057" s="582">
        <f t="shared" si="210"/>
        <v>2.0285800166285712</v>
      </c>
      <c r="U2057" s="582">
        <f t="shared" si="211"/>
        <v>1.8699800166285709</v>
      </c>
    </row>
    <row r="2058" spans="10:21">
      <c r="J2058" s="580">
        <v>41651</v>
      </c>
      <c r="K2058" s="581">
        <v>0.99652777777777779</v>
      </c>
      <c r="L2058" s="582">
        <v>10.98</v>
      </c>
      <c r="M2058" s="582">
        <v>10.6515</v>
      </c>
      <c r="N2058" s="582">
        <v>11.9467</v>
      </c>
      <c r="O2058" s="582">
        <v>11.7211</v>
      </c>
      <c r="P2058" s="582">
        <v>99.135099999999994</v>
      </c>
      <c r="Q2058" s="582">
        <f t="shared" si="208"/>
        <v>10.136508528896401</v>
      </c>
      <c r="R2058" s="582">
        <f t="shared" si="209"/>
        <v>0.65849147110359896</v>
      </c>
      <c r="S2058" s="582">
        <f t="shared" si="207"/>
        <v>1.1649914711035991</v>
      </c>
      <c r="T2058" s="582">
        <f t="shared" si="210"/>
        <v>2.0001914711035989</v>
      </c>
      <c r="U2058" s="582">
        <f t="shared" si="211"/>
        <v>1.8545914711035985</v>
      </c>
    </row>
    <row r="2059" spans="10:21">
      <c r="J2059" s="580">
        <v>41652</v>
      </c>
      <c r="K2059" s="581">
        <v>0.99652777777777779</v>
      </c>
      <c r="L2059" s="582">
        <v>10.935</v>
      </c>
      <c r="M2059" s="582">
        <v>10.605499999999999</v>
      </c>
      <c r="N2059" s="582">
        <v>11.918699999999999</v>
      </c>
      <c r="O2059" s="582">
        <v>11.7042</v>
      </c>
      <c r="P2059" s="582">
        <v>99.138400000000004</v>
      </c>
      <c r="Q2059" s="582">
        <f t="shared" si="208"/>
        <v>10.136845952050717</v>
      </c>
      <c r="R2059" s="582">
        <f t="shared" si="209"/>
        <v>0.61315404794928385</v>
      </c>
      <c r="S2059" s="582">
        <f t="shared" si="207"/>
        <v>1.1186540479492828</v>
      </c>
      <c r="T2059" s="582">
        <f t="shared" si="210"/>
        <v>1.971854047949283</v>
      </c>
      <c r="U2059" s="582">
        <f t="shared" si="211"/>
        <v>1.8373540479492836</v>
      </c>
    </row>
    <row r="2060" spans="10:21">
      <c r="J2060" s="580">
        <v>41653</v>
      </c>
      <c r="K2060" s="581">
        <v>0.99652777777777779</v>
      </c>
      <c r="L2060" s="582">
        <v>10.8575</v>
      </c>
      <c r="M2060" s="582">
        <v>10.5763</v>
      </c>
      <c r="N2060" s="582">
        <v>11.891400000000001</v>
      </c>
      <c r="O2060" s="582">
        <v>11.6845</v>
      </c>
      <c r="P2060" s="582">
        <v>99.127600000000001</v>
      </c>
      <c r="Q2060" s="582">
        <f t="shared" si="208"/>
        <v>10.13574165809114</v>
      </c>
      <c r="R2060" s="582">
        <f t="shared" si="209"/>
        <v>0.53675834190885974</v>
      </c>
      <c r="S2060" s="582">
        <f t="shared" si="207"/>
        <v>1.0905583419088598</v>
      </c>
      <c r="T2060" s="582">
        <f t="shared" si="210"/>
        <v>1.9456583419088609</v>
      </c>
      <c r="U2060" s="582">
        <f t="shared" si="211"/>
        <v>1.8187583419088598</v>
      </c>
    </row>
    <row r="2061" spans="10:21">
      <c r="J2061" s="580">
        <v>41654</v>
      </c>
      <c r="K2061" s="581">
        <v>0.99652777777777779</v>
      </c>
      <c r="L2061" s="582">
        <v>10.7752</v>
      </c>
      <c r="M2061" s="582">
        <v>10.5779</v>
      </c>
      <c r="N2061" s="582">
        <v>11.864699999999999</v>
      </c>
      <c r="O2061" s="582">
        <v>11.6655</v>
      </c>
      <c r="P2061" s="582">
        <v>99.119799999999998</v>
      </c>
      <c r="Q2061" s="582">
        <f t="shared" si="208"/>
        <v>10.134944112453667</v>
      </c>
      <c r="R2061" s="582">
        <f t="shared" si="209"/>
        <v>0.45525588754633312</v>
      </c>
      <c r="S2061" s="582">
        <f t="shared" si="207"/>
        <v>1.092955887546333</v>
      </c>
      <c r="T2061" s="582">
        <f t="shared" si="210"/>
        <v>1.9197558875463325</v>
      </c>
      <c r="U2061" s="582">
        <f t="shared" si="211"/>
        <v>1.800555887546333</v>
      </c>
    </row>
    <row r="2062" spans="10:21">
      <c r="J2062" s="580">
        <v>41655</v>
      </c>
      <c r="K2062" s="581">
        <v>0.99652777777777779</v>
      </c>
      <c r="L2062" s="582">
        <v>10.733599999999999</v>
      </c>
      <c r="M2062" s="582">
        <v>10.588900000000001</v>
      </c>
      <c r="N2062" s="582">
        <v>11.843299999999999</v>
      </c>
      <c r="O2062" s="582">
        <v>11.654500000000001</v>
      </c>
      <c r="P2062" s="582">
        <v>99.1892</v>
      </c>
      <c r="Q2062" s="582">
        <f t="shared" si="208"/>
        <v>10.142040223638357</v>
      </c>
      <c r="R2062" s="582">
        <f t="shared" si="209"/>
        <v>0.40655977636164181</v>
      </c>
      <c r="S2062" s="582">
        <f t="shared" si="207"/>
        <v>1.0968597763616434</v>
      </c>
      <c r="T2062" s="582">
        <f t="shared" si="210"/>
        <v>1.8912597763616421</v>
      </c>
      <c r="U2062" s="582">
        <f t="shared" si="211"/>
        <v>1.7824597763616432</v>
      </c>
    </row>
    <row r="2063" spans="10:21">
      <c r="J2063" s="580">
        <v>41656</v>
      </c>
      <c r="K2063" s="581">
        <v>0.99652777777777779</v>
      </c>
      <c r="L2063" s="582">
        <v>10.6363</v>
      </c>
      <c r="M2063" s="582">
        <v>10.5885</v>
      </c>
      <c r="N2063" s="582">
        <v>11.8177</v>
      </c>
      <c r="O2063" s="582">
        <v>11.6363</v>
      </c>
      <c r="P2063" s="582">
        <v>99.191400000000002</v>
      </c>
      <c r="Q2063" s="582">
        <f t="shared" si="208"/>
        <v>10.142265172407901</v>
      </c>
      <c r="R2063" s="582">
        <f t="shared" si="209"/>
        <v>0.30903482759209894</v>
      </c>
      <c r="S2063" s="582">
        <f t="shared" si="207"/>
        <v>1.0962348275920986</v>
      </c>
      <c r="T2063" s="582">
        <f t="shared" si="210"/>
        <v>1.8654348275920991</v>
      </c>
      <c r="U2063" s="582">
        <f t="shared" si="211"/>
        <v>1.764034827592099</v>
      </c>
    </row>
    <row r="2064" spans="10:21">
      <c r="J2064" s="580">
        <v>41657</v>
      </c>
      <c r="K2064" s="581">
        <v>0.99652777777777779</v>
      </c>
      <c r="L2064" s="582">
        <v>10.532999999999999</v>
      </c>
      <c r="M2064" s="582">
        <v>10.5763</v>
      </c>
      <c r="N2064" s="582">
        <v>11.7879</v>
      </c>
      <c r="O2064" s="582">
        <v>11.609299999999999</v>
      </c>
      <c r="P2064" s="582">
        <v>99.117500000000007</v>
      </c>
      <c r="Q2064" s="582">
        <f t="shared" si="208"/>
        <v>10.134708938740054</v>
      </c>
      <c r="R2064" s="582">
        <f t="shared" si="209"/>
        <v>0.21329106125994507</v>
      </c>
      <c r="S2064" s="582">
        <f t="shared" si="207"/>
        <v>1.0915910612599455</v>
      </c>
      <c r="T2064" s="582">
        <f t="shared" si="210"/>
        <v>1.8431910612599463</v>
      </c>
      <c r="U2064" s="582">
        <f t="shared" si="211"/>
        <v>1.7445910612599449</v>
      </c>
    </row>
    <row r="2065" spans="10:21">
      <c r="J2065" s="580">
        <v>41658</v>
      </c>
      <c r="K2065" s="581">
        <v>0.99652777777777779</v>
      </c>
      <c r="L2065" s="582">
        <v>10.551</v>
      </c>
      <c r="M2065" s="582">
        <v>10.597300000000001</v>
      </c>
      <c r="N2065" s="582">
        <v>11.784800000000001</v>
      </c>
      <c r="O2065" s="582">
        <v>11.609500000000001</v>
      </c>
      <c r="P2065" s="582">
        <v>99.314700000000002</v>
      </c>
      <c r="Q2065" s="582">
        <f t="shared" si="208"/>
        <v>10.154872528446408</v>
      </c>
      <c r="R2065" s="582">
        <f t="shared" si="209"/>
        <v>0.21112747155359252</v>
      </c>
      <c r="S2065" s="582">
        <f t="shared" si="207"/>
        <v>1.0924274715535931</v>
      </c>
      <c r="T2065" s="582">
        <f t="shared" si="210"/>
        <v>1.8199274715535931</v>
      </c>
      <c r="U2065" s="582">
        <f t="shared" si="211"/>
        <v>1.724627471553593</v>
      </c>
    </row>
    <row r="2066" spans="10:21">
      <c r="J2066" s="580">
        <v>41659</v>
      </c>
      <c r="K2066" s="581">
        <v>0.99652777777777779</v>
      </c>
      <c r="L2066" s="582">
        <v>10.549200000000001</v>
      </c>
      <c r="M2066" s="582">
        <v>10.594099999999999</v>
      </c>
      <c r="N2066" s="582">
        <v>11.766500000000001</v>
      </c>
      <c r="O2066" s="582">
        <v>11.5932</v>
      </c>
      <c r="P2066" s="582">
        <v>99.354600000000005</v>
      </c>
      <c r="Q2066" s="582">
        <f t="shared" si="208"/>
        <v>10.158952281130402</v>
      </c>
      <c r="R2066" s="582">
        <f t="shared" si="209"/>
        <v>0.20524771886959897</v>
      </c>
      <c r="S2066" s="582">
        <f t="shared" si="207"/>
        <v>1.0851477188695975</v>
      </c>
      <c r="T2066" s="582">
        <f t="shared" si="210"/>
        <v>1.797547718869599</v>
      </c>
      <c r="U2066" s="582">
        <f t="shared" si="211"/>
        <v>1.7042477188695977</v>
      </c>
    </row>
    <row r="2067" spans="10:21">
      <c r="J2067" s="580">
        <v>41660</v>
      </c>
      <c r="K2067" s="581">
        <v>0.99652777777777779</v>
      </c>
      <c r="L2067" s="582">
        <v>10.197900000000001</v>
      </c>
      <c r="M2067" s="582">
        <v>10.194100000000001</v>
      </c>
      <c r="N2067" s="582">
        <v>11.7424</v>
      </c>
      <c r="O2067" s="582">
        <v>11.571199999999999</v>
      </c>
      <c r="P2067" s="582">
        <v>99.343100000000007</v>
      </c>
      <c r="Q2067" s="582">
        <f t="shared" si="208"/>
        <v>10.157776412562333</v>
      </c>
      <c r="R2067" s="582">
        <f t="shared" si="209"/>
        <v>0</v>
      </c>
      <c r="S2067" s="582">
        <f t="shared" si="207"/>
        <v>0.68632358743766786</v>
      </c>
      <c r="T2067" s="582">
        <f t="shared" si="210"/>
        <v>1.7746235874376672</v>
      </c>
      <c r="U2067" s="582">
        <f t="shared" si="211"/>
        <v>1.6834235874376664</v>
      </c>
    </row>
    <row r="2068" spans="10:21">
      <c r="J2068" s="580">
        <v>41661</v>
      </c>
      <c r="K2068" s="581">
        <v>0.99652777777777779</v>
      </c>
      <c r="L2068" s="582">
        <v>10.1797</v>
      </c>
      <c r="M2068" s="582">
        <v>10.176600000000001</v>
      </c>
      <c r="N2068" s="582">
        <v>11.7027</v>
      </c>
      <c r="O2068" s="582">
        <v>11.533899999999999</v>
      </c>
      <c r="P2068" s="582">
        <v>99.186700000000002</v>
      </c>
      <c r="Q2068" s="582">
        <f t="shared" si="208"/>
        <v>10.141784600036603</v>
      </c>
      <c r="R2068" s="582">
        <f t="shared" si="209"/>
        <v>0</v>
      </c>
      <c r="S2068" s="582">
        <f t="shared" si="207"/>
        <v>0.68481539996339769</v>
      </c>
      <c r="T2068" s="582">
        <f t="shared" si="210"/>
        <v>1.7509153999633973</v>
      </c>
      <c r="U2068" s="582">
        <f t="shared" si="211"/>
        <v>1.6621153999633962</v>
      </c>
    </row>
    <row r="2069" spans="10:21">
      <c r="J2069" s="580">
        <v>41662</v>
      </c>
      <c r="K2069" s="581">
        <v>0.99652777777777779</v>
      </c>
      <c r="L2069" s="582">
        <v>10.188800000000001</v>
      </c>
      <c r="M2069" s="582">
        <v>10.1761</v>
      </c>
      <c r="N2069" s="582">
        <v>11.6836</v>
      </c>
      <c r="O2069" s="582">
        <v>11.5158</v>
      </c>
      <c r="P2069" s="582">
        <v>99.225899999999996</v>
      </c>
      <c r="Q2069" s="582">
        <f t="shared" si="208"/>
        <v>10.145792778112106</v>
      </c>
      <c r="R2069" s="582">
        <f t="shared" si="209"/>
        <v>0</v>
      </c>
      <c r="S2069" s="582">
        <f t="shared" si="207"/>
        <v>0.68030722188789361</v>
      </c>
      <c r="T2069" s="582">
        <f t="shared" si="210"/>
        <v>1.7278072218878939</v>
      </c>
      <c r="U2069" s="582">
        <f t="shared" si="211"/>
        <v>1.6400072218878941</v>
      </c>
    </row>
    <row r="2070" spans="10:21">
      <c r="J2070" s="580">
        <v>41663</v>
      </c>
      <c r="K2070" s="581">
        <v>0.99652777777777779</v>
      </c>
      <c r="L2070" s="582">
        <v>10.1868</v>
      </c>
      <c r="M2070" s="582">
        <v>10.174099999999999</v>
      </c>
      <c r="N2070" s="582">
        <v>11.6617</v>
      </c>
      <c r="O2070" s="582">
        <v>11.493499999999999</v>
      </c>
      <c r="P2070" s="582">
        <v>99.2286</v>
      </c>
      <c r="Q2070" s="582">
        <f t="shared" si="208"/>
        <v>10.146068851602001</v>
      </c>
      <c r="R2070" s="582">
        <f t="shared" si="209"/>
        <v>0</v>
      </c>
      <c r="S2070" s="582">
        <f t="shared" si="207"/>
        <v>0.67803114839799838</v>
      </c>
      <c r="T2070" s="582">
        <f t="shared" si="210"/>
        <v>1.7056311483979989</v>
      </c>
      <c r="U2070" s="582">
        <f t="shared" si="211"/>
        <v>1.6174311483979982</v>
      </c>
    </row>
    <row r="2071" spans="10:21">
      <c r="J2071" s="580">
        <v>41664</v>
      </c>
      <c r="K2071" s="581">
        <v>0.99652777777777779</v>
      </c>
      <c r="L2071" s="582">
        <v>10.1709</v>
      </c>
      <c r="M2071" s="582">
        <v>10.157299999999999</v>
      </c>
      <c r="N2071" s="582">
        <v>11.621700000000001</v>
      </c>
      <c r="O2071" s="582">
        <v>11.453200000000001</v>
      </c>
      <c r="P2071" s="582">
        <v>99.049899999999994</v>
      </c>
      <c r="Q2071" s="582">
        <f t="shared" si="208"/>
        <v>10.127796876548626</v>
      </c>
      <c r="R2071" s="582">
        <f t="shared" si="209"/>
        <v>0</v>
      </c>
      <c r="S2071" s="582">
        <f t="shared" si="207"/>
        <v>0.67950312345137376</v>
      </c>
      <c r="T2071" s="582">
        <f t="shared" si="210"/>
        <v>1.6839031234513751</v>
      </c>
      <c r="U2071" s="582">
        <f t="shared" si="211"/>
        <v>1.595403123451375</v>
      </c>
    </row>
    <row r="2072" spans="10:21">
      <c r="J2072" s="580">
        <v>41665</v>
      </c>
      <c r="K2072" s="581">
        <v>0.99652777777777779</v>
      </c>
      <c r="L2072" s="582">
        <v>10.1732</v>
      </c>
      <c r="M2072" s="582">
        <v>10.1586</v>
      </c>
      <c r="N2072" s="582">
        <v>11.6012</v>
      </c>
      <c r="O2072" s="582">
        <v>11.4307</v>
      </c>
      <c r="P2072" s="582">
        <v>99.046300000000002</v>
      </c>
      <c r="Q2072" s="582">
        <f t="shared" si="208"/>
        <v>10.1274287785621</v>
      </c>
      <c r="R2072" s="582">
        <f t="shared" si="209"/>
        <v>0</v>
      </c>
      <c r="S2072" s="582">
        <f t="shared" si="207"/>
        <v>0.68117122143789977</v>
      </c>
      <c r="T2072" s="582">
        <f t="shared" si="210"/>
        <v>1.6637712214379003</v>
      </c>
      <c r="U2072" s="582">
        <f t="shared" si="211"/>
        <v>1.5732712214378997</v>
      </c>
    </row>
    <row r="2073" spans="10:21">
      <c r="J2073" s="580">
        <v>41666</v>
      </c>
      <c r="K2073" s="581">
        <v>0.99652777777777779</v>
      </c>
      <c r="L2073" s="582">
        <v>10.1744</v>
      </c>
      <c r="M2073" s="582">
        <v>10.160500000000001</v>
      </c>
      <c r="N2073" s="582">
        <v>11.5809</v>
      </c>
      <c r="O2073" s="582">
        <v>11.408099999999999</v>
      </c>
      <c r="P2073" s="582">
        <v>99.057599999999994</v>
      </c>
      <c r="Q2073" s="582">
        <f t="shared" si="208"/>
        <v>10.128584197242027</v>
      </c>
      <c r="R2073" s="582">
        <f t="shared" si="209"/>
        <v>0</v>
      </c>
      <c r="S2073" s="582">
        <f t="shared" si="207"/>
        <v>0.6819158027579737</v>
      </c>
      <c r="T2073" s="582">
        <f t="shared" si="210"/>
        <v>1.6423158027579727</v>
      </c>
      <c r="U2073" s="582">
        <f t="shared" si="211"/>
        <v>1.5495158027579721</v>
      </c>
    </row>
    <row r="2074" spans="10:21">
      <c r="J2074" s="580">
        <v>41667</v>
      </c>
      <c r="K2074" s="581">
        <v>0.99652777777777779</v>
      </c>
      <c r="L2074" s="582">
        <v>10.1714</v>
      </c>
      <c r="M2074" s="582">
        <v>10.1594</v>
      </c>
      <c r="N2074" s="582">
        <v>11.557499999999999</v>
      </c>
      <c r="O2074" s="582">
        <v>11.3834</v>
      </c>
      <c r="P2074" s="582">
        <v>99.049300000000002</v>
      </c>
      <c r="Q2074" s="582">
        <f t="shared" si="208"/>
        <v>10.127735526884205</v>
      </c>
      <c r="R2074" s="582">
        <f t="shared" si="209"/>
        <v>0</v>
      </c>
      <c r="S2074" s="582">
        <f t="shared" si="207"/>
        <v>0.68166447311579481</v>
      </c>
      <c r="T2074" s="582">
        <f t="shared" si="210"/>
        <v>1.6197644731157943</v>
      </c>
      <c r="U2074" s="582">
        <f t="shared" si="211"/>
        <v>1.5256644731157949</v>
      </c>
    </row>
    <row r="2075" spans="10:21">
      <c r="J2075" s="580">
        <v>41668</v>
      </c>
      <c r="K2075" s="581">
        <v>0.99652777777777779</v>
      </c>
      <c r="L2075" s="582">
        <v>10.172700000000001</v>
      </c>
      <c r="M2075" s="582">
        <v>10.160600000000001</v>
      </c>
      <c r="N2075" s="582">
        <v>11.537800000000001</v>
      </c>
      <c r="O2075" s="582">
        <v>11.3607</v>
      </c>
      <c r="P2075" s="582">
        <v>99.052099999999996</v>
      </c>
      <c r="Q2075" s="582">
        <f t="shared" si="208"/>
        <v>10.12802182531817</v>
      </c>
      <c r="R2075" s="582">
        <f t="shared" si="209"/>
        <v>0</v>
      </c>
      <c r="S2075" s="582">
        <f t="shared" si="207"/>
        <v>0.68257817468183091</v>
      </c>
      <c r="T2075" s="582">
        <f t="shared" si="210"/>
        <v>1.5997781746818311</v>
      </c>
      <c r="U2075" s="582">
        <f t="shared" si="211"/>
        <v>1.5026781746818298</v>
      </c>
    </row>
    <row r="2076" spans="10:21">
      <c r="J2076" s="580">
        <v>41669</v>
      </c>
      <c r="K2076" s="581">
        <v>0.99652777777777779</v>
      </c>
      <c r="L2076" s="582">
        <v>10.180899999999999</v>
      </c>
      <c r="M2076" s="582">
        <v>10.167299999999999</v>
      </c>
      <c r="N2076" s="582">
        <v>11.5261</v>
      </c>
      <c r="O2076" s="582">
        <v>11.346299999999999</v>
      </c>
      <c r="P2076" s="582">
        <v>99.155900000000003</v>
      </c>
      <c r="Q2076" s="582">
        <f t="shared" si="208"/>
        <v>10.138635317262995</v>
      </c>
      <c r="R2076" s="582">
        <f t="shared" si="209"/>
        <v>0</v>
      </c>
      <c r="S2076" s="582">
        <f t="shared" si="207"/>
        <v>0.67866468273700398</v>
      </c>
      <c r="T2076" s="582">
        <f t="shared" si="210"/>
        <v>1.5774646827370045</v>
      </c>
      <c r="U2076" s="582">
        <f t="shared" si="211"/>
        <v>1.4776646827370041</v>
      </c>
    </row>
    <row r="2077" spans="10:21">
      <c r="J2077" s="580">
        <v>41670</v>
      </c>
      <c r="K2077" s="581">
        <v>0.99652777777777779</v>
      </c>
      <c r="L2077" s="582">
        <v>10.180999999999999</v>
      </c>
      <c r="M2077" s="582">
        <v>10.1676</v>
      </c>
      <c r="N2077" s="582">
        <v>11.503500000000001</v>
      </c>
      <c r="O2077" s="582">
        <v>11.319599999999999</v>
      </c>
      <c r="P2077" s="582">
        <v>99.1404</v>
      </c>
      <c r="Q2077" s="582">
        <f t="shared" si="208"/>
        <v>10.13705045093212</v>
      </c>
      <c r="R2077" s="582">
        <f t="shared" si="209"/>
        <v>0</v>
      </c>
      <c r="S2077" s="582">
        <f t="shared" si="207"/>
        <v>0.6805495490678799</v>
      </c>
      <c r="T2077" s="582">
        <f t="shared" si="210"/>
        <v>1.5564495490678805</v>
      </c>
      <c r="U2077" s="582">
        <f t="shared" si="211"/>
        <v>1.452549549067879</v>
      </c>
    </row>
    <row r="2078" spans="10:21">
      <c r="J2078" s="580">
        <v>41671</v>
      </c>
      <c r="K2078" s="581">
        <v>0.99652777777777779</v>
      </c>
      <c r="L2078" s="582">
        <v>10.1638</v>
      </c>
      <c r="M2078" s="582">
        <v>10.1494</v>
      </c>
      <c r="N2078" s="582">
        <v>11.465400000000001</v>
      </c>
      <c r="O2078" s="582">
        <v>11.2781</v>
      </c>
      <c r="P2078" s="582">
        <v>98.978399999999993</v>
      </c>
      <c r="Q2078" s="582">
        <f t="shared" si="208"/>
        <v>10.120486041538461</v>
      </c>
      <c r="R2078" s="582">
        <f t="shared" si="209"/>
        <v>0</v>
      </c>
      <c r="S2078" s="582">
        <f t="shared" si="207"/>
        <v>0.6789139584615389</v>
      </c>
      <c r="T2078" s="582">
        <f t="shared" si="210"/>
        <v>1.5349139584615394</v>
      </c>
      <c r="U2078" s="582">
        <f t="shared" si="211"/>
        <v>1.427613958461539</v>
      </c>
    </row>
    <row r="2079" spans="10:21">
      <c r="J2079" s="580">
        <v>41672</v>
      </c>
      <c r="K2079" s="581">
        <v>0.99652777777777779</v>
      </c>
      <c r="L2079" s="582">
        <v>10.1769</v>
      </c>
      <c r="M2079" s="582">
        <v>10.1632</v>
      </c>
      <c r="N2079" s="582">
        <v>11.4587</v>
      </c>
      <c r="O2079" s="582">
        <v>11.2652</v>
      </c>
      <c r="P2079" s="582">
        <v>99.103899999999996</v>
      </c>
      <c r="Q2079" s="582">
        <f t="shared" si="208"/>
        <v>10.133318346346512</v>
      </c>
      <c r="R2079" s="582">
        <f t="shared" si="209"/>
        <v>0</v>
      </c>
      <c r="S2079" s="582">
        <f t="shared" si="207"/>
        <v>0.6798816536534884</v>
      </c>
      <c r="T2079" s="582">
        <f t="shared" si="210"/>
        <v>1.5153816536534888</v>
      </c>
      <c r="U2079" s="582">
        <f t="shared" si="211"/>
        <v>1.4018816536534886</v>
      </c>
    </row>
    <row r="2080" spans="10:21">
      <c r="J2080" s="580">
        <v>41673</v>
      </c>
      <c r="K2080" s="581">
        <v>0.99652777777777779</v>
      </c>
      <c r="L2080" s="582">
        <v>10.1591</v>
      </c>
      <c r="M2080" s="582">
        <v>10.145300000000001</v>
      </c>
      <c r="N2080" s="582">
        <v>11.421099999999999</v>
      </c>
      <c r="O2080" s="582">
        <v>11.2248</v>
      </c>
      <c r="P2080" s="582">
        <v>98.932400000000001</v>
      </c>
      <c r="Q2080" s="582">
        <f t="shared" si="208"/>
        <v>10.115782567266189</v>
      </c>
      <c r="R2080" s="582">
        <f t="shared" si="209"/>
        <v>0</v>
      </c>
      <c r="S2080" s="582">
        <f t="shared" si="207"/>
        <v>0.67951743273381182</v>
      </c>
      <c r="T2080" s="582">
        <f t="shared" si="210"/>
        <v>1.4953174327338101</v>
      </c>
      <c r="U2080" s="582">
        <f t="shared" si="211"/>
        <v>1.3790174327338112</v>
      </c>
    </row>
    <row r="2081" spans="10:21">
      <c r="J2081" s="580">
        <v>41674</v>
      </c>
      <c r="K2081" s="581">
        <v>0.99652777777777779</v>
      </c>
      <c r="L2081" s="582">
        <v>10.15</v>
      </c>
      <c r="M2081" s="582">
        <v>10.138</v>
      </c>
      <c r="N2081" s="582">
        <v>11.388999999999999</v>
      </c>
      <c r="O2081" s="582">
        <v>11.191599999999999</v>
      </c>
      <c r="P2081" s="582">
        <v>98.839299999999994</v>
      </c>
      <c r="Q2081" s="582">
        <f t="shared" si="208"/>
        <v>10.10626314433687</v>
      </c>
      <c r="R2081" s="582">
        <f t="shared" si="209"/>
        <v>0</v>
      </c>
      <c r="S2081" s="582">
        <f t="shared" si="207"/>
        <v>0.68173685566313025</v>
      </c>
      <c r="T2081" s="582">
        <f t="shared" si="210"/>
        <v>1.4727368556631295</v>
      </c>
      <c r="U2081" s="582">
        <f t="shared" si="211"/>
        <v>1.3553368556631296</v>
      </c>
    </row>
    <row r="2082" spans="10:21">
      <c r="J2082" s="580">
        <v>41675</v>
      </c>
      <c r="K2082" s="581">
        <v>0.99652777777777779</v>
      </c>
      <c r="L2082" s="582">
        <v>10.1378</v>
      </c>
      <c r="M2082" s="582">
        <v>10.1256</v>
      </c>
      <c r="N2082" s="582">
        <v>11.354900000000001</v>
      </c>
      <c r="O2082" s="582">
        <v>11.152699999999999</v>
      </c>
      <c r="P2082" s="582">
        <v>98.704899999999995</v>
      </c>
      <c r="Q2082" s="582">
        <f t="shared" si="208"/>
        <v>10.092520819506577</v>
      </c>
      <c r="R2082" s="582">
        <f t="shared" si="209"/>
        <v>0</v>
      </c>
      <c r="S2082" s="582">
        <f t="shared" si="207"/>
        <v>0.68307918049342375</v>
      </c>
      <c r="T2082" s="582">
        <f t="shared" si="210"/>
        <v>1.4523791804934238</v>
      </c>
      <c r="U2082" s="582">
        <f t="shared" si="211"/>
        <v>1.3301791804934227</v>
      </c>
    </row>
    <row r="2083" spans="10:21">
      <c r="J2083" s="580">
        <v>41676</v>
      </c>
      <c r="K2083" s="581">
        <v>0.99652777777777779</v>
      </c>
      <c r="L2083" s="582">
        <v>10.1479</v>
      </c>
      <c r="M2083" s="582">
        <v>10.134399999999999</v>
      </c>
      <c r="N2083" s="582">
        <v>11.3436</v>
      </c>
      <c r="O2083" s="582">
        <v>11.1393</v>
      </c>
      <c r="P2083" s="582">
        <v>98.8</v>
      </c>
      <c r="Q2083" s="582">
        <f t="shared" si="208"/>
        <v>10.102244741317298</v>
      </c>
      <c r="R2083" s="582">
        <f t="shared" si="209"/>
        <v>0</v>
      </c>
      <c r="S2083" s="582">
        <f t="shared" si="207"/>
        <v>0.68215525868270155</v>
      </c>
      <c r="T2083" s="582">
        <f t="shared" si="210"/>
        <v>1.4313552586827023</v>
      </c>
      <c r="U2083" s="582">
        <f t="shared" si="211"/>
        <v>1.3070552586827024</v>
      </c>
    </row>
    <row r="2084" spans="10:21">
      <c r="J2084" s="580">
        <v>41677</v>
      </c>
      <c r="K2084" s="581">
        <v>0.99652777777777779</v>
      </c>
      <c r="L2084" s="582">
        <v>10.1404</v>
      </c>
      <c r="M2084" s="582">
        <v>10.127800000000001</v>
      </c>
      <c r="N2084" s="582">
        <v>11.3154</v>
      </c>
      <c r="O2084" s="582">
        <v>11.110099999999999</v>
      </c>
      <c r="P2084" s="582">
        <v>98.735200000000006</v>
      </c>
      <c r="Q2084" s="582">
        <f t="shared" si="208"/>
        <v>10.095618977559836</v>
      </c>
      <c r="R2084" s="582">
        <f t="shared" si="209"/>
        <v>0</v>
      </c>
      <c r="S2084" s="582">
        <f t="shared" si="207"/>
        <v>0.68218102244016499</v>
      </c>
      <c r="T2084" s="582">
        <f t="shared" si="210"/>
        <v>1.4097810224401646</v>
      </c>
      <c r="U2084" s="582">
        <f t="shared" si="211"/>
        <v>1.2844810224401635</v>
      </c>
    </row>
    <row r="2085" spans="10:21">
      <c r="J2085" s="580">
        <v>41678</v>
      </c>
      <c r="K2085" s="581">
        <v>0.99652777777777779</v>
      </c>
      <c r="L2085" s="582">
        <v>10.148199999999999</v>
      </c>
      <c r="M2085" s="582">
        <v>10.135999999999999</v>
      </c>
      <c r="N2085" s="582">
        <v>11.302</v>
      </c>
      <c r="O2085" s="582">
        <v>11.0939</v>
      </c>
      <c r="P2085" s="582">
        <v>98.801900000000003</v>
      </c>
      <c r="Q2085" s="582">
        <f t="shared" si="208"/>
        <v>10.102439015254632</v>
      </c>
      <c r="R2085" s="582">
        <f t="shared" si="209"/>
        <v>0</v>
      </c>
      <c r="S2085" s="582">
        <f t="shared" si="207"/>
        <v>0.68356098474536764</v>
      </c>
      <c r="T2085" s="582">
        <f t="shared" si="210"/>
        <v>1.3895609847453678</v>
      </c>
      <c r="U2085" s="582">
        <f t="shared" si="211"/>
        <v>1.2614609847453679</v>
      </c>
    </row>
    <row r="2086" spans="10:21">
      <c r="J2086" s="580">
        <v>41679</v>
      </c>
      <c r="K2086" s="581">
        <v>0.99652777777777779</v>
      </c>
      <c r="L2086" s="582">
        <v>10.138199999999999</v>
      </c>
      <c r="M2086" s="582">
        <v>10.1256</v>
      </c>
      <c r="N2086" s="582">
        <v>11.270899999999999</v>
      </c>
      <c r="O2086" s="582">
        <v>11.059100000000001</v>
      </c>
      <c r="P2086" s="582">
        <v>98.711299999999994</v>
      </c>
      <c r="Q2086" s="582">
        <f t="shared" si="208"/>
        <v>10.093175215927067</v>
      </c>
      <c r="R2086" s="582">
        <f t="shared" si="209"/>
        <v>0</v>
      </c>
      <c r="S2086" s="582">
        <f t="shared" si="207"/>
        <v>0.68242478407293361</v>
      </c>
      <c r="T2086" s="582">
        <f t="shared" si="210"/>
        <v>1.3677247840729323</v>
      </c>
      <c r="U2086" s="582">
        <f t="shared" si="211"/>
        <v>1.2359247840729339</v>
      </c>
    </row>
    <row r="2087" spans="10:21">
      <c r="J2087" s="580">
        <v>41680</v>
      </c>
      <c r="K2087" s="581">
        <v>0.99652777777777779</v>
      </c>
      <c r="L2087" s="582">
        <v>10.1439</v>
      </c>
      <c r="M2087" s="582">
        <v>10.131600000000001</v>
      </c>
      <c r="N2087" s="582">
        <v>11.2553</v>
      </c>
      <c r="O2087" s="582">
        <v>11.0397</v>
      </c>
      <c r="P2087" s="582">
        <v>98.766199999999998</v>
      </c>
      <c r="Q2087" s="582">
        <f t="shared" si="208"/>
        <v>10.098788710221584</v>
      </c>
      <c r="R2087" s="582">
        <f t="shared" si="209"/>
        <v>0</v>
      </c>
      <c r="S2087" s="582">
        <f t="shared" si="207"/>
        <v>0.6828112897784171</v>
      </c>
      <c r="T2087" s="582">
        <f t="shared" si="210"/>
        <v>1.3465112897784164</v>
      </c>
      <c r="U2087" s="582">
        <f t="shared" si="211"/>
        <v>1.2109112897784162</v>
      </c>
    </row>
    <row r="2088" spans="10:21">
      <c r="J2088" s="580">
        <v>41681</v>
      </c>
      <c r="K2088" s="581">
        <v>0.99652777777777779</v>
      </c>
      <c r="L2088" s="582">
        <v>10.1427</v>
      </c>
      <c r="M2088" s="582">
        <v>10.130100000000001</v>
      </c>
      <c r="N2088" s="582">
        <v>11.2308</v>
      </c>
      <c r="O2088" s="582">
        <v>11.008900000000001</v>
      </c>
      <c r="P2088" s="582">
        <v>98.733500000000006</v>
      </c>
      <c r="Q2088" s="582">
        <f t="shared" si="208"/>
        <v>10.095445153510642</v>
      </c>
      <c r="R2088" s="582">
        <f t="shared" si="209"/>
        <v>0</v>
      </c>
      <c r="S2088" s="582">
        <f t="shared" si="207"/>
        <v>0.68465484648935848</v>
      </c>
      <c r="T2088" s="582">
        <f t="shared" si="210"/>
        <v>1.3253548464893581</v>
      </c>
      <c r="U2088" s="582">
        <f t="shared" si="211"/>
        <v>1.1834548464893584</v>
      </c>
    </row>
    <row r="2089" spans="10:21">
      <c r="J2089" s="580">
        <v>41682</v>
      </c>
      <c r="K2089" s="581">
        <v>0.99652777777777779</v>
      </c>
      <c r="L2089" s="582">
        <v>10.125400000000001</v>
      </c>
      <c r="M2089" s="582">
        <v>10.111499999999999</v>
      </c>
      <c r="N2089" s="582">
        <v>11.194699999999999</v>
      </c>
      <c r="O2089" s="582">
        <v>10.9679</v>
      </c>
      <c r="P2089" s="582">
        <v>98.578599999999994</v>
      </c>
      <c r="Q2089" s="582">
        <f t="shared" si="208"/>
        <v>10.079606715145966</v>
      </c>
      <c r="R2089" s="582">
        <f t="shared" si="209"/>
        <v>0</v>
      </c>
      <c r="S2089" s="582">
        <f t="shared" si="207"/>
        <v>0.681893284854034</v>
      </c>
      <c r="T2089" s="582">
        <f t="shared" si="210"/>
        <v>1.3050932848540335</v>
      </c>
      <c r="U2089" s="582">
        <f t="shared" si="211"/>
        <v>1.1582932848540346</v>
      </c>
    </row>
    <row r="2090" spans="10:21">
      <c r="J2090" s="580">
        <v>41683</v>
      </c>
      <c r="K2090" s="581">
        <v>0.99652777777777779</v>
      </c>
      <c r="L2090" s="582">
        <v>10.144299999999999</v>
      </c>
      <c r="M2090" s="582">
        <v>10.129799999999999</v>
      </c>
      <c r="N2090" s="582">
        <v>11.1937</v>
      </c>
      <c r="O2090" s="582">
        <v>10.962199999999999</v>
      </c>
      <c r="P2090" s="582">
        <v>98.766400000000004</v>
      </c>
      <c r="Q2090" s="582">
        <f t="shared" si="208"/>
        <v>10.098809160109726</v>
      </c>
      <c r="R2090" s="582">
        <f t="shared" si="209"/>
        <v>0</v>
      </c>
      <c r="S2090" s="582">
        <f t="shared" si="207"/>
        <v>0.68099083989027398</v>
      </c>
      <c r="T2090" s="582">
        <f t="shared" si="210"/>
        <v>1.2848908398902741</v>
      </c>
      <c r="U2090" s="582">
        <f t="shared" si="211"/>
        <v>1.1333908398902737</v>
      </c>
    </row>
    <row r="2091" spans="10:21">
      <c r="J2091" s="580">
        <v>41684</v>
      </c>
      <c r="K2091" s="581">
        <v>0.99652777777777779</v>
      </c>
      <c r="L2091" s="582">
        <v>10.164099999999999</v>
      </c>
      <c r="M2091" s="582">
        <v>10.150399999999999</v>
      </c>
      <c r="N2091" s="582">
        <v>11.1905</v>
      </c>
      <c r="O2091" s="582">
        <v>10.9537</v>
      </c>
      <c r="P2091" s="582">
        <v>98.958399999999997</v>
      </c>
      <c r="Q2091" s="582">
        <f t="shared" si="208"/>
        <v>10.11844105272443</v>
      </c>
      <c r="R2091" s="582">
        <f t="shared" si="209"/>
        <v>0</v>
      </c>
      <c r="S2091" s="582">
        <f t="shared" ref="S2091:S2112" si="212">M2091-Q2091-$D$9+$E$9</f>
        <v>0.6819589472755696</v>
      </c>
      <c r="T2091" s="582">
        <f t="shared" si="210"/>
        <v>1.2620589472755701</v>
      </c>
      <c r="U2091" s="582">
        <f t="shared" si="211"/>
        <v>1.1052589472755696</v>
      </c>
    </row>
    <row r="2092" spans="10:21">
      <c r="J2092" s="580">
        <v>41685</v>
      </c>
      <c r="K2092" s="581">
        <v>0.99652777777777779</v>
      </c>
      <c r="L2092" s="582">
        <v>10.1562</v>
      </c>
      <c r="M2092" s="582">
        <v>10.1416</v>
      </c>
      <c r="N2092" s="582">
        <v>11.162000000000001</v>
      </c>
      <c r="O2092" s="582">
        <v>10.920400000000001</v>
      </c>
      <c r="P2092" s="582">
        <v>98.889300000000006</v>
      </c>
      <c r="Q2092" s="582">
        <f t="shared" si="208"/>
        <v>10.111375616371951</v>
      </c>
      <c r="R2092" s="582">
        <f t="shared" si="209"/>
        <v>0</v>
      </c>
      <c r="S2092" s="582">
        <f t="shared" si="212"/>
        <v>0.68022438362804905</v>
      </c>
      <c r="T2092" s="582">
        <f t="shared" si="210"/>
        <v>1.2406243836280493</v>
      </c>
      <c r="U2092" s="582">
        <f t="shared" si="211"/>
        <v>1.0790243836280493</v>
      </c>
    </row>
    <row r="2093" spans="10:21">
      <c r="J2093" s="580">
        <v>41686</v>
      </c>
      <c r="K2093" s="581">
        <v>0.99652777777777779</v>
      </c>
      <c r="L2093" s="582">
        <v>10.14</v>
      </c>
      <c r="M2093" s="582">
        <v>10.122</v>
      </c>
      <c r="N2093" s="582">
        <v>11.126799999999999</v>
      </c>
      <c r="O2093" s="582">
        <v>10.880100000000001</v>
      </c>
      <c r="P2093" s="582">
        <v>98.722499999999997</v>
      </c>
      <c r="Q2093" s="582">
        <f t="shared" si="208"/>
        <v>10.094320409662924</v>
      </c>
      <c r="R2093" s="582">
        <f t="shared" si="209"/>
        <v>0</v>
      </c>
      <c r="S2093" s="582">
        <f t="shared" si="212"/>
        <v>0.67767959033707625</v>
      </c>
      <c r="T2093" s="582">
        <f t="shared" si="210"/>
        <v>1.2224795903370755</v>
      </c>
      <c r="U2093" s="582">
        <f t="shared" si="211"/>
        <v>1.0557795903370768</v>
      </c>
    </row>
    <row r="2094" spans="10:21">
      <c r="J2094" s="580">
        <v>41687</v>
      </c>
      <c r="K2094" s="581">
        <v>0.99652777777777779</v>
      </c>
      <c r="L2094" s="582">
        <v>10.151999999999999</v>
      </c>
      <c r="M2094" s="582">
        <v>10.133900000000001</v>
      </c>
      <c r="N2094" s="582">
        <v>11.119300000000001</v>
      </c>
      <c r="O2094" s="582">
        <v>10.8696</v>
      </c>
      <c r="P2094" s="582">
        <v>98.861000000000004</v>
      </c>
      <c r="Q2094" s="582">
        <f t="shared" si="208"/>
        <v>10.108481957200096</v>
      </c>
      <c r="R2094" s="582">
        <f t="shared" si="209"/>
        <v>0</v>
      </c>
      <c r="S2094" s="582">
        <f t="shared" si="212"/>
        <v>0.67541804279990436</v>
      </c>
      <c r="T2094" s="582">
        <f t="shared" si="210"/>
        <v>1.2008180427999045</v>
      </c>
      <c r="U2094" s="582">
        <f t="shared" si="211"/>
        <v>1.0311180427999038</v>
      </c>
    </row>
    <row r="2095" spans="10:21">
      <c r="J2095" s="580">
        <v>41688</v>
      </c>
      <c r="K2095" s="581">
        <v>0.99652777777777779</v>
      </c>
      <c r="L2095" s="582">
        <v>10.1737</v>
      </c>
      <c r="M2095" s="582">
        <v>10.1564</v>
      </c>
      <c r="N2095" s="582">
        <v>11.119400000000001</v>
      </c>
      <c r="O2095" s="582">
        <v>10.864800000000001</v>
      </c>
      <c r="P2095" s="582">
        <v>99.060400000000001</v>
      </c>
      <c r="Q2095" s="582">
        <f t="shared" si="208"/>
        <v>10.128870495675992</v>
      </c>
      <c r="R2095" s="582">
        <f t="shared" si="209"/>
        <v>0</v>
      </c>
      <c r="S2095" s="582">
        <f t="shared" si="212"/>
        <v>0.67752950432400794</v>
      </c>
      <c r="T2095" s="582">
        <f t="shared" si="210"/>
        <v>1.1805295043240087</v>
      </c>
      <c r="U2095" s="582">
        <f t="shared" si="211"/>
        <v>1.0059295043240088</v>
      </c>
    </row>
    <row r="2096" spans="10:21">
      <c r="J2096" s="580">
        <v>41689</v>
      </c>
      <c r="K2096" s="581">
        <v>0.99652777777777779</v>
      </c>
      <c r="L2096" s="582">
        <v>10.178100000000001</v>
      </c>
      <c r="M2096" s="582">
        <v>10.1608</v>
      </c>
      <c r="N2096" s="582">
        <v>11.110799999999999</v>
      </c>
      <c r="O2096" s="582">
        <v>10.852</v>
      </c>
      <c r="P2096" s="582">
        <v>99.115799999999993</v>
      </c>
      <c r="Q2096" s="582">
        <f t="shared" si="208"/>
        <v>10.134535114690861</v>
      </c>
      <c r="R2096" s="582">
        <f t="shared" si="209"/>
        <v>0</v>
      </c>
      <c r="S2096" s="582">
        <f t="shared" si="212"/>
        <v>0.67626488530913931</v>
      </c>
      <c r="T2096" s="582">
        <f t="shared" si="210"/>
        <v>1.1662648853091384</v>
      </c>
      <c r="U2096" s="582">
        <f t="shared" si="211"/>
        <v>0.98746488530913945</v>
      </c>
    </row>
    <row r="2097" spans="10:21">
      <c r="J2097" s="580">
        <v>41690</v>
      </c>
      <c r="K2097" s="581">
        <v>0.99652777777777779</v>
      </c>
      <c r="L2097" s="582">
        <v>10.1629</v>
      </c>
      <c r="M2097" s="582">
        <v>10.1455</v>
      </c>
      <c r="N2097" s="582">
        <v>11.0748</v>
      </c>
      <c r="O2097" s="582">
        <v>10.813599999999999</v>
      </c>
      <c r="P2097" s="582">
        <v>98.985399999999998</v>
      </c>
      <c r="Q2097" s="582">
        <f t="shared" si="208"/>
        <v>10.121201787623374</v>
      </c>
      <c r="R2097" s="582">
        <f t="shared" si="209"/>
        <v>0</v>
      </c>
      <c r="S2097" s="582">
        <f t="shared" si="212"/>
        <v>0.67429821237662657</v>
      </c>
      <c r="T2097" s="582">
        <f t="shared" si="210"/>
        <v>1.143598212376626</v>
      </c>
      <c r="U2097" s="582">
        <f t="shared" si="211"/>
        <v>0.96239821237662548</v>
      </c>
    </row>
    <row r="2098" spans="10:21">
      <c r="J2098" s="580">
        <v>41691</v>
      </c>
      <c r="K2098" s="581">
        <v>0.99652777777777779</v>
      </c>
      <c r="L2098" s="582">
        <v>10.1807</v>
      </c>
      <c r="M2098" s="582">
        <v>10.163600000000001</v>
      </c>
      <c r="N2098" s="582">
        <v>11.07</v>
      </c>
      <c r="O2098" s="582">
        <v>10.684699999999999</v>
      </c>
      <c r="P2098" s="582">
        <v>99.137699999999995</v>
      </c>
      <c r="Q2098" s="582">
        <f t="shared" si="208"/>
        <v>10.136774377442226</v>
      </c>
      <c r="R2098" s="582">
        <f t="shared" si="209"/>
        <v>0</v>
      </c>
      <c r="S2098" s="582">
        <f t="shared" si="212"/>
        <v>0.6768256225577749</v>
      </c>
      <c r="T2098" s="582">
        <f t="shared" si="210"/>
        <v>1.1232256225577744</v>
      </c>
      <c r="U2098" s="582">
        <f t="shared" si="211"/>
        <v>0.81792562255777357</v>
      </c>
    </row>
    <row r="2099" spans="10:21">
      <c r="J2099" s="580">
        <v>41692</v>
      </c>
      <c r="K2099" s="581">
        <v>0.99652777777777779</v>
      </c>
      <c r="L2099" s="582">
        <v>10.1823</v>
      </c>
      <c r="M2099" s="582">
        <v>10.164199999999999</v>
      </c>
      <c r="N2099" s="582">
        <v>11.0495</v>
      </c>
      <c r="O2099" s="582">
        <v>10.617800000000001</v>
      </c>
      <c r="P2099" s="582">
        <v>99.131</v>
      </c>
      <c r="Q2099" s="582">
        <f t="shared" si="208"/>
        <v>10.136089306189525</v>
      </c>
      <c r="R2099" s="582">
        <f t="shared" si="209"/>
        <v>0</v>
      </c>
      <c r="S2099" s="582">
        <f t="shared" si="212"/>
        <v>0.67811069381047395</v>
      </c>
      <c r="T2099" s="582">
        <f t="shared" si="210"/>
        <v>1.1034106938104746</v>
      </c>
      <c r="U2099" s="582">
        <f t="shared" si="211"/>
        <v>0.75171069381047539</v>
      </c>
    </row>
    <row r="2100" spans="10:21">
      <c r="J2100" s="580">
        <v>41693</v>
      </c>
      <c r="K2100" s="581">
        <v>0.99652777777777779</v>
      </c>
      <c r="L2100" s="582">
        <v>10.1761</v>
      </c>
      <c r="M2100" s="582">
        <v>10.157299999999999</v>
      </c>
      <c r="N2100" s="582">
        <v>11.024800000000001</v>
      </c>
      <c r="O2100" s="582">
        <v>10.54</v>
      </c>
      <c r="P2100" s="582">
        <v>99.093100000000007</v>
      </c>
      <c r="Q2100" s="582">
        <f t="shared" si="208"/>
        <v>10.132214052386935</v>
      </c>
      <c r="R2100" s="582">
        <f t="shared" si="209"/>
        <v>0</v>
      </c>
      <c r="S2100" s="582">
        <f t="shared" si="212"/>
        <v>0.6750859476130644</v>
      </c>
      <c r="T2100" s="582">
        <f t="shared" si="210"/>
        <v>1.0825859476130657</v>
      </c>
      <c r="U2100" s="582">
        <f t="shared" si="211"/>
        <v>0.6777859476130641</v>
      </c>
    </row>
    <row r="2101" spans="10:21">
      <c r="J2101" s="580">
        <v>41694</v>
      </c>
      <c r="K2101" s="581">
        <v>0.99652777777777779</v>
      </c>
      <c r="L2101" s="582">
        <v>10.173400000000001</v>
      </c>
      <c r="M2101" s="582">
        <v>10.1576</v>
      </c>
      <c r="N2101" s="582">
        <v>11.0045</v>
      </c>
      <c r="O2101" s="582">
        <v>10.5403</v>
      </c>
      <c r="P2101" s="582">
        <v>99.084199999999996</v>
      </c>
      <c r="Q2101" s="582">
        <f t="shared" ref="Q2101:Q2112" si="213">P2101/($G$8*$H$8)</f>
        <v>10.131304032364691</v>
      </c>
      <c r="R2101" s="582">
        <f t="shared" ref="R2101:R2112" si="214">IF((L2101-Q2101-$D$8+$E$8)&lt;0,0,(L2101-Q2101-$D$8+$E$8))</f>
        <v>0</v>
      </c>
      <c r="S2101" s="582">
        <f t="shared" si="212"/>
        <v>0.67629596763530997</v>
      </c>
      <c r="T2101" s="582">
        <f t="shared" ref="T2101:T2112" si="215">N2101-Q2101-$D$10+$E$10</f>
        <v>1.0631959676353095</v>
      </c>
      <c r="U2101" s="582">
        <f t="shared" ref="U2101:U2112" si="216">O2101-Q2101-$D$11+$E$11</f>
        <v>0.67899596763530967</v>
      </c>
    </row>
    <row r="2102" spans="10:21">
      <c r="J2102" s="580">
        <v>41695</v>
      </c>
      <c r="K2102" s="581">
        <v>0.99652777777777779</v>
      </c>
      <c r="L2102" s="582">
        <v>10.178100000000001</v>
      </c>
      <c r="M2102" s="582">
        <v>10.1652</v>
      </c>
      <c r="N2102" s="582">
        <v>10.9963</v>
      </c>
      <c r="O2102" s="582">
        <v>10.552199999999999</v>
      </c>
      <c r="P2102" s="582">
        <v>99.131600000000006</v>
      </c>
      <c r="Q2102" s="582">
        <f t="shared" si="213"/>
        <v>10.136150655853946</v>
      </c>
      <c r="R2102" s="582">
        <f t="shared" si="214"/>
        <v>0</v>
      </c>
      <c r="S2102" s="582">
        <f t="shared" si="212"/>
        <v>0.67904934414605456</v>
      </c>
      <c r="T2102" s="582">
        <f t="shared" si="215"/>
        <v>1.0501493441460537</v>
      </c>
      <c r="U2102" s="582">
        <f t="shared" si="216"/>
        <v>0.68604934414605312</v>
      </c>
    </row>
    <row r="2103" spans="10:21">
      <c r="J2103" s="580">
        <v>41696</v>
      </c>
      <c r="K2103" s="581">
        <v>0.99652777777777779</v>
      </c>
      <c r="L2103" s="582">
        <v>10.1797</v>
      </c>
      <c r="M2103" s="582">
        <v>10.166399999999999</v>
      </c>
      <c r="N2103" s="582">
        <v>10.976800000000001</v>
      </c>
      <c r="O2103" s="582">
        <v>10.5466</v>
      </c>
      <c r="P2103" s="582">
        <v>99.177400000000006</v>
      </c>
      <c r="Q2103" s="582">
        <f t="shared" si="213"/>
        <v>10.14083368023808</v>
      </c>
      <c r="R2103" s="582">
        <f t="shared" si="214"/>
        <v>0</v>
      </c>
      <c r="S2103" s="582">
        <f t="shared" si="212"/>
        <v>0.67556631976191972</v>
      </c>
      <c r="T2103" s="582">
        <f t="shared" si="215"/>
        <v>1.0259663197619209</v>
      </c>
      <c r="U2103" s="582">
        <f t="shared" si="216"/>
        <v>0.67576631976191992</v>
      </c>
    </row>
    <row r="2104" spans="10:21">
      <c r="J2104" s="580">
        <v>41697</v>
      </c>
      <c r="K2104" s="581">
        <v>0.99652777777777779</v>
      </c>
      <c r="L2104" s="582">
        <v>10.174799999999999</v>
      </c>
      <c r="M2104" s="582">
        <v>10.161199999999999</v>
      </c>
      <c r="N2104" s="582">
        <v>10.9466</v>
      </c>
      <c r="O2104" s="582">
        <v>10.539</v>
      </c>
      <c r="P2104" s="582">
        <v>99.102599999999995</v>
      </c>
      <c r="Q2104" s="582">
        <f t="shared" si="213"/>
        <v>10.133185422073598</v>
      </c>
      <c r="R2104" s="582">
        <f t="shared" si="214"/>
        <v>0</v>
      </c>
      <c r="S2104" s="582">
        <f t="shared" si="212"/>
        <v>0.67801457792640085</v>
      </c>
      <c r="T2104" s="582">
        <f t="shared" si="215"/>
        <v>1.0034145779264017</v>
      </c>
      <c r="U2104" s="582">
        <f t="shared" si="216"/>
        <v>0.67581457792640132</v>
      </c>
    </row>
    <row r="2105" spans="10:21">
      <c r="J2105" s="580">
        <v>41698</v>
      </c>
      <c r="K2105" s="581">
        <v>0.99652777777777779</v>
      </c>
      <c r="L2105" s="582">
        <v>10.170999999999999</v>
      </c>
      <c r="M2105" s="582">
        <v>10.1563</v>
      </c>
      <c r="N2105" s="582">
        <v>10.921799999999999</v>
      </c>
      <c r="O2105" s="582">
        <v>10.5322</v>
      </c>
      <c r="P2105" s="582">
        <v>99.060400000000001</v>
      </c>
      <c r="Q2105" s="582">
        <f t="shared" si="213"/>
        <v>10.128870495675992</v>
      </c>
      <c r="R2105" s="582">
        <f t="shared" si="214"/>
        <v>0</v>
      </c>
      <c r="S2105" s="582">
        <f t="shared" si="212"/>
        <v>0.67742950432400817</v>
      </c>
      <c r="T2105" s="582">
        <f t="shared" si="215"/>
        <v>0.9829295043240075</v>
      </c>
      <c r="U2105" s="582">
        <f t="shared" si="216"/>
        <v>0.67332950432400773</v>
      </c>
    </row>
    <row r="2106" spans="10:21">
      <c r="J2106" s="580">
        <v>41699</v>
      </c>
      <c r="K2106" s="581">
        <v>0.99652777777777779</v>
      </c>
      <c r="L2106" s="582">
        <v>10.1614</v>
      </c>
      <c r="M2106" s="582">
        <v>10.1464</v>
      </c>
      <c r="N2106" s="582">
        <v>10.888299999999999</v>
      </c>
      <c r="O2106" s="582">
        <v>10.5227</v>
      </c>
      <c r="P2106" s="582">
        <v>98.965000000000003</v>
      </c>
      <c r="Q2106" s="582">
        <f t="shared" si="213"/>
        <v>10.11911589903306</v>
      </c>
      <c r="R2106" s="582">
        <f t="shared" si="214"/>
        <v>0</v>
      </c>
      <c r="S2106" s="582">
        <f t="shared" si="212"/>
        <v>0.67728410096693969</v>
      </c>
      <c r="T2106" s="582">
        <f t="shared" si="215"/>
        <v>0.95918410096693896</v>
      </c>
      <c r="U2106" s="582">
        <f t="shared" si="216"/>
        <v>0.6735841009669401</v>
      </c>
    </row>
    <row r="2107" spans="10:21">
      <c r="J2107" s="580">
        <v>41700</v>
      </c>
      <c r="K2107" s="581">
        <v>0.99652777777777779</v>
      </c>
      <c r="L2107" s="582">
        <v>10.1655</v>
      </c>
      <c r="M2107" s="582">
        <v>10.150399999999999</v>
      </c>
      <c r="N2107" s="582">
        <v>10.936199999999999</v>
      </c>
      <c r="O2107" s="582">
        <v>10.6006</v>
      </c>
      <c r="P2107" s="582">
        <v>99.009</v>
      </c>
      <c r="Q2107" s="582">
        <f t="shared" si="213"/>
        <v>10.12361487442393</v>
      </c>
      <c r="R2107" s="582">
        <f t="shared" si="214"/>
        <v>0</v>
      </c>
      <c r="S2107" s="582">
        <f t="shared" si="212"/>
        <v>0.67678512557606907</v>
      </c>
      <c r="T2107" s="582">
        <f t="shared" si="215"/>
        <v>1.0025851255760689</v>
      </c>
      <c r="U2107" s="582">
        <f t="shared" si="216"/>
        <v>0.74698512557606955</v>
      </c>
    </row>
    <row r="2108" spans="10:21">
      <c r="J2108" s="580">
        <v>41701</v>
      </c>
      <c r="K2108" s="581">
        <v>0.99652777777777779</v>
      </c>
      <c r="L2108" s="582">
        <v>10.158799999999999</v>
      </c>
      <c r="M2108" s="582">
        <v>10.1441</v>
      </c>
      <c r="N2108" s="582">
        <v>10.912800000000001</v>
      </c>
      <c r="O2108" s="582">
        <v>10.6281</v>
      </c>
      <c r="P2108" s="582">
        <v>98.926400000000001</v>
      </c>
      <c r="Q2108" s="582">
        <f t="shared" si="213"/>
        <v>10.115169070621979</v>
      </c>
      <c r="R2108" s="582">
        <f t="shared" si="214"/>
        <v>0</v>
      </c>
      <c r="S2108" s="582">
        <f t="shared" si="212"/>
        <v>0.6789309293780208</v>
      </c>
      <c r="T2108" s="582">
        <f t="shared" si="215"/>
        <v>0.98763092937802155</v>
      </c>
      <c r="U2108" s="582">
        <f t="shared" si="216"/>
        <v>0.78293092937802067</v>
      </c>
    </row>
    <row r="2109" spans="10:21">
      <c r="J2109" s="580">
        <v>41702</v>
      </c>
      <c r="K2109" s="581">
        <v>0.99652777777777779</v>
      </c>
      <c r="L2109" s="582">
        <v>10.1622</v>
      </c>
      <c r="M2109" s="582">
        <v>10.144399999999999</v>
      </c>
      <c r="N2109" s="582">
        <v>10.897500000000001</v>
      </c>
      <c r="O2109" s="582">
        <v>10.533799999999999</v>
      </c>
      <c r="P2109" s="582">
        <v>98.968500000000006</v>
      </c>
      <c r="Q2109" s="582">
        <f t="shared" si="213"/>
        <v>10.119473772075517</v>
      </c>
      <c r="R2109" s="582">
        <f t="shared" si="214"/>
        <v>0</v>
      </c>
      <c r="S2109" s="582">
        <f t="shared" si="212"/>
        <v>0.67492622792448187</v>
      </c>
      <c r="T2109" s="582">
        <f t="shared" si="215"/>
        <v>0.96802622792448345</v>
      </c>
      <c r="U2109" s="582">
        <f t="shared" si="216"/>
        <v>0.68432622792448194</v>
      </c>
    </row>
    <row r="2110" spans="10:21">
      <c r="J2110" s="580">
        <v>41703</v>
      </c>
      <c r="K2110" s="581">
        <v>0.99652777777777779</v>
      </c>
      <c r="L2110" s="582">
        <v>10.174099999999999</v>
      </c>
      <c r="M2110" s="582">
        <v>10.155200000000001</v>
      </c>
      <c r="N2110" s="582">
        <v>10.9285</v>
      </c>
      <c r="O2110" s="582">
        <v>10.5403</v>
      </c>
      <c r="P2110" s="582">
        <v>99.063000000000002</v>
      </c>
      <c r="Q2110" s="582">
        <f t="shared" si="213"/>
        <v>10.129136344221816</v>
      </c>
      <c r="R2110" s="582">
        <f t="shared" si="214"/>
        <v>0</v>
      </c>
      <c r="S2110" s="582">
        <f t="shared" si="212"/>
        <v>0.6760636557781845</v>
      </c>
      <c r="T2110" s="582">
        <f t="shared" si="215"/>
        <v>0.98936365577818342</v>
      </c>
      <c r="U2110" s="582">
        <f t="shared" si="216"/>
        <v>0.68116365577818394</v>
      </c>
    </row>
    <row r="2111" spans="10:21">
      <c r="J2111" s="580">
        <v>41704</v>
      </c>
      <c r="K2111" s="581">
        <v>0.99652777777777779</v>
      </c>
      <c r="L2111" s="582">
        <v>10.169</v>
      </c>
      <c r="M2111" s="582">
        <v>10.1502</v>
      </c>
      <c r="N2111" s="582">
        <v>10.829700000000001</v>
      </c>
      <c r="O2111" s="582">
        <v>10.5379</v>
      </c>
      <c r="P2111" s="582">
        <v>99.0411</v>
      </c>
      <c r="Q2111" s="582">
        <f t="shared" si="213"/>
        <v>10.126897081470451</v>
      </c>
      <c r="R2111" s="582">
        <f t="shared" si="214"/>
        <v>0</v>
      </c>
      <c r="S2111" s="582">
        <f t="shared" si="212"/>
        <v>0.67330291852954871</v>
      </c>
      <c r="T2111" s="582">
        <f t="shared" si="215"/>
        <v>0.89280291852954952</v>
      </c>
      <c r="U2111" s="582">
        <f t="shared" si="216"/>
        <v>0.68100291852954919</v>
      </c>
    </row>
    <row r="2112" spans="10:21">
      <c r="J2112" s="671">
        <v>41705</v>
      </c>
      <c r="K2112" s="672">
        <v>0.99652777777777779</v>
      </c>
      <c r="L2112" s="673">
        <v>10.1652</v>
      </c>
      <c r="M2112" s="673">
        <v>10.1464</v>
      </c>
      <c r="N2112" s="673">
        <v>10.5603</v>
      </c>
      <c r="O2112" s="673">
        <v>10.534000000000001</v>
      </c>
      <c r="P2112" s="673">
        <v>99.006600000000006</v>
      </c>
      <c r="Q2112" s="673">
        <f t="shared" si="213"/>
        <v>10.123369475766248</v>
      </c>
      <c r="R2112" s="582">
        <f t="shared" si="214"/>
        <v>0</v>
      </c>
      <c r="S2112" s="673">
        <f t="shared" si="212"/>
        <v>0.67303052423375198</v>
      </c>
      <c r="T2112" s="673">
        <f t="shared" si="215"/>
        <v>0.62693052423375184</v>
      </c>
      <c r="U2112" s="673">
        <f t="shared" si="216"/>
        <v>0.6806305242337527</v>
      </c>
    </row>
  </sheetData>
  <autoFilter ref="J4:U2112" xr:uid="{00000000-0009-0000-0000-00000B000000}">
    <sortState ref="J5:U2110">
      <sortCondition ref="K4:K2110"/>
    </sortState>
  </autoFilter>
  <mergeCells count="33">
    <mergeCell ref="CQ3:CU3"/>
    <mergeCell ref="DF4:DI4"/>
    <mergeCell ref="W4:AA4"/>
    <mergeCell ref="AC4:AF4"/>
    <mergeCell ref="AH4:AK4"/>
    <mergeCell ref="AM4:AP4"/>
    <mergeCell ref="AR4:AU4"/>
    <mergeCell ref="CV2:DC3"/>
    <mergeCell ref="J2:AA2"/>
    <mergeCell ref="AM2:AP3"/>
    <mergeCell ref="AR2:AU3"/>
    <mergeCell ref="BE2:BI3"/>
    <mergeCell ref="BK2:BN3"/>
    <mergeCell ref="J3:U3"/>
    <mergeCell ref="DV4:DY4"/>
    <mergeCell ref="AY4:BB4"/>
    <mergeCell ref="DR4:DU4"/>
    <mergeCell ref="BE4:BI4"/>
    <mergeCell ref="BT4:BV4"/>
    <mergeCell ref="DJ4:DM4"/>
    <mergeCell ref="DN4:DQ4"/>
    <mergeCell ref="BP7:BR7"/>
    <mergeCell ref="BT7:BW7"/>
    <mergeCell ref="CE8:CL8"/>
    <mergeCell ref="BT20:BV20"/>
    <mergeCell ref="EX40:FO40"/>
    <mergeCell ref="EU47:FK47"/>
    <mergeCell ref="FL3:GB3"/>
    <mergeCell ref="ET3:FJ3"/>
    <mergeCell ref="DZ4:EC4"/>
    <mergeCell ref="EH4:EK4"/>
    <mergeCell ref="FR40:GI40"/>
    <mergeCell ref="EO4:ER4"/>
  </mergeCells>
  <pageMargins left="0.7" right="0.7" top="0.75" bottom="0.75" header="0.3" footer="0.3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2"/>
  <sheetViews>
    <sheetView workbookViewId="0">
      <selection activeCell="D92" sqref="D92"/>
    </sheetView>
  </sheetViews>
  <sheetFormatPr baseColWidth="10" defaultRowHeight="16"/>
  <sheetData>
    <row r="1" spans="1:3">
      <c r="A1" s="683">
        <v>62727.087131665336</v>
      </c>
      <c r="B1">
        <f>IF(A1&lt;0,A1,0)</f>
        <v>0</v>
      </c>
      <c r="C1">
        <f>IF(A1&gt;0,A1,0)</f>
        <v>62727.087131665336</v>
      </c>
    </row>
    <row r="2" spans="1:3">
      <c r="A2" s="683">
        <v>-68019.042136276403</v>
      </c>
      <c r="B2">
        <f t="shared" ref="B2:B65" si="0">IF(A2&lt;0,A2,0)</f>
        <v>-68019.042136276403</v>
      </c>
      <c r="C2">
        <f t="shared" ref="C2:C65" si="1">IF(A2&gt;0,A2,0)</f>
        <v>0</v>
      </c>
    </row>
    <row r="3" spans="1:3">
      <c r="A3" s="683">
        <v>-2875.1707892308164</v>
      </c>
      <c r="B3">
        <f t="shared" si="0"/>
        <v>-2875.1707892308164</v>
      </c>
      <c r="C3">
        <f t="shared" si="1"/>
        <v>0</v>
      </c>
    </row>
    <row r="4" spans="1:3">
      <c r="A4" s="683">
        <v>7440.9391575515083</v>
      </c>
      <c r="B4">
        <f t="shared" si="0"/>
        <v>0</v>
      </c>
      <c r="C4">
        <f t="shared" si="1"/>
        <v>7440.9391575515083</v>
      </c>
    </row>
    <row r="5" spans="1:3">
      <c r="A5" s="683">
        <v>37719.17376634798</v>
      </c>
      <c r="B5">
        <f t="shared" si="0"/>
        <v>0</v>
      </c>
      <c r="C5">
        <f t="shared" si="1"/>
        <v>37719.17376634798</v>
      </c>
    </row>
    <row r="6" spans="1:3">
      <c r="A6" s="683">
        <v>2605.9977031048998</v>
      </c>
      <c r="B6">
        <f t="shared" si="0"/>
        <v>0</v>
      </c>
      <c r="C6">
        <f t="shared" si="1"/>
        <v>2605.9977031048998</v>
      </c>
    </row>
    <row r="7" spans="1:3">
      <c r="A7" s="683">
        <v>12604.051705247339</v>
      </c>
      <c r="B7">
        <f t="shared" si="0"/>
        <v>0</v>
      </c>
      <c r="C7">
        <f t="shared" si="1"/>
        <v>12604.051705247339</v>
      </c>
    </row>
    <row r="8" spans="1:3">
      <c r="A8" s="683">
        <v>2132.1933318407223</v>
      </c>
      <c r="B8">
        <f t="shared" si="0"/>
        <v>0</v>
      </c>
      <c r="C8">
        <f t="shared" si="1"/>
        <v>2132.1933318407223</v>
      </c>
    </row>
    <row r="9" spans="1:3">
      <c r="A9" s="683">
        <v>1850.374562849029</v>
      </c>
      <c r="B9">
        <f t="shared" si="0"/>
        <v>0</v>
      </c>
      <c r="C9">
        <f t="shared" si="1"/>
        <v>1850.374562849029</v>
      </c>
    </row>
    <row r="10" spans="1:3">
      <c r="A10" s="683">
        <v>1327.9024271149945</v>
      </c>
      <c r="B10">
        <f t="shared" si="0"/>
        <v>0</v>
      </c>
      <c r="C10">
        <f t="shared" si="1"/>
        <v>1327.9024271149945</v>
      </c>
    </row>
    <row r="11" spans="1:3">
      <c r="A11" s="683">
        <v>2347.5422094195287</v>
      </c>
      <c r="B11">
        <f t="shared" si="0"/>
        <v>0</v>
      </c>
      <c r="C11">
        <f t="shared" si="1"/>
        <v>2347.5422094195287</v>
      </c>
    </row>
    <row r="12" spans="1:3">
      <c r="A12" s="683">
        <v>1293.1161072870752</v>
      </c>
      <c r="B12">
        <f t="shared" si="0"/>
        <v>0</v>
      </c>
      <c r="C12">
        <f t="shared" si="1"/>
        <v>1293.1161072870752</v>
      </c>
    </row>
    <row r="13" spans="1:3">
      <c r="A13" s="683">
        <v>1299.8332865588197</v>
      </c>
      <c r="B13">
        <f t="shared" si="0"/>
        <v>0</v>
      </c>
      <c r="C13">
        <f t="shared" si="1"/>
        <v>1299.8332865588197</v>
      </c>
    </row>
    <row r="14" spans="1:3">
      <c r="A14" s="683">
        <v>1725.6000598467447</v>
      </c>
      <c r="B14">
        <f t="shared" si="0"/>
        <v>0</v>
      </c>
      <c r="C14">
        <f t="shared" si="1"/>
        <v>1725.6000598467447</v>
      </c>
    </row>
    <row r="15" spans="1:3">
      <c r="A15" s="683">
        <v>1256.9022616710809</v>
      </c>
      <c r="B15">
        <f t="shared" si="0"/>
        <v>0</v>
      </c>
      <c r="C15">
        <f t="shared" si="1"/>
        <v>1256.9022616710809</v>
      </c>
    </row>
    <row r="16" spans="1:3">
      <c r="A16" s="683">
        <v>1223.1962718253569</v>
      </c>
      <c r="B16">
        <f t="shared" si="0"/>
        <v>0</v>
      </c>
      <c r="C16">
        <f t="shared" si="1"/>
        <v>1223.1962718253569</v>
      </c>
    </row>
    <row r="17" spans="1:3">
      <c r="A17" s="683">
        <v>53.270288524976273</v>
      </c>
      <c r="B17">
        <f t="shared" si="0"/>
        <v>0</v>
      </c>
      <c r="C17">
        <f t="shared" si="1"/>
        <v>53.270288524976273</v>
      </c>
    </row>
    <row r="18" spans="1:3">
      <c r="A18" s="683">
        <v>1166.9496538818489</v>
      </c>
      <c r="B18">
        <f t="shared" si="0"/>
        <v>0</v>
      </c>
      <c r="C18">
        <f t="shared" si="1"/>
        <v>1166.9496538818489</v>
      </c>
    </row>
    <row r="19" spans="1:3">
      <c r="A19" s="683">
        <v>1059.5414834912708</v>
      </c>
      <c r="B19">
        <f t="shared" si="0"/>
        <v>0</v>
      </c>
      <c r="C19">
        <f t="shared" si="1"/>
        <v>1059.5414834912708</v>
      </c>
    </row>
    <row r="20" spans="1:3">
      <c r="A20" s="683">
        <v>886.75822502332255</v>
      </c>
      <c r="B20">
        <f t="shared" si="0"/>
        <v>0</v>
      </c>
      <c r="C20">
        <f t="shared" si="1"/>
        <v>886.75822502332255</v>
      </c>
    </row>
    <row r="21" spans="1:3">
      <c r="A21" s="683">
        <v>-1033.4375658821423</v>
      </c>
      <c r="B21">
        <f t="shared" si="0"/>
        <v>-1033.4375658821423</v>
      </c>
      <c r="C21">
        <f t="shared" si="1"/>
        <v>0</v>
      </c>
    </row>
    <row r="22" spans="1:3">
      <c r="A22" s="683">
        <v>311.0975318352402</v>
      </c>
      <c r="B22">
        <f t="shared" si="0"/>
        <v>0</v>
      </c>
      <c r="C22">
        <f t="shared" si="1"/>
        <v>311.0975318352402</v>
      </c>
    </row>
    <row r="23" spans="1:3">
      <c r="A23" s="683">
        <v>1170.1165636177072</v>
      </c>
      <c r="B23">
        <f t="shared" si="0"/>
        <v>0</v>
      </c>
      <c r="C23">
        <f t="shared" si="1"/>
        <v>1170.1165636177072</v>
      </c>
    </row>
    <row r="24" spans="1:3">
      <c r="A24" s="683">
        <v>840.05461783475664</v>
      </c>
      <c r="B24">
        <f t="shared" si="0"/>
        <v>0</v>
      </c>
      <c r="C24">
        <f t="shared" si="1"/>
        <v>840.05461783475664</v>
      </c>
    </row>
    <row r="25" spans="1:3">
      <c r="A25" s="683">
        <v>694.57372703467479</v>
      </c>
      <c r="B25">
        <f t="shared" si="0"/>
        <v>0</v>
      </c>
      <c r="C25">
        <f t="shared" si="1"/>
        <v>694.57372703467479</v>
      </c>
    </row>
    <row r="26" spans="1:3">
      <c r="A26" s="683">
        <v>1146.5079512239827</v>
      </c>
      <c r="B26">
        <f t="shared" si="0"/>
        <v>0</v>
      </c>
      <c r="C26">
        <f t="shared" si="1"/>
        <v>1146.5079512239827</v>
      </c>
    </row>
    <row r="27" spans="1:3">
      <c r="A27" s="683">
        <v>1425.6806965141175</v>
      </c>
      <c r="B27">
        <f t="shared" si="0"/>
        <v>0</v>
      </c>
      <c r="C27">
        <f t="shared" si="1"/>
        <v>1425.6806965141175</v>
      </c>
    </row>
    <row r="28" spans="1:3">
      <c r="A28" s="683">
        <v>1257.0189978161839</v>
      </c>
      <c r="B28">
        <f t="shared" si="0"/>
        <v>0</v>
      </c>
      <c r="C28">
        <f t="shared" si="1"/>
        <v>1257.0189978161839</v>
      </c>
    </row>
    <row r="29" spans="1:3">
      <c r="A29" s="683">
        <v>1304.1177216846295</v>
      </c>
      <c r="B29">
        <f t="shared" si="0"/>
        <v>0</v>
      </c>
      <c r="C29">
        <f t="shared" si="1"/>
        <v>1304.1177216846295</v>
      </c>
    </row>
    <row r="30" spans="1:3">
      <c r="A30" s="683">
        <v>866.38502053778029</v>
      </c>
      <c r="B30">
        <f t="shared" si="0"/>
        <v>0</v>
      </c>
      <c r="C30">
        <f t="shared" si="1"/>
        <v>866.38502053778029</v>
      </c>
    </row>
    <row r="31" spans="1:3">
      <c r="A31" s="683">
        <v>1426.6051661547351</v>
      </c>
      <c r="B31">
        <f t="shared" si="0"/>
        <v>0</v>
      </c>
      <c r="C31">
        <f t="shared" si="1"/>
        <v>1426.6051661547351</v>
      </c>
    </row>
    <row r="32" spans="1:3">
      <c r="A32" s="683">
        <v>1826.8684070893298</v>
      </c>
      <c r="B32">
        <f t="shared" si="0"/>
        <v>0</v>
      </c>
      <c r="C32">
        <f t="shared" si="1"/>
        <v>1826.8684070893298</v>
      </c>
    </row>
    <row r="33" spans="1:3">
      <c r="A33" s="683">
        <v>1955.4959563375862</v>
      </c>
      <c r="B33">
        <f t="shared" si="0"/>
        <v>0</v>
      </c>
      <c r="C33">
        <f t="shared" si="1"/>
        <v>1955.4959563375862</v>
      </c>
    </row>
    <row r="34" spans="1:3">
      <c r="A34" s="683">
        <v>33291.488047679304</v>
      </c>
      <c r="B34">
        <f t="shared" si="0"/>
        <v>0</v>
      </c>
      <c r="C34">
        <f t="shared" si="1"/>
        <v>33291.488047679304</v>
      </c>
    </row>
    <row r="35" spans="1:3">
      <c r="A35" s="683">
        <v>1599.7050187718035</v>
      </c>
      <c r="B35">
        <f t="shared" si="0"/>
        <v>0</v>
      </c>
      <c r="C35">
        <f t="shared" si="1"/>
        <v>1599.7050187718035</v>
      </c>
    </row>
    <row r="36" spans="1:3">
      <c r="A36" s="683">
        <v>1813.7188848953119</v>
      </c>
      <c r="B36">
        <f t="shared" si="0"/>
        <v>0</v>
      </c>
      <c r="C36">
        <f t="shared" si="1"/>
        <v>1813.7188848953119</v>
      </c>
    </row>
    <row r="37" spans="1:3">
      <c r="A37" s="683">
        <v>1980.3827100617727</v>
      </c>
      <c r="B37">
        <f t="shared" si="0"/>
        <v>0</v>
      </c>
      <c r="C37">
        <f t="shared" si="1"/>
        <v>1980.3827100617727</v>
      </c>
    </row>
    <row r="38" spans="1:3">
      <c r="A38" s="683">
        <v>2847.3513273075109</v>
      </c>
      <c r="B38">
        <f t="shared" si="0"/>
        <v>0</v>
      </c>
      <c r="C38">
        <f t="shared" si="1"/>
        <v>2847.3513273075109</v>
      </c>
    </row>
    <row r="39" spans="1:3">
      <c r="A39" s="683">
        <v>2738.6746904791103</v>
      </c>
      <c r="B39">
        <f t="shared" si="0"/>
        <v>0</v>
      </c>
      <c r="C39">
        <f t="shared" si="1"/>
        <v>2738.6746904791103</v>
      </c>
    </row>
    <row r="40" spans="1:3">
      <c r="A40" s="683">
        <v>1839.4061742467709</v>
      </c>
      <c r="B40">
        <f t="shared" si="0"/>
        <v>0</v>
      </c>
      <c r="C40">
        <f t="shared" si="1"/>
        <v>1839.4061742467709</v>
      </c>
    </row>
    <row r="41" spans="1:3">
      <c r="A41" s="683">
        <v>1907.7114956610221</v>
      </c>
      <c r="B41">
        <f t="shared" si="0"/>
        <v>0</v>
      </c>
      <c r="C41">
        <f t="shared" si="1"/>
        <v>1907.7114956610221</v>
      </c>
    </row>
    <row r="42" spans="1:3">
      <c r="A42" s="683">
        <v>2233.6871711825579</v>
      </c>
      <c r="B42">
        <f t="shared" si="0"/>
        <v>0</v>
      </c>
      <c r="C42">
        <f t="shared" si="1"/>
        <v>2233.6871711825579</v>
      </c>
    </row>
    <row r="43" spans="1:3">
      <c r="A43" s="683">
        <v>1003.1486355192917</v>
      </c>
      <c r="B43">
        <f t="shared" si="0"/>
        <v>0</v>
      </c>
      <c r="C43">
        <f t="shared" si="1"/>
        <v>1003.1486355192917</v>
      </c>
    </row>
    <row r="44" spans="1:3">
      <c r="A44" s="683">
        <v>1214.400059880646</v>
      </c>
      <c r="B44">
        <f t="shared" si="0"/>
        <v>0</v>
      </c>
      <c r="C44">
        <f t="shared" si="1"/>
        <v>1214.400059880646</v>
      </c>
    </row>
    <row r="45" spans="1:3">
      <c r="A45" s="683">
        <v>673.19696684882956</v>
      </c>
      <c r="B45">
        <f t="shared" si="0"/>
        <v>0</v>
      </c>
      <c r="C45">
        <f t="shared" si="1"/>
        <v>673.19696684882956</v>
      </c>
    </row>
    <row r="46" spans="1:3">
      <c r="A46" s="683">
        <v>851.37313195997308</v>
      </c>
      <c r="B46">
        <f t="shared" si="0"/>
        <v>0</v>
      </c>
      <c r="C46">
        <f t="shared" si="1"/>
        <v>851.37313195997308</v>
      </c>
    </row>
    <row r="47" spans="1:3">
      <c r="A47" s="683">
        <v>1364.627333590935</v>
      </c>
      <c r="B47">
        <f t="shared" si="0"/>
        <v>0</v>
      </c>
      <c r="C47">
        <f t="shared" si="1"/>
        <v>1364.627333590935</v>
      </c>
    </row>
    <row r="48" spans="1:3">
      <c r="A48" s="683">
        <v>822.74745728887763</v>
      </c>
      <c r="B48">
        <f t="shared" si="0"/>
        <v>0</v>
      </c>
      <c r="C48">
        <f t="shared" si="1"/>
        <v>822.74745728887763</v>
      </c>
    </row>
    <row r="49" spans="1:3">
      <c r="A49" s="683">
        <v>1115.4844096540887</v>
      </c>
      <c r="B49">
        <f t="shared" si="0"/>
        <v>0</v>
      </c>
      <c r="C49">
        <f t="shared" si="1"/>
        <v>1115.4844096540887</v>
      </c>
    </row>
    <row r="50" spans="1:3">
      <c r="A50" s="683">
        <v>1299.0160833343236</v>
      </c>
      <c r="B50">
        <f t="shared" si="0"/>
        <v>0</v>
      </c>
      <c r="C50">
        <f t="shared" si="1"/>
        <v>1299.0160833343236</v>
      </c>
    </row>
    <row r="51" spans="1:3">
      <c r="A51" s="683">
        <v>661.22547842833205</v>
      </c>
      <c r="B51">
        <f t="shared" si="0"/>
        <v>0</v>
      </c>
      <c r="C51">
        <f t="shared" si="1"/>
        <v>661.22547842833205</v>
      </c>
    </row>
    <row r="52" spans="1:3">
      <c r="A52" s="683">
        <v>758.77226736898626</v>
      </c>
      <c r="B52">
        <f t="shared" si="0"/>
        <v>0</v>
      </c>
      <c r="C52">
        <f t="shared" si="1"/>
        <v>758.77226736898626</v>
      </c>
    </row>
    <row r="53" spans="1:3">
      <c r="A53" s="683">
        <v>478.26454915960011</v>
      </c>
      <c r="B53">
        <f t="shared" si="0"/>
        <v>0</v>
      </c>
      <c r="C53">
        <f t="shared" si="1"/>
        <v>478.26454915960011</v>
      </c>
    </row>
    <row r="54" spans="1:3">
      <c r="A54" s="683">
        <v>160.13347666306271</v>
      </c>
      <c r="B54">
        <f t="shared" si="0"/>
        <v>0</v>
      </c>
      <c r="C54">
        <f t="shared" si="1"/>
        <v>160.13347666306271</v>
      </c>
    </row>
    <row r="55" spans="1:3">
      <c r="A55" s="683">
        <v>431.92022955324092</v>
      </c>
      <c r="B55">
        <f t="shared" si="0"/>
        <v>0</v>
      </c>
      <c r="C55">
        <f t="shared" si="1"/>
        <v>431.92022955324092</v>
      </c>
    </row>
    <row r="56" spans="1:3">
      <c r="A56" s="683">
        <v>410.7727484926516</v>
      </c>
      <c r="B56">
        <f t="shared" si="0"/>
        <v>0</v>
      </c>
      <c r="C56">
        <f t="shared" si="1"/>
        <v>410.7727484926516</v>
      </c>
    </row>
    <row r="57" spans="1:3">
      <c r="A57" s="683">
        <v>618.22156066660898</v>
      </c>
      <c r="B57">
        <f t="shared" si="0"/>
        <v>0</v>
      </c>
      <c r="C57">
        <f t="shared" si="1"/>
        <v>618.22156066660898</v>
      </c>
    </row>
    <row r="58" spans="1:3">
      <c r="A58" s="683">
        <v>479.82033434369515</v>
      </c>
      <c r="B58">
        <f t="shared" si="0"/>
        <v>0</v>
      </c>
      <c r="C58">
        <f t="shared" si="1"/>
        <v>479.82033434369515</v>
      </c>
    </row>
    <row r="59" spans="1:3">
      <c r="A59" s="683">
        <v>-820.17757421137026</v>
      </c>
      <c r="B59">
        <f t="shared" si="0"/>
        <v>-820.17757421137026</v>
      </c>
      <c r="C59">
        <f t="shared" si="1"/>
        <v>0</v>
      </c>
    </row>
    <row r="60" spans="1:3">
      <c r="A60" s="683">
        <v>-1565.2524107044626</v>
      </c>
      <c r="B60">
        <f t="shared" si="0"/>
        <v>-1565.2524107044626</v>
      </c>
      <c r="C60">
        <f t="shared" si="1"/>
        <v>0</v>
      </c>
    </row>
    <row r="61" spans="1:3">
      <c r="A61" s="683">
        <v>557.4447175984418</v>
      </c>
      <c r="B61">
        <f t="shared" si="0"/>
        <v>0</v>
      </c>
      <c r="C61">
        <f t="shared" si="1"/>
        <v>557.4447175984418</v>
      </c>
    </row>
    <row r="62" spans="1:3">
      <c r="A62" s="683">
        <v>530.81680042106973</v>
      </c>
      <c r="B62">
        <f t="shared" si="0"/>
        <v>0</v>
      </c>
      <c r="C62">
        <f t="shared" si="1"/>
        <v>530.81680042106973</v>
      </c>
    </row>
    <row r="63" spans="1:3">
      <c r="A63" s="683">
        <v>533.68848341837133</v>
      </c>
      <c r="B63">
        <f t="shared" si="0"/>
        <v>0</v>
      </c>
      <c r="C63">
        <f t="shared" si="1"/>
        <v>533.68848341837133</v>
      </c>
    </row>
    <row r="64" spans="1:3">
      <c r="A64" s="683">
        <v>411.39015470386994</v>
      </c>
      <c r="B64">
        <f t="shared" si="0"/>
        <v>0</v>
      </c>
      <c r="C64">
        <f t="shared" si="1"/>
        <v>411.39015470386994</v>
      </c>
    </row>
    <row r="65" spans="1:3">
      <c r="A65" s="683">
        <v>474.29486134595038</v>
      </c>
      <c r="B65">
        <f t="shared" si="0"/>
        <v>0</v>
      </c>
      <c r="C65">
        <f t="shared" si="1"/>
        <v>474.29486134595038</v>
      </c>
    </row>
    <row r="66" spans="1:3">
      <c r="A66" s="683">
        <v>329.92294280227964</v>
      </c>
      <c r="B66">
        <f t="shared" ref="B66:B91" si="2">IF(A66&lt;0,A66,0)</f>
        <v>0</v>
      </c>
      <c r="C66">
        <f t="shared" ref="C66:C91" si="3">IF(A66&gt;0,A66,0)</f>
        <v>329.92294280227964</v>
      </c>
    </row>
    <row r="67" spans="1:3">
      <c r="A67" s="683">
        <v>305.55853584819897</v>
      </c>
      <c r="B67">
        <f t="shared" si="2"/>
        <v>0</v>
      </c>
      <c r="C67">
        <f t="shared" si="3"/>
        <v>305.55853584819897</v>
      </c>
    </row>
    <row r="68" spans="1:3">
      <c r="A68" s="683">
        <v>321.44916239112587</v>
      </c>
      <c r="B68">
        <f t="shared" si="2"/>
        <v>0</v>
      </c>
      <c r="C68">
        <f t="shared" si="3"/>
        <v>321.44916239112587</v>
      </c>
    </row>
    <row r="69" spans="1:3">
      <c r="A69" s="683">
        <v>568.10805067826686</v>
      </c>
      <c r="B69">
        <f t="shared" si="2"/>
        <v>0</v>
      </c>
      <c r="C69">
        <f t="shared" si="3"/>
        <v>568.10805067826686</v>
      </c>
    </row>
    <row r="70" spans="1:3">
      <c r="A70" s="683">
        <v>286.76225980654772</v>
      </c>
      <c r="B70">
        <f t="shared" si="2"/>
        <v>0</v>
      </c>
      <c r="C70">
        <f t="shared" si="3"/>
        <v>286.76225980654772</v>
      </c>
    </row>
    <row r="71" spans="1:3">
      <c r="A71" s="683">
        <v>192.94849270783979</v>
      </c>
      <c r="B71">
        <f t="shared" si="2"/>
        <v>0</v>
      </c>
      <c r="C71">
        <f t="shared" si="3"/>
        <v>192.94849270783979</v>
      </c>
    </row>
    <row r="72" spans="1:3">
      <c r="A72" s="683">
        <v>241.84480336723223</v>
      </c>
      <c r="B72">
        <f t="shared" si="2"/>
        <v>0</v>
      </c>
      <c r="C72">
        <f t="shared" si="3"/>
        <v>241.84480336723223</v>
      </c>
    </row>
    <row r="73" spans="1:3">
      <c r="A73" s="683">
        <v>763.14297602482702</v>
      </c>
      <c r="B73">
        <f t="shared" si="2"/>
        <v>0</v>
      </c>
      <c r="C73">
        <f t="shared" si="3"/>
        <v>763.14297602482702</v>
      </c>
    </row>
    <row r="74" spans="1:3">
      <c r="A74" s="683">
        <v>398.28548362244328</v>
      </c>
      <c r="B74">
        <f t="shared" si="2"/>
        <v>0</v>
      </c>
      <c r="C74">
        <f t="shared" si="3"/>
        <v>398.28548362244328</v>
      </c>
    </row>
    <row r="75" spans="1:3">
      <c r="A75" s="683">
        <v>337.60453431149875</v>
      </c>
      <c r="B75">
        <f t="shared" si="2"/>
        <v>0</v>
      </c>
      <c r="C75">
        <f t="shared" si="3"/>
        <v>337.60453431149875</v>
      </c>
    </row>
    <row r="76" spans="1:3">
      <c r="A76" s="683">
        <v>69.158042250692262</v>
      </c>
      <c r="B76">
        <f t="shared" si="2"/>
        <v>0</v>
      </c>
      <c r="C76">
        <f t="shared" si="3"/>
        <v>69.158042250692262</v>
      </c>
    </row>
    <row r="77" spans="1:3">
      <c r="A77" s="683">
        <v>112.17591649451087</v>
      </c>
      <c r="B77">
        <f t="shared" si="2"/>
        <v>0</v>
      </c>
      <c r="C77">
        <f t="shared" si="3"/>
        <v>112.17591649451087</v>
      </c>
    </row>
    <row r="78" spans="1:3">
      <c r="A78" s="683">
        <v>-116.60243375885048</v>
      </c>
      <c r="B78">
        <f t="shared" si="2"/>
        <v>-116.60243375885048</v>
      </c>
      <c r="C78">
        <f t="shared" si="3"/>
        <v>0</v>
      </c>
    </row>
    <row r="79" spans="1:3">
      <c r="A79" s="683">
        <v>-309.17765426548885</v>
      </c>
      <c r="B79">
        <f t="shared" si="2"/>
        <v>-309.17765426548885</v>
      </c>
      <c r="C79">
        <f t="shared" si="3"/>
        <v>0</v>
      </c>
    </row>
    <row r="80" spans="1:3">
      <c r="A80" s="683">
        <v>-188.40223010443503</v>
      </c>
      <c r="B80">
        <f t="shared" si="2"/>
        <v>-188.40223010443503</v>
      </c>
      <c r="C80">
        <f t="shared" si="3"/>
        <v>0</v>
      </c>
    </row>
    <row r="81" spans="1:3">
      <c r="A81" s="683">
        <v>-2.3550871402969662</v>
      </c>
      <c r="B81">
        <f t="shared" si="2"/>
        <v>-2.3550871402969662</v>
      </c>
      <c r="C81">
        <f t="shared" si="3"/>
        <v>0</v>
      </c>
    </row>
    <row r="82" spans="1:3">
      <c r="A82" s="683">
        <v>93.647174368195522</v>
      </c>
      <c r="B82">
        <f t="shared" si="2"/>
        <v>0</v>
      </c>
      <c r="C82">
        <f t="shared" si="3"/>
        <v>93.647174368195522</v>
      </c>
    </row>
    <row r="83" spans="1:3">
      <c r="A83" s="683">
        <v>279.00486436484675</v>
      </c>
      <c r="B83">
        <f t="shared" si="2"/>
        <v>0</v>
      </c>
      <c r="C83">
        <f t="shared" si="3"/>
        <v>279.00486436484675</v>
      </c>
    </row>
    <row r="84" spans="1:3">
      <c r="A84" s="683">
        <v>445.61227337152019</v>
      </c>
      <c r="B84">
        <f t="shared" si="2"/>
        <v>0</v>
      </c>
      <c r="C84">
        <f t="shared" si="3"/>
        <v>445.61227337152019</v>
      </c>
    </row>
    <row r="85" spans="1:3">
      <c r="A85" s="683">
        <v>317.34870507284671</v>
      </c>
      <c r="B85">
        <f t="shared" si="2"/>
        <v>0</v>
      </c>
      <c r="C85">
        <f t="shared" si="3"/>
        <v>317.34870507284671</v>
      </c>
    </row>
    <row r="86" spans="1:3">
      <c r="A86" s="683">
        <v>-14.934417259602098</v>
      </c>
      <c r="B86">
        <f t="shared" si="2"/>
        <v>-14.934417259602098</v>
      </c>
      <c r="C86">
        <f t="shared" si="3"/>
        <v>0</v>
      </c>
    </row>
    <row r="87" spans="1:3">
      <c r="A87" s="683">
        <v>406.45541095648304</v>
      </c>
      <c r="B87">
        <f t="shared" si="2"/>
        <v>0</v>
      </c>
      <c r="C87">
        <f t="shared" si="3"/>
        <v>406.45541095648304</v>
      </c>
    </row>
    <row r="88" spans="1:3">
      <c r="A88" s="683">
        <v>396.11124935302837</v>
      </c>
      <c r="B88">
        <f t="shared" si="2"/>
        <v>0</v>
      </c>
      <c r="C88">
        <f t="shared" si="3"/>
        <v>396.11124935302837</v>
      </c>
    </row>
    <row r="89" spans="1:3">
      <c r="A89" s="683">
        <v>150.17141700212423</v>
      </c>
      <c r="B89">
        <f t="shared" si="2"/>
        <v>0</v>
      </c>
      <c r="C89">
        <f t="shared" si="3"/>
        <v>150.17141700212423</v>
      </c>
    </row>
    <row r="90" spans="1:3">
      <c r="A90" s="683">
        <v>85.224829668005242</v>
      </c>
      <c r="B90">
        <f t="shared" si="2"/>
        <v>0</v>
      </c>
      <c r="C90">
        <f t="shared" si="3"/>
        <v>85.224829668005242</v>
      </c>
    </row>
    <row r="91" spans="1:3">
      <c r="A91" s="683">
        <v>1049.4884242312328</v>
      </c>
      <c r="B91">
        <f t="shared" si="2"/>
        <v>0</v>
      </c>
      <c r="C91">
        <f t="shared" si="3"/>
        <v>1049.4884242312328</v>
      </c>
    </row>
    <row r="92" spans="1:3">
      <c r="B92">
        <f>SUM(B1:B91)</f>
        <v>-74944.552298833849</v>
      </c>
      <c r="C92">
        <f>SUM(C1:C91)</f>
        <v>227197.86280015239</v>
      </c>
    </row>
  </sheetData>
  <pageMargins left="0.75" right="0.75" top="1" bottom="1" header="0.5" footer="0.5"/>
  <pageSetup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A149"/>
  <sheetViews>
    <sheetView topLeftCell="F29" zoomScale="125" zoomScaleNormal="125" zoomScalePageLayoutView="125" workbookViewId="0">
      <selection activeCell="L39" sqref="L39"/>
    </sheetView>
  </sheetViews>
  <sheetFormatPr baseColWidth="10" defaultRowHeight="16"/>
  <cols>
    <col min="1" max="1" width="10.7109375" style="534"/>
    <col min="2" max="2" width="10.7109375" style="548"/>
    <col min="3" max="3" width="12.7109375" customWidth="1"/>
    <col min="4" max="4" width="12.5703125" customWidth="1"/>
    <col min="5" max="5" width="11.28515625" customWidth="1"/>
    <col min="6" max="6" width="10.7109375" style="548"/>
    <col min="10" max="10" width="10.7109375" style="548"/>
    <col min="14" max="14" width="1" style="232" customWidth="1"/>
    <col min="15" max="15" width="10.7109375" style="548"/>
    <col min="16" max="16" width="12.7109375" customWidth="1"/>
    <col min="17" max="17" width="12.5703125" customWidth="1"/>
    <col min="18" max="18" width="11.28515625" customWidth="1"/>
    <col min="19" max="19" width="10.7109375" style="548"/>
    <col min="23" max="23" width="10.7109375" style="548"/>
    <col min="27" max="27" width="1" style="232" customWidth="1"/>
    <col min="28" max="28" width="9.42578125" style="533" customWidth="1"/>
    <col min="29" max="29" width="10.7109375" style="548"/>
    <col min="30" max="30" width="12.7109375" customWidth="1"/>
    <col min="31" max="31" width="12.5703125" customWidth="1"/>
    <col min="32" max="32" width="11.28515625" customWidth="1"/>
    <col min="33" max="33" width="10.7109375" style="548"/>
    <col min="37" max="37" width="10.7109375" style="548"/>
    <col min="41" max="41" width="1" style="232" customWidth="1"/>
    <col min="42" max="42" width="10.7109375" style="548"/>
    <col min="43" max="43" width="12.7109375" customWidth="1"/>
    <col min="44" max="44" width="12.5703125" customWidth="1"/>
    <col min="45" max="45" width="11.28515625" customWidth="1"/>
    <col min="46" max="46" width="10.7109375" style="548"/>
    <col min="50" max="50" width="10.7109375" style="548"/>
  </cols>
  <sheetData>
    <row r="1" spans="1:53" ht="102">
      <c r="A1" s="531" t="s">
        <v>0</v>
      </c>
      <c r="B1" s="541" t="s">
        <v>596</v>
      </c>
      <c r="C1" s="538" t="s">
        <v>596</v>
      </c>
      <c r="D1" s="539" t="s">
        <v>597</v>
      </c>
      <c r="E1" s="540" t="s">
        <v>596</v>
      </c>
      <c r="F1" s="541" t="s">
        <v>601</v>
      </c>
      <c r="G1" s="538" t="s">
        <v>601</v>
      </c>
      <c r="H1" s="539" t="s">
        <v>601</v>
      </c>
      <c r="I1" s="540" t="s">
        <v>601</v>
      </c>
      <c r="J1" s="541" t="s">
        <v>603</v>
      </c>
      <c r="K1" s="538" t="s">
        <v>603</v>
      </c>
      <c r="L1" s="539" t="s">
        <v>603</v>
      </c>
      <c r="M1" s="540" t="s">
        <v>603</v>
      </c>
      <c r="N1" s="549"/>
      <c r="O1" s="541" t="s">
        <v>596</v>
      </c>
      <c r="P1" s="538" t="s">
        <v>596</v>
      </c>
      <c r="Q1" s="539" t="s">
        <v>597</v>
      </c>
      <c r="R1" s="540" t="s">
        <v>596</v>
      </c>
      <c r="S1" s="541" t="s">
        <v>601</v>
      </c>
      <c r="T1" s="538" t="s">
        <v>601</v>
      </c>
      <c r="U1" s="539" t="s">
        <v>601</v>
      </c>
      <c r="V1" s="540" t="s">
        <v>601</v>
      </c>
      <c r="W1" s="541" t="s">
        <v>603</v>
      </c>
      <c r="X1" s="538" t="s">
        <v>603</v>
      </c>
      <c r="Y1" s="539" t="s">
        <v>603</v>
      </c>
      <c r="Z1" s="540" t="s">
        <v>603</v>
      </c>
      <c r="AA1" s="770"/>
      <c r="AB1" s="775" t="s">
        <v>0</v>
      </c>
      <c r="AC1" s="541" t="s">
        <v>596</v>
      </c>
      <c r="AD1" s="538" t="s">
        <v>596</v>
      </c>
      <c r="AE1" s="539" t="s">
        <v>597</v>
      </c>
      <c r="AF1" s="540" t="s">
        <v>596</v>
      </c>
      <c r="AG1" s="541" t="s">
        <v>601</v>
      </c>
      <c r="AH1" s="538" t="s">
        <v>601</v>
      </c>
      <c r="AI1" s="539" t="s">
        <v>601</v>
      </c>
      <c r="AJ1" s="540" t="s">
        <v>601</v>
      </c>
      <c r="AK1" s="541" t="s">
        <v>603</v>
      </c>
      <c r="AL1" s="538" t="s">
        <v>603</v>
      </c>
      <c r="AM1" s="539" t="s">
        <v>603</v>
      </c>
      <c r="AN1" s="540" t="s">
        <v>603</v>
      </c>
      <c r="AO1" s="770"/>
      <c r="AP1" s="541" t="s">
        <v>596</v>
      </c>
      <c r="AQ1" s="538" t="s">
        <v>596</v>
      </c>
      <c r="AR1" s="539" t="s">
        <v>597</v>
      </c>
      <c r="AS1" s="540" t="s">
        <v>596</v>
      </c>
      <c r="AT1" s="541" t="s">
        <v>601</v>
      </c>
      <c r="AU1" s="538" t="s">
        <v>601</v>
      </c>
      <c r="AV1" s="539" t="s">
        <v>601</v>
      </c>
      <c r="AW1" s="540" t="s">
        <v>601</v>
      </c>
      <c r="AX1" s="541" t="s">
        <v>603</v>
      </c>
      <c r="AY1" s="538" t="s">
        <v>603</v>
      </c>
      <c r="AZ1" s="539" t="s">
        <v>603</v>
      </c>
      <c r="BA1" s="540" t="s">
        <v>603</v>
      </c>
    </row>
    <row r="2" spans="1:53">
      <c r="A2" s="532">
        <v>41562</v>
      </c>
      <c r="B2" s="745">
        <v>11305.41005727716</v>
      </c>
      <c r="C2" s="745">
        <v>3499.8023757396686</v>
      </c>
      <c r="D2" s="679">
        <v>4192.1670315234878</v>
      </c>
      <c r="E2" s="679">
        <v>-1640.9416765476597</v>
      </c>
      <c r="F2" s="554">
        <v>2747.6550087338669</v>
      </c>
      <c r="G2" s="554">
        <v>2323.6944459487227</v>
      </c>
      <c r="H2" s="554">
        <v>840.94087824140513</v>
      </c>
      <c r="I2" s="554">
        <v>3091.9074563698455</v>
      </c>
      <c r="J2" s="503">
        <v>606.45453180819231</v>
      </c>
      <c r="K2" s="503">
        <v>1545.7619575224112</v>
      </c>
      <c r="L2" s="503">
        <v>760.50305510527073</v>
      </c>
      <c r="M2" s="503">
        <v>619.6383642237131</v>
      </c>
      <c r="N2" s="550"/>
      <c r="O2" s="679"/>
      <c r="P2" s="679"/>
      <c r="Q2" s="679"/>
      <c r="R2" s="679"/>
      <c r="S2" s="554"/>
      <c r="T2" s="554"/>
      <c r="U2" s="554"/>
      <c r="V2" s="554"/>
      <c r="W2" s="503"/>
      <c r="X2" s="503"/>
      <c r="Y2" s="503"/>
      <c r="Z2" s="503"/>
      <c r="AA2" s="771"/>
      <c r="AB2" s="780">
        <f>A8</f>
        <v>41568</v>
      </c>
      <c r="AC2" s="745">
        <f>O8</f>
        <v>74888.163615842961</v>
      </c>
      <c r="AD2" s="745">
        <f t="shared" ref="AD2:AN2" si="0">P8</f>
        <v>82685.145296885923</v>
      </c>
      <c r="AE2" s="745">
        <f t="shared" si="0"/>
        <v>46219.300009180712</v>
      </c>
      <c r="AF2" s="745">
        <f t="shared" si="0"/>
        <v>31417.713108205473</v>
      </c>
      <c r="AG2" s="745">
        <f t="shared" si="0"/>
        <v>23405.155823558664</v>
      </c>
      <c r="AH2" s="745">
        <f t="shared" si="0"/>
        <v>20946.963492082345</v>
      </c>
      <c r="AI2" s="745">
        <f t="shared" si="0"/>
        <v>6976.3717453702175</v>
      </c>
      <c r="AJ2" s="745">
        <f t="shared" si="0"/>
        <v>27432.238226037778</v>
      </c>
      <c r="AK2" s="745">
        <f t="shared" si="0"/>
        <v>5116.6541585427103</v>
      </c>
      <c r="AL2" s="745">
        <f t="shared" si="0"/>
        <v>13064.67720850655</v>
      </c>
      <c r="AM2" s="745">
        <f t="shared" si="0"/>
        <v>6286.5990705426429</v>
      </c>
      <c r="AN2" s="745">
        <f t="shared" si="0"/>
        <v>5550.2524499001102</v>
      </c>
      <c r="AO2" s="771"/>
      <c r="AP2" s="745">
        <f>AC2/$AR$16</f>
        <v>0.2093602561248056</v>
      </c>
      <c r="AQ2" s="745">
        <f>AD2/$AR$17</f>
        <v>0.12594843152610194</v>
      </c>
      <c r="AR2" s="745">
        <f>AE2/$AR$18</f>
        <v>0.19501814349865279</v>
      </c>
      <c r="AS2" s="745">
        <f>AF2/$AR$19</f>
        <v>0.18701019707265162</v>
      </c>
      <c r="AT2" s="745">
        <f>AG2/$AR$16</f>
        <v>6.5432361821522678E-2</v>
      </c>
      <c r="AU2" s="745">
        <f>AH2/$AR$17</f>
        <v>3.1907027406066026E-2</v>
      </c>
      <c r="AV2" s="745">
        <f>AI2/$AR$18</f>
        <v>2.943616770198404E-2</v>
      </c>
      <c r="AW2" s="745">
        <f>AJ2/$AR$19</f>
        <v>0.16328713229784392</v>
      </c>
      <c r="AX2" s="745">
        <f>AK2/$AR$16</f>
        <v>1.4304316909540706E-2</v>
      </c>
      <c r="AY2" s="745">
        <f>AL2/$AR$17</f>
        <v>1.9900498413566718E-2</v>
      </c>
      <c r="AZ2" s="745">
        <f>AM2/$AR$18</f>
        <v>2.6525734474863474E-2</v>
      </c>
      <c r="BA2" s="745">
        <f>AN2/$AR$19</f>
        <v>3.3037216963691135E-2</v>
      </c>
    </row>
    <row r="3" spans="1:53">
      <c r="A3" s="532">
        <v>41563</v>
      </c>
      <c r="B3" s="745">
        <v>1606.295613157039</v>
      </c>
      <c r="C3" s="745">
        <v>3499.8023757396686</v>
      </c>
      <c r="D3" s="679">
        <v>4192.1670315234878</v>
      </c>
      <c r="E3" s="679">
        <v>-29382.922588414254</v>
      </c>
      <c r="F3" s="554">
        <v>2747.6550087338669</v>
      </c>
      <c r="G3" s="554">
        <v>2323.6944459487227</v>
      </c>
      <c r="H3" s="554">
        <v>840.94087824140513</v>
      </c>
      <c r="I3" s="554">
        <v>3091.9074563698455</v>
      </c>
      <c r="J3" s="503">
        <v>606.45453180819231</v>
      </c>
      <c r="K3" s="503">
        <v>1545.7619575224112</v>
      </c>
      <c r="L3" s="503">
        <v>760.50305510527073</v>
      </c>
      <c r="M3" s="503">
        <v>619.6383642237131</v>
      </c>
      <c r="N3" s="551"/>
      <c r="O3" s="679"/>
      <c r="P3" s="679"/>
      <c r="Q3" s="679"/>
      <c r="R3" s="679"/>
      <c r="S3" s="554"/>
      <c r="T3" s="554"/>
      <c r="U3" s="554"/>
      <c r="V3" s="554"/>
      <c r="W3" s="503"/>
      <c r="X3" s="503"/>
      <c r="Y3" s="503"/>
      <c r="Z3" s="503"/>
      <c r="AA3" s="771"/>
      <c r="AB3" s="780">
        <f>AB2+7</f>
        <v>41575</v>
      </c>
      <c r="AC3" s="745">
        <f>O15</f>
        <v>11976.561984916914</v>
      </c>
      <c r="AD3" s="745">
        <f t="shared" ref="AD3:AN3" si="1">P15</f>
        <v>24844.267805604584</v>
      </c>
      <c r="AE3" s="745">
        <f t="shared" si="1"/>
        <v>33404.888249160329</v>
      </c>
      <c r="AF3" s="745">
        <f t="shared" si="1"/>
        <v>-10837.645106523682</v>
      </c>
      <c r="AG3" s="745">
        <f t="shared" si="1"/>
        <v>25193.283535709095</v>
      </c>
      <c r="AH3" s="745">
        <f t="shared" si="1"/>
        <v>25899.484373120667</v>
      </c>
      <c r="AI3" s="745">
        <f t="shared" si="1"/>
        <v>8812.5447807540659</v>
      </c>
      <c r="AJ3" s="745">
        <f t="shared" si="1"/>
        <v>29151.658859141411</v>
      </c>
      <c r="AK3" s="745">
        <f t="shared" si="1"/>
        <v>4281.1399073108769</v>
      </c>
      <c r="AL3" s="745">
        <f t="shared" si="1"/>
        <v>15603.174782967128</v>
      </c>
      <c r="AM3" s="745">
        <f t="shared" si="1"/>
        <v>5165.34289673079</v>
      </c>
      <c r="AN3" s="745">
        <f t="shared" si="1"/>
        <v>9993.0744153034193</v>
      </c>
      <c r="AO3" s="771"/>
      <c r="AP3" s="745">
        <f t="shared" ref="AP3:AP14" si="2">AC3/$AR$16</f>
        <v>3.3482141417156594E-2</v>
      </c>
      <c r="AQ3" s="745">
        <f t="shared" ref="AQ3:AQ14" si="3">AD3/$AR$17</f>
        <v>3.784351531699099E-2</v>
      </c>
      <c r="AR3" s="745">
        <f t="shared" ref="AR3:AR14" si="4">AE3/$AR$18</f>
        <v>0.14094889556607734</v>
      </c>
      <c r="AS3" s="745">
        <f t="shared" ref="AS3:AS14" si="5">AF3/$AR$19</f>
        <v>-6.4509792300736196E-2</v>
      </c>
      <c r="AT3" s="745">
        <f t="shared" ref="AT3:AT14" si="6">AG3/$AR$16</f>
        <v>7.0431321039164371E-2</v>
      </c>
      <c r="AU3" s="745">
        <f t="shared" ref="AU3:AU14" si="7">AH3/$AR$17</f>
        <v>3.9450852053496827E-2</v>
      </c>
      <c r="AV3" s="745">
        <f t="shared" ref="AV3:AV14" si="8">AI3/$AR$18</f>
        <v>3.7183733252126858E-2</v>
      </c>
      <c r="AW3" s="745">
        <f t="shared" ref="AW3:AW14" si="9">AJ3/$AR$19</f>
        <v>0.17352177892346077</v>
      </c>
      <c r="AX3" s="745">
        <f t="shared" ref="AX3:AX14" si="10">AK3/$AR$16</f>
        <v>1.1968520847947656E-2</v>
      </c>
      <c r="AY3" s="745">
        <f t="shared" ref="AY3:AY14" si="11">AL3/$AR$17</f>
        <v>2.3767212159888997E-2</v>
      </c>
      <c r="AZ3" s="745">
        <f t="shared" ref="AZ3:AZ14" si="12">AM3/$AR$18</f>
        <v>2.1794695766796584E-2</v>
      </c>
      <c r="BA3" s="745">
        <f t="shared" ref="BA3:BA14" si="13">AN3/$AR$19</f>
        <v>5.9482585805377498E-2</v>
      </c>
    </row>
    <row r="4" spans="1:53">
      <c r="A4" s="532">
        <v>41564</v>
      </c>
      <c r="B4" s="745">
        <v>1606.295613157039</v>
      </c>
      <c r="C4" s="745">
        <v>3499.8023757396686</v>
      </c>
      <c r="D4" s="679">
        <v>4192.1670315234878</v>
      </c>
      <c r="E4" s="679">
        <v>-7671.755974881492</v>
      </c>
      <c r="F4" s="554">
        <v>2752.3273003296476</v>
      </c>
      <c r="G4" s="554">
        <v>2328.1420866670996</v>
      </c>
      <c r="H4" s="554">
        <v>838.5187365135389</v>
      </c>
      <c r="I4" s="554">
        <v>3095.8415383058045</v>
      </c>
      <c r="J4" s="503">
        <v>606.45453180819231</v>
      </c>
      <c r="K4" s="503">
        <v>1545.7619575224112</v>
      </c>
      <c r="L4" s="503">
        <v>760.50305510527073</v>
      </c>
      <c r="M4" s="503">
        <v>619.6383642237131</v>
      </c>
      <c r="N4" s="552"/>
      <c r="O4" s="679"/>
      <c r="P4" s="679"/>
      <c r="Q4" s="679"/>
      <c r="R4" s="679"/>
      <c r="S4" s="554"/>
      <c r="T4" s="554"/>
      <c r="U4" s="554"/>
      <c r="V4" s="554"/>
      <c r="W4" s="503"/>
      <c r="X4" s="503"/>
      <c r="Y4" s="503"/>
      <c r="Z4" s="503"/>
      <c r="AA4" s="771"/>
      <c r="AB4" s="780">
        <f t="shared" ref="AB4:AB14" si="14">AB3+7</f>
        <v>41582</v>
      </c>
      <c r="AC4" s="745">
        <f>O22</f>
        <v>4613.1806185357145</v>
      </c>
      <c r="AD4" s="745">
        <f t="shared" ref="AD4:AN4" si="15">P22</f>
        <v>25937.470513104123</v>
      </c>
      <c r="AE4" s="745">
        <f t="shared" si="15"/>
        <v>18434.910568782987</v>
      </c>
      <c r="AF4" s="745">
        <f t="shared" si="15"/>
        <v>-12489.911114761571</v>
      </c>
      <c r="AG4" s="745">
        <f t="shared" si="15"/>
        <v>21926.372844544734</v>
      </c>
      <c r="AH4" s="745">
        <f t="shared" si="15"/>
        <v>21453.889417184888</v>
      </c>
      <c r="AI4" s="745">
        <f t="shared" si="15"/>
        <v>7529.0080644625587</v>
      </c>
      <c r="AJ4" s="745">
        <f t="shared" si="15"/>
        <v>25218.893040296483</v>
      </c>
      <c r="AK4" s="745">
        <f t="shared" si="15"/>
        <v>3669.4194096533934</v>
      </c>
      <c r="AL4" s="745">
        <f t="shared" si="15"/>
        <v>14435.278777560907</v>
      </c>
      <c r="AM4" s="745">
        <f t="shared" si="15"/>
        <v>7815.9539991397614</v>
      </c>
      <c r="AN4" s="745">
        <f t="shared" si="15"/>
        <v>7608.8073796893477</v>
      </c>
      <c r="AO4" s="771"/>
      <c r="AP4" s="745">
        <f t="shared" si="2"/>
        <v>1.2896786744578458E-2</v>
      </c>
      <c r="AQ4" s="745">
        <f t="shared" si="3"/>
        <v>3.9508713652862334E-2</v>
      </c>
      <c r="AR4" s="745">
        <f t="shared" si="4"/>
        <v>7.7784432779675047E-2</v>
      </c>
      <c r="AS4" s="745">
        <f t="shared" si="5"/>
        <v>-7.4344709016437929E-2</v>
      </c>
      <c r="AT4" s="745">
        <f t="shared" si="6"/>
        <v>6.1298218743485421E-2</v>
      </c>
      <c r="AU4" s="745">
        <f t="shared" si="7"/>
        <v>3.2679191800738597E-2</v>
      </c>
      <c r="AV4" s="745">
        <f t="shared" si="8"/>
        <v>3.1767966516719655E-2</v>
      </c>
      <c r="AW4" s="745">
        <f t="shared" si="9"/>
        <v>0.15011245857319336</v>
      </c>
      <c r="AX4" s="745">
        <f t="shared" si="10"/>
        <v>1.0258371287820501E-2</v>
      </c>
      <c r="AY4" s="745">
        <f t="shared" si="11"/>
        <v>2.1988238808165889E-2</v>
      </c>
      <c r="AZ4" s="745">
        <f t="shared" si="12"/>
        <v>3.2978708857129793E-2</v>
      </c>
      <c r="BA4" s="745">
        <f t="shared" si="13"/>
        <v>4.5290520117198502E-2</v>
      </c>
    </row>
    <row r="5" spans="1:53">
      <c r="A5" s="532">
        <v>41565</v>
      </c>
      <c r="B5" s="745">
        <v>7440.9391575515083</v>
      </c>
      <c r="C5" s="745">
        <v>39827.739132335366</v>
      </c>
      <c r="D5" s="679">
        <v>12760.467930542134</v>
      </c>
      <c r="E5" s="679">
        <v>17471.012314964522</v>
      </c>
      <c r="F5" s="554">
        <v>3625.0276520747616</v>
      </c>
      <c r="G5" s="554">
        <v>3023.3707040196955</v>
      </c>
      <c r="H5" s="554">
        <v>968.53858483413126</v>
      </c>
      <c r="I5" s="554">
        <v>4083.3032493809778</v>
      </c>
      <c r="J5" s="503">
        <v>796.39231283594825</v>
      </c>
      <c r="K5" s="503">
        <v>1891.7599324574724</v>
      </c>
      <c r="L5" s="503">
        <v>871.48247485657055</v>
      </c>
      <c r="M5" s="503">
        <v>822.23907607396802</v>
      </c>
      <c r="N5" s="552"/>
      <c r="O5" s="679"/>
      <c r="P5" s="679"/>
      <c r="Q5" s="679"/>
      <c r="R5" s="679"/>
      <c r="S5" s="554"/>
      <c r="T5" s="554"/>
      <c r="U5" s="554"/>
      <c r="V5" s="554"/>
      <c r="W5" s="503"/>
      <c r="X5" s="503"/>
      <c r="Y5" s="503"/>
      <c r="Z5" s="503"/>
      <c r="AA5" s="771"/>
      <c r="AB5" s="780">
        <f t="shared" si="14"/>
        <v>41589</v>
      </c>
      <c r="AC5" s="745">
        <f>O29</f>
        <v>6845.0500858766627</v>
      </c>
      <c r="AD5" s="745">
        <f t="shared" ref="AD5:AN5" si="16">P29</f>
        <v>30058.167418255438</v>
      </c>
      <c r="AE5" s="745">
        <f t="shared" si="16"/>
        <v>17510.851372483896</v>
      </c>
      <c r="AF5" s="745">
        <f t="shared" si="16"/>
        <v>-6120.2374628800089</v>
      </c>
      <c r="AG5" s="745">
        <f t="shared" si="16"/>
        <v>19835.70791529437</v>
      </c>
      <c r="AH5" s="745">
        <f t="shared" si="16"/>
        <v>18461.610666367444</v>
      </c>
      <c r="AI5" s="745">
        <f t="shared" si="16"/>
        <v>6602.4433655568573</v>
      </c>
      <c r="AJ5" s="745">
        <f t="shared" si="16"/>
        <v>22392.713882571945</v>
      </c>
      <c r="AK5" s="745">
        <f t="shared" si="16"/>
        <v>2738.0543547777988</v>
      </c>
      <c r="AL5" s="745">
        <f t="shared" si="16"/>
        <v>4893.340716917839</v>
      </c>
      <c r="AM5" s="745">
        <f t="shared" si="16"/>
        <v>5074.9801337110748</v>
      </c>
      <c r="AN5" s="745">
        <f t="shared" si="16"/>
        <v>7855.6077003029586</v>
      </c>
      <c r="AO5" s="771"/>
      <c r="AP5" s="745">
        <f t="shared" si="2"/>
        <v>1.9136287631749127E-2</v>
      </c>
      <c r="AQ5" s="745">
        <f t="shared" si="3"/>
        <v>4.5785479692696786E-2</v>
      </c>
      <c r="AR5" s="745">
        <f t="shared" si="4"/>
        <v>7.3885448829045977E-2</v>
      </c>
      <c r="AS5" s="745">
        <f t="shared" si="5"/>
        <v>-3.6429984898095291E-2</v>
      </c>
      <c r="AT5" s="745">
        <f t="shared" si="6"/>
        <v>5.5453474742226359E-2</v>
      </c>
      <c r="AU5" s="745">
        <f t="shared" si="7"/>
        <v>2.8121265295304562E-2</v>
      </c>
      <c r="AV5" s="745">
        <f t="shared" si="8"/>
        <v>2.7858410825134419E-2</v>
      </c>
      <c r="AW5" s="745">
        <f t="shared" si="9"/>
        <v>0.13328996358673778</v>
      </c>
      <c r="AX5" s="745">
        <f t="shared" si="10"/>
        <v>7.6546110002174974E-3</v>
      </c>
      <c r="AY5" s="745">
        <f t="shared" si="11"/>
        <v>7.4536796906593131E-3</v>
      </c>
      <c r="AZ5" s="745">
        <f t="shared" si="12"/>
        <v>2.1413418285700737E-2</v>
      </c>
      <c r="BA5" s="745">
        <f t="shared" si="13"/>
        <v>4.6759569644660465E-2</v>
      </c>
    </row>
    <row r="6" spans="1:53">
      <c r="A6" s="532">
        <v>41566</v>
      </c>
      <c r="B6" s="745">
        <v>37719.17376634798</v>
      </c>
      <c r="C6" s="745">
        <v>3499.8023757396686</v>
      </c>
      <c r="D6" s="679">
        <v>4192.1670315234878</v>
      </c>
      <c r="E6" s="679">
        <v>15443.370886265966</v>
      </c>
      <c r="F6" s="554">
        <v>3717.5305834899996</v>
      </c>
      <c r="G6" s="554">
        <v>3389.4914184882432</v>
      </c>
      <c r="H6" s="554">
        <v>1071.60900044353</v>
      </c>
      <c r="I6" s="554">
        <v>4301.9801975394294</v>
      </c>
      <c r="J6" s="503">
        <v>804.57287637782383</v>
      </c>
      <c r="K6" s="503">
        <v>2064.7032573014271</v>
      </c>
      <c r="L6" s="503">
        <v>962.04654950633289</v>
      </c>
      <c r="M6" s="503">
        <v>874.30516819105412</v>
      </c>
      <c r="N6" s="552"/>
      <c r="O6" s="679"/>
      <c r="P6" s="679"/>
      <c r="Q6" s="679"/>
      <c r="R6" s="679"/>
      <c r="S6" s="554"/>
      <c r="T6" s="554"/>
      <c r="U6" s="554"/>
      <c r="V6" s="554"/>
      <c r="W6" s="503"/>
      <c r="X6" s="503"/>
      <c r="Y6" s="503"/>
      <c r="Z6" s="503"/>
      <c r="AA6" s="771"/>
      <c r="AB6" s="780">
        <f t="shared" si="14"/>
        <v>41596</v>
      </c>
      <c r="AC6" s="745">
        <f>O36</f>
        <v>42270.665338255167</v>
      </c>
      <c r="AD6" s="745">
        <f t="shared" ref="AD6:AN6" si="17">P36</f>
        <v>26244.273092342239</v>
      </c>
      <c r="AE6" s="745">
        <f t="shared" si="17"/>
        <v>-20397.089065399843</v>
      </c>
      <c r="AF6" s="745">
        <f t="shared" si="17"/>
        <v>-22530.337213889998</v>
      </c>
      <c r="AG6" s="745">
        <f t="shared" si="17"/>
        <v>16982.671869589351</v>
      </c>
      <c r="AH6" s="745">
        <f t="shared" si="17"/>
        <v>14507.24704194946</v>
      </c>
      <c r="AI6" s="745">
        <f t="shared" si="17"/>
        <v>5617.4667213074335</v>
      </c>
      <c r="AJ6" s="745">
        <f t="shared" si="17"/>
        <v>17764.569589548075</v>
      </c>
      <c r="AK6" s="745">
        <f t="shared" si="17"/>
        <v>3134.4051052247614</v>
      </c>
      <c r="AL6" s="745">
        <f t="shared" si="17"/>
        <v>7600.1541503440276</v>
      </c>
      <c r="AM6" s="745">
        <f t="shared" si="17"/>
        <v>3827.4872240782656</v>
      </c>
      <c r="AN6" s="745">
        <f t="shared" si="17"/>
        <v>6389.350288846219</v>
      </c>
      <c r="AO6" s="771"/>
      <c r="AP6" s="745">
        <f t="shared" si="2"/>
        <v>0.11817351226797643</v>
      </c>
      <c r="AQ6" s="745">
        <f t="shared" si="3"/>
        <v>3.9976044314306534E-2</v>
      </c>
      <c r="AR6" s="745">
        <f t="shared" si="4"/>
        <v>-8.6063666942615372E-2</v>
      </c>
      <c r="AS6" s="745">
        <f t="shared" si="5"/>
        <v>-0.13410915008267857</v>
      </c>
      <c r="AT6" s="745">
        <f t="shared" si="6"/>
        <v>4.7477416465164526E-2</v>
      </c>
      <c r="AU6" s="745">
        <f t="shared" si="7"/>
        <v>2.2097862973266505E-2</v>
      </c>
      <c r="AV6" s="745">
        <f t="shared" si="8"/>
        <v>2.3702391229145289E-2</v>
      </c>
      <c r="AW6" s="745">
        <f t="shared" si="9"/>
        <v>0.10574148565207188</v>
      </c>
      <c r="AX6" s="745">
        <f t="shared" si="10"/>
        <v>8.7626645379501305E-3</v>
      </c>
      <c r="AY6" s="745">
        <f t="shared" si="11"/>
        <v>1.157677707592388E-2</v>
      </c>
      <c r="AZ6" s="745">
        <f t="shared" si="12"/>
        <v>1.6149735122693104E-2</v>
      </c>
      <c r="BA6" s="745">
        <f t="shared" si="13"/>
        <v>3.8031846957417972E-2</v>
      </c>
    </row>
    <row r="7" spans="1:53">
      <c r="A7" s="532">
        <v>41567</v>
      </c>
      <c r="B7" s="745">
        <v>2605.9977031048998</v>
      </c>
      <c r="C7" s="745">
        <v>3499.8023757396686</v>
      </c>
      <c r="D7" s="679">
        <v>4192.1670315234878</v>
      </c>
      <c r="E7" s="679">
        <v>32697.10651611225</v>
      </c>
      <c r="F7" s="554">
        <v>3922.6448277241288</v>
      </c>
      <c r="G7" s="554">
        <v>3656.6454704313855</v>
      </c>
      <c r="H7" s="554">
        <v>1136.6747712541783</v>
      </c>
      <c r="I7" s="554">
        <v>4518.558460502255</v>
      </c>
      <c r="J7" s="503">
        <v>849.85082869521398</v>
      </c>
      <c r="K7" s="503">
        <v>2170.3325995481769</v>
      </c>
      <c r="L7" s="503">
        <v>1020.873588156765</v>
      </c>
      <c r="M7" s="503">
        <v>937.72425782539187</v>
      </c>
      <c r="N7" s="552"/>
      <c r="O7" s="679"/>
      <c r="P7" s="679"/>
      <c r="Q7" s="679"/>
      <c r="R7" s="679"/>
      <c r="S7" s="554"/>
      <c r="T7" s="554"/>
      <c r="U7" s="554"/>
      <c r="V7" s="554"/>
      <c r="W7" s="503"/>
      <c r="X7" s="503"/>
      <c r="Y7" s="503"/>
      <c r="Z7" s="503"/>
      <c r="AA7" s="771"/>
      <c r="AB7" s="780">
        <f t="shared" si="14"/>
        <v>41603</v>
      </c>
      <c r="AC7" s="745">
        <f>O43</f>
        <v>15360.932453834059</v>
      </c>
      <c r="AD7" s="745">
        <f t="shared" ref="AD7:AN7" si="18">P43</f>
        <v>38837.523605607676</v>
      </c>
      <c r="AE7" s="745">
        <f t="shared" si="18"/>
        <v>20571.002545529172</v>
      </c>
      <c r="AF7" s="745">
        <f t="shared" si="18"/>
        <v>-4817.5510369540198</v>
      </c>
      <c r="AG7" s="745">
        <f t="shared" si="18"/>
        <v>14493.174834772584</v>
      </c>
      <c r="AH7" s="745">
        <f t="shared" si="18"/>
        <v>19304.064103592278</v>
      </c>
      <c r="AI7" s="745">
        <f t="shared" si="18"/>
        <v>7872.1132150031735</v>
      </c>
      <c r="AJ7" s="745">
        <f t="shared" si="18"/>
        <v>27370.871853588465</v>
      </c>
      <c r="AK7" s="745">
        <f t="shared" si="18"/>
        <v>3346.7574206050163</v>
      </c>
      <c r="AL7" s="745">
        <f t="shared" si="18"/>
        <v>6253.2142512307</v>
      </c>
      <c r="AM7" s="745">
        <f t="shared" si="18"/>
        <v>5343.350871061356</v>
      </c>
      <c r="AN7" s="745">
        <f t="shared" si="18"/>
        <v>5094.6622915106454</v>
      </c>
      <c r="AO7" s="771"/>
      <c r="AP7" s="745">
        <f t="shared" si="2"/>
        <v>4.2943618825367791E-2</v>
      </c>
      <c r="AQ7" s="745">
        <f t="shared" si="3"/>
        <v>5.9158451798336141E-2</v>
      </c>
      <c r="AR7" s="745">
        <f t="shared" si="4"/>
        <v>8.6797479095059804E-2</v>
      </c>
      <c r="AS7" s="745">
        <f t="shared" si="5"/>
        <v>-2.8675899029488212E-2</v>
      </c>
      <c r="AT7" s="745">
        <f t="shared" si="6"/>
        <v>4.0517681953515752E-2</v>
      </c>
      <c r="AU7" s="745">
        <f t="shared" si="7"/>
        <v>2.9404515009279937E-2</v>
      </c>
      <c r="AV7" s="745">
        <f t="shared" si="8"/>
        <v>3.3215667573853053E-2</v>
      </c>
      <c r="AW7" s="745">
        <f t="shared" si="9"/>
        <v>0.16292185627135991</v>
      </c>
      <c r="AX7" s="745">
        <f t="shared" si="10"/>
        <v>9.3563249108331459E-3</v>
      </c>
      <c r="AY7" s="745">
        <f t="shared" si="11"/>
        <v>9.5250788289881188E-3</v>
      </c>
      <c r="AZ7" s="745">
        <f t="shared" si="12"/>
        <v>2.254578426608167E-2</v>
      </c>
      <c r="BA7" s="745">
        <f t="shared" si="13"/>
        <v>3.032537078280146E-2</v>
      </c>
    </row>
    <row r="8" spans="1:53">
      <c r="A8" s="532">
        <v>41568</v>
      </c>
      <c r="B8" s="745">
        <v>12604.051705247339</v>
      </c>
      <c r="C8" s="745">
        <v>25358.394285852217</v>
      </c>
      <c r="D8" s="679">
        <v>12497.996921021133</v>
      </c>
      <c r="E8" s="679">
        <v>4501.8436307061393</v>
      </c>
      <c r="F8" s="554">
        <v>3892.3154424723925</v>
      </c>
      <c r="G8" s="554">
        <v>3901.9249205784718</v>
      </c>
      <c r="H8" s="554">
        <v>1279.1488958420289</v>
      </c>
      <c r="I8" s="554">
        <v>5248.7398675696213</v>
      </c>
      <c r="J8" s="503">
        <v>846.47454520914755</v>
      </c>
      <c r="K8" s="503">
        <v>2300.5955466322398</v>
      </c>
      <c r="L8" s="503">
        <v>1150.6872927071622</v>
      </c>
      <c r="M8" s="503">
        <v>1057.0688551385567</v>
      </c>
      <c r="N8" s="552"/>
      <c r="O8" s="745">
        <f>SUM(B2:B8)</f>
        <v>74888.163615842961</v>
      </c>
      <c r="P8" s="745">
        <f t="shared" ref="P8:Z8" si="19">SUM(C2:C8)</f>
        <v>82685.145296885923</v>
      </c>
      <c r="Q8" s="745">
        <f t="shared" si="19"/>
        <v>46219.300009180712</v>
      </c>
      <c r="R8" s="745">
        <f t="shared" si="19"/>
        <v>31417.713108205473</v>
      </c>
      <c r="S8" s="745">
        <f t="shared" si="19"/>
        <v>23405.155823558664</v>
      </c>
      <c r="T8" s="745">
        <f t="shared" si="19"/>
        <v>20946.963492082345</v>
      </c>
      <c r="U8" s="745">
        <f t="shared" si="19"/>
        <v>6976.3717453702175</v>
      </c>
      <c r="V8" s="745">
        <f t="shared" si="19"/>
        <v>27432.238226037778</v>
      </c>
      <c r="W8" s="745">
        <f t="shared" si="19"/>
        <v>5116.6541585427103</v>
      </c>
      <c r="X8" s="745">
        <f t="shared" si="19"/>
        <v>13064.67720850655</v>
      </c>
      <c r="Y8" s="745">
        <f t="shared" si="19"/>
        <v>6286.5990705426429</v>
      </c>
      <c r="Z8" s="745">
        <f t="shared" si="19"/>
        <v>5550.2524499001102</v>
      </c>
      <c r="AA8" s="772"/>
      <c r="AB8" s="780">
        <f t="shared" si="14"/>
        <v>41610</v>
      </c>
      <c r="AC8" s="745">
        <f>O50</f>
        <v>7044.9779947426414</v>
      </c>
      <c r="AD8" s="745">
        <f t="shared" ref="AD8:AN8" si="20">P50</f>
        <v>42057.64674031407</v>
      </c>
      <c r="AE8" s="745">
        <f t="shared" si="20"/>
        <v>14309.548659417947</v>
      </c>
      <c r="AF8" s="745">
        <f t="shared" si="20"/>
        <v>-268.21169137197376</v>
      </c>
      <c r="AG8" s="745">
        <f t="shared" si="20"/>
        <v>10668.519457303213</v>
      </c>
      <c r="AH8" s="745">
        <f t="shared" si="20"/>
        <v>13694.58461179834</v>
      </c>
      <c r="AI8" s="745">
        <f t="shared" si="20"/>
        <v>6784.8970850226697</v>
      </c>
      <c r="AJ8" s="745">
        <f t="shared" si="20"/>
        <v>22492.929372320094</v>
      </c>
      <c r="AK8" s="745">
        <f t="shared" si="20"/>
        <v>4935.4266437637325</v>
      </c>
      <c r="AL8" s="745">
        <f t="shared" si="20"/>
        <v>10514.966368024105</v>
      </c>
      <c r="AM8" s="745">
        <f t="shared" si="20"/>
        <v>7858.5157243615113</v>
      </c>
      <c r="AN8" s="745">
        <f t="shared" si="20"/>
        <v>3701.6967015959913</v>
      </c>
      <c r="AO8" s="772"/>
      <c r="AP8" s="745">
        <f t="shared" si="2"/>
        <v>1.9695213851670789E-2</v>
      </c>
      <c r="AQ8" s="745">
        <f t="shared" si="3"/>
        <v>6.4063437532847017E-2</v>
      </c>
      <c r="AR8" s="745">
        <f t="shared" si="4"/>
        <v>6.0377842444801468E-2</v>
      </c>
      <c r="AS8" s="745">
        <f t="shared" si="5"/>
        <v>-1.5964981629284151E-3</v>
      </c>
      <c r="AT8" s="745">
        <f t="shared" si="6"/>
        <v>2.982532697037521E-2</v>
      </c>
      <c r="AU8" s="745">
        <f t="shared" si="7"/>
        <v>2.0859991792533648E-2</v>
      </c>
      <c r="AV8" s="745">
        <f t="shared" si="8"/>
        <v>2.8628257742711688E-2</v>
      </c>
      <c r="AW8" s="745">
        <f t="shared" si="9"/>
        <v>0.13388648435904818</v>
      </c>
      <c r="AX8" s="745">
        <f t="shared" si="10"/>
        <v>1.3797670236968779E-2</v>
      </c>
      <c r="AY8" s="745">
        <f t="shared" si="11"/>
        <v>1.6016704292496731E-2</v>
      </c>
      <c r="AZ8" s="745">
        <f t="shared" si="12"/>
        <v>3.3158294195618193E-2</v>
      </c>
      <c r="BA8" s="745">
        <f t="shared" si="13"/>
        <v>2.2033908938071375E-2</v>
      </c>
    </row>
    <row r="9" spans="1:53">
      <c r="A9" s="532">
        <v>41569</v>
      </c>
      <c r="B9" s="766">
        <v>2132.1933318407223</v>
      </c>
      <c r="C9" s="766">
        <v>2581.2111905380671</v>
      </c>
      <c r="D9" s="679">
        <v>4726.327326583616</v>
      </c>
      <c r="E9" s="679">
        <v>962.31221570355819</v>
      </c>
      <c r="F9" s="554">
        <v>3820.7388408602787</v>
      </c>
      <c r="G9" s="554">
        <v>3951.3192098527793</v>
      </c>
      <c r="H9" s="554">
        <v>1336.5014552460989</v>
      </c>
      <c r="I9" s="554">
        <v>4341.9067944897079</v>
      </c>
      <c r="J9" s="503">
        <v>780.8789173591083</v>
      </c>
      <c r="K9" s="503">
        <v>2340.2849496935896</v>
      </c>
      <c r="L9" s="503">
        <v>1201.5253145516215</v>
      </c>
      <c r="M9" s="503">
        <v>875.38769961610069</v>
      </c>
      <c r="N9" s="551"/>
      <c r="O9" s="679"/>
      <c r="P9" s="679"/>
      <c r="Q9" s="679"/>
      <c r="R9" s="679"/>
      <c r="S9" s="554"/>
      <c r="T9" s="554"/>
      <c r="U9" s="554"/>
      <c r="V9" s="554"/>
      <c r="W9" s="503"/>
      <c r="X9" s="503"/>
      <c r="Y9" s="503"/>
      <c r="Z9" s="503"/>
      <c r="AA9" s="771"/>
      <c r="AB9" s="780">
        <f t="shared" si="14"/>
        <v>41617</v>
      </c>
      <c r="AC9" s="745">
        <f>O57</f>
        <v>4200.1048330001968</v>
      </c>
      <c r="AD9" s="745">
        <f t="shared" ref="AD9:AN9" si="21">P57</f>
        <v>38608.456377587303</v>
      </c>
      <c r="AE9" s="745">
        <f t="shared" si="21"/>
        <v>6811.1889105284099</v>
      </c>
      <c r="AF9" s="745">
        <f t="shared" si="21"/>
        <v>3572.3891250154375</v>
      </c>
      <c r="AG9" s="745">
        <f t="shared" si="21"/>
        <v>7923.6964077115736</v>
      </c>
      <c r="AH9" s="745">
        <f t="shared" si="21"/>
        <v>8278.3859531941052</v>
      </c>
      <c r="AI9" s="745">
        <f t="shared" si="21"/>
        <v>5890.2122210876732</v>
      </c>
      <c r="AJ9" s="745">
        <f t="shared" si="21"/>
        <v>17699.523436982414</v>
      </c>
      <c r="AK9" s="745">
        <f t="shared" si="21"/>
        <v>3302.7879216165502</v>
      </c>
      <c r="AL9" s="745">
        <f t="shared" si="21"/>
        <v>21089.532404040685</v>
      </c>
      <c r="AM9" s="745">
        <f t="shared" si="21"/>
        <v>9931.4385796463721</v>
      </c>
      <c r="AN9" s="745">
        <f t="shared" si="21"/>
        <v>3419.7384383850404</v>
      </c>
      <c r="AO9" s="771"/>
      <c r="AP9" s="745">
        <f t="shared" si="2"/>
        <v>1.1741976049762921E-2</v>
      </c>
      <c r="AQ9" s="745">
        <f t="shared" si="3"/>
        <v>5.8809529897315006E-2</v>
      </c>
      <c r="AR9" s="745">
        <f t="shared" si="4"/>
        <v>2.8739193715309745E-2</v>
      </c>
      <c r="AS9" s="745">
        <f t="shared" si="5"/>
        <v>2.1264220982234745E-2</v>
      </c>
      <c r="AT9" s="745">
        <f t="shared" si="6"/>
        <v>2.2151793144287318E-2</v>
      </c>
      <c r="AU9" s="745">
        <f t="shared" si="7"/>
        <v>1.2609879593593458E-2</v>
      </c>
      <c r="AV9" s="745">
        <f t="shared" si="8"/>
        <v>2.4853216122732797E-2</v>
      </c>
      <c r="AW9" s="745">
        <f t="shared" si="9"/>
        <v>0.10535430617251437</v>
      </c>
      <c r="AX9" s="745">
        <f t="shared" si="10"/>
        <v>9.2334020732920043E-3</v>
      </c>
      <c r="AY9" s="745">
        <f t="shared" si="11"/>
        <v>3.2124192542331585E-2</v>
      </c>
      <c r="AZ9" s="745">
        <f t="shared" si="12"/>
        <v>4.1904804133528997E-2</v>
      </c>
      <c r="BA9" s="745">
        <f t="shared" si="13"/>
        <v>2.0355585942768099E-2</v>
      </c>
    </row>
    <row r="10" spans="1:53">
      <c r="A10" s="532">
        <v>41570</v>
      </c>
      <c r="B10" s="766">
        <v>1850.374562849029</v>
      </c>
      <c r="C10" s="766">
        <v>5841.2931770610703</v>
      </c>
      <c r="D10" s="679">
        <v>4721.4761587381718</v>
      </c>
      <c r="E10" s="679">
        <v>-1457.2913722870567</v>
      </c>
      <c r="F10" s="554">
        <v>3743.4888058969095</v>
      </c>
      <c r="G10" s="554">
        <v>3881.8589978176042</v>
      </c>
      <c r="H10" s="554">
        <v>1318.1154379178486</v>
      </c>
      <c r="I10" s="554">
        <v>4399.2304683689517</v>
      </c>
      <c r="J10" s="503">
        <v>715.73667909462347</v>
      </c>
      <c r="K10" s="503">
        <v>182.75657708064648</v>
      </c>
      <c r="L10" s="503">
        <v>1184.0470197432526</v>
      </c>
      <c r="M10" s="503">
        <v>2695.8255376905217</v>
      </c>
      <c r="N10" s="551"/>
      <c r="O10" s="679"/>
      <c r="P10" s="679"/>
      <c r="Q10" s="679"/>
      <c r="R10" s="679"/>
      <c r="S10" s="554"/>
      <c r="T10" s="554"/>
      <c r="U10" s="554"/>
      <c r="V10" s="554"/>
      <c r="W10" s="503"/>
      <c r="X10" s="503"/>
      <c r="Y10" s="503"/>
      <c r="Z10" s="503"/>
      <c r="AA10" s="771"/>
      <c r="AB10" s="780">
        <f t="shared" si="14"/>
        <v>41624</v>
      </c>
      <c r="AC10" s="745">
        <f>O64</f>
        <v>334.5619115323542</v>
      </c>
      <c r="AD10" s="745">
        <f t="shared" ref="AD10:AN10" si="22">P64</f>
        <v>8812.1623972347552</v>
      </c>
      <c r="AE10" s="745">
        <f t="shared" si="22"/>
        <v>620.80506467664532</v>
      </c>
      <c r="AF10" s="745">
        <f t="shared" si="22"/>
        <v>-4321.4085822703364</v>
      </c>
      <c r="AG10" s="745">
        <f t="shared" si="22"/>
        <v>5865.7513414196319</v>
      </c>
      <c r="AH10" s="745">
        <f t="shared" si="22"/>
        <v>1895.262051857065</v>
      </c>
      <c r="AI10" s="745">
        <f t="shared" si="22"/>
        <v>5066.2909533285019</v>
      </c>
      <c r="AJ10" s="745">
        <f t="shared" si="22"/>
        <v>12157.816544601475</v>
      </c>
      <c r="AK10" s="745">
        <f t="shared" si="22"/>
        <v>2147.3145252920358</v>
      </c>
      <c r="AL10" s="745">
        <f t="shared" si="22"/>
        <v>19768.744623445615</v>
      </c>
      <c r="AM10" s="745">
        <f t="shared" si="22"/>
        <v>6945.1193549883556</v>
      </c>
      <c r="AN10" s="745">
        <f t="shared" si="22"/>
        <v>3624.801332220025</v>
      </c>
      <c r="AO10" s="771"/>
      <c r="AP10" s="745">
        <f t="shared" si="2"/>
        <v>9.3531426204180657E-4</v>
      </c>
      <c r="AQ10" s="745">
        <f t="shared" si="3"/>
        <v>1.3422943483982871E-2</v>
      </c>
      <c r="AR10" s="745">
        <f t="shared" si="4"/>
        <v>2.6194306526440732E-3</v>
      </c>
      <c r="AS10" s="745">
        <f t="shared" si="5"/>
        <v>-2.5722670132561527E-2</v>
      </c>
      <c r="AT10" s="745">
        <f t="shared" si="6"/>
        <v>1.6398522061558937E-2</v>
      </c>
      <c r="AU10" s="745">
        <f t="shared" si="7"/>
        <v>2.8869185862255369E-3</v>
      </c>
      <c r="AV10" s="745">
        <f t="shared" si="8"/>
        <v>2.1376755077335451E-2</v>
      </c>
      <c r="AW10" s="745">
        <f t="shared" si="9"/>
        <v>7.2367955622627836E-2</v>
      </c>
      <c r="AX10" s="745">
        <f t="shared" si="10"/>
        <v>6.0031158101538605E-3</v>
      </c>
      <c r="AY10" s="745">
        <f t="shared" si="11"/>
        <v>3.0112329967167731E-2</v>
      </c>
      <c r="AZ10" s="745">
        <f t="shared" si="12"/>
        <v>2.9304301075900235E-2</v>
      </c>
      <c r="BA10" s="745">
        <f t="shared" si="13"/>
        <v>2.1576198406071577E-2</v>
      </c>
    </row>
    <row r="11" spans="1:53">
      <c r="A11" s="532">
        <v>41571</v>
      </c>
      <c r="B11" s="766">
        <v>1327.9024271149945</v>
      </c>
      <c r="C11" s="766">
        <v>5337.8766039988068</v>
      </c>
      <c r="D11" s="679">
        <v>4998.7788141447045</v>
      </c>
      <c r="E11" s="679">
        <v>-3183.3729742656492</v>
      </c>
      <c r="F11" s="554">
        <v>3667.5435204971163</v>
      </c>
      <c r="G11" s="554">
        <v>3797.689709726732</v>
      </c>
      <c r="H11" s="554">
        <v>1289.6247031589282</v>
      </c>
      <c r="I11" s="554">
        <v>4260.9192098710437</v>
      </c>
      <c r="J11" s="503">
        <v>652.38881915353193</v>
      </c>
      <c r="K11" s="503">
        <v>1147.6329996937236</v>
      </c>
      <c r="L11" s="503">
        <v>1157.7460742096082</v>
      </c>
      <c r="M11" s="503">
        <v>2177.8733233845583</v>
      </c>
      <c r="N11" s="551"/>
      <c r="O11" s="679"/>
      <c r="P11" s="679"/>
      <c r="Q11" s="679"/>
      <c r="R11" s="679"/>
      <c r="S11" s="554"/>
      <c r="T11" s="554"/>
      <c r="U11" s="554"/>
      <c r="V11" s="554"/>
      <c r="W11" s="503"/>
      <c r="X11" s="503"/>
      <c r="Y11" s="503"/>
      <c r="Z11" s="503"/>
      <c r="AA11" s="771"/>
      <c r="AB11" s="780">
        <f t="shared" si="14"/>
        <v>41631</v>
      </c>
      <c r="AC11" s="745">
        <f>O71</f>
        <v>2697.4859675762395</v>
      </c>
      <c r="AD11" s="745">
        <f t="shared" ref="AD11:AN11" si="23">P71</f>
        <v>31594.522269860696</v>
      </c>
      <c r="AE11" s="745">
        <f t="shared" si="23"/>
        <v>9573.9485392988099</v>
      </c>
      <c r="AF11" s="745">
        <f t="shared" si="23"/>
        <v>14841.619213571812</v>
      </c>
      <c r="AG11" s="745">
        <f t="shared" si="23"/>
        <v>3952.7723762992109</v>
      </c>
      <c r="AH11" s="745">
        <f t="shared" si="23"/>
        <v>1062.5917736859728</v>
      </c>
      <c r="AI11" s="745">
        <f t="shared" si="23"/>
        <v>4318.8366485782117</v>
      </c>
      <c r="AJ11" s="745">
        <f t="shared" si="23"/>
        <v>5954.6807708659371</v>
      </c>
      <c r="AK11" s="745">
        <f t="shared" si="23"/>
        <v>3369.6992343106303</v>
      </c>
      <c r="AL11" s="745">
        <f t="shared" si="23"/>
        <v>16266.798771411224</v>
      </c>
      <c r="AM11" s="745">
        <f t="shared" si="23"/>
        <v>6050.610326442873</v>
      </c>
      <c r="AN11" s="745">
        <f t="shared" si="23"/>
        <v>6245.1913819056608</v>
      </c>
      <c r="AO11" s="771"/>
      <c r="AP11" s="745">
        <f t="shared" si="2"/>
        <v>7.5411964427627605E-3</v>
      </c>
      <c r="AQ11" s="745">
        <f t="shared" si="3"/>
        <v>4.8125700334898242E-2</v>
      </c>
      <c r="AR11" s="745">
        <f t="shared" si="4"/>
        <v>4.0396407338813542E-2</v>
      </c>
      <c r="AS11" s="745">
        <f t="shared" si="5"/>
        <v>8.8342971509356022E-2</v>
      </c>
      <c r="AT11" s="745">
        <f t="shared" si="6"/>
        <v>1.1050523836452924E-2</v>
      </c>
      <c r="AU11" s="745">
        <f t="shared" si="7"/>
        <v>1.6185708662391056E-3</v>
      </c>
      <c r="AV11" s="745">
        <f t="shared" si="8"/>
        <v>1.8222939445477686E-2</v>
      </c>
      <c r="AW11" s="745">
        <f t="shared" si="9"/>
        <v>3.5444528398011529E-2</v>
      </c>
      <c r="AX11" s="745">
        <f t="shared" si="10"/>
        <v>9.4204619354504616E-3</v>
      </c>
      <c r="AY11" s="745">
        <f t="shared" si="11"/>
        <v>2.4778063627435225E-2</v>
      </c>
      <c r="AZ11" s="745">
        <f t="shared" si="12"/>
        <v>2.553000137739609E-2</v>
      </c>
      <c r="BA11" s="745">
        <f t="shared" si="13"/>
        <v>3.7173758225628933E-2</v>
      </c>
    </row>
    <row r="12" spans="1:53">
      <c r="A12" s="532">
        <v>41572</v>
      </c>
      <c r="B12" s="766">
        <v>2347.5422094195287</v>
      </c>
      <c r="C12" s="766">
        <v>3438.060704462092</v>
      </c>
      <c r="D12" s="679">
        <v>5906.0135987354224</v>
      </c>
      <c r="E12" s="679">
        <v>-4139.7213858167861</v>
      </c>
      <c r="F12" s="554">
        <v>3595.9843687280995</v>
      </c>
      <c r="G12" s="554">
        <v>3704.5225620843362</v>
      </c>
      <c r="H12" s="554">
        <v>1260.8788481497606</v>
      </c>
      <c r="I12" s="554">
        <v>4133.4457925816832</v>
      </c>
      <c r="J12" s="503">
        <v>591.19945045304871</v>
      </c>
      <c r="K12" s="503">
        <v>2080.0258748632264</v>
      </c>
      <c r="L12" s="503">
        <v>229.66020534799912</v>
      </c>
      <c r="M12" s="503">
        <v>1697.426190053854</v>
      </c>
      <c r="N12" s="551"/>
      <c r="O12" s="679"/>
      <c r="P12" s="679"/>
      <c r="Q12" s="679"/>
      <c r="R12" s="679"/>
      <c r="S12" s="554"/>
      <c r="T12" s="554"/>
      <c r="U12" s="554"/>
      <c r="V12" s="554"/>
      <c r="W12" s="503"/>
      <c r="X12" s="503"/>
      <c r="Y12" s="503"/>
      <c r="Z12" s="503"/>
      <c r="AA12" s="771"/>
      <c r="AB12" s="780">
        <f t="shared" si="14"/>
        <v>41638</v>
      </c>
      <c r="AC12" s="745">
        <f>O78</f>
        <v>2115.1602487790442</v>
      </c>
      <c r="AD12" s="745">
        <f t="shared" ref="AD12:AN12" si="24">P78</f>
        <v>22853.621528029802</v>
      </c>
      <c r="AE12" s="745">
        <f t="shared" si="24"/>
        <v>6498.5831390871008</v>
      </c>
      <c r="AF12" s="745">
        <f t="shared" si="24"/>
        <v>5313.6873151700474</v>
      </c>
      <c r="AG12" s="745">
        <f t="shared" si="24"/>
        <v>2156.9270919161754</v>
      </c>
      <c r="AH12" s="745">
        <f t="shared" si="24"/>
        <v>694.9999388389565</v>
      </c>
      <c r="AI12" s="745">
        <f t="shared" si="24"/>
        <v>3283.8908306678363</v>
      </c>
      <c r="AJ12" s="745">
        <f t="shared" si="24"/>
        <v>0</v>
      </c>
      <c r="AK12" s="745">
        <f t="shared" si="24"/>
        <v>3719.4239894694629</v>
      </c>
      <c r="AL12" s="745">
        <f t="shared" si="24"/>
        <v>15913.530364043445</v>
      </c>
      <c r="AM12" s="745">
        <f t="shared" si="24"/>
        <v>6460.2762656250825</v>
      </c>
      <c r="AN12" s="745">
        <f t="shared" si="24"/>
        <v>2416.829925653286</v>
      </c>
      <c r="AO12" s="771"/>
      <c r="AP12" s="745">
        <f t="shared" si="2"/>
        <v>5.9132240670367467E-3</v>
      </c>
      <c r="AQ12" s="745">
        <f t="shared" si="3"/>
        <v>3.4811304688545014E-2</v>
      </c>
      <c r="AR12" s="745">
        <f t="shared" si="4"/>
        <v>2.7420182021464561E-2</v>
      </c>
      <c r="AS12" s="745">
        <f t="shared" si="5"/>
        <v>3.1629091161726471E-2</v>
      </c>
      <c r="AT12" s="745">
        <f t="shared" si="6"/>
        <v>6.0299890744092127E-3</v>
      </c>
      <c r="AU12" s="745">
        <f t="shared" si="7"/>
        <v>1.0586442328087684E-3</v>
      </c>
      <c r="AV12" s="745">
        <f t="shared" si="8"/>
        <v>1.3856079454294668E-2</v>
      </c>
      <c r="AW12" s="745">
        <f t="shared" si="9"/>
        <v>0</v>
      </c>
      <c r="AX12" s="745">
        <f t="shared" si="10"/>
        <v>1.0398166031505347E-2</v>
      </c>
      <c r="AY12" s="745">
        <f t="shared" si="11"/>
        <v>2.4239954857644241E-2</v>
      </c>
      <c r="AZ12" s="745">
        <f t="shared" si="12"/>
        <v>2.725854964398769E-2</v>
      </c>
      <c r="BA12" s="745">
        <f t="shared" si="13"/>
        <v>1.4385892414602893E-2</v>
      </c>
    </row>
    <row r="13" spans="1:53">
      <c r="A13" s="532">
        <v>41573</v>
      </c>
      <c r="B13" s="766">
        <v>1293.1161072870752</v>
      </c>
      <c r="C13" s="766">
        <v>2521.4383660142207</v>
      </c>
      <c r="D13" s="679">
        <v>3645.8284249585727</v>
      </c>
      <c r="E13" s="679">
        <v>-1751.4613952968668</v>
      </c>
      <c r="F13" s="554">
        <v>3526.7520736896581</v>
      </c>
      <c r="G13" s="554">
        <v>3610.7746716600709</v>
      </c>
      <c r="H13" s="554">
        <v>1230.5291278751033</v>
      </c>
      <c r="I13" s="554">
        <v>4057.7138614478868</v>
      </c>
      <c r="J13" s="503">
        <v>532.37954726600492</v>
      </c>
      <c r="K13" s="503">
        <v>2978.1140543529305</v>
      </c>
      <c r="L13" s="503">
        <v>390.92195153259678</v>
      </c>
      <c r="M13" s="503">
        <v>1260.8785234284476</v>
      </c>
      <c r="N13" s="551"/>
      <c r="O13" s="679"/>
      <c r="P13" s="679"/>
      <c r="Q13" s="679"/>
      <c r="R13" s="679"/>
      <c r="S13" s="554"/>
      <c r="T13" s="554"/>
      <c r="U13" s="554"/>
      <c r="V13" s="554"/>
      <c r="W13" s="503"/>
      <c r="X13" s="503"/>
      <c r="Y13" s="503"/>
      <c r="Z13" s="503"/>
      <c r="AA13" s="771"/>
      <c r="AB13" s="780">
        <f t="shared" si="14"/>
        <v>41645</v>
      </c>
      <c r="AC13" s="745">
        <f>O85</f>
        <v>201.72690683549109</v>
      </c>
      <c r="AD13" s="745">
        <f t="shared" ref="AD13:AN13" si="25">P85</f>
        <v>6359.0923591540877</v>
      </c>
      <c r="AE13" s="745">
        <f t="shared" si="25"/>
        <v>4443.2065378052466</v>
      </c>
      <c r="AF13" s="745">
        <f t="shared" si="25"/>
        <v>3316.750713862044</v>
      </c>
      <c r="AG13" s="745">
        <f t="shared" si="25"/>
        <v>634.00068697824236</v>
      </c>
      <c r="AH13" s="745">
        <f t="shared" si="25"/>
        <v>331.60282255318657</v>
      </c>
      <c r="AI13" s="745">
        <f t="shared" si="25"/>
        <v>2237.3659297951835</v>
      </c>
      <c r="AJ13" s="745">
        <f t="shared" si="25"/>
        <v>0</v>
      </c>
      <c r="AK13" s="745">
        <f t="shared" si="25"/>
        <v>5999.2894305720811</v>
      </c>
      <c r="AL13" s="745">
        <f t="shared" si="25"/>
        <v>12882.45326038549</v>
      </c>
      <c r="AM13" s="745">
        <f t="shared" si="25"/>
        <v>5107.2141869532079</v>
      </c>
      <c r="AN13" s="745">
        <f t="shared" si="25"/>
        <v>1518.3837359009042</v>
      </c>
      <c r="AO13" s="771"/>
      <c r="AP13" s="745">
        <f t="shared" si="2"/>
        <v>5.6395556845258903E-4</v>
      </c>
      <c r="AQ13" s="745">
        <f t="shared" si="3"/>
        <v>9.6863554594883283E-3</v>
      </c>
      <c r="AR13" s="745">
        <f t="shared" si="4"/>
        <v>1.874770691057066E-2</v>
      </c>
      <c r="AS13" s="745">
        <f t="shared" si="5"/>
        <v>1.9742563772988359E-2</v>
      </c>
      <c r="AT13" s="745">
        <f t="shared" si="6"/>
        <v>1.7724369219408508E-3</v>
      </c>
      <c r="AU13" s="745">
        <f t="shared" si="7"/>
        <v>5.0510711736966724E-4</v>
      </c>
      <c r="AV13" s="745">
        <f t="shared" si="8"/>
        <v>9.4403625729754578E-3</v>
      </c>
      <c r="AW13" s="745">
        <f t="shared" si="9"/>
        <v>0</v>
      </c>
      <c r="AX13" s="745">
        <f t="shared" si="10"/>
        <v>1.6771846325334305E-2</v>
      </c>
      <c r="AY13" s="745">
        <f t="shared" si="11"/>
        <v>1.9622929566466853E-2</v>
      </c>
      <c r="AZ13" s="745">
        <f t="shared" si="12"/>
        <v>2.1549426949169653E-2</v>
      </c>
      <c r="BA13" s="745">
        <f t="shared" si="13"/>
        <v>9.0379984279815723E-3</v>
      </c>
    </row>
    <row r="14" spans="1:53">
      <c r="A14" s="532">
        <v>41574</v>
      </c>
      <c r="B14" s="766">
        <v>1299.8332865588197</v>
      </c>
      <c r="C14" s="766">
        <v>2552.5258080288781</v>
      </c>
      <c r="D14" s="679">
        <v>5079.1863755075692</v>
      </c>
      <c r="E14" s="679">
        <v>-974.69782503639317</v>
      </c>
      <c r="F14" s="554">
        <v>3451.7831746691463</v>
      </c>
      <c r="G14" s="554">
        <v>3522.6154655926957</v>
      </c>
      <c r="H14" s="554">
        <v>1199.742098119362</v>
      </c>
      <c r="I14" s="554">
        <v>4021.4252107191401</v>
      </c>
      <c r="J14" s="503">
        <v>473.80833436184912</v>
      </c>
      <c r="K14" s="503">
        <v>3849.5714713709544</v>
      </c>
      <c r="L14" s="503">
        <v>543.82703884853072</v>
      </c>
      <c r="M14" s="503">
        <v>847.82694741796377</v>
      </c>
      <c r="N14" s="551"/>
      <c r="O14" s="679"/>
      <c r="P14" s="679"/>
      <c r="Q14" s="679"/>
      <c r="R14" s="679"/>
      <c r="S14" s="554"/>
      <c r="T14" s="554"/>
      <c r="U14" s="554"/>
      <c r="V14" s="554"/>
      <c r="W14" s="503"/>
      <c r="X14" s="503"/>
      <c r="Y14" s="503"/>
      <c r="Z14" s="503"/>
      <c r="AA14" s="771"/>
      <c r="AB14" s="780">
        <f t="shared" si="14"/>
        <v>41652</v>
      </c>
      <c r="AC14" s="745">
        <f>O92</f>
        <v>2389.8656190241181</v>
      </c>
      <c r="AD14" s="745">
        <f t="shared" ref="AD14:AN14" si="26">P92</f>
        <v>3586.8512548495733</v>
      </c>
      <c r="AE14" s="745">
        <f t="shared" si="26"/>
        <v>2652.0520310922311</v>
      </c>
      <c r="AF14" s="745">
        <f t="shared" si="26"/>
        <v>904.78818466914754</v>
      </c>
      <c r="AG14" s="745">
        <f t="shared" si="26"/>
        <v>0</v>
      </c>
      <c r="AH14" s="745">
        <f t="shared" si="26"/>
        <v>80.835369258619281</v>
      </c>
      <c r="AI14" s="745">
        <f t="shared" si="26"/>
        <v>1449.8829426537334</v>
      </c>
      <c r="AJ14" s="745">
        <f t="shared" si="26"/>
        <v>0</v>
      </c>
      <c r="AK14" s="745">
        <f t="shared" si="26"/>
        <v>3531.4050241307</v>
      </c>
      <c r="AL14" s="745">
        <f t="shared" si="26"/>
        <v>6434.4047824233958</v>
      </c>
      <c r="AM14" s="745">
        <f t="shared" si="26"/>
        <v>3523.5426456357095</v>
      </c>
      <c r="AN14" s="745">
        <f t="shared" si="26"/>
        <v>1133.7979125676998</v>
      </c>
      <c r="AO14" s="771"/>
      <c r="AP14" s="745">
        <f t="shared" si="2"/>
        <v>6.6812010596145324E-3</v>
      </c>
      <c r="AQ14" s="745">
        <f t="shared" si="3"/>
        <v>5.4635967324441325E-3</v>
      </c>
      <c r="AR14" s="745">
        <f t="shared" si="4"/>
        <v>1.1190092958195069E-2</v>
      </c>
      <c r="AS14" s="745">
        <f t="shared" si="5"/>
        <v>5.3856439563639731E-3</v>
      </c>
      <c r="AT14" s="745">
        <f t="shared" si="6"/>
        <v>0</v>
      </c>
      <c r="AU14" s="745">
        <f t="shared" si="7"/>
        <v>1.2313079856606136E-4</v>
      </c>
      <c r="AV14" s="745">
        <f t="shared" si="8"/>
        <v>6.1176495470621666E-3</v>
      </c>
      <c r="AW14" s="745">
        <f t="shared" si="9"/>
        <v>0</v>
      </c>
      <c r="AX14" s="745">
        <f t="shared" si="10"/>
        <v>9.8725329162166614E-3</v>
      </c>
      <c r="AY14" s="745">
        <f t="shared" si="11"/>
        <v>9.8010735451993843E-3</v>
      </c>
      <c r="AZ14" s="745">
        <f t="shared" si="12"/>
        <v>1.4867268546986116E-2</v>
      </c>
      <c r="BA14" s="745">
        <f t="shared" si="13"/>
        <v>6.7487970986172601E-3</v>
      </c>
    </row>
    <row r="15" spans="1:53" ht="17" thickBot="1">
      <c r="A15" s="532">
        <v>41575</v>
      </c>
      <c r="B15" s="766">
        <v>1725.6000598467447</v>
      </c>
      <c r="C15" s="766">
        <v>2571.861955501452</v>
      </c>
      <c r="D15" s="679">
        <v>4327.2775504922747</v>
      </c>
      <c r="E15" s="679">
        <v>-293.41236952448696</v>
      </c>
      <c r="F15" s="554">
        <v>3386.9927513678858</v>
      </c>
      <c r="G15" s="554">
        <v>3430.7037563864501</v>
      </c>
      <c r="H15" s="554">
        <v>1177.1531102869649</v>
      </c>
      <c r="I15" s="554">
        <v>3937.0175216630014</v>
      </c>
      <c r="J15" s="503">
        <v>534.74815962271055</v>
      </c>
      <c r="K15" s="503">
        <v>3024.7888559120565</v>
      </c>
      <c r="L15" s="503">
        <v>457.61529249718137</v>
      </c>
      <c r="M15" s="503">
        <v>437.85619371197419</v>
      </c>
      <c r="N15" s="551"/>
      <c r="O15" s="745">
        <f>SUM(B9:B15)</f>
        <v>11976.561984916914</v>
      </c>
      <c r="P15" s="745">
        <f t="shared" ref="P15" si="27">SUM(C9:C15)</f>
        <v>24844.267805604584</v>
      </c>
      <c r="Q15" s="745">
        <f t="shared" ref="Q15" si="28">SUM(D9:D15)</f>
        <v>33404.888249160329</v>
      </c>
      <c r="R15" s="745">
        <f t="shared" ref="R15" si="29">SUM(E9:E15)</f>
        <v>-10837.645106523682</v>
      </c>
      <c r="S15" s="745">
        <f t="shared" ref="S15" si="30">SUM(F9:F15)</f>
        <v>25193.283535709095</v>
      </c>
      <c r="T15" s="745">
        <f t="shared" ref="T15" si="31">SUM(G9:G15)</f>
        <v>25899.484373120667</v>
      </c>
      <c r="U15" s="745">
        <f t="shared" ref="U15" si="32">SUM(H9:H15)</f>
        <v>8812.5447807540659</v>
      </c>
      <c r="V15" s="745">
        <f t="shared" ref="V15" si="33">SUM(I9:I15)</f>
        <v>29151.658859141411</v>
      </c>
      <c r="W15" s="745">
        <f t="shared" ref="W15" si="34">SUM(J9:J15)</f>
        <v>4281.1399073108769</v>
      </c>
      <c r="X15" s="745">
        <f t="shared" ref="X15" si="35">SUM(K9:K15)</f>
        <v>15603.174782967128</v>
      </c>
      <c r="Y15" s="745">
        <f t="shared" ref="Y15" si="36">SUM(L9:L15)</f>
        <v>5165.34289673079</v>
      </c>
      <c r="Z15" s="745">
        <f t="shared" ref="Z15" si="37">SUM(M9:M15)</f>
        <v>9993.0744153034193</v>
      </c>
      <c r="AA15" s="772"/>
      <c r="AB15" s="777"/>
      <c r="AC15" s="766"/>
      <c r="AD15" s="766"/>
      <c r="AE15" s="766"/>
      <c r="AF15" s="766"/>
      <c r="AG15" s="766"/>
      <c r="AH15" s="766"/>
      <c r="AI15" s="766"/>
      <c r="AJ15" s="766"/>
      <c r="AK15" s="766"/>
      <c r="AL15" s="766"/>
      <c r="AM15" s="766"/>
      <c r="AN15" s="766"/>
      <c r="AO15" s="772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</row>
    <row r="16" spans="1:53" ht="17" thickBot="1">
      <c r="A16" s="532">
        <v>41576</v>
      </c>
      <c r="B16" s="766">
        <v>1256.9022616710809</v>
      </c>
      <c r="C16" s="766">
        <v>4014.9651203682652</v>
      </c>
      <c r="D16" s="679">
        <v>1348.7147241867456</v>
      </c>
      <c r="E16" s="679">
        <v>-1863.6361494859684</v>
      </c>
      <c r="F16" s="554">
        <v>3320.9728493172547</v>
      </c>
      <c r="G16" s="554">
        <v>3335.3213795494162</v>
      </c>
      <c r="H16" s="554">
        <v>1147.3230745577475</v>
      </c>
      <c r="I16" s="554">
        <v>3843.4825260192674</v>
      </c>
      <c r="J16" s="503">
        <v>593.80383094180922</v>
      </c>
      <c r="K16" s="503">
        <v>1459.0477993017914</v>
      </c>
      <c r="L16" s="503">
        <v>925.72305158083179</v>
      </c>
      <c r="M16" s="503">
        <v>803.27607667478139</v>
      </c>
      <c r="N16" s="551"/>
      <c r="O16" s="679"/>
      <c r="P16" s="679"/>
      <c r="Q16" s="679"/>
      <c r="R16" s="679"/>
      <c r="S16" s="554"/>
      <c r="T16" s="554"/>
      <c r="U16" s="554"/>
      <c r="V16" s="554"/>
      <c r="W16" s="503"/>
      <c r="X16" s="503"/>
      <c r="Y16" s="503"/>
      <c r="Z16" s="503"/>
      <c r="AA16" s="771"/>
      <c r="AB16" s="776"/>
      <c r="AC16" s="719"/>
      <c r="AD16" s="719">
        <f>SUM(AD2:AD14)</f>
        <v>382479.20065883029</v>
      </c>
      <c r="AE16" s="719"/>
      <c r="AF16" s="719"/>
      <c r="AG16" s="718"/>
      <c r="AH16" s="718"/>
      <c r="AI16" s="718"/>
      <c r="AJ16" s="718"/>
      <c r="AK16" s="717"/>
      <c r="AL16" s="717"/>
      <c r="AM16" s="717"/>
      <c r="AN16" s="717"/>
      <c r="AO16" s="771"/>
      <c r="AP16" s="331" t="s">
        <v>282</v>
      </c>
      <c r="AQ16" s="331" t="s">
        <v>118</v>
      </c>
      <c r="AR16" s="397">
        <v>357700</v>
      </c>
      <c r="AS16" s="719"/>
      <c r="AT16" s="718"/>
      <c r="AU16" s="718"/>
      <c r="AV16" s="718"/>
      <c r="AW16" s="718"/>
      <c r="AX16" s="717"/>
      <c r="AY16" s="717"/>
      <c r="AZ16" s="717"/>
      <c r="BA16" s="717"/>
    </row>
    <row r="17" spans="1:53" ht="17" thickBot="1">
      <c r="A17" s="532">
        <v>41577</v>
      </c>
      <c r="B17" s="766">
        <v>1223.1962718253569</v>
      </c>
      <c r="C17" s="766">
        <v>2638.988455684168</v>
      </c>
      <c r="D17" s="679">
        <v>2975.9003103643217</v>
      </c>
      <c r="E17" s="679">
        <v>-2067.1938329192867</v>
      </c>
      <c r="F17" s="554">
        <v>3251.5510868595784</v>
      </c>
      <c r="G17" s="554">
        <v>3244.8636370307709</v>
      </c>
      <c r="H17" s="554">
        <v>1121.1174283010139</v>
      </c>
      <c r="I17" s="554">
        <v>3742.6911663351893</v>
      </c>
      <c r="J17" s="503">
        <v>568.94187445864668</v>
      </c>
      <c r="K17" s="503">
        <v>3070.5539643558609</v>
      </c>
      <c r="L17" s="503">
        <v>1373.6993484674156</v>
      </c>
      <c r="M17" s="503">
        <v>1148.1717861296536</v>
      </c>
      <c r="N17" s="551"/>
      <c r="O17" s="679"/>
      <c r="P17" s="679"/>
      <c r="Q17" s="679"/>
      <c r="R17" s="679"/>
      <c r="S17" s="554"/>
      <c r="T17" s="554"/>
      <c r="U17" s="554"/>
      <c r="V17" s="554"/>
      <c r="W17" s="503"/>
      <c r="X17" s="503"/>
      <c r="Y17" s="503"/>
      <c r="Z17" s="503"/>
      <c r="AA17" s="771"/>
      <c r="AB17" s="776"/>
      <c r="AC17" s="719"/>
      <c r="AD17" s="719"/>
      <c r="AE17" s="719"/>
      <c r="AF17" s="719"/>
      <c r="AG17" s="718"/>
      <c r="AH17" s="718"/>
      <c r="AI17" s="718"/>
      <c r="AJ17" s="718"/>
      <c r="AK17" s="717"/>
      <c r="AL17" s="717"/>
      <c r="AM17" s="717"/>
      <c r="AN17" s="717"/>
      <c r="AO17" s="771"/>
      <c r="AP17" s="331"/>
      <c r="AQ17" s="331" t="s">
        <v>119</v>
      </c>
      <c r="AR17" s="398">
        <v>656500</v>
      </c>
      <c r="AS17" s="719"/>
      <c r="AT17" s="718"/>
      <c r="AU17" s="718"/>
      <c r="AV17" s="718"/>
      <c r="AW17" s="718"/>
      <c r="AX17" s="717"/>
      <c r="AY17" s="717"/>
      <c r="AZ17" s="717"/>
      <c r="BA17" s="717"/>
    </row>
    <row r="18" spans="1:53" ht="17" thickBot="1">
      <c r="A18" s="532">
        <v>41578</v>
      </c>
      <c r="B18" s="745">
        <v>53.270288524976273</v>
      </c>
      <c r="C18" s="745">
        <v>3738.6901962575726</v>
      </c>
      <c r="D18" s="679">
        <v>3983.8534749547821</v>
      </c>
      <c r="E18" s="679">
        <v>-1913.2869813052339</v>
      </c>
      <c r="F18" s="554">
        <v>3186.0253841289164</v>
      </c>
      <c r="G18" s="554">
        <v>3153.5087411369432</v>
      </c>
      <c r="H18" s="554">
        <v>1105.0805961063866</v>
      </c>
      <c r="I18" s="554">
        <v>3672.7564587843285</v>
      </c>
      <c r="J18" s="503">
        <v>545.22493700532266</v>
      </c>
      <c r="K18" s="503">
        <v>2692.1792916431814</v>
      </c>
      <c r="L18" s="503">
        <v>1261.1634995027873</v>
      </c>
      <c r="M18" s="503">
        <v>1215.0831220522141</v>
      </c>
      <c r="N18" s="552"/>
      <c r="O18" s="679"/>
      <c r="P18" s="679"/>
      <c r="Q18" s="679"/>
      <c r="R18" s="679"/>
      <c r="S18" s="554"/>
      <c r="T18" s="554"/>
      <c r="U18" s="554"/>
      <c r="V18" s="554"/>
      <c r="W18" s="503"/>
      <c r="X18" s="503"/>
      <c r="Y18" s="503"/>
      <c r="Z18" s="503"/>
      <c r="AA18" s="771"/>
      <c r="AB18" s="776"/>
      <c r="AC18" s="719"/>
      <c r="AD18" s="719"/>
      <c r="AE18" s="719"/>
      <c r="AF18" s="719"/>
      <c r="AG18" s="718"/>
      <c r="AH18" s="718"/>
      <c r="AI18" s="718"/>
      <c r="AJ18" s="718"/>
      <c r="AK18" s="717"/>
      <c r="AL18" s="717"/>
      <c r="AM18" s="717"/>
      <c r="AN18" s="717"/>
      <c r="AO18" s="771"/>
      <c r="AP18" s="331"/>
      <c r="AQ18" s="331" t="s">
        <v>120</v>
      </c>
      <c r="AR18" s="398">
        <v>237000</v>
      </c>
      <c r="AS18" s="719"/>
      <c r="AT18" s="718"/>
      <c r="AU18" s="718"/>
      <c r="AV18" s="718"/>
      <c r="AW18" s="718"/>
      <c r="AX18" s="717"/>
      <c r="AY18" s="717"/>
      <c r="AZ18" s="717"/>
      <c r="BA18" s="717"/>
    </row>
    <row r="19" spans="1:53" ht="17" thickBot="1">
      <c r="A19" s="532">
        <v>41579</v>
      </c>
      <c r="B19" s="745">
        <v>1166.9496538818489</v>
      </c>
      <c r="C19" s="745">
        <v>2957.7599979347756</v>
      </c>
      <c r="D19" s="679">
        <v>3691.2148149555665</v>
      </c>
      <c r="E19" s="679">
        <v>-1759.4699911164603</v>
      </c>
      <c r="F19" s="554">
        <v>3125.9866132991547</v>
      </c>
      <c r="G19" s="554">
        <v>3060.8248319957715</v>
      </c>
      <c r="H19" s="554">
        <v>1079.2660665235267</v>
      </c>
      <c r="I19" s="554">
        <v>3599.8733507759857</v>
      </c>
      <c r="J19" s="503">
        <v>522.05390216683611</v>
      </c>
      <c r="K19" s="503">
        <v>2324.1417229858639</v>
      </c>
      <c r="L19" s="503">
        <v>1161.9085474367905</v>
      </c>
      <c r="M19" s="503">
        <v>1136.8157758542125</v>
      </c>
      <c r="N19" s="552"/>
      <c r="O19" s="679"/>
      <c r="P19" s="679"/>
      <c r="Q19" s="679"/>
      <c r="R19" s="679"/>
      <c r="S19" s="554"/>
      <c r="T19" s="554"/>
      <c r="U19" s="554"/>
      <c r="V19" s="554"/>
      <c r="W19" s="503"/>
      <c r="X19" s="503"/>
      <c r="Y19" s="503"/>
      <c r="Z19" s="503"/>
      <c r="AA19" s="771"/>
      <c r="AB19" s="776"/>
      <c r="AC19" s="719"/>
      <c r="AD19" s="719"/>
      <c r="AE19" s="719"/>
      <c r="AF19" s="719"/>
      <c r="AG19" s="718"/>
      <c r="AH19" s="718"/>
      <c r="AI19" s="718"/>
      <c r="AJ19" s="718"/>
      <c r="AK19" s="717"/>
      <c r="AL19" s="717"/>
      <c r="AM19" s="717"/>
      <c r="AN19" s="717"/>
      <c r="AO19" s="771"/>
      <c r="AP19" s="331"/>
      <c r="AQ19" s="331" t="s">
        <v>121</v>
      </c>
      <c r="AR19" s="398">
        <v>168000</v>
      </c>
      <c r="AS19" s="719"/>
      <c r="AT19" s="718"/>
      <c r="AU19" s="718"/>
      <c r="AV19" s="718"/>
      <c r="AW19" s="718"/>
      <c r="AX19" s="717"/>
      <c r="AY19" s="717"/>
      <c r="AZ19" s="717"/>
      <c r="BA19" s="717"/>
    </row>
    <row r="20" spans="1:53">
      <c r="A20" s="532">
        <v>41580</v>
      </c>
      <c r="B20" s="745">
        <v>1059.5414834912708</v>
      </c>
      <c r="C20" s="745">
        <v>3135.0041992329097</v>
      </c>
      <c r="D20" s="679">
        <v>1843.9712227384503</v>
      </c>
      <c r="E20" s="679">
        <v>-1792.2753188562426</v>
      </c>
      <c r="F20" s="554">
        <v>3075.2126724334557</v>
      </c>
      <c r="G20" s="554">
        <v>2969.967387466249</v>
      </c>
      <c r="H20" s="554">
        <v>1050.261239496901</v>
      </c>
      <c r="I20" s="554">
        <v>3529.3769870181677</v>
      </c>
      <c r="J20" s="503">
        <v>501.61950534476307</v>
      </c>
      <c r="K20" s="503">
        <v>1968.5314065255375</v>
      </c>
      <c r="L20" s="503">
        <v>1079.1769101079162</v>
      </c>
      <c r="M20" s="503">
        <v>1099.2031148057665</v>
      </c>
      <c r="N20" s="552"/>
      <c r="O20" s="679"/>
      <c r="P20" s="679"/>
      <c r="Q20" s="679"/>
      <c r="R20" s="679"/>
      <c r="S20" s="554"/>
      <c r="T20" s="554"/>
      <c r="U20" s="554"/>
      <c r="V20" s="554"/>
      <c r="W20" s="503"/>
      <c r="X20" s="503"/>
      <c r="Y20" s="503"/>
      <c r="Z20" s="503"/>
      <c r="AA20" s="771"/>
      <c r="AB20" s="776"/>
      <c r="AC20" s="719"/>
      <c r="AD20" s="719"/>
      <c r="AE20" s="719"/>
      <c r="AF20" s="719"/>
      <c r="AG20" s="718"/>
      <c r="AH20" s="718"/>
      <c r="AI20" s="718"/>
      <c r="AJ20" s="718"/>
      <c r="AK20" s="717"/>
      <c r="AL20" s="717"/>
      <c r="AM20" s="717"/>
      <c r="AN20" s="717"/>
      <c r="AO20" s="771"/>
      <c r="AP20" s="719"/>
      <c r="AQ20" s="719"/>
      <c r="AR20" s="719"/>
      <c r="AS20" s="719"/>
      <c r="AT20" s="718"/>
      <c r="AU20" s="718"/>
      <c r="AV20" s="718"/>
      <c r="AW20" s="718"/>
      <c r="AX20" s="717"/>
      <c r="AY20" s="717"/>
      <c r="AZ20" s="717"/>
      <c r="BA20" s="717"/>
    </row>
    <row r="21" spans="1:53">
      <c r="A21" s="532">
        <v>41581</v>
      </c>
      <c r="B21" s="745">
        <v>886.75822502332255</v>
      </c>
      <c r="C21" s="745">
        <v>3179.3311958696772</v>
      </c>
      <c r="D21" s="679">
        <v>1793.3749391541148</v>
      </c>
      <c r="E21" s="679">
        <v>-1877.016076162894</v>
      </c>
      <c r="F21" s="554">
        <v>3012.732218672867</v>
      </c>
      <c r="G21" s="554">
        <v>2885.2108671035076</v>
      </c>
      <c r="H21" s="554">
        <v>1022.2897376215277</v>
      </c>
      <c r="I21" s="554">
        <v>3450.1747325478345</v>
      </c>
      <c r="J21" s="503">
        <v>479.45425619824169</v>
      </c>
      <c r="K21" s="503">
        <v>1625.2082444821306</v>
      </c>
      <c r="L21" s="503">
        <v>1025.1729484149312</v>
      </c>
      <c r="M21" s="503">
        <v>1091.7636117819873</v>
      </c>
      <c r="N21" s="552"/>
      <c r="O21" s="679"/>
      <c r="P21" s="679"/>
      <c r="Q21" s="679"/>
      <c r="R21" s="679"/>
      <c r="S21" s="554"/>
      <c r="T21" s="554"/>
      <c r="U21" s="554"/>
      <c r="V21" s="554"/>
      <c r="W21" s="503"/>
      <c r="X21" s="503"/>
      <c r="Y21" s="503"/>
      <c r="Z21" s="503"/>
      <c r="AA21" s="771"/>
      <c r="AB21" s="776"/>
      <c r="AC21" s="719"/>
      <c r="AD21" s="719"/>
      <c r="AE21" s="719"/>
      <c r="AF21" s="719"/>
      <c r="AG21" s="718"/>
      <c r="AH21" s="718"/>
      <c r="AI21" s="718"/>
      <c r="AJ21" s="718"/>
      <c r="AK21" s="717"/>
      <c r="AL21" s="717"/>
      <c r="AM21" s="717"/>
      <c r="AN21" s="717"/>
      <c r="AO21" s="771"/>
      <c r="AP21" s="719"/>
      <c r="AQ21" s="719"/>
      <c r="AR21" s="719"/>
      <c r="AS21" s="719"/>
      <c r="AT21" s="718"/>
      <c r="AU21" s="718"/>
      <c r="AV21" s="718"/>
      <c r="AW21" s="718"/>
      <c r="AX21" s="717"/>
      <c r="AY21" s="717"/>
      <c r="AZ21" s="717"/>
      <c r="BA21" s="717"/>
    </row>
    <row r="22" spans="1:53">
      <c r="A22" s="532">
        <v>41582</v>
      </c>
      <c r="B22" s="745">
        <v>-1033.4375658821423</v>
      </c>
      <c r="C22" s="745">
        <v>6272.7313477567559</v>
      </c>
      <c r="D22" s="679">
        <v>2797.8810824290058</v>
      </c>
      <c r="E22" s="679">
        <v>-1217.0327649154863</v>
      </c>
      <c r="F22" s="554">
        <v>2953.8920198335081</v>
      </c>
      <c r="G22" s="554">
        <v>2804.1925729022287</v>
      </c>
      <c r="H22" s="554">
        <v>1003.6699218554547</v>
      </c>
      <c r="I22" s="554">
        <v>3380.5378188157074</v>
      </c>
      <c r="J22" s="503">
        <v>458.32110353777404</v>
      </c>
      <c r="K22" s="503">
        <v>1295.6163482665409</v>
      </c>
      <c r="L22" s="503">
        <v>989.10969362908952</v>
      </c>
      <c r="M22" s="503">
        <v>1114.4938923907318</v>
      </c>
      <c r="N22" s="552"/>
      <c r="O22" s="745">
        <f>SUM(B16:B22)</f>
        <v>4613.1806185357145</v>
      </c>
      <c r="P22" s="745">
        <f t="shared" ref="P22" si="38">SUM(C16:C22)</f>
        <v>25937.470513104123</v>
      </c>
      <c r="Q22" s="745">
        <f t="shared" ref="Q22" si="39">SUM(D16:D22)</f>
        <v>18434.910568782987</v>
      </c>
      <c r="R22" s="745">
        <f t="shared" ref="R22" si="40">SUM(E16:E22)</f>
        <v>-12489.911114761571</v>
      </c>
      <c r="S22" s="745">
        <f t="shared" ref="S22" si="41">SUM(F16:F22)</f>
        <v>21926.372844544734</v>
      </c>
      <c r="T22" s="745">
        <f t="shared" ref="T22" si="42">SUM(G16:G22)</f>
        <v>21453.889417184888</v>
      </c>
      <c r="U22" s="745">
        <f t="shared" ref="U22" si="43">SUM(H16:H22)</f>
        <v>7529.0080644625587</v>
      </c>
      <c r="V22" s="745">
        <f t="shared" ref="V22" si="44">SUM(I16:I22)</f>
        <v>25218.893040296483</v>
      </c>
      <c r="W22" s="745">
        <f t="shared" ref="W22" si="45">SUM(J16:J22)</f>
        <v>3669.4194096533934</v>
      </c>
      <c r="X22" s="745">
        <f t="shared" ref="X22" si="46">SUM(K16:K22)</f>
        <v>14435.278777560907</v>
      </c>
      <c r="Y22" s="745">
        <f t="shared" ref="Y22" si="47">SUM(L16:L22)</f>
        <v>7815.9539991397614</v>
      </c>
      <c r="Z22" s="745">
        <f t="shared" ref="Z22" si="48">SUM(M16:M22)</f>
        <v>7608.8073796893477</v>
      </c>
      <c r="AA22" s="772"/>
      <c r="AB22" s="777"/>
      <c r="AC22" s="766"/>
      <c r="AD22" s="766"/>
      <c r="AE22" s="766"/>
      <c r="AF22" s="766"/>
      <c r="AG22" s="766"/>
      <c r="AH22" s="766"/>
      <c r="AI22" s="766"/>
      <c r="AJ22" s="766"/>
      <c r="AK22" s="766"/>
      <c r="AL22" s="766"/>
      <c r="AM22" s="766"/>
      <c r="AN22" s="766"/>
      <c r="AO22" s="772"/>
      <c r="AP22" s="766"/>
      <c r="AQ22" s="766"/>
      <c r="AR22" s="766"/>
      <c r="AS22" s="766"/>
      <c r="AT22" s="766"/>
      <c r="AU22" s="766"/>
      <c r="AV22" s="766"/>
      <c r="AW22" s="766"/>
      <c r="AX22" s="766"/>
      <c r="AY22" s="766"/>
      <c r="AZ22" s="766"/>
      <c r="BA22" s="766"/>
    </row>
    <row r="23" spans="1:53">
      <c r="A23" s="532">
        <v>41583</v>
      </c>
      <c r="B23" s="745">
        <v>311.0975318352402</v>
      </c>
      <c r="C23" s="745">
        <v>2129.7530496232243</v>
      </c>
      <c r="D23" s="679">
        <v>3110.6777967172643</v>
      </c>
      <c r="E23" s="679">
        <v>-718.51274691413767</v>
      </c>
      <c r="F23" s="554">
        <v>2920.7210072600874</v>
      </c>
      <c r="G23" s="554">
        <v>2775.8161661487411</v>
      </c>
      <c r="H23" s="554">
        <v>985.92843304868461</v>
      </c>
      <c r="I23" s="554">
        <v>3315.0380180869524</v>
      </c>
      <c r="J23" s="503">
        <v>437.56829480653784</v>
      </c>
      <c r="K23" s="503">
        <v>974.58136278495408</v>
      </c>
      <c r="L23" s="503">
        <v>932.8207524523408</v>
      </c>
      <c r="M23" s="503">
        <v>1121.4202556161804</v>
      </c>
      <c r="N23" s="552"/>
      <c r="O23" s="679"/>
      <c r="P23" s="679"/>
      <c r="Q23" s="679"/>
      <c r="R23" s="679"/>
      <c r="S23" s="554"/>
      <c r="T23" s="554"/>
      <c r="U23" s="554"/>
      <c r="V23" s="554"/>
      <c r="W23" s="503"/>
      <c r="X23" s="503"/>
      <c r="Y23" s="503"/>
      <c r="Z23" s="503"/>
      <c r="AA23" s="771"/>
      <c r="AB23" s="776"/>
      <c r="AC23" s="719"/>
      <c r="AD23" s="719"/>
      <c r="AE23" s="719"/>
      <c r="AF23" s="719"/>
      <c r="AG23" s="718"/>
      <c r="AH23" s="718"/>
      <c r="AI23" s="718"/>
      <c r="AJ23" s="718"/>
      <c r="AK23" s="717"/>
      <c r="AL23" s="717"/>
      <c r="AM23" s="717"/>
      <c r="AN23" s="717"/>
      <c r="AO23" s="771"/>
      <c r="AP23" s="719"/>
      <c r="AQ23" s="719"/>
      <c r="AR23" s="719"/>
      <c r="AS23" s="719"/>
      <c r="AT23" s="718"/>
      <c r="AU23" s="718"/>
      <c r="AV23" s="718"/>
      <c r="AW23" s="718"/>
      <c r="AX23" s="717"/>
      <c r="AY23" s="717"/>
      <c r="AZ23" s="717"/>
      <c r="BA23" s="717"/>
    </row>
    <row r="24" spans="1:53">
      <c r="A24" s="532">
        <v>41584</v>
      </c>
      <c r="B24" s="745">
        <v>1170.1165636177072</v>
      </c>
      <c r="C24" s="745">
        <v>5765.693657873675</v>
      </c>
      <c r="D24" s="679">
        <v>1945.4681929880235</v>
      </c>
      <c r="E24" s="679">
        <v>-1434.6362246489791</v>
      </c>
      <c r="F24" s="554">
        <v>2941.2617154181348</v>
      </c>
      <c r="G24" s="554">
        <v>2799.277264394188</v>
      </c>
      <c r="H24" s="554">
        <v>983.18826998085694</v>
      </c>
      <c r="I24" s="554">
        <v>3359.1555797002125</v>
      </c>
      <c r="J24" s="503">
        <v>427.00007567847274</v>
      </c>
      <c r="K24" s="503">
        <v>679.74794887970893</v>
      </c>
      <c r="L24" s="503">
        <v>874.77239244353734</v>
      </c>
      <c r="M24" s="503">
        <v>1155.0104935880631</v>
      </c>
      <c r="N24" s="552"/>
      <c r="O24" s="679"/>
      <c r="P24" s="679"/>
      <c r="Q24" s="679"/>
      <c r="R24" s="679"/>
      <c r="S24" s="554"/>
      <c r="T24" s="554"/>
      <c r="U24" s="554"/>
      <c r="V24" s="554"/>
      <c r="W24" s="503"/>
      <c r="X24" s="503"/>
      <c r="Y24" s="503"/>
      <c r="Z24" s="503"/>
      <c r="AA24" s="771"/>
      <c r="AB24" s="776"/>
      <c r="AC24" s="719"/>
      <c r="AD24" s="719"/>
      <c r="AE24" s="719"/>
      <c r="AF24" s="719"/>
      <c r="AG24" s="718"/>
      <c r="AH24" s="718"/>
      <c r="AI24" s="718"/>
      <c r="AJ24" s="718"/>
      <c r="AK24" s="717"/>
      <c r="AL24" s="717"/>
      <c r="AM24" s="717"/>
      <c r="AN24" s="717"/>
      <c r="AO24" s="771"/>
      <c r="AP24" s="719"/>
      <c r="AQ24" s="719"/>
      <c r="AR24" s="719"/>
      <c r="AS24" s="719"/>
      <c r="AT24" s="718"/>
      <c r="AU24" s="718"/>
      <c r="AV24" s="718"/>
      <c r="AW24" s="718"/>
      <c r="AX24" s="717"/>
      <c r="AY24" s="717"/>
      <c r="AZ24" s="717"/>
      <c r="BA24" s="717"/>
    </row>
    <row r="25" spans="1:53">
      <c r="A25" s="532">
        <v>41585</v>
      </c>
      <c r="B25" s="766">
        <v>840.05461783475664</v>
      </c>
      <c r="C25" s="766">
        <v>3727.3935120320079</v>
      </c>
      <c r="D25" s="679">
        <v>2548.189112217909</v>
      </c>
      <c r="E25" s="679">
        <v>-2010.2828621834265</v>
      </c>
      <c r="F25" s="554">
        <v>2913.2472645131029</v>
      </c>
      <c r="G25" s="554">
        <v>2756.4075114624957</v>
      </c>
      <c r="H25" s="554">
        <v>969.06266100821915</v>
      </c>
      <c r="I25" s="554">
        <v>3320.5689612282245</v>
      </c>
      <c r="J25" s="503">
        <v>411.1820084111958</v>
      </c>
      <c r="K25" s="503">
        <v>377.85771819124801</v>
      </c>
      <c r="L25" s="503">
        <v>532.9485147855147</v>
      </c>
      <c r="M25" s="503">
        <v>1665.0339270453044</v>
      </c>
      <c r="N25" s="551"/>
      <c r="O25" s="679"/>
      <c r="P25" s="679"/>
      <c r="Q25" s="679"/>
      <c r="R25" s="679"/>
      <c r="S25" s="554"/>
      <c r="T25" s="554"/>
      <c r="U25" s="554"/>
      <c r="V25" s="554"/>
      <c r="W25" s="503"/>
      <c r="X25" s="503"/>
      <c r="Y25" s="503"/>
      <c r="Z25" s="503"/>
      <c r="AA25" s="771"/>
      <c r="AB25" s="776"/>
      <c r="AC25" s="719"/>
      <c r="AD25" s="719"/>
      <c r="AE25" s="719"/>
      <c r="AF25" s="719"/>
      <c r="AG25" s="718"/>
      <c r="AH25" s="718"/>
      <c r="AI25" s="718"/>
      <c r="AJ25" s="718"/>
      <c r="AK25" s="717"/>
      <c r="AL25" s="717"/>
      <c r="AM25" s="717"/>
      <c r="AN25" s="717"/>
      <c r="AO25" s="771"/>
      <c r="AP25" s="719"/>
      <c r="AQ25" s="719"/>
      <c r="AR25" s="719"/>
      <c r="AS25" s="719"/>
      <c r="AT25" s="718"/>
      <c r="AU25" s="718"/>
      <c r="AV25" s="718"/>
      <c r="AW25" s="718"/>
      <c r="AX25" s="717"/>
      <c r="AY25" s="717"/>
      <c r="AZ25" s="717"/>
      <c r="BA25" s="717"/>
    </row>
    <row r="26" spans="1:53">
      <c r="A26" s="532">
        <v>41586</v>
      </c>
      <c r="B26" s="766">
        <v>694.57372703467479</v>
      </c>
      <c r="C26" s="766">
        <v>5231.7059621496746</v>
      </c>
      <c r="D26" s="679">
        <v>2684.6865826294174</v>
      </c>
      <c r="E26" s="679">
        <v>-718.26433974451641</v>
      </c>
      <c r="F26" s="554">
        <v>2853.0558526356094</v>
      </c>
      <c r="G26" s="554">
        <v>2665.9296000034033</v>
      </c>
      <c r="H26" s="554">
        <v>949.49871292308046</v>
      </c>
      <c r="I26" s="554">
        <v>3236.2674164880573</v>
      </c>
      <c r="J26" s="503">
        <v>391.01534517122576</v>
      </c>
      <c r="K26" s="503">
        <v>370.45341629368727</v>
      </c>
      <c r="L26" s="503">
        <v>587.97724643191896</v>
      </c>
      <c r="M26" s="503">
        <v>683.84962269666971</v>
      </c>
      <c r="N26" s="551"/>
      <c r="O26" s="679"/>
      <c r="P26" s="679"/>
      <c r="Q26" s="679"/>
      <c r="R26" s="679"/>
      <c r="S26" s="554"/>
      <c r="T26" s="554"/>
      <c r="U26" s="554"/>
      <c r="V26" s="554"/>
      <c r="W26" s="503"/>
      <c r="X26" s="503"/>
      <c r="Y26" s="503"/>
      <c r="Z26" s="503"/>
      <c r="AA26" s="771"/>
      <c r="AB26" s="776"/>
      <c r="AC26" s="719"/>
      <c r="AD26" s="719"/>
      <c r="AE26" s="719"/>
      <c r="AF26" s="719"/>
      <c r="AG26" s="718"/>
      <c r="AH26" s="718"/>
      <c r="AI26" s="718"/>
      <c r="AJ26" s="718"/>
      <c r="AK26" s="717"/>
      <c r="AL26" s="717"/>
      <c r="AM26" s="717"/>
      <c r="AN26" s="717"/>
      <c r="AO26" s="771"/>
      <c r="AP26" s="719"/>
      <c r="AQ26" s="719"/>
      <c r="AR26" s="719"/>
      <c r="AS26" s="719"/>
      <c r="AT26" s="718"/>
      <c r="AU26" s="718"/>
      <c r="AV26" s="718"/>
      <c r="AW26" s="718"/>
      <c r="AX26" s="717"/>
      <c r="AY26" s="717"/>
      <c r="AZ26" s="717"/>
      <c r="BA26" s="717"/>
    </row>
    <row r="27" spans="1:53">
      <c r="A27" s="532">
        <v>41587</v>
      </c>
      <c r="B27" s="766">
        <v>1146.5079512239827</v>
      </c>
      <c r="C27" s="766">
        <v>3608.4313474399542</v>
      </c>
      <c r="D27" s="679">
        <v>2398.7887060696576</v>
      </c>
      <c r="E27" s="679">
        <v>-1037.8002102337034</v>
      </c>
      <c r="F27" s="554">
        <v>2795.473202043474</v>
      </c>
      <c r="G27" s="554">
        <v>2578.8394324082365</v>
      </c>
      <c r="H27" s="554">
        <v>927.61602090416545</v>
      </c>
      <c r="I27" s="554">
        <v>3148.6892586688869</v>
      </c>
      <c r="J27" s="503">
        <v>371.53611534938983</v>
      </c>
      <c r="K27" s="503">
        <v>938.53499766759796</v>
      </c>
      <c r="L27" s="503">
        <v>629.79599043668622</v>
      </c>
      <c r="M27" s="503">
        <v>888.52515314579466</v>
      </c>
      <c r="N27" s="551"/>
      <c r="O27" s="679"/>
      <c r="P27" s="679"/>
      <c r="Q27" s="679"/>
      <c r="R27" s="679"/>
      <c r="S27" s="554"/>
      <c r="T27" s="554"/>
      <c r="U27" s="554"/>
      <c r="V27" s="554"/>
      <c r="W27" s="503"/>
      <c r="X27" s="503"/>
      <c r="Y27" s="503"/>
      <c r="Z27" s="503"/>
      <c r="AA27" s="771"/>
      <c r="AB27" s="776"/>
      <c r="AC27" s="719"/>
      <c r="AD27" s="719"/>
      <c r="AE27" s="719"/>
      <c r="AF27" s="719"/>
      <c r="AG27" s="718"/>
      <c r="AH27" s="718"/>
      <c r="AI27" s="718"/>
      <c r="AJ27" s="718"/>
      <c r="AK27" s="717"/>
      <c r="AL27" s="717"/>
      <c r="AM27" s="717"/>
      <c r="AN27" s="717"/>
      <c r="AO27" s="771"/>
      <c r="AP27" s="719"/>
      <c r="AQ27" s="719"/>
      <c r="AR27" s="719"/>
      <c r="AS27" s="719"/>
      <c r="AT27" s="718"/>
      <c r="AU27" s="718"/>
      <c r="AV27" s="718"/>
      <c r="AW27" s="718"/>
      <c r="AX27" s="717"/>
      <c r="AY27" s="717"/>
      <c r="AZ27" s="717"/>
      <c r="BA27" s="717"/>
    </row>
    <row r="28" spans="1:53">
      <c r="A28" s="532">
        <v>41588</v>
      </c>
      <c r="B28" s="766">
        <v>1425.6806965141175</v>
      </c>
      <c r="C28" s="766">
        <v>5475.3785635885706</v>
      </c>
      <c r="D28" s="679">
        <v>2407.0492368172859</v>
      </c>
      <c r="E28" s="679">
        <v>-709.6972946126873</v>
      </c>
      <c r="F28" s="554">
        <v>2737.6701783390349</v>
      </c>
      <c r="G28" s="554">
        <v>2488.4105314270105</v>
      </c>
      <c r="H28" s="554">
        <v>904.68401464500926</v>
      </c>
      <c r="I28" s="554">
        <v>3053.5743139600786</v>
      </c>
      <c r="J28" s="503">
        <v>352.68007629585622</v>
      </c>
      <c r="K28" s="503">
        <v>164.74940797145427</v>
      </c>
      <c r="L28" s="503">
        <v>752.06861417796756</v>
      </c>
      <c r="M28" s="503">
        <v>1080.0223676025682</v>
      </c>
      <c r="N28" s="551"/>
      <c r="O28" s="679"/>
      <c r="P28" s="679"/>
      <c r="Q28" s="679"/>
      <c r="R28" s="679"/>
      <c r="S28" s="554"/>
      <c r="T28" s="554"/>
      <c r="U28" s="554"/>
      <c r="V28" s="554"/>
      <c r="W28" s="503"/>
      <c r="X28" s="503"/>
      <c r="Y28" s="503"/>
      <c r="Z28" s="503"/>
      <c r="AA28" s="771"/>
      <c r="AB28" s="776"/>
      <c r="AC28" s="719"/>
      <c r="AD28" s="719"/>
      <c r="AE28" s="719"/>
      <c r="AF28" s="719"/>
      <c r="AG28" s="718"/>
      <c r="AH28" s="718"/>
      <c r="AI28" s="718"/>
      <c r="AJ28" s="718"/>
      <c r="AK28" s="717"/>
      <c r="AL28" s="717"/>
      <c r="AM28" s="717"/>
      <c r="AN28" s="717"/>
      <c r="AO28" s="771"/>
      <c r="AP28" s="719"/>
      <c r="AQ28" s="719"/>
      <c r="AR28" s="719"/>
      <c r="AS28" s="719"/>
      <c r="AT28" s="718"/>
      <c r="AU28" s="718"/>
      <c r="AV28" s="718"/>
      <c r="AW28" s="718"/>
      <c r="AX28" s="717"/>
      <c r="AY28" s="717"/>
      <c r="AZ28" s="717"/>
      <c r="BA28" s="717"/>
    </row>
    <row r="29" spans="1:53">
      <c r="A29" s="532">
        <v>41589</v>
      </c>
      <c r="B29" s="766">
        <v>1257.0189978161839</v>
      </c>
      <c r="C29" s="766">
        <v>4119.8113255483304</v>
      </c>
      <c r="D29" s="679">
        <v>2415.9917450443368</v>
      </c>
      <c r="E29" s="679">
        <v>508.95621545744058</v>
      </c>
      <c r="F29" s="554">
        <v>2674.27869508493</v>
      </c>
      <c r="G29" s="554">
        <v>2396.9301605233682</v>
      </c>
      <c r="H29" s="554">
        <v>882.46525304684178</v>
      </c>
      <c r="I29" s="554">
        <v>2959.420334439531</v>
      </c>
      <c r="J29" s="503">
        <v>347.07243906512053</v>
      </c>
      <c r="K29" s="503">
        <v>1387.4158651291882</v>
      </c>
      <c r="L29" s="503">
        <v>764.59662298310968</v>
      </c>
      <c r="M29" s="503">
        <v>1261.7458806083785</v>
      </c>
      <c r="N29" s="551"/>
      <c r="O29" s="745">
        <f>SUM(B23:B29)</f>
        <v>6845.0500858766627</v>
      </c>
      <c r="P29" s="745">
        <f t="shared" ref="P29" si="49">SUM(C23:C29)</f>
        <v>30058.167418255438</v>
      </c>
      <c r="Q29" s="745">
        <f t="shared" ref="Q29" si="50">SUM(D23:D29)</f>
        <v>17510.851372483896</v>
      </c>
      <c r="R29" s="745">
        <f t="shared" ref="R29" si="51">SUM(E23:E29)</f>
        <v>-6120.2374628800089</v>
      </c>
      <c r="S29" s="745">
        <f t="shared" ref="S29" si="52">SUM(F23:F29)</f>
        <v>19835.70791529437</v>
      </c>
      <c r="T29" s="745">
        <f t="shared" ref="T29" si="53">SUM(G23:G29)</f>
        <v>18461.610666367444</v>
      </c>
      <c r="U29" s="745">
        <f t="shared" ref="U29" si="54">SUM(H23:H29)</f>
        <v>6602.4433655568573</v>
      </c>
      <c r="V29" s="745">
        <f t="shared" ref="V29" si="55">SUM(I23:I29)</f>
        <v>22392.713882571945</v>
      </c>
      <c r="W29" s="745">
        <f t="shared" ref="W29" si="56">SUM(J23:J29)</f>
        <v>2738.0543547777988</v>
      </c>
      <c r="X29" s="745">
        <f t="shared" ref="X29" si="57">SUM(K23:K29)</f>
        <v>4893.340716917839</v>
      </c>
      <c r="Y29" s="745">
        <f t="shared" ref="Y29" si="58">SUM(L23:L29)</f>
        <v>5074.9801337110748</v>
      </c>
      <c r="Z29" s="745">
        <f t="shared" ref="Z29" si="59">SUM(M23:M29)</f>
        <v>7855.6077003029586</v>
      </c>
      <c r="AA29" s="772"/>
      <c r="AB29" s="777"/>
      <c r="AC29" s="766"/>
      <c r="AD29" s="766"/>
      <c r="AE29" s="766"/>
      <c r="AF29" s="766"/>
      <c r="AG29" s="766"/>
      <c r="AH29" s="766"/>
      <c r="AI29" s="766"/>
      <c r="AJ29" s="766"/>
      <c r="AK29" s="766"/>
      <c r="AL29" s="766"/>
      <c r="AM29" s="766"/>
      <c r="AN29" s="766"/>
      <c r="AO29" s="772"/>
      <c r="AP29" s="766"/>
      <c r="AQ29" s="766"/>
      <c r="AR29" s="766"/>
      <c r="AS29" s="766"/>
      <c r="AT29" s="766"/>
      <c r="AU29" s="766"/>
      <c r="AV29" s="766"/>
      <c r="AW29" s="766"/>
      <c r="AX29" s="766"/>
      <c r="AY29" s="766"/>
      <c r="AZ29" s="766"/>
      <c r="BA29" s="766"/>
    </row>
    <row r="30" spans="1:53">
      <c r="A30" s="532">
        <v>41590</v>
      </c>
      <c r="B30" s="766">
        <v>1304.1177216846295</v>
      </c>
      <c r="C30" s="766">
        <v>5755.1721885459365</v>
      </c>
      <c r="D30" s="679">
        <v>1834.4221586340493</v>
      </c>
      <c r="E30" s="679">
        <v>-1378.1787079175892</v>
      </c>
      <c r="F30" s="554">
        <v>2608.9466496960995</v>
      </c>
      <c r="G30" s="554">
        <v>2299.2246345682497</v>
      </c>
      <c r="H30" s="554">
        <v>859.2092254656917</v>
      </c>
      <c r="I30" s="554">
        <v>2843.134144698457</v>
      </c>
      <c r="J30" s="503">
        <v>57.378474030314536</v>
      </c>
      <c r="K30" s="503">
        <v>604.32305682506319</v>
      </c>
      <c r="L30" s="503">
        <v>586.72689592121822</v>
      </c>
      <c r="M30" s="503">
        <v>1167.3156812289924</v>
      </c>
      <c r="N30" s="551"/>
      <c r="O30" s="679"/>
      <c r="P30" s="679"/>
      <c r="Q30" s="679"/>
      <c r="R30" s="679"/>
      <c r="S30" s="554"/>
      <c r="T30" s="554"/>
      <c r="U30" s="554"/>
      <c r="V30" s="554"/>
      <c r="W30" s="503"/>
      <c r="X30" s="503"/>
      <c r="Y30" s="503"/>
      <c r="Z30" s="503"/>
      <c r="AA30" s="771"/>
      <c r="AB30" s="776"/>
      <c r="AC30" s="719"/>
      <c r="AD30" s="719"/>
      <c r="AE30" s="719"/>
      <c r="AF30" s="719"/>
      <c r="AG30" s="718"/>
      <c r="AH30" s="718"/>
      <c r="AI30" s="718"/>
      <c r="AJ30" s="718"/>
      <c r="AK30" s="717"/>
      <c r="AL30" s="717"/>
      <c r="AM30" s="717"/>
      <c r="AN30" s="717"/>
      <c r="AO30" s="771"/>
      <c r="AP30" s="719"/>
      <c r="AQ30" s="719"/>
      <c r="AR30" s="719"/>
      <c r="AS30" s="719"/>
      <c r="AT30" s="718"/>
      <c r="AU30" s="718"/>
      <c r="AV30" s="718"/>
      <c r="AW30" s="718"/>
      <c r="AX30" s="717"/>
      <c r="AY30" s="717"/>
      <c r="AZ30" s="717"/>
      <c r="BA30" s="717"/>
    </row>
    <row r="31" spans="1:53">
      <c r="A31" s="532">
        <v>41591</v>
      </c>
      <c r="B31" s="745">
        <v>866.38502053778029</v>
      </c>
      <c r="C31" s="745">
        <v>5945.9880002685641</v>
      </c>
      <c r="D31" s="679">
        <v>2017.7091078762571</v>
      </c>
      <c r="E31" s="679">
        <v>-1168.7682165502204</v>
      </c>
      <c r="F31" s="554">
        <v>2546.4448576398609</v>
      </c>
      <c r="G31" s="554">
        <v>2195.6772303859502</v>
      </c>
      <c r="H31" s="554">
        <v>836.235002572045</v>
      </c>
      <c r="I31" s="554">
        <v>2702.3350320258619</v>
      </c>
      <c r="J31" s="503">
        <v>345.75841266826944</v>
      </c>
      <c r="K31" s="503">
        <v>787.93526819283591</v>
      </c>
      <c r="L31" s="503">
        <v>416.07626911794227</v>
      </c>
      <c r="M31" s="503">
        <v>1063.0332016075806</v>
      </c>
      <c r="N31" s="552"/>
      <c r="O31" s="679"/>
      <c r="P31" s="679"/>
      <c r="Q31" s="679"/>
      <c r="R31" s="679"/>
      <c r="S31" s="554"/>
      <c r="T31" s="554"/>
      <c r="U31" s="554"/>
      <c r="V31" s="554"/>
      <c r="W31" s="503"/>
      <c r="X31" s="503"/>
      <c r="Y31" s="503"/>
      <c r="Z31" s="503"/>
      <c r="AA31" s="771"/>
      <c r="AB31" s="776"/>
      <c r="AC31" s="719"/>
      <c r="AD31" s="719"/>
      <c r="AE31" s="719"/>
      <c r="AF31" s="719"/>
      <c r="AG31" s="718"/>
      <c r="AH31" s="718"/>
      <c r="AI31" s="718"/>
      <c r="AJ31" s="718"/>
      <c r="AK31" s="717"/>
      <c r="AL31" s="717"/>
      <c r="AM31" s="717"/>
      <c r="AN31" s="717"/>
      <c r="AO31" s="771"/>
      <c r="AP31" s="719"/>
      <c r="AQ31" s="719"/>
      <c r="AR31" s="719"/>
      <c r="AS31" s="719"/>
      <c r="AT31" s="718"/>
      <c r="AU31" s="718"/>
      <c r="AV31" s="718"/>
      <c r="AW31" s="718"/>
      <c r="AX31" s="717"/>
      <c r="AY31" s="717"/>
      <c r="AZ31" s="717"/>
      <c r="BA31" s="717"/>
    </row>
    <row r="32" spans="1:53">
      <c r="A32" s="532">
        <v>41592</v>
      </c>
      <c r="B32" s="766">
        <v>1426.6051661547351</v>
      </c>
      <c r="C32" s="766">
        <v>6201.1155030695327</v>
      </c>
      <c r="D32" s="679">
        <v>2315.0036748217622</v>
      </c>
      <c r="E32" s="679">
        <v>-921.55713384622584</v>
      </c>
      <c r="F32" s="554">
        <v>2489.326053537367</v>
      </c>
      <c r="G32" s="554">
        <v>2094.3697109267555</v>
      </c>
      <c r="H32" s="554">
        <v>817.05545316792472</v>
      </c>
      <c r="I32" s="554">
        <v>2617.6146145096814</v>
      </c>
      <c r="J32" s="503">
        <v>624.89680934846263</v>
      </c>
      <c r="K32" s="503">
        <v>961.83591964620393</v>
      </c>
      <c r="L32" s="503">
        <v>253.94149771817808</v>
      </c>
      <c r="M32" s="503">
        <v>983.8304878454511</v>
      </c>
      <c r="N32" s="551"/>
      <c r="O32" s="679"/>
      <c r="P32" s="679"/>
      <c r="Q32" s="679"/>
      <c r="R32" s="679"/>
      <c r="S32" s="554"/>
      <c r="T32" s="554"/>
      <c r="U32" s="554"/>
      <c r="V32" s="554"/>
      <c r="W32" s="503"/>
      <c r="X32" s="503"/>
      <c r="Y32" s="503"/>
      <c r="Z32" s="503"/>
      <c r="AA32" s="771"/>
      <c r="AB32" s="776"/>
      <c r="AC32" s="719"/>
      <c r="AD32" s="719"/>
      <c r="AE32" s="719"/>
      <c r="AF32" s="719"/>
      <c r="AG32" s="718"/>
      <c r="AH32" s="718"/>
      <c r="AI32" s="718"/>
      <c r="AJ32" s="718"/>
      <c r="AK32" s="717"/>
      <c r="AL32" s="717"/>
      <c r="AM32" s="717"/>
      <c r="AN32" s="717"/>
      <c r="AO32" s="771"/>
      <c r="AP32" s="719"/>
      <c r="AQ32" s="719"/>
      <c r="AR32" s="719"/>
      <c r="AS32" s="719"/>
      <c r="AT32" s="718"/>
      <c r="AU32" s="718"/>
      <c r="AV32" s="718"/>
      <c r="AW32" s="718"/>
      <c r="AX32" s="717"/>
      <c r="AY32" s="717"/>
      <c r="AZ32" s="717"/>
      <c r="BA32" s="717"/>
    </row>
    <row r="33" spans="1:53">
      <c r="A33" s="532">
        <v>41593</v>
      </c>
      <c r="B33" s="745">
        <v>1826.8684070893298</v>
      </c>
      <c r="C33" s="745">
        <v>5503.271898891071</v>
      </c>
      <c r="D33" s="679">
        <v>2530.3212682165822</v>
      </c>
      <c r="E33" s="679">
        <v>428.08692538327307</v>
      </c>
      <c r="F33" s="554">
        <v>2431.7823611774234</v>
      </c>
      <c r="G33" s="554">
        <v>1983.6728270903791</v>
      </c>
      <c r="H33" s="554">
        <v>798.7779194050097</v>
      </c>
      <c r="I33" s="554">
        <v>2538.04430625331</v>
      </c>
      <c r="J33" s="503">
        <v>586.71132951193738</v>
      </c>
      <c r="K33" s="503">
        <v>1130.6241208595</v>
      </c>
      <c r="L33" s="503">
        <v>417.61453003369013</v>
      </c>
      <c r="M33" s="503">
        <v>911.30135233038004</v>
      </c>
      <c r="N33" s="552"/>
      <c r="O33" s="679"/>
      <c r="P33" s="679"/>
      <c r="Q33" s="679"/>
      <c r="R33" s="679"/>
      <c r="S33" s="554"/>
      <c r="T33" s="554"/>
      <c r="U33" s="554"/>
      <c r="V33" s="554"/>
      <c r="W33" s="503"/>
      <c r="X33" s="503"/>
      <c r="Y33" s="503"/>
      <c r="Z33" s="503"/>
      <c r="AA33" s="771"/>
      <c r="AB33" s="776"/>
      <c r="AC33" s="719"/>
      <c r="AD33" s="719"/>
      <c r="AE33" s="719"/>
      <c r="AF33" s="719"/>
      <c r="AG33" s="718"/>
      <c r="AH33" s="718"/>
      <c r="AI33" s="718"/>
      <c r="AJ33" s="718"/>
      <c r="AK33" s="717"/>
      <c r="AL33" s="717"/>
      <c r="AM33" s="717"/>
      <c r="AN33" s="717"/>
      <c r="AO33" s="771"/>
      <c r="AP33" s="719"/>
      <c r="AQ33" s="719"/>
      <c r="AR33" s="719"/>
      <c r="AS33" s="719"/>
      <c r="AT33" s="718"/>
      <c r="AU33" s="718"/>
      <c r="AV33" s="718"/>
      <c r="AW33" s="718"/>
      <c r="AX33" s="717"/>
      <c r="AY33" s="717"/>
      <c r="AZ33" s="717"/>
      <c r="BA33" s="717"/>
    </row>
    <row r="34" spans="1:53">
      <c r="A34" s="532">
        <v>41594</v>
      </c>
      <c r="B34" s="745">
        <v>1955.4959563375862</v>
      </c>
      <c r="C34" s="745">
        <v>6119.9573819858051</v>
      </c>
      <c r="D34" s="679">
        <v>2240.4892837195516</v>
      </c>
      <c r="E34" s="679">
        <v>735.43423332665236</v>
      </c>
      <c r="F34" s="554">
        <v>2358.6658759200773</v>
      </c>
      <c r="G34" s="554">
        <v>1865.8220276137465</v>
      </c>
      <c r="H34" s="554">
        <v>777.17763739554493</v>
      </c>
      <c r="I34" s="554">
        <v>2429.4551841308639</v>
      </c>
      <c r="J34" s="503">
        <v>546.2950044347956</v>
      </c>
      <c r="K34" s="503">
        <v>1285.5530826757292</v>
      </c>
      <c r="L34" s="503">
        <v>573.35029210535993</v>
      </c>
      <c r="M34" s="503">
        <v>836.04759598372266</v>
      </c>
      <c r="N34" s="552"/>
      <c r="O34" s="679"/>
      <c r="P34" s="679"/>
      <c r="Q34" s="679"/>
      <c r="R34" s="679"/>
      <c r="S34" s="554"/>
      <c r="T34" s="554"/>
      <c r="U34" s="554"/>
      <c r="V34" s="554"/>
      <c r="W34" s="503"/>
      <c r="X34" s="503"/>
      <c r="Y34" s="503"/>
      <c r="Z34" s="503"/>
      <c r="AA34" s="771"/>
      <c r="AB34" s="776"/>
      <c r="AC34" s="719"/>
      <c r="AD34" s="719"/>
      <c r="AE34" s="719"/>
      <c r="AF34" s="719"/>
      <c r="AG34" s="718"/>
      <c r="AH34" s="718"/>
      <c r="AI34" s="718"/>
      <c r="AJ34" s="718"/>
      <c r="AK34" s="717"/>
      <c r="AL34" s="717"/>
      <c r="AM34" s="717"/>
      <c r="AN34" s="717"/>
      <c r="AO34" s="771"/>
      <c r="AP34" s="719"/>
      <c r="AQ34" s="719"/>
      <c r="AR34" s="719"/>
      <c r="AS34" s="719"/>
      <c r="AT34" s="718"/>
      <c r="AU34" s="718"/>
      <c r="AV34" s="718"/>
      <c r="AW34" s="718"/>
      <c r="AX34" s="717"/>
      <c r="AY34" s="717"/>
      <c r="AZ34" s="717"/>
      <c r="BA34" s="717"/>
    </row>
    <row r="35" spans="1:53">
      <c r="A35" s="532">
        <v>41595</v>
      </c>
      <c r="B35" s="745">
        <v>33291.488047679304</v>
      </c>
      <c r="C35" s="745">
        <v>-5640.4977386272967</v>
      </c>
      <c r="D35" s="679">
        <v>-30284.632749751861</v>
      </c>
      <c r="E35" s="679">
        <v>-18900.614794975696</v>
      </c>
      <c r="F35" s="554">
        <v>2281.0333003745618</v>
      </c>
      <c r="G35" s="554">
        <v>1742.9895402840298</v>
      </c>
      <c r="H35" s="554">
        <v>753.53289263946021</v>
      </c>
      <c r="I35" s="554">
        <v>2283.1265935479892</v>
      </c>
      <c r="J35" s="503">
        <v>506.20793473947322</v>
      </c>
      <c r="K35" s="503">
        <v>1433.6925312996573</v>
      </c>
      <c r="L35" s="503">
        <v>720.12223311239939</v>
      </c>
      <c r="M35" s="503">
        <v>753.53188459316493</v>
      </c>
      <c r="N35" s="552"/>
      <c r="O35" s="679"/>
      <c r="P35" s="679"/>
      <c r="Q35" s="679"/>
      <c r="R35" s="679"/>
      <c r="S35" s="554"/>
      <c r="T35" s="554"/>
      <c r="U35" s="554"/>
      <c r="V35" s="554"/>
      <c r="W35" s="503"/>
      <c r="X35" s="503"/>
      <c r="Y35" s="503"/>
      <c r="Z35" s="503"/>
      <c r="AA35" s="771"/>
      <c r="AB35" s="776"/>
      <c r="AC35" s="719"/>
      <c r="AD35" s="719"/>
      <c r="AE35" s="719"/>
      <c r="AF35" s="719"/>
      <c r="AG35" s="718"/>
      <c r="AH35" s="718"/>
      <c r="AI35" s="718"/>
      <c r="AJ35" s="718"/>
      <c r="AK35" s="717"/>
      <c r="AL35" s="717"/>
      <c r="AM35" s="717"/>
      <c r="AN35" s="717"/>
      <c r="AO35" s="771"/>
      <c r="AP35" s="719"/>
      <c r="AQ35" s="719"/>
      <c r="AR35" s="719"/>
      <c r="AS35" s="719"/>
      <c r="AT35" s="718"/>
      <c r="AU35" s="718"/>
      <c r="AV35" s="718"/>
      <c r="AW35" s="718"/>
      <c r="AX35" s="717"/>
      <c r="AY35" s="717"/>
      <c r="AZ35" s="717"/>
      <c r="BA35" s="717"/>
    </row>
    <row r="36" spans="1:53">
      <c r="A36" s="532">
        <v>41596</v>
      </c>
      <c r="B36" s="766">
        <v>1599.7050187718035</v>
      </c>
      <c r="C36" s="766">
        <v>2359.2658582086246</v>
      </c>
      <c r="D36" s="679">
        <v>-1050.401808916185</v>
      </c>
      <c r="E36" s="679">
        <v>-1324.7395193101916</v>
      </c>
      <c r="F36" s="554">
        <v>2266.4727712439599</v>
      </c>
      <c r="G36" s="554">
        <v>2325.4910710803488</v>
      </c>
      <c r="H36" s="554">
        <v>775.47859066175761</v>
      </c>
      <c r="I36" s="554">
        <v>2350.8597143819115</v>
      </c>
      <c r="J36" s="503">
        <v>467.15714049150893</v>
      </c>
      <c r="K36" s="503">
        <v>1396.190170845038</v>
      </c>
      <c r="L36" s="503">
        <v>859.65550606947716</v>
      </c>
      <c r="M36" s="503">
        <v>674.2900852569278</v>
      </c>
      <c r="N36" s="551"/>
      <c r="O36" s="745">
        <f>SUM(B30:B36)</f>
        <v>42270.665338255167</v>
      </c>
      <c r="P36" s="745">
        <f t="shared" ref="P36" si="60">SUM(C30:C36)</f>
        <v>26244.273092342239</v>
      </c>
      <c r="Q36" s="745">
        <f t="shared" ref="Q36" si="61">SUM(D30:D36)</f>
        <v>-20397.089065399843</v>
      </c>
      <c r="R36" s="745">
        <f t="shared" ref="R36" si="62">SUM(E30:E36)</f>
        <v>-22530.337213889998</v>
      </c>
      <c r="S36" s="745">
        <f t="shared" ref="S36" si="63">SUM(F30:F36)</f>
        <v>16982.671869589351</v>
      </c>
      <c r="T36" s="745">
        <f t="shared" ref="T36" si="64">SUM(G30:G36)</f>
        <v>14507.24704194946</v>
      </c>
      <c r="U36" s="745">
        <f t="shared" ref="U36" si="65">SUM(H30:H36)</f>
        <v>5617.4667213074335</v>
      </c>
      <c r="V36" s="745">
        <f t="shared" ref="V36" si="66">SUM(I30:I36)</f>
        <v>17764.569589548075</v>
      </c>
      <c r="W36" s="745">
        <f t="shared" ref="W36" si="67">SUM(J30:J36)</f>
        <v>3134.4051052247614</v>
      </c>
      <c r="X36" s="745">
        <f t="shared" ref="X36" si="68">SUM(K30:K36)</f>
        <v>7600.1541503440276</v>
      </c>
      <c r="Y36" s="745">
        <f t="shared" ref="Y36" si="69">SUM(L30:L36)</f>
        <v>3827.4872240782656</v>
      </c>
      <c r="Z36" s="745">
        <f t="shared" ref="Z36" si="70">SUM(M30:M36)</f>
        <v>6389.350288846219</v>
      </c>
      <c r="AA36" s="772"/>
      <c r="AB36" s="777"/>
      <c r="AC36" s="766"/>
      <c r="AD36" s="766"/>
      <c r="AE36" s="766"/>
      <c r="AF36" s="766"/>
      <c r="AG36" s="766"/>
      <c r="AH36" s="766"/>
      <c r="AI36" s="766"/>
      <c r="AJ36" s="766"/>
      <c r="AK36" s="766"/>
      <c r="AL36" s="766"/>
      <c r="AM36" s="766"/>
      <c r="AN36" s="766"/>
      <c r="AO36" s="772"/>
      <c r="AP36" s="766"/>
      <c r="AQ36" s="766"/>
      <c r="AR36" s="766"/>
      <c r="AS36" s="766"/>
      <c r="AT36" s="766"/>
      <c r="AU36" s="766"/>
      <c r="AV36" s="766"/>
      <c r="AW36" s="766"/>
      <c r="AX36" s="766"/>
      <c r="AY36" s="766"/>
      <c r="AZ36" s="766"/>
      <c r="BA36" s="766"/>
    </row>
    <row r="37" spans="1:53">
      <c r="A37" s="532">
        <v>41597</v>
      </c>
      <c r="B37" s="766">
        <v>1813.7188848953119</v>
      </c>
      <c r="C37" s="766">
        <v>3867.9828602955999</v>
      </c>
      <c r="D37" s="679">
        <v>2056.3396235688738</v>
      </c>
      <c r="E37" s="679">
        <v>-1368.5617322830101</v>
      </c>
      <c r="F37" s="554">
        <v>2314.5110587744875</v>
      </c>
      <c r="G37" s="554">
        <v>3049.8329255133167</v>
      </c>
      <c r="H37" s="554">
        <v>1175.7905485590015</v>
      </c>
      <c r="I37" s="554">
        <v>4174.9653923123306</v>
      </c>
      <c r="J37" s="503">
        <v>538.63932039843246</v>
      </c>
      <c r="K37" s="503">
        <v>1559.6384128874865</v>
      </c>
      <c r="L37" s="503">
        <v>1541.1603069217385</v>
      </c>
      <c r="M37" s="503">
        <v>1115.3275720732122</v>
      </c>
      <c r="N37" s="551"/>
      <c r="O37" s="679"/>
      <c r="P37" s="679"/>
      <c r="Q37" s="679"/>
      <c r="R37" s="679"/>
      <c r="S37" s="554"/>
      <c r="T37" s="554"/>
      <c r="U37" s="554"/>
      <c r="V37" s="554"/>
      <c r="W37" s="503"/>
      <c r="X37" s="503"/>
      <c r="Y37" s="503"/>
      <c r="Z37" s="503"/>
      <c r="AA37" s="771"/>
      <c r="AB37" s="776"/>
      <c r="AC37" s="719"/>
      <c r="AD37" s="719"/>
      <c r="AE37" s="719"/>
      <c r="AF37" s="719"/>
      <c r="AG37" s="718"/>
      <c r="AH37" s="718"/>
      <c r="AI37" s="718"/>
      <c r="AJ37" s="718"/>
      <c r="AK37" s="717"/>
      <c r="AL37" s="717"/>
      <c r="AM37" s="717"/>
      <c r="AN37" s="717"/>
      <c r="AO37" s="771"/>
      <c r="AP37" s="719"/>
      <c r="AQ37" s="719"/>
      <c r="AR37" s="719"/>
      <c r="AS37" s="719"/>
      <c r="AT37" s="718"/>
      <c r="AU37" s="718"/>
      <c r="AV37" s="718"/>
      <c r="AW37" s="718"/>
      <c r="AX37" s="717"/>
      <c r="AY37" s="717"/>
      <c r="AZ37" s="717"/>
      <c r="BA37" s="717"/>
    </row>
    <row r="38" spans="1:53">
      <c r="A38" s="532">
        <v>41598</v>
      </c>
      <c r="B38" s="766">
        <v>1980.3827100617727</v>
      </c>
      <c r="C38" s="766">
        <v>4759.6346471381894</v>
      </c>
      <c r="D38" s="679">
        <v>2865.521576122464</v>
      </c>
      <c r="E38" s="679">
        <v>-632.23510328386783</v>
      </c>
      <c r="F38" s="554">
        <v>2239.9360847602529</v>
      </c>
      <c r="G38" s="554">
        <v>2960.7844050745202</v>
      </c>
      <c r="H38" s="554">
        <v>1171.611576978526</v>
      </c>
      <c r="I38" s="554">
        <v>4107.2020783738426</v>
      </c>
      <c r="J38" s="503">
        <v>306.91459887835572</v>
      </c>
      <c r="K38" s="503">
        <v>1245.9398098332667</v>
      </c>
      <c r="L38" s="503">
        <v>1034.2322156253151</v>
      </c>
      <c r="M38" s="503">
        <v>673.11764141081426</v>
      </c>
      <c r="N38" s="551"/>
      <c r="O38" s="679"/>
      <c r="P38" s="679"/>
      <c r="Q38" s="679"/>
      <c r="R38" s="679"/>
      <c r="S38" s="554"/>
      <c r="T38" s="554"/>
      <c r="U38" s="554"/>
      <c r="V38" s="554"/>
      <c r="W38" s="503"/>
      <c r="X38" s="503"/>
      <c r="Y38" s="503"/>
      <c r="Z38" s="503"/>
      <c r="AA38" s="771"/>
      <c r="AB38" s="776"/>
      <c r="AC38" s="719"/>
      <c r="AD38" s="719"/>
      <c r="AE38" s="719"/>
      <c r="AF38" s="719"/>
      <c r="AG38" s="718"/>
      <c r="AH38" s="718"/>
      <c r="AI38" s="718"/>
      <c r="AJ38" s="718"/>
      <c r="AK38" s="717"/>
      <c r="AL38" s="717"/>
      <c r="AM38" s="717"/>
      <c r="AN38" s="717"/>
      <c r="AO38" s="771"/>
      <c r="AP38" s="719"/>
      <c r="AQ38" s="719"/>
      <c r="AR38" s="719"/>
      <c r="AS38" s="719"/>
      <c r="AT38" s="718"/>
      <c r="AU38" s="718"/>
      <c r="AV38" s="718"/>
      <c r="AW38" s="718"/>
      <c r="AX38" s="717"/>
      <c r="AY38" s="717"/>
      <c r="AZ38" s="717"/>
      <c r="BA38" s="717"/>
    </row>
    <row r="39" spans="1:53">
      <c r="A39" s="532">
        <v>41599</v>
      </c>
      <c r="B39" s="766">
        <v>2847.3513273075109</v>
      </c>
      <c r="C39" s="766">
        <v>5487.1056722563981</v>
      </c>
      <c r="D39" s="679">
        <v>3390.3968767120296</v>
      </c>
      <c r="E39" s="679">
        <v>-155.5134713766019</v>
      </c>
      <c r="F39" s="554">
        <v>2163.5081299269918</v>
      </c>
      <c r="G39" s="554">
        <v>2866.0503351632065</v>
      </c>
      <c r="H39" s="554">
        <v>1150.2812645337794</v>
      </c>
      <c r="I39" s="554">
        <v>4017.0821246241862</v>
      </c>
      <c r="J39" s="503">
        <v>458.78357759474528</v>
      </c>
      <c r="K39" s="503">
        <v>941.32203337467615</v>
      </c>
      <c r="L39" s="503">
        <v>522.93533738511871</v>
      </c>
      <c r="M39" s="503">
        <v>280.89671276318899</v>
      </c>
      <c r="N39" s="551"/>
      <c r="O39" s="679"/>
      <c r="P39" s="679"/>
      <c r="Q39" s="679"/>
      <c r="R39" s="679"/>
      <c r="S39" s="554"/>
      <c r="T39" s="554"/>
      <c r="U39" s="554"/>
      <c r="V39" s="554"/>
      <c r="W39" s="503"/>
      <c r="X39" s="503"/>
      <c r="Y39" s="503"/>
      <c r="Z39" s="503"/>
      <c r="AA39" s="771"/>
      <c r="AB39" s="776"/>
      <c r="AC39" s="719"/>
      <c r="AD39" s="719"/>
      <c r="AE39" s="719"/>
      <c r="AF39" s="719"/>
      <c r="AG39" s="718"/>
      <c r="AH39" s="718"/>
      <c r="AI39" s="718"/>
      <c r="AJ39" s="718"/>
      <c r="AK39" s="717"/>
      <c r="AL39" s="717"/>
      <c r="AM39" s="717"/>
      <c r="AN39" s="717"/>
      <c r="AO39" s="771"/>
      <c r="AP39" s="719"/>
      <c r="AQ39" s="719"/>
      <c r="AR39" s="719"/>
      <c r="AS39" s="719"/>
      <c r="AT39" s="718"/>
      <c r="AU39" s="718"/>
      <c r="AV39" s="718"/>
      <c r="AW39" s="718"/>
      <c r="AX39" s="717"/>
      <c r="AY39" s="717"/>
      <c r="AZ39" s="717"/>
      <c r="BA39" s="717"/>
    </row>
    <row r="40" spans="1:53">
      <c r="A40" s="532">
        <v>41600</v>
      </c>
      <c r="B40" s="766">
        <v>2738.6746904791103</v>
      </c>
      <c r="C40" s="766">
        <v>6307.4368637688503</v>
      </c>
      <c r="D40" s="679">
        <v>3028.1495385892845</v>
      </c>
      <c r="E40" s="679">
        <v>-498.25416725810709</v>
      </c>
      <c r="F40" s="554">
        <v>2080.775082817624</v>
      </c>
      <c r="G40" s="554">
        <v>2764.8384897572823</v>
      </c>
      <c r="H40" s="554">
        <v>1127.5532403641052</v>
      </c>
      <c r="I40" s="554">
        <v>3919.5325349555887</v>
      </c>
      <c r="J40" s="503">
        <v>603.65635111562699</v>
      </c>
      <c r="K40" s="503">
        <v>646.05967809683</v>
      </c>
      <c r="L40" s="503">
        <v>466.03209449562269</v>
      </c>
      <c r="M40" s="503">
        <v>737.35028007873109</v>
      </c>
      <c r="N40" s="551"/>
      <c r="O40" s="679"/>
      <c r="P40" s="679"/>
      <c r="Q40" s="679"/>
      <c r="R40" s="679"/>
      <c r="S40" s="554"/>
      <c r="T40" s="554"/>
      <c r="U40" s="554"/>
      <c r="V40" s="554"/>
      <c r="W40" s="503"/>
      <c r="X40" s="503"/>
      <c r="Y40" s="503"/>
      <c r="Z40" s="503"/>
      <c r="AA40" s="771"/>
      <c r="AB40" s="776"/>
      <c r="AC40" s="719"/>
      <c r="AD40" s="719"/>
      <c r="AE40" s="719"/>
      <c r="AF40" s="719"/>
      <c r="AG40" s="718"/>
      <c r="AH40" s="718"/>
      <c r="AI40" s="718"/>
      <c r="AJ40" s="718"/>
      <c r="AK40" s="717"/>
      <c r="AL40" s="717"/>
      <c r="AM40" s="717"/>
      <c r="AN40" s="717"/>
      <c r="AO40" s="771"/>
      <c r="AP40" s="719"/>
      <c r="AQ40" s="719"/>
      <c r="AR40" s="719"/>
      <c r="AS40" s="719"/>
      <c r="AT40" s="718"/>
      <c r="AU40" s="718"/>
      <c r="AV40" s="718"/>
      <c r="AW40" s="718"/>
      <c r="AX40" s="717"/>
      <c r="AY40" s="717"/>
      <c r="AZ40" s="717"/>
      <c r="BA40" s="717"/>
    </row>
    <row r="41" spans="1:53">
      <c r="A41" s="532">
        <v>41601</v>
      </c>
      <c r="B41" s="766">
        <v>1839.4061742467709</v>
      </c>
      <c r="C41" s="766">
        <v>4906.6156087599957</v>
      </c>
      <c r="D41" s="679">
        <v>3003.8528017695439</v>
      </c>
      <c r="E41" s="679">
        <v>-465.81861891657201</v>
      </c>
      <c r="F41" s="554">
        <v>1986.0934368472736</v>
      </c>
      <c r="G41" s="554">
        <v>2657.2943356291585</v>
      </c>
      <c r="H41" s="554">
        <v>1104.5270416330297</v>
      </c>
      <c r="I41" s="554">
        <v>3819.6785123424115</v>
      </c>
      <c r="J41" s="503">
        <v>737.43218934012395</v>
      </c>
      <c r="K41" s="503">
        <v>633.37006109073207</v>
      </c>
      <c r="L41" s="503">
        <v>851.48017542880427</v>
      </c>
      <c r="M41" s="503">
        <v>617.72327159282588</v>
      </c>
      <c r="N41" s="551"/>
      <c r="O41" s="679"/>
      <c r="P41" s="679"/>
      <c r="Q41" s="679"/>
      <c r="R41" s="679"/>
      <c r="S41" s="554"/>
      <c r="T41" s="554"/>
      <c r="U41" s="554"/>
      <c r="V41" s="554"/>
      <c r="W41" s="503"/>
      <c r="X41" s="503"/>
      <c r="Y41" s="503"/>
      <c r="Z41" s="503"/>
      <c r="AA41" s="771"/>
      <c r="AB41" s="776"/>
      <c r="AC41" s="719"/>
      <c r="AD41" s="719"/>
      <c r="AE41" s="719"/>
      <c r="AF41" s="719"/>
      <c r="AG41" s="718"/>
      <c r="AH41" s="718"/>
      <c r="AI41" s="718"/>
      <c r="AJ41" s="718"/>
      <c r="AK41" s="717"/>
      <c r="AL41" s="717"/>
      <c r="AM41" s="717"/>
      <c r="AN41" s="717"/>
      <c r="AO41" s="771"/>
      <c r="AP41" s="719"/>
      <c r="AQ41" s="719"/>
      <c r="AR41" s="719"/>
      <c r="AS41" s="719"/>
      <c r="AT41" s="718"/>
      <c r="AU41" s="718"/>
      <c r="AV41" s="718"/>
      <c r="AW41" s="718"/>
      <c r="AX41" s="717"/>
      <c r="AY41" s="717"/>
      <c r="AZ41" s="717"/>
      <c r="BA41" s="717"/>
    </row>
    <row r="42" spans="1:53">
      <c r="A42" s="532">
        <v>41602</v>
      </c>
      <c r="B42" s="766">
        <v>1907.7114956610221</v>
      </c>
      <c r="C42" s="766">
        <v>5929.4453784956168</v>
      </c>
      <c r="D42" s="679">
        <v>3369.3481340008179</v>
      </c>
      <c r="E42" s="679">
        <v>-835.76133013425442</v>
      </c>
      <c r="F42" s="554">
        <v>1895.6950714152115</v>
      </c>
      <c r="G42" s="554">
        <v>2553.7203079699834</v>
      </c>
      <c r="H42" s="554">
        <v>1082.9328951067107</v>
      </c>
      <c r="I42" s="554">
        <v>3716.6737549081258</v>
      </c>
      <c r="J42" s="503">
        <v>678.04537936564213</v>
      </c>
      <c r="K42" s="503">
        <v>619.6901215512338</v>
      </c>
      <c r="L42" s="503">
        <v>329.14077258474032</v>
      </c>
      <c r="M42" s="503">
        <v>826.64185914037932</v>
      </c>
      <c r="N42" s="551"/>
      <c r="O42" s="679"/>
      <c r="P42" s="679"/>
      <c r="Q42" s="679"/>
      <c r="R42" s="679"/>
      <c r="S42" s="554"/>
      <c r="T42" s="554"/>
      <c r="U42" s="554"/>
      <c r="V42" s="554"/>
      <c r="W42" s="503"/>
      <c r="X42" s="503"/>
      <c r="Y42" s="503"/>
      <c r="Z42" s="503"/>
      <c r="AA42" s="771"/>
      <c r="AB42" s="776"/>
      <c r="AC42" s="719"/>
      <c r="AD42" s="719"/>
      <c r="AE42" s="719"/>
      <c r="AF42" s="719"/>
      <c r="AG42" s="718"/>
      <c r="AH42" s="718"/>
      <c r="AI42" s="718"/>
      <c r="AJ42" s="718"/>
      <c r="AK42" s="717"/>
      <c r="AL42" s="717"/>
      <c r="AM42" s="717"/>
      <c r="AN42" s="717"/>
      <c r="AO42" s="771"/>
      <c r="AP42" s="719"/>
      <c r="AQ42" s="719"/>
      <c r="AR42" s="719"/>
      <c r="AS42" s="719"/>
      <c r="AT42" s="718"/>
      <c r="AU42" s="718"/>
      <c r="AV42" s="718"/>
      <c r="AW42" s="718"/>
      <c r="AX42" s="717"/>
      <c r="AY42" s="717"/>
      <c r="AZ42" s="717"/>
      <c r="BA42" s="717"/>
    </row>
    <row r="43" spans="1:53">
      <c r="A43" s="532">
        <v>41603</v>
      </c>
      <c r="B43" s="766">
        <v>2233.6871711825579</v>
      </c>
      <c r="C43" s="766">
        <v>7579.302574893024</v>
      </c>
      <c r="D43" s="679">
        <v>2857.3939947661597</v>
      </c>
      <c r="E43" s="679">
        <v>-861.40661370160626</v>
      </c>
      <c r="F43" s="554">
        <v>1812.6559702307413</v>
      </c>
      <c r="G43" s="554">
        <v>2451.5433044848096</v>
      </c>
      <c r="H43" s="554">
        <v>1059.4166478280213</v>
      </c>
      <c r="I43" s="554">
        <v>3615.7374560719768</v>
      </c>
      <c r="J43" s="503">
        <v>23.286003912090283</v>
      </c>
      <c r="K43" s="503">
        <v>607.19413439647519</v>
      </c>
      <c r="L43" s="503">
        <v>598.36996862001649</v>
      </c>
      <c r="M43" s="503">
        <v>843.60495445149456</v>
      </c>
      <c r="N43" s="551"/>
      <c r="O43" s="745">
        <f>SUM(B37:B43)</f>
        <v>15360.932453834059</v>
      </c>
      <c r="P43" s="745">
        <f t="shared" ref="P43" si="71">SUM(C37:C43)</f>
        <v>38837.523605607676</v>
      </c>
      <c r="Q43" s="745">
        <f t="shared" ref="Q43" si="72">SUM(D37:D43)</f>
        <v>20571.002545529172</v>
      </c>
      <c r="R43" s="745">
        <f t="shared" ref="R43" si="73">SUM(E37:E43)</f>
        <v>-4817.5510369540198</v>
      </c>
      <c r="S43" s="745">
        <f t="shared" ref="S43" si="74">SUM(F37:F43)</f>
        <v>14493.174834772584</v>
      </c>
      <c r="T43" s="745">
        <f t="shared" ref="T43" si="75">SUM(G37:G43)</f>
        <v>19304.064103592278</v>
      </c>
      <c r="U43" s="745">
        <f t="shared" ref="U43" si="76">SUM(H37:H43)</f>
        <v>7872.1132150031735</v>
      </c>
      <c r="V43" s="745">
        <f t="shared" ref="V43" si="77">SUM(I37:I43)</f>
        <v>27370.871853588465</v>
      </c>
      <c r="W43" s="745">
        <f t="shared" ref="W43" si="78">SUM(J37:J43)</f>
        <v>3346.7574206050163</v>
      </c>
      <c r="X43" s="745">
        <f t="shared" ref="X43" si="79">SUM(K37:K43)</f>
        <v>6253.2142512307</v>
      </c>
      <c r="Y43" s="745">
        <f t="shared" ref="Y43" si="80">SUM(L37:L43)</f>
        <v>5343.350871061356</v>
      </c>
      <c r="Z43" s="745">
        <f t="shared" ref="Z43" si="81">SUM(M37:M43)</f>
        <v>5094.6622915106454</v>
      </c>
      <c r="AA43" s="772"/>
      <c r="AB43" s="777"/>
      <c r="AC43" s="766"/>
      <c r="AD43" s="766"/>
      <c r="AE43" s="766"/>
      <c r="AF43" s="766"/>
      <c r="AG43" s="766"/>
      <c r="AH43" s="766"/>
      <c r="AI43" s="766"/>
      <c r="AJ43" s="766"/>
      <c r="AK43" s="766"/>
      <c r="AL43" s="766"/>
      <c r="AM43" s="766"/>
      <c r="AN43" s="766"/>
      <c r="AO43" s="772"/>
      <c r="AP43" s="766"/>
      <c r="AQ43" s="766"/>
      <c r="AR43" s="766"/>
      <c r="AS43" s="766"/>
      <c r="AT43" s="766"/>
      <c r="AU43" s="766"/>
      <c r="AV43" s="766"/>
      <c r="AW43" s="766"/>
      <c r="AX43" s="766"/>
      <c r="AY43" s="766"/>
      <c r="AZ43" s="766"/>
      <c r="BA43" s="766"/>
    </row>
    <row r="44" spans="1:53">
      <c r="A44" s="532">
        <v>41604</v>
      </c>
      <c r="B44" s="766">
        <v>1003.1486355192917</v>
      </c>
      <c r="C44" s="766">
        <v>5911.6730997324676</v>
      </c>
      <c r="D44" s="679">
        <v>1975.1115390089371</v>
      </c>
      <c r="E44" s="679">
        <v>-508.63471921751892</v>
      </c>
      <c r="F44" s="554">
        <v>1731.4040933727717</v>
      </c>
      <c r="G44" s="554">
        <v>2331.7195861137616</v>
      </c>
      <c r="H44" s="554">
        <v>1036.3531236422546</v>
      </c>
      <c r="I44" s="554">
        <v>3518.8564007464333</v>
      </c>
      <c r="J44" s="503">
        <v>537.12535834417451</v>
      </c>
      <c r="K44" s="503">
        <v>2608.2605880923311</v>
      </c>
      <c r="L44" s="503">
        <v>1048.9641778814646</v>
      </c>
      <c r="M44" s="503">
        <v>589.51582351649233</v>
      </c>
      <c r="N44" s="551"/>
      <c r="O44" s="679"/>
      <c r="P44" s="679"/>
      <c r="Q44" s="679"/>
      <c r="R44" s="679"/>
      <c r="S44" s="554"/>
      <c r="T44" s="554"/>
      <c r="U44" s="554"/>
      <c r="V44" s="554"/>
      <c r="W44" s="503"/>
      <c r="X44" s="503"/>
      <c r="Y44" s="503"/>
      <c r="Z44" s="503"/>
      <c r="AA44" s="771"/>
      <c r="AB44" s="776"/>
      <c r="AC44" s="719"/>
      <c r="AD44" s="719"/>
      <c r="AE44" s="719"/>
      <c r="AF44" s="719"/>
      <c r="AG44" s="718"/>
      <c r="AH44" s="718"/>
      <c r="AI44" s="718"/>
      <c r="AJ44" s="718"/>
      <c r="AK44" s="717"/>
      <c r="AL44" s="717"/>
      <c r="AM44" s="717"/>
      <c r="AN44" s="717"/>
      <c r="AO44" s="771"/>
      <c r="AP44" s="719"/>
      <c r="AQ44" s="719"/>
      <c r="AR44" s="719"/>
      <c r="AS44" s="719"/>
      <c r="AT44" s="718"/>
      <c r="AU44" s="718"/>
      <c r="AV44" s="718"/>
      <c r="AW44" s="718"/>
      <c r="AX44" s="717"/>
      <c r="AY44" s="717"/>
      <c r="AZ44" s="717"/>
      <c r="BA44" s="717"/>
    </row>
    <row r="45" spans="1:53">
      <c r="A45" s="532">
        <v>41605</v>
      </c>
      <c r="B45" s="766">
        <v>1214.400059880646</v>
      </c>
      <c r="C45" s="766">
        <v>8221.2107961791553</v>
      </c>
      <c r="D45" s="679">
        <v>2556.4634768690098</v>
      </c>
      <c r="E45" s="679">
        <v>-630.26958361839763</v>
      </c>
      <c r="F45" s="554">
        <v>1659.3514494884046</v>
      </c>
      <c r="G45" s="554">
        <v>2198.659399082901</v>
      </c>
      <c r="H45" s="554">
        <v>1014.2153747600345</v>
      </c>
      <c r="I45" s="554">
        <v>3422.05555585312</v>
      </c>
      <c r="J45" s="503">
        <v>320.61545036429635</v>
      </c>
      <c r="K45" s="503">
        <v>1537.433310176038</v>
      </c>
      <c r="L45" s="503">
        <v>1531.3464039177097</v>
      </c>
      <c r="M45" s="503">
        <v>1029.6499256886616</v>
      </c>
      <c r="N45" s="551"/>
      <c r="O45" s="679"/>
      <c r="P45" s="679"/>
      <c r="Q45" s="679"/>
      <c r="R45" s="679"/>
      <c r="S45" s="554"/>
      <c r="T45" s="554"/>
      <c r="U45" s="554"/>
      <c r="V45" s="554"/>
      <c r="W45" s="503"/>
      <c r="X45" s="503"/>
      <c r="Y45" s="503"/>
      <c r="Z45" s="503"/>
      <c r="AA45" s="771"/>
      <c r="AB45" s="776"/>
      <c r="AC45" s="719"/>
      <c r="AD45" s="719"/>
      <c r="AE45" s="719"/>
      <c r="AF45" s="719"/>
      <c r="AG45" s="718"/>
      <c r="AH45" s="718"/>
      <c r="AI45" s="718"/>
      <c r="AJ45" s="718"/>
      <c r="AK45" s="717"/>
      <c r="AL45" s="717"/>
      <c r="AM45" s="717"/>
      <c r="AN45" s="717"/>
      <c r="AO45" s="771"/>
      <c r="AP45" s="719"/>
      <c r="AQ45" s="719"/>
      <c r="AR45" s="719"/>
      <c r="AS45" s="719"/>
      <c r="AT45" s="718"/>
      <c r="AU45" s="718"/>
      <c r="AV45" s="718"/>
      <c r="AW45" s="718"/>
      <c r="AX45" s="717"/>
      <c r="AY45" s="717"/>
      <c r="AZ45" s="717"/>
      <c r="BA45" s="717"/>
    </row>
    <row r="46" spans="1:53">
      <c r="A46" s="532">
        <v>41606</v>
      </c>
      <c r="B46" s="766">
        <v>673.19696684882956</v>
      </c>
      <c r="C46" s="766">
        <v>6214.0124155034855</v>
      </c>
      <c r="D46" s="679">
        <v>2574.031887334791</v>
      </c>
      <c r="E46" s="679">
        <v>-508.91745835823997</v>
      </c>
      <c r="F46" s="554">
        <v>1594.9703939483481</v>
      </c>
      <c r="G46" s="554">
        <v>2064.128714678187</v>
      </c>
      <c r="H46" s="554">
        <v>993.22456822779861</v>
      </c>
      <c r="I46" s="554">
        <v>3321.9881650537286</v>
      </c>
      <c r="J46" s="503">
        <v>763.99757875134071</v>
      </c>
      <c r="K46" s="503">
        <v>466.60603225974484</v>
      </c>
      <c r="L46" s="503">
        <v>1202.3686114038971</v>
      </c>
      <c r="M46" s="503">
        <v>769.38969397427991</v>
      </c>
      <c r="N46" s="551"/>
      <c r="O46" s="679"/>
      <c r="P46" s="679"/>
      <c r="Q46" s="679"/>
      <c r="R46" s="679"/>
      <c r="S46" s="554"/>
      <c r="T46" s="554"/>
      <c r="U46" s="554"/>
      <c r="V46" s="554"/>
      <c r="W46" s="503"/>
      <c r="X46" s="503"/>
      <c r="Y46" s="503"/>
      <c r="Z46" s="503"/>
      <c r="AA46" s="771"/>
      <c r="AB46" s="776"/>
      <c r="AC46" s="719"/>
      <c r="AD46" s="719"/>
      <c r="AE46" s="719"/>
      <c r="AF46" s="719"/>
      <c r="AG46" s="718"/>
      <c r="AH46" s="718"/>
      <c r="AI46" s="718"/>
      <c r="AJ46" s="718"/>
      <c r="AK46" s="717"/>
      <c r="AL46" s="717"/>
      <c r="AM46" s="717"/>
      <c r="AN46" s="717"/>
      <c r="AO46" s="771"/>
      <c r="AP46" s="719"/>
      <c r="AQ46" s="719"/>
      <c r="AR46" s="719"/>
      <c r="AS46" s="719"/>
      <c r="AT46" s="718"/>
      <c r="AU46" s="718"/>
      <c r="AV46" s="718"/>
      <c r="AW46" s="718"/>
      <c r="AX46" s="717"/>
      <c r="AY46" s="717"/>
      <c r="AZ46" s="717"/>
      <c r="BA46" s="717"/>
    </row>
    <row r="47" spans="1:53">
      <c r="A47" s="532">
        <v>41607</v>
      </c>
      <c r="B47" s="766">
        <v>851.37313195997308</v>
      </c>
      <c r="C47" s="766">
        <v>4790.0418415941194</v>
      </c>
      <c r="D47" s="679">
        <v>1891.7616453120072</v>
      </c>
      <c r="E47" s="679">
        <v>-145.75375936150596</v>
      </c>
      <c r="F47" s="554">
        <v>1531.3570111855474</v>
      </c>
      <c r="G47" s="554">
        <v>1941.4950550294113</v>
      </c>
      <c r="H47" s="554">
        <v>967.06793297848651</v>
      </c>
      <c r="I47" s="554">
        <v>3213.8200555576591</v>
      </c>
      <c r="J47" s="503">
        <v>1575.9866673621609</v>
      </c>
      <c r="K47" s="503">
        <v>922.61986920866627</v>
      </c>
      <c r="L47" s="503">
        <v>755.61729466547683</v>
      </c>
      <c r="M47" s="503">
        <v>425.51914711239652</v>
      </c>
      <c r="N47" s="551"/>
      <c r="O47" s="679"/>
      <c r="P47" s="679"/>
      <c r="Q47" s="679"/>
      <c r="R47" s="679"/>
      <c r="S47" s="554"/>
      <c r="T47" s="554"/>
      <c r="U47" s="554"/>
      <c r="V47" s="554"/>
      <c r="W47" s="503"/>
      <c r="X47" s="503"/>
      <c r="Y47" s="503"/>
      <c r="Z47" s="503"/>
      <c r="AA47" s="771"/>
      <c r="AB47" s="776"/>
      <c r="AC47" s="719"/>
      <c r="AD47" s="719"/>
      <c r="AE47" s="719"/>
      <c r="AF47" s="719"/>
      <c r="AG47" s="718"/>
      <c r="AH47" s="718"/>
      <c r="AI47" s="718"/>
      <c r="AJ47" s="718"/>
      <c r="AK47" s="717"/>
      <c r="AL47" s="717"/>
      <c r="AM47" s="717"/>
      <c r="AN47" s="717"/>
      <c r="AO47" s="771"/>
      <c r="AP47" s="719"/>
      <c r="AQ47" s="719"/>
      <c r="AR47" s="719"/>
      <c r="AS47" s="719"/>
      <c r="AT47" s="718"/>
      <c r="AU47" s="718"/>
      <c r="AV47" s="718"/>
      <c r="AW47" s="718"/>
      <c r="AX47" s="717"/>
      <c r="AY47" s="717"/>
      <c r="AZ47" s="717"/>
      <c r="BA47" s="717"/>
    </row>
    <row r="48" spans="1:53">
      <c r="A48" s="532">
        <v>41608</v>
      </c>
      <c r="B48" s="745">
        <v>1364.627333590935</v>
      </c>
      <c r="C48" s="745">
        <v>5986.4596088276112</v>
      </c>
      <c r="D48" s="679">
        <v>1015.2439653305935</v>
      </c>
      <c r="E48" s="679">
        <v>-114.15926107052935</v>
      </c>
      <c r="F48" s="554">
        <v>1458.8076268787408</v>
      </c>
      <c r="G48" s="554">
        <v>1833.6789417887212</v>
      </c>
      <c r="H48" s="554">
        <v>942.69295543441831</v>
      </c>
      <c r="I48" s="554">
        <v>3109.1847722617513</v>
      </c>
      <c r="J48" s="503">
        <v>662.82485903732686</v>
      </c>
      <c r="K48" s="503">
        <v>1146.0139107864829</v>
      </c>
      <c r="L48" s="503">
        <v>933.0648608520944</v>
      </c>
      <c r="M48" s="503">
        <v>358.39240259893421</v>
      </c>
      <c r="N48" s="552"/>
      <c r="O48" s="679"/>
      <c r="P48" s="679"/>
      <c r="Q48" s="679"/>
      <c r="R48" s="679"/>
      <c r="S48" s="554"/>
      <c r="T48" s="554"/>
      <c r="U48" s="554"/>
      <c r="V48" s="554"/>
      <c r="W48" s="503"/>
      <c r="X48" s="503"/>
      <c r="Y48" s="503"/>
      <c r="Z48" s="503"/>
      <c r="AA48" s="771"/>
      <c r="AB48" s="776"/>
      <c r="AC48" s="719"/>
      <c r="AD48" s="719"/>
      <c r="AE48" s="719"/>
      <c r="AF48" s="719"/>
      <c r="AG48" s="718"/>
      <c r="AH48" s="718"/>
      <c r="AI48" s="718"/>
      <c r="AJ48" s="718"/>
      <c r="AK48" s="717"/>
      <c r="AL48" s="717"/>
      <c r="AM48" s="717"/>
      <c r="AN48" s="717"/>
      <c r="AO48" s="771"/>
      <c r="AP48" s="719"/>
      <c r="AQ48" s="719"/>
      <c r="AR48" s="719"/>
      <c r="AS48" s="719"/>
      <c r="AT48" s="718"/>
      <c r="AU48" s="718"/>
      <c r="AV48" s="718"/>
      <c r="AW48" s="718"/>
      <c r="AX48" s="717"/>
      <c r="AY48" s="717"/>
      <c r="AZ48" s="717"/>
      <c r="BA48" s="717"/>
    </row>
    <row r="49" spans="1:53">
      <c r="A49" s="532">
        <v>41609</v>
      </c>
      <c r="B49" s="745">
        <v>822.74745728887763</v>
      </c>
      <c r="C49" s="745">
        <v>4916.4375270291221</v>
      </c>
      <c r="D49" s="679">
        <v>1937.223763362241</v>
      </c>
      <c r="E49" s="679">
        <v>233.13595643183956</v>
      </c>
      <c r="F49" s="554">
        <v>1379.4008787104569</v>
      </c>
      <c r="G49" s="554">
        <v>1718.8636460064611</v>
      </c>
      <c r="H49" s="554">
        <v>923.78421390581934</v>
      </c>
      <c r="I49" s="554">
        <v>3004.5064107636726</v>
      </c>
      <c r="J49" s="503">
        <v>577.27828274890783</v>
      </c>
      <c r="K49" s="503">
        <v>1825.8773626334594</v>
      </c>
      <c r="L49" s="503">
        <v>1107.4687632915757</v>
      </c>
      <c r="M49" s="503">
        <v>294.67448772204182</v>
      </c>
      <c r="N49" s="552"/>
      <c r="O49" s="679"/>
      <c r="P49" s="679"/>
      <c r="Q49" s="679"/>
      <c r="R49" s="679"/>
      <c r="S49" s="554"/>
      <c r="T49" s="554"/>
      <c r="U49" s="554"/>
      <c r="V49" s="554"/>
      <c r="W49" s="503"/>
      <c r="X49" s="503"/>
      <c r="Y49" s="503"/>
      <c r="Z49" s="503"/>
      <c r="AA49" s="771"/>
      <c r="AB49" s="776"/>
      <c r="AC49" s="719"/>
      <c r="AD49" s="719"/>
      <c r="AE49" s="719"/>
      <c r="AF49" s="719"/>
      <c r="AG49" s="718"/>
      <c r="AH49" s="718"/>
      <c r="AI49" s="718"/>
      <c r="AJ49" s="718"/>
      <c r="AK49" s="717"/>
      <c r="AL49" s="717"/>
      <c r="AM49" s="717"/>
      <c r="AN49" s="717"/>
      <c r="AO49" s="771"/>
      <c r="AP49" s="719"/>
      <c r="AQ49" s="719"/>
      <c r="AR49" s="719"/>
      <c r="AS49" s="719"/>
      <c r="AT49" s="718"/>
      <c r="AU49" s="718"/>
      <c r="AV49" s="718"/>
      <c r="AW49" s="718"/>
      <c r="AX49" s="717"/>
      <c r="AY49" s="717"/>
      <c r="AZ49" s="717"/>
      <c r="BA49" s="717"/>
    </row>
    <row r="50" spans="1:53">
      <c r="A50" s="532">
        <v>41610</v>
      </c>
      <c r="B50" s="745">
        <v>1115.4844096540887</v>
      </c>
      <c r="C50" s="745">
        <v>6017.8114514481094</v>
      </c>
      <c r="D50" s="679">
        <v>2359.7123822003691</v>
      </c>
      <c r="E50" s="679">
        <v>1406.3871338223782</v>
      </c>
      <c r="F50" s="554">
        <v>1313.2280037189425</v>
      </c>
      <c r="G50" s="554">
        <v>1606.0392690988967</v>
      </c>
      <c r="H50" s="554">
        <v>907.55891607385763</v>
      </c>
      <c r="I50" s="554">
        <v>2902.5180120837294</v>
      </c>
      <c r="J50" s="503">
        <v>497.59844715552509</v>
      </c>
      <c r="K50" s="503">
        <v>2008.1552948673814</v>
      </c>
      <c r="L50" s="503">
        <v>1279.6856123492926</v>
      </c>
      <c r="M50" s="503">
        <v>234.55522098318502</v>
      </c>
      <c r="N50" s="552"/>
      <c r="O50" s="745">
        <f>SUM(B44:B50)</f>
        <v>7044.9779947426414</v>
      </c>
      <c r="P50" s="745">
        <f t="shared" ref="P50" si="82">SUM(C44:C50)</f>
        <v>42057.64674031407</v>
      </c>
      <c r="Q50" s="745">
        <f t="shared" ref="Q50" si="83">SUM(D44:D50)</f>
        <v>14309.548659417947</v>
      </c>
      <c r="R50" s="745">
        <f t="shared" ref="R50" si="84">SUM(E44:E50)</f>
        <v>-268.21169137197376</v>
      </c>
      <c r="S50" s="745">
        <f t="shared" ref="S50" si="85">SUM(F44:F50)</f>
        <v>10668.519457303213</v>
      </c>
      <c r="T50" s="745">
        <f t="shared" ref="T50" si="86">SUM(G44:G50)</f>
        <v>13694.58461179834</v>
      </c>
      <c r="U50" s="745">
        <f t="shared" ref="U50" si="87">SUM(H44:H50)</f>
        <v>6784.8970850226697</v>
      </c>
      <c r="V50" s="745">
        <f t="shared" ref="V50" si="88">SUM(I44:I50)</f>
        <v>22492.929372320094</v>
      </c>
      <c r="W50" s="745">
        <f t="shared" ref="W50" si="89">SUM(J44:J50)</f>
        <v>4935.4266437637325</v>
      </c>
      <c r="X50" s="745">
        <f t="shared" ref="X50" si="90">SUM(K44:K50)</f>
        <v>10514.966368024105</v>
      </c>
      <c r="Y50" s="745">
        <f t="shared" ref="Y50" si="91">SUM(L44:L50)</f>
        <v>7858.5157243615113</v>
      </c>
      <c r="Z50" s="745">
        <f t="shared" ref="Z50" si="92">SUM(M44:M50)</f>
        <v>3701.6967015959913</v>
      </c>
      <c r="AA50" s="772"/>
      <c r="AB50" s="777"/>
      <c r="AC50" s="766"/>
      <c r="AD50" s="766"/>
      <c r="AE50" s="766"/>
      <c r="AF50" s="766"/>
      <c r="AG50" s="766"/>
      <c r="AH50" s="766"/>
      <c r="AI50" s="766"/>
      <c r="AJ50" s="766"/>
      <c r="AK50" s="766"/>
      <c r="AL50" s="766"/>
      <c r="AM50" s="766"/>
      <c r="AN50" s="766"/>
      <c r="AO50" s="772"/>
      <c r="AP50" s="766"/>
      <c r="AQ50" s="766"/>
      <c r="AR50" s="766"/>
      <c r="AS50" s="766"/>
      <c r="AT50" s="766"/>
      <c r="AU50" s="766"/>
      <c r="AV50" s="766"/>
      <c r="AW50" s="766"/>
      <c r="AX50" s="766"/>
      <c r="AY50" s="766"/>
      <c r="AZ50" s="766"/>
      <c r="BA50" s="766"/>
    </row>
    <row r="51" spans="1:53">
      <c r="A51" s="532">
        <v>41611</v>
      </c>
      <c r="B51" s="745">
        <v>1299.0160833343236</v>
      </c>
      <c r="C51" s="745">
        <v>4870.1153658246212</v>
      </c>
      <c r="D51" s="679">
        <v>1315.1566494360684</v>
      </c>
      <c r="E51" s="679">
        <v>435.32413974831542</v>
      </c>
      <c r="F51" s="554">
        <v>1277.0124070347661</v>
      </c>
      <c r="G51" s="554">
        <v>1555.3034361030429</v>
      </c>
      <c r="H51" s="554">
        <v>888.55074737384814</v>
      </c>
      <c r="I51" s="554">
        <v>2810.5544958734536</v>
      </c>
      <c r="J51" s="503">
        <v>424.30476308627243</v>
      </c>
      <c r="K51" s="503">
        <v>2198.2728885541551</v>
      </c>
      <c r="L51" s="503">
        <v>1439.13392807484</v>
      </c>
      <c r="M51" s="503">
        <v>177.52838593075907</v>
      </c>
      <c r="N51" s="552"/>
      <c r="O51" s="679"/>
      <c r="P51" s="679"/>
      <c r="Q51" s="679"/>
      <c r="R51" s="679"/>
      <c r="S51" s="554"/>
      <c r="T51" s="554"/>
      <c r="U51" s="554"/>
      <c r="V51" s="554"/>
      <c r="W51" s="503"/>
      <c r="X51" s="503"/>
      <c r="Y51" s="503"/>
      <c r="Z51" s="503"/>
      <c r="AA51" s="771"/>
      <c r="AB51" s="776"/>
      <c r="AC51" s="719"/>
      <c r="AD51" s="719"/>
      <c r="AE51" s="719"/>
      <c r="AF51" s="719"/>
      <c r="AG51" s="718"/>
      <c r="AH51" s="718"/>
      <c r="AI51" s="718"/>
      <c r="AJ51" s="718"/>
      <c r="AK51" s="717"/>
      <c r="AL51" s="717"/>
      <c r="AM51" s="717"/>
      <c r="AN51" s="717"/>
      <c r="AO51" s="771"/>
      <c r="AP51" s="719"/>
      <c r="AQ51" s="719"/>
      <c r="AR51" s="719"/>
      <c r="AS51" s="719"/>
      <c r="AT51" s="718"/>
      <c r="AU51" s="718"/>
      <c r="AV51" s="718"/>
      <c r="AW51" s="718"/>
      <c r="AX51" s="717"/>
      <c r="AY51" s="717"/>
      <c r="AZ51" s="717"/>
      <c r="BA51" s="717"/>
    </row>
    <row r="52" spans="1:53">
      <c r="A52" s="532">
        <v>41612</v>
      </c>
      <c r="B52" s="766">
        <v>661.22547842833205</v>
      </c>
      <c r="C52" s="766">
        <v>4219.4274290581188</v>
      </c>
      <c r="D52" s="679">
        <v>518.63266884988172</v>
      </c>
      <c r="E52" s="679">
        <v>49.840224086765446</v>
      </c>
      <c r="F52" s="554">
        <v>1241.6412617841786</v>
      </c>
      <c r="G52" s="554">
        <v>1482.6902384214984</v>
      </c>
      <c r="H52" s="554">
        <v>879.56498604449257</v>
      </c>
      <c r="I52" s="554">
        <v>2762.2700163736563</v>
      </c>
      <c r="J52" s="503">
        <v>359.77667288574526</v>
      </c>
      <c r="K52" s="503">
        <v>2960.3553779962249</v>
      </c>
      <c r="L52" s="503">
        <v>1611.5136384954587</v>
      </c>
      <c r="M52" s="503">
        <v>125.90627564896016</v>
      </c>
      <c r="N52" s="551"/>
      <c r="O52" s="679"/>
      <c r="P52" s="679"/>
      <c r="Q52" s="679"/>
      <c r="R52" s="679"/>
      <c r="S52" s="554"/>
      <c r="T52" s="554"/>
      <c r="U52" s="554"/>
      <c r="V52" s="554"/>
      <c r="W52" s="503"/>
      <c r="X52" s="503"/>
      <c r="Y52" s="503"/>
      <c r="Z52" s="503"/>
      <c r="AA52" s="771"/>
      <c r="AB52" s="776"/>
      <c r="AC52" s="719"/>
      <c r="AD52" s="719"/>
      <c r="AE52" s="719"/>
      <c r="AF52" s="719"/>
      <c r="AG52" s="718"/>
      <c r="AH52" s="718"/>
      <c r="AI52" s="718"/>
      <c r="AJ52" s="718"/>
      <c r="AK52" s="717"/>
      <c r="AL52" s="717"/>
      <c r="AM52" s="717"/>
      <c r="AN52" s="717"/>
      <c r="AO52" s="771"/>
      <c r="AP52" s="719"/>
      <c r="AQ52" s="719"/>
      <c r="AR52" s="719"/>
      <c r="AS52" s="719"/>
      <c r="AT52" s="718"/>
      <c r="AU52" s="718"/>
      <c r="AV52" s="718"/>
      <c r="AW52" s="718"/>
      <c r="AX52" s="717"/>
      <c r="AY52" s="717"/>
      <c r="AZ52" s="717"/>
      <c r="BA52" s="717"/>
    </row>
    <row r="53" spans="1:53">
      <c r="A53" s="532">
        <v>41613</v>
      </c>
      <c r="B53" s="766">
        <v>758.77226736898626</v>
      </c>
      <c r="C53" s="766">
        <v>5834.8676023295511</v>
      </c>
      <c r="D53" s="679">
        <v>1077.8767332637415</v>
      </c>
      <c r="E53" s="679">
        <v>-578.11815041552234</v>
      </c>
      <c r="F53" s="554">
        <v>1187.4143878874183</v>
      </c>
      <c r="G53" s="554">
        <v>1362.9104831848367</v>
      </c>
      <c r="H53" s="554">
        <v>863.54839148812835</v>
      </c>
      <c r="I53" s="554">
        <v>2673.4819722117718</v>
      </c>
      <c r="J53" s="503">
        <v>362.48900985500751</v>
      </c>
      <c r="K53" s="503">
        <v>2155.6072242425807</v>
      </c>
      <c r="L53" s="503">
        <v>1588.2436535329468</v>
      </c>
      <c r="M53" s="503">
        <v>1297.7738114260515</v>
      </c>
      <c r="N53" s="551"/>
      <c r="O53" s="679"/>
      <c r="P53" s="679"/>
      <c r="Q53" s="679"/>
      <c r="R53" s="679"/>
      <c r="S53" s="554"/>
      <c r="T53" s="554"/>
      <c r="U53" s="554"/>
      <c r="V53" s="554"/>
      <c r="W53" s="503"/>
      <c r="X53" s="503"/>
      <c r="Y53" s="503"/>
      <c r="Z53" s="503"/>
      <c r="AA53" s="771"/>
      <c r="AB53" s="776"/>
      <c r="AC53" s="719"/>
      <c r="AD53" s="719"/>
      <c r="AE53" s="719"/>
      <c r="AF53" s="719"/>
      <c r="AG53" s="718"/>
      <c r="AH53" s="718"/>
      <c r="AI53" s="718"/>
      <c r="AJ53" s="718"/>
      <c r="AK53" s="717"/>
      <c r="AL53" s="717"/>
      <c r="AM53" s="717"/>
      <c r="AN53" s="717"/>
      <c r="AO53" s="771"/>
      <c r="AP53" s="719"/>
      <c r="AQ53" s="719"/>
      <c r="AR53" s="719"/>
      <c r="AS53" s="719"/>
      <c r="AT53" s="718"/>
      <c r="AU53" s="718"/>
      <c r="AV53" s="718"/>
      <c r="AW53" s="718"/>
      <c r="AX53" s="717"/>
      <c r="AY53" s="717"/>
      <c r="AZ53" s="717"/>
      <c r="BA53" s="717"/>
    </row>
    <row r="54" spans="1:53">
      <c r="A54" s="532">
        <v>41614</v>
      </c>
      <c r="B54" s="766">
        <v>478.26454915960011</v>
      </c>
      <c r="C54" s="766">
        <v>5388.7606056227733</v>
      </c>
      <c r="D54" s="679">
        <v>1441.7029904386022</v>
      </c>
      <c r="E54" s="679">
        <v>686.18966065299492</v>
      </c>
      <c r="F54" s="554">
        <v>1132.8737831347403</v>
      </c>
      <c r="G54" s="554">
        <v>1223.3933105147364</v>
      </c>
      <c r="H54" s="554">
        <v>845.44158946504399</v>
      </c>
      <c r="I54" s="554">
        <v>2568.2155192763039</v>
      </c>
      <c r="J54" s="503">
        <v>593.42786565791039</v>
      </c>
      <c r="K54" s="503">
        <v>4831.0394919613282</v>
      </c>
      <c r="L54" s="503">
        <v>1456.0852854669106</v>
      </c>
      <c r="M54" s="503">
        <v>834.16353338910483</v>
      </c>
      <c r="N54" s="551"/>
      <c r="O54" s="679"/>
      <c r="P54" s="679"/>
      <c r="Q54" s="679"/>
      <c r="R54" s="679"/>
      <c r="S54" s="554"/>
      <c r="T54" s="554"/>
      <c r="U54" s="554"/>
      <c r="V54" s="554"/>
      <c r="W54" s="503"/>
      <c r="X54" s="503"/>
      <c r="Y54" s="503"/>
      <c r="Z54" s="503"/>
      <c r="AA54" s="771"/>
      <c r="AB54" s="776"/>
      <c r="AC54" s="719"/>
      <c r="AD54" s="719"/>
      <c r="AE54" s="719"/>
      <c r="AF54" s="719"/>
      <c r="AG54" s="718"/>
      <c r="AH54" s="718"/>
      <c r="AI54" s="718"/>
      <c r="AJ54" s="718"/>
      <c r="AK54" s="717"/>
      <c r="AL54" s="717"/>
      <c r="AM54" s="717"/>
      <c r="AN54" s="717"/>
      <c r="AO54" s="771"/>
      <c r="AP54" s="719"/>
      <c r="AQ54" s="719"/>
      <c r="AR54" s="719"/>
      <c r="AS54" s="719"/>
      <c r="AT54" s="718"/>
      <c r="AU54" s="718"/>
      <c r="AV54" s="718"/>
      <c r="AW54" s="718"/>
      <c r="AX54" s="717"/>
      <c r="AY54" s="717"/>
      <c r="AZ54" s="717"/>
      <c r="BA54" s="717"/>
    </row>
    <row r="55" spans="1:53">
      <c r="A55" s="532">
        <v>41615</v>
      </c>
      <c r="B55" s="766">
        <v>160.13347666306271</v>
      </c>
      <c r="C55" s="766">
        <v>6156.0962797790371</v>
      </c>
      <c r="D55" s="679">
        <v>534.19273916843292</v>
      </c>
      <c r="E55" s="679">
        <v>987.29651523423809</v>
      </c>
      <c r="F55" s="554">
        <v>1077.981093374992</v>
      </c>
      <c r="G55" s="554">
        <v>1051.3244830317165</v>
      </c>
      <c r="H55" s="554">
        <v>824.20109357422655</v>
      </c>
      <c r="I55" s="554">
        <v>2440.312088437674</v>
      </c>
      <c r="J55" s="503">
        <v>659.69461029169304</v>
      </c>
      <c r="K55" s="503">
        <v>2829.3069407364683</v>
      </c>
      <c r="L55" s="503">
        <v>1365.4392483655693</v>
      </c>
      <c r="M55" s="503">
        <v>283.4105261352513</v>
      </c>
      <c r="N55" s="551"/>
      <c r="O55" s="679"/>
      <c r="P55" s="679"/>
      <c r="Q55" s="679"/>
      <c r="R55" s="679"/>
      <c r="S55" s="554"/>
      <c r="T55" s="554"/>
      <c r="U55" s="554"/>
      <c r="V55" s="554"/>
      <c r="W55" s="503"/>
      <c r="X55" s="503"/>
      <c r="Y55" s="503"/>
      <c r="Z55" s="503"/>
      <c r="AA55" s="771"/>
      <c r="AB55" s="776"/>
      <c r="AC55" s="719"/>
      <c r="AD55" s="719"/>
      <c r="AE55" s="719"/>
      <c r="AF55" s="719"/>
      <c r="AG55" s="718"/>
      <c r="AH55" s="718"/>
      <c r="AI55" s="718"/>
      <c r="AJ55" s="718"/>
      <c r="AK55" s="717"/>
      <c r="AL55" s="717"/>
      <c r="AM55" s="717"/>
      <c r="AN55" s="717"/>
      <c r="AO55" s="771"/>
      <c r="AP55" s="719"/>
      <c r="AQ55" s="719"/>
      <c r="AR55" s="719"/>
      <c r="AS55" s="719"/>
      <c r="AT55" s="718"/>
      <c r="AU55" s="718"/>
      <c r="AV55" s="718"/>
      <c r="AW55" s="718"/>
      <c r="AX55" s="717"/>
      <c r="AY55" s="717"/>
      <c r="AZ55" s="717"/>
      <c r="BA55" s="717"/>
    </row>
    <row r="56" spans="1:53">
      <c r="A56" s="532">
        <v>41616</v>
      </c>
      <c r="B56" s="745">
        <v>431.92022955324092</v>
      </c>
      <c r="C56" s="745">
        <v>6237.6566987692313</v>
      </c>
      <c r="D56" s="679">
        <v>478.7653068149333</v>
      </c>
      <c r="E56" s="679">
        <v>1129.2954871129364</v>
      </c>
      <c r="F56" s="554">
        <v>1027.3549772598574</v>
      </c>
      <c r="G56" s="554">
        <v>883.40396133764955</v>
      </c>
      <c r="H56" s="554">
        <v>802.67508610903872</v>
      </c>
      <c r="I56" s="554">
        <v>2293.0681461570912</v>
      </c>
      <c r="J56" s="503">
        <v>518.63692031010203</v>
      </c>
      <c r="K56" s="503">
        <v>2983.3548776799835</v>
      </c>
      <c r="L56" s="503">
        <v>1275.4616477678576</v>
      </c>
      <c r="M56" s="503">
        <v>329.38461790549178</v>
      </c>
      <c r="N56" s="552"/>
      <c r="O56" s="679"/>
      <c r="P56" s="679"/>
      <c r="Q56" s="679"/>
      <c r="R56" s="679"/>
      <c r="S56" s="554"/>
      <c r="T56" s="554"/>
      <c r="U56" s="554"/>
      <c r="V56" s="554"/>
      <c r="W56" s="503"/>
      <c r="X56" s="503"/>
      <c r="Y56" s="503"/>
      <c r="Z56" s="503"/>
      <c r="AA56" s="771"/>
      <c r="AB56" s="776"/>
      <c r="AC56" s="719"/>
      <c r="AD56" s="719"/>
      <c r="AE56" s="719"/>
      <c r="AF56" s="719"/>
      <c r="AG56" s="718"/>
      <c r="AH56" s="718"/>
      <c r="AI56" s="718"/>
      <c r="AJ56" s="718"/>
      <c r="AK56" s="717"/>
      <c r="AL56" s="717"/>
      <c r="AM56" s="717"/>
      <c r="AN56" s="717"/>
      <c r="AO56" s="771"/>
      <c r="AP56" s="719"/>
      <c r="AQ56" s="719"/>
      <c r="AR56" s="719"/>
      <c r="AS56" s="719"/>
      <c r="AT56" s="718"/>
      <c r="AU56" s="718"/>
      <c r="AV56" s="718"/>
      <c r="AW56" s="718"/>
      <c r="AX56" s="717"/>
      <c r="AY56" s="717"/>
      <c r="AZ56" s="717"/>
      <c r="BA56" s="717"/>
    </row>
    <row r="57" spans="1:53">
      <c r="A57" s="532">
        <v>41617</v>
      </c>
      <c r="B57" s="745">
        <v>410.7727484926516</v>
      </c>
      <c r="C57" s="745">
        <v>5901.5323962039674</v>
      </c>
      <c r="D57" s="679">
        <v>1444.8618225567502</v>
      </c>
      <c r="E57" s="679">
        <v>862.56124859570923</v>
      </c>
      <c r="F57" s="554">
        <v>979.41849723562041</v>
      </c>
      <c r="G57" s="554">
        <v>719.36004060062578</v>
      </c>
      <c r="H57" s="554">
        <v>786.23032703289482</v>
      </c>
      <c r="I57" s="554">
        <v>2151.621198652464</v>
      </c>
      <c r="J57" s="503">
        <v>384.45807952981909</v>
      </c>
      <c r="K57" s="503">
        <v>3131.5956028699457</v>
      </c>
      <c r="L57" s="503">
        <v>1195.5611779427895</v>
      </c>
      <c r="M57" s="503">
        <v>371.57128794942201</v>
      </c>
      <c r="N57" s="552"/>
      <c r="O57" s="745">
        <f>SUM(B51:B57)</f>
        <v>4200.1048330001968</v>
      </c>
      <c r="P57" s="745">
        <f t="shared" ref="P57" si="93">SUM(C51:C57)</f>
        <v>38608.456377587303</v>
      </c>
      <c r="Q57" s="745">
        <f t="shared" ref="Q57" si="94">SUM(D51:D57)</f>
        <v>6811.1889105284099</v>
      </c>
      <c r="R57" s="745">
        <f t="shared" ref="R57" si="95">SUM(E51:E57)</f>
        <v>3572.3891250154375</v>
      </c>
      <c r="S57" s="745">
        <f t="shared" ref="S57" si="96">SUM(F51:F57)</f>
        <v>7923.6964077115736</v>
      </c>
      <c r="T57" s="745">
        <f t="shared" ref="T57" si="97">SUM(G51:G57)</f>
        <v>8278.3859531941052</v>
      </c>
      <c r="U57" s="745">
        <f t="shared" ref="U57" si="98">SUM(H51:H57)</f>
        <v>5890.2122210876732</v>
      </c>
      <c r="V57" s="745">
        <f t="shared" ref="V57" si="99">SUM(I51:I57)</f>
        <v>17699.523436982414</v>
      </c>
      <c r="W57" s="745">
        <f t="shared" ref="W57" si="100">SUM(J51:J57)</f>
        <v>3302.7879216165502</v>
      </c>
      <c r="X57" s="745">
        <f t="shared" ref="X57" si="101">SUM(K51:K57)</f>
        <v>21089.532404040685</v>
      </c>
      <c r="Y57" s="745">
        <f t="shared" ref="Y57" si="102">SUM(L51:L57)</f>
        <v>9931.4385796463721</v>
      </c>
      <c r="Z57" s="745">
        <f t="shared" ref="Z57" si="103">SUM(M51:M57)</f>
        <v>3419.7384383850404</v>
      </c>
      <c r="AA57" s="772"/>
      <c r="AB57" s="777"/>
      <c r="AC57" s="766"/>
      <c r="AD57" s="766"/>
      <c r="AE57" s="766"/>
      <c r="AF57" s="766"/>
      <c r="AG57" s="766"/>
      <c r="AH57" s="766"/>
      <c r="AI57" s="766"/>
      <c r="AJ57" s="766"/>
      <c r="AK57" s="766"/>
      <c r="AL57" s="766"/>
      <c r="AM57" s="766"/>
      <c r="AN57" s="766"/>
      <c r="AO57" s="772"/>
      <c r="AP57" s="766"/>
      <c r="AQ57" s="766"/>
      <c r="AR57" s="766"/>
      <c r="AS57" s="766"/>
      <c r="AT57" s="766"/>
      <c r="AU57" s="766"/>
      <c r="AV57" s="766"/>
      <c r="AW57" s="766"/>
      <c r="AX57" s="766"/>
      <c r="AY57" s="766"/>
      <c r="AZ57" s="766"/>
      <c r="BA57" s="766"/>
    </row>
    <row r="58" spans="1:53">
      <c r="A58" s="532">
        <v>41618</v>
      </c>
      <c r="B58" s="745">
        <v>618.22156066660898</v>
      </c>
      <c r="C58" s="745">
        <v>6671.1568611669527</v>
      </c>
      <c r="D58" s="679">
        <v>1236.3253570760942</v>
      </c>
      <c r="E58" s="679">
        <v>1038.2722182674599</v>
      </c>
      <c r="F58" s="554">
        <v>932.28113652194656</v>
      </c>
      <c r="G58" s="554">
        <v>548.63145132064733</v>
      </c>
      <c r="H58" s="554">
        <v>769.68899629312682</v>
      </c>
      <c r="I58" s="554">
        <v>2009.9706469066653</v>
      </c>
      <c r="J58" s="503">
        <v>255.34470917776258</v>
      </c>
      <c r="K58" s="503">
        <v>3264.2263339559413</v>
      </c>
      <c r="L58" s="503">
        <v>1119.6600213604561</v>
      </c>
      <c r="M58" s="503">
        <v>409.24211766767701</v>
      </c>
      <c r="N58" s="552"/>
      <c r="O58" s="679"/>
      <c r="P58" s="679"/>
      <c r="Q58" s="679"/>
      <c r="R58" s="679"/>
      <c r="S58" s="554"/>
      <c r="T58" s="554"/>
      <c r="U58" s="554"/>
      <c r="V58" s="554"/>
      <c r="W58" s="503"/>
      <c r="X58" s="503"/>
      <c r="Y58" s="503"/>
      <c r="Z58" s="503"/>
      <c r="AA58" s="771"/>
      <c r="AB58" s="776"/>
      <c r="AC58" s="719"/>
      <c r="AD58" s="719"/>
      <c r="AE58" s="719"/>
      <c r="AF58" s="719"/>
      <c r="AG58" s="718"/>
      <c r="AH58" s="718"/>
      <c r="AI58" s="718"/>
      <c r="AJ58" s="718"/>
      <c r="AK58" s="717"/>
      <c r="AL58" s="717"/>
      <c r="AM58" s="717"/>
      <c r="AN58" s="717"/>
      <c r="AO58" s="771"/>
      <c r="AP58" s="719"/>
      <c r="AQ58" s="719"/>
      <c r="AR58" s="719"/>
      <c r="AS58" s="719"/>
      <c r="AT58" s="718"/>
      <c r="AU58" s="718"/>
      <c r="AV58" s="718"/>
      <c r="AW58" s="718"/>
      <c r="AX58" s="717"/>
      <c r="AY58" s="717"/>
      <c r="AZ58" s="717"/>
      <c r="BA58" s="717"/>
    </row>
    <row r="59" spans="1:53">
      <c r="A59" s="532">
        <v>41619</v>
      </c>
      <c r="B59" s="766">
        <v>479.82033434369515</v>
      </c>
      <c r="C59" s="766">
        <v>7173.6108706819568</v>
      </c>
      <c r="D59" s="679">
        <v>1838.857559497126</v>
      </c>
      <c r="E59" s="679">
        <v>1017.0243802690577</v>
      </c>
      <c r="F59" s="554">
        <v>885.58839910450149</v>
      </c>
      <c r="G59" s="554">
        <v>362.05701599821708</v>
      </c>
      <c r="H59" s="554">
        <v>748.19797470494802</v>
      </c>
      <c r="I59" s="554">
        <v>1867.3264961794678</v>
      </c>
      <c r="J59" s="503">
        <v>131.44300534658692</v>
      </c>
      <c r="K59" s="503">
        <v>3376.065994802344</v>
      </c>
      <c r="L59" s="503">
        <v>1038.3774216863694</v>
      </c>
      <c r="M59" s="503">
        <v>443.09882439870455</v>
      </c>
      <c r="N59" s="551"/>
      <c r="O59" s="679"/>
      <c r="P59" s="679"/>
      <c r="Q59" s="679"/>
      <c r="R59" s="679"/>
      <c r="S59" s="554"/>
      <c r="T59" s="554"/>
      <c r="U59" s="554"/>
      <c r="V59" s="554"/>
      <c r="W59" s="503"/>
      <c r="X59" s="503"/>
      <c r="Y59" s="503"/>
      <c r="Z59" s="503"/>
      <c r="AA59" s="771"/>
      <c r="AB59" s="776"/>
      <c r="AC59" s="719"/>
      <c r="AD59" s="719"/>
      <c r="AE59" s="719"/>
      <c r="AF59" s="719"/>
      <c r="AG59" s="718"/>
      <c r="AH59" s="718"/>
      <c r="AI59" s="718"/>
      <c r="AJ59" s="718"/>
      <c r="AK59" s="717"/>
      <c r="AL59" s="717"/>
      <c r="AM59" s="717"/>
      <c r="AN59" s="717"/>
      <c r="AO59" s="771"/>
      <c r="AP59" s="719"/>
      <c r="AQ59" s="719"/>
      <c r="AR59" s="719"/>
      <c r="AS59" s="719"/>
      <c r="AT59" s="718"/>
      <c r="AU59" s="718"/>
      <c r="AV59" s="718"/>
      <c r="AW59" s="718"/>
      <c r="AX59" s="717"/>
      <c r="AY59" s="717"/>
      <c r="AZ59" s="717"/>
      <c r="BA59" s="717"/>
    </row>
    <row r="60" spans="1:53">
      <c r="A60" s="532">
        <v>41620</v>
      </c>
      <c r="B60" s="766">
        <v>-820.17757421137026</v>
      </c>
      <c r="C60" s="766">
        <v>-2371.5149050669502</v>
      </c>
      <c r="D60" s="679">
        <v>-1162.8536492468997</v>
      </c>
      <c r="E60" s="679">
        <v>-1916.393908155645</v>
      </c>
      <c r="F60" s="554">
        <v>842.31892711079547</v>
      </c>
      <c r="G60" s="554">
        <v>182.16945316114902</v>
      </c>
      <c r="H60" s="554">
        <v>727.34304174103215</v>
      </c>
      <c r="I60" s="554">
        <v>1718.7199611044221</v>
      </c>
      <c r="J60" s="503">
        <v>210.76141089759224</v>
      </c>
      <c r="K60" s="503">
        <v>2924.2063116215172</v>
      </c>
      <c r="L60" s="503">
        <v>1066.2261402328529</v>
      </c>
      <c r="M60" s="503">
        <v>472.15667889863312</v>
      </c>
      <c r="N60" s="551"/>
      <c r="O60" s="679"/>
      <c r="P60" s="679"/>
      <c r="Q60" s="679"/>
      <c r="R60" s="679"/>
      <c r="S60" s="554"/>
      <c r="T60" s="554"/>
      <c r="U60" s="554"/>
      <c r="V60" s="554"/>
      <c r="W60" s="503"/>
      <c r="X60" s="503"/>
      <c r="Y60" s="503"/>
      <c r="Z60" s="503"/>
      <c r="AA60" s="771"/>
      <c r="AB60" s="776"/>
      <c r="AC60" s="719"/>
      <c r="AD60" s="719"/>
      <c r="AE60" s="719"/>
      <c r="AF60" s="719"/>
      <c r="AG60" s="718"/>
      <c r="AH60" s="718"/>
      <c r="AI60" s="718"/>
      <c r="AJ60" s="718"/>
      <c r="AK60" s="717"/>
      <c r="AL60" s="717"/>
      <c r="AM60" s="717"/>
      <c r="AN60" s="717"/>
      <c r="AO60" s="771"/>
      <c r="AP60" s="719"/>
      <c r="AQ60" s="719"/>
      <c r="AR60" s="719"/>
      <c r="AS60" s="719"/>
      <c r="AT60" s="718"/>
      <c r="AU60" s="718"/>
      <c r="AV60" s="718"/>
      <c r="AW60" s="718"/>
      <c r="AX60" s="717"/>
      <c r="AY60" s="717"/>
      <c r="AZ60" s="717"/>
      <c r="BA60" s="717"/>
    </row>
    <row r="61" spans="1:53">
      <c r="A61" s="532">
        <v>41621</v>
      </c>
      <c r="B61" s="745">
        <v>-1565.2524107044626</v>
      </c>
      <c r="C61" s="745">
        <v>-10512.61663393128</v>
      </c>
      <c r="D61" s="679">
        <v>-2851.3785344922499</v>
      </c>
      <c r="E61" s="679">
        <v>-4036.5854552768333</v>
      </c>
      <c r="F61" s="554">
        <v>822.65798672248707</v>
      </c>
      <c r="G61" s="554">
        <v>173.58589741151874</v>
      </c>
      <c r="H61" s="554">
        <v>707.92831876944297</v>
      </c>
      <c r="I61" s="554">
        <v>1632.2855758539042</v>
      </c>
      <c r="J61" s="503">
        <v>287.36390972985635</v>
      </c>
      <c r="K61" s="503">
        <v>2748.8924698736569</v>
      </c>
      <c r="L61" s="503">
        <v>1087.178971032298</v>
      </c>
      <c r="M61" s="503">
        <v>496.64968078104897</v>
      </c>
      <c r="N61" s="551"/>
      <c r="O61" s="679"/>
      <c r="P61" s="679"/>
      <c r="Q61" s="679"/>
      <c r="R61" s="679"/>
      <c r="S61" s="554"/>
      <c r="T61" s="554"/>
      <c r="U61" s="554"/>
      <c r="V61" s="554"/>
      <c r="W61" s="503"/>
      <c r="X61" s="503"/>
      <c r="Y61" s="503"/>
      <c r="Z61" s="503"/>
      <c r="AA61" s="771"/>
      <c r="AB61" s="776"/>
      <c r="AC61" s="719"/>
      <c r="AD61" s="719"/>
      <c r="AE61" s="719"/>
      <c r="AF61" s="719"/>
      <c r="AG61" s="718"/>
      <c r="AH61" s="718"/>
      <c r="AI61" s="718"/>
      <c r="AJ61" s="718"/>
      <c r="AK61" s="717"/>
      <c r="AL61" s="717"/>
      <c r="AM61" s="717"/>
      <c r="AN61" s="717"/>
      <c r="AO61" s="771"/>
      <c r="AP61" s="719"/>
      <c r="AQ61" s="719"/>
      <c r="AR61" s="719"/>
      <c r="AS61" s="719"/>
      <c r="AT61" s="718"/>
      <c r="AU61" s="718"/>
      <c r="AV61" s="718"/>
      <c r="AW61" s="718"/>
      <c r="AX61" s="717"/>
      <c r="AY61" s="717"/>
      <c r="AZ61" s="717"/>
      <c r="BA61" s="717"/>
    </row>
    <row r="62" spans="1:53">
      <c r="A62" s="532">
        <v>41622</v>
      </c>
      <c r="B62" s="745">
        <v>557.4447175984418</v>
      </c>
      <c r="C62" s="745">
        <v>2611.6857708684897</v>
      </c>
      <c r="D62" s="679">
        <v>-287.99738976607864</v>
      </c>
      <c r="E62" s="679">
        <v>-391.5316106595323</v>
      </c>
      <c r="F62" s="554">
        <v>827.99727545446592</v>
      </c>
      <c r="G62" s="554">
        <v>274.77341195170089</v>
      </c>
      <c r="H62" s="554">
        <v>706.38221953899586</v>
      </c>
      <c r="I62" s="554">
        <v>1665.6306940500435</v>
      </c>
      <c r="J62" s="503">
        <v>366.78726190790496</v>
      </c>
      <c r="K62" s="503">
        <v>2841.4133874264508</v>
      </c>
      <c r="L62" s="503">
        <v>1129.9255090762802</v>
      </c>
      <c r="M62" s="503">
        <v>541.0402637524013</v>
      </c>
      <c r="N62" s="552"/>
      <c r="O62" s="679"/>
      <c r="P62" s="679"/>
      <c r="Q62" s="679"/>
      <c r="R62" s="679"/>
      <c r="S62" s="554"/>
      <c r="T62" s="554"/>
      <c r="U62" s="554"/>
      <c r="V62" s="554"/>
      <c r="W62" s="503"/>
      <c r="X62" s="503"/>
      <c r="Y62" s="503"/>
      <c r="Z62" s="503"/>
      <c r="AA62" s="771"/>
      <c r="AB62" s="776"/>
      <c r="AC62" s="719"/>
      <c r="AD62" s="719"/>
      <c r="AE62" s="719"/>
      <c r="AF62" s="719"/>
      <c r="AG62" s="718"/>
      <c r="AH62" s="718"/>
      <c r="AI62" s="718"/>
      <c r="AJ62" s="718"/>
      <c r="AK62" s="717"/>
      <c r="AL62" s="717"/>
      <c r="AM62" s="717"/>
      <c r="AN62" s="717"/>
      <c r="AO62" s="771"/>
      <c r="AP62" s="719"/>
      <c r="AQ62" s="719"/>
      <c r="AR62" s="719"/>
      <c r="AS62" s="719"/>
      <c r="AT62" s="718"/>
      <c r="AU62" s="718"/>
      <c r="AV62" s="718"/>
      <c r="AW62" s="718"/>
      <c r="AX62" s="717"/>
      <c r="AY62" s="717"/>
      <c r="AZ62" s="717"/>
      <c r="BA62" s="717"/>
    </row>
    <row r="63" spans="1:53">
      <c r="A63" s="532">
        <v>41623</v>
      </c>
      <c r="B63" s="766">
        <v>530.81680042106973</v>
      </c>
      <c r="C63" s="766">
        <v>3098.6907421475885</v>
      </c>
      <c r="D63" s="679">
        <v>629.24440175740096</v>
      </c>
      <c r="E63" s="679">
        <v>-220.77041684231128</v>
      </c>
      <c r="F63" s="554">
        <v>802.60942654238954</v>
      </c>
      <c r="G63" s="554">
        <v>179.55732791232967</v>
      </c>
      <c r="H63" s="554">
        <v>709.50500587755505</v>
      </c>
      <c r="I63" s="554">
        <v>1678.4804246385236</v>
      </c>
      <c r="J63" s="503">
        <v>449.77289629716603</v>
      </c>
      <c r="K63" s="503">
        <v>1963.0334153055751</v>
      </c>
      <c r="L63" s="503">
        <v>1186.9786015067184</v>
      </c>
      <c r="M63" s="503">
        <v>605.64735687437906</v>
      </c>
      <c r="N63" s="551"/>
      <c r="O63" s="679"/>
      <c r="P63" s="679"/>
      <c r="Q63" s="679"/>
      <c r="R63" s="679"/>
      <c r="S63" s="554"/>
      <c r="T63" s="554"/>
      <c r="U63" s="554"/>
      <c r="V63" s="554"/>
      <c r="W63" s="503"/>
      <c r="X63" s="503"/>
      <c r="Y63" s="503"/>
      <c r="Z63" s="503"/>
      <c r="AA63" s="771"/>
      <c r="AB63" s="776"/>
      <c r="AC63" s="719"/>
      <c r="AD63" s="719"/>
      <c r="AE63" s="719"/>
      <c r="AF63" s="719"/>
      <c r="AG63" s="718"/>
      <c r="AH63" s="718"/>
      <c r="AI63" s="718"/>
      <c r="AJ63" s="718"/>
      <c r="AK63" s="717"/>
      <c r="AL63" s="717"/>
      <c r="AM63" s="717"/>
      <c r="AN63" s="717"/>
      <c r="AO63" s="771"/>
      <c r="AP63" s="719"/>
      <c r="AQ63" s="719"/>
      <c r="AR63" s="719"/>
      <c r="AS63" s="719"/>
      <c r="AT63" s="718"/>
      <c r="AU63" s="718"/>
      <c r="AV63" s="718"/>
      <c r="AW63" s="718"/>
      <c r="AX63" s="717"/>
      <c r="AY63" s="717"/>
      <c r="AZ63" s="717"/>
      <c r="BA63" s="717"/>
    </row>
    <row r="64" spans="1:53">
      <c r="A64" s="532">
        <v>41624</v>
      </c>
      <c r="B64" s="766">
        <v>533.68848341837133</v>
      </c>
      <c r="C64" s="766">
        <v>2141.149691367998</v>
      </c>
      <c r="D64" s="679">
        <v>1218.6073198512524</v>
      </c>
      <c r="E64" s="679">
        <v>188.57621012746796</v>
      </c>
      <c r="F64" s="554">
        <v>752.29818996304562</v>
      </c>
      <c r="G64" s="554">
        <v>174.48749410150222</v>
      </c>
      <c r="H64" s="554">
        <v>697.24539640340129</v>
      </c>
      <c r="I64" s="554">
        <v>1585.4027458684479</v>
      </c>
      <c r="J64" s="503">
        <v>445.84133193516652</v>
      </c>
      <c r="K64" s="503">
        <v>2650.9067104601313</v>
      </c>
      <c r="L64" s="503">
        <v>316.77269009338067</v>
      </c>
      <c r="M64" s="503">
        <v>656.96640984718101</v>
      </c>
      <c r="N64" s="551"/>
      <c r="O64" s="745">
        <f>SUM(B58:B64)</f>
        <v>334.5619115323542</v>
      </c>
      <c r="P64" s="745">
        <f t="shared" ref="P64" si="104">SUM(C58:C64)</f>
        <v>8812.1623972347552</v>
      </c>
      <c r="Q64" s="745">
        <f t="shared" ref="Q64" si="105">SUM(D58:D64)</f>
        <v>620.80506467664532</v>
      </c>
      <c r="R64" s="745">
        <f t="shared" ref="R64" si="106">SUM(E58:E64)</f>
        <v>-4321.4085822703364</v>
      </c>
      <c r="S64" s="745">
        <f t="shared" ref="S64" si="107">SUM(F58:F64)</f>
        <v>5865.7513414196319</v>
      </c>
      <c r="T64" s="745">
        <f t="shared" ref="T64" si="108">SUM(G58:G64)</f>
        <v>1895.262051857065</v>
      </c>
      <c r="U64" s="745">
        <f t="shared" ref="U64" si="109">SUM(H58:H64)</f>
        <v>5066.2909533285019</v>
      </c>
      <c r="V64" s="745">
        <f t="shared" ref="V64" si="110">SUM(I58:I64)</f>
        <v>12157.816544601475</v>
      </c>
      <c r="W64" s="745">
        <f t="shared" ref="W64" si="111">SUM(J58:J64)</f>
        <v>2147.3145252920358</v>
      </c>
      <c r="X64" s="745">
        <f t="shared" ref="X64" si="112">SUM(K58:K64)</f>
        <v>19768.744623445615</v>
      </c>
      <c r="Y64" s="745">
        <f t="shared" ref="Y64" si="113">SUM(L58:L64)</f>
        <v>6945.1193549883556</v>
      </c>
      <c r="Z64" s="745">
        <f t="shared" ref="Z64" si="114">SUM(M58:M64)</f>
        <v>3624.801332220025</v>
      </c>
      <c r="AA64" s="772"/>
      <c r="AB64" s="777"/>
      <c r="AC64" s="766"/>
      <c r="AD64" s="766"/>
      <c r="AE64" s="766"/>
      <c r="AF64" s="766"/>
      <c r="AG64" s="766"/>
      <c r="AH64" s="766"/>
      <c r="AI64" s="766"/>
      <c r="AJ64" s="766"/>
      <c r="AK64" s="766"/>
      <c r="AL64" s="766"/>
      <c r="AM64" s="766"/>
      <c r="AN64" s="766"/>
      <c r="AO64" s="772"/>
      <c r="AP64" s="766"/>
      <c r="AQ64" s="766"/>
      <c r="AR64" s="766"/>
      <c r="AS64" s="766"/>
      <c r="AT64" s="766"/>
      <c r="AU64" s="766"/>
      <c r="AV64" s="766"/>
      <c r="AW64" s="766"/>
      <c r="AX64" s="766"/>
      <c r="AY64" s="766"/>
      <c r="AZ64" s="766"/>
      <c r="BA64" s="766"/>
    </row>
    <row r="65" spans="1:53">
      <c r="A65" s="532">
        <v>41625</v>
      </c>
      <c r="B65" s="766">
        <v>411.39015470386994</v>
      </c>
      <c r="C65" s="766">
        <v>2745.260687334865</v>
      </c>
      <c r="D65" s="679">
        <v>1245.2584063773227</v>
      </c>
      <c r="E65" s="679">
        <v>74.929822097634201</v>
      </c>
      <c r="F65" s="554">
        <v>701.62464835917456</v>
      </c>
      <c r="G65" s="554">
        <v>169.9123032170456</v>
      </c>
      <c r="H65" s="554">
        <v>680.16059013594656</v>
      </c>
      <c r="I65" s="554">
        <v>1475.3100330463458</v>
      </c>
      <c r="J65" s="503">
        <v>502.52963338096112</v>
      </c>
      <c r="K65" s="503">
        <v>3099.5679528589467</v>
      </c>
      <c r="L65" s="503">
        <v>1001.8878000806519</v>
      </c>
      <c r="M65" s="503">
        <v>1385.0534465039457</v>
      </c>
      <c r="N65" s="551"/>
      <c r="O65" s="679"/>
      <c r="P65" s="679"/>
      <c r="Q65" s="679"/>
      <c r="R65" s="679"/>
      <c r="S65" s="554"/>
      <c r="T65" s="554"/>
      <c r="U65" s="554"/>
      <c r="V65" s="554"/>
      <c r="W65" s="503"/>
      <c r="X65" s="503"/>
      <c r="Y65" s="503"/>
      <c r="Z65" s="503"/>
      <c r="AA65" s="771"/>
      <c r="AB65" s="776"/>
      <c r="AC65" s="719"/>
      <c r="AD65" s="719"/>
      <c r="AE65" s="719"/>
      <c r="AF65" s="719"/>
      <c r="AG65" s="718"/>
      <c r="AH65" s="718"/>
      <c r="AI65" s="718"/>
      <c r="AJ65" s="718"/>
      <c r="AK65" s="717"/>
      <c r="AL65" s="717"/>
      <c r="AM65" s="717"/>
      <c r="AN65" s="717"/>
      <c r="AO65" s="771"/>
      <c r="AP65" s="719"/>
      <c r="AQ65" s="719"/>
      <c r="AR65" s="719"/>
      <c r="AS65" s="719"/>
      <c r="AT65" s="718"/>
      <c r="AU65" s="718"/>
      <c r="AV65" s="718"/>
      <c r="AW65" s="718"/>
      <c r="AX65" s="717"/>
      <c r="AY65" s="717"/>
      <c r="AZ65" s="717"/>
      <c r="BA65" s="717"/>
    </row>
    <row r="66" spans="1:53">
      <c r="A66" s="532">
        <v>41626</v>
      </c>
      <c r="B66" s="766">
        <v>474.29486134595038</v>
      </c>
      <c r="C66" s="766">
        <v>3714.5547634656546</v>
      </c>
      <c r="D66" s="679">
        <v>1252.0877613789037</v>
      </c>
      <c r="E66" s="679">
        <v>870.71312145870615</v>
      </c>
      <c r="F66" s="554">
        <v>652.55008562160197</v>
      </c>
      <c r="G66" s="554">
        <v>165.34211031202943</v>
      </c>
      <c r="H66" s="554">
        <v>663.02209346341817</v>
      </c>
      <c r="I66" s="554">
        <v>1337.4799161977746</v>
      </c>
      <c r="J66" s="503">
        <v>514.72890868439561</v>
      </c>
      <c r="K66" s="503">
        <v>3162.5551838155507</v>
      </c>
      <c r="L66" s="503">
        <v>1051.9171064484724</v>
      </c>
      <c r="M66" s="503">
        <v>527.42978961330118</v>
      </c>
      <c r="N66" s="551"/>
      <c r="O66" s="679"/>
      <c r="P66" s="679"/>
      <c r="Q66" s="679"/>
      <c r="R66" s="679"/>
      <c r="S66" s="554"/>
      <c r="T66" s="554"/>
      <c r="U66" s="554"/>
      <c r="V66" s="554"/>
      <c r="W66" s="503"/>
      <c r="X66" s="503"/>
      <c r="Y66" s="503"/>
      <c r="Z66" s="503"/>
      <c r="AA66" s="771"/>
      <c r="AB66" s="776"/>
      <c r="AC66" s="719"/>
      <c r="AD66" s="719"/>
      <c r="AE66" s="719"/>
      <c r="AF66" s="719"/>
      <c r="AG66" s="718"/>
      <c r="AH66" s="718"/>
      <c r="AI66" s="718"/>
      <c r="AJ66" s="718"/>
      <c r="AK66" s="717"/>
      <c r="AL66" s="717"/>
      <c r="AM66" s="717"/>
      <c r="AN66" s="717"/>
      <c r="AO66" s="771"/>
      <c r="AP66" s="719"/>
      <c r="AQ66" s="719"/>
      <c r="AR66" s="719"/>
      <c r="AS66" s="719"/>
      <c r="AT66" s="718"/>
      <c r="AU66" s="718"/>
      <c r="AV66" s="718"/>
      <c r="AW66" s="718"/>
      <c r="AX66" s="717"/>
      <c r="AY66" s="717"/>
      <c r="AZ66" s="717"/>
      <c r="BA66" s="717"/>
    </row>
    <row r="67" spans="1:53">
      <c r="A67" s="532">
        <v>41627</v>
      </c>
      <c r="B67" s="766">
        <v>329.92294280227964</v>
      </c>
      <c r="C67" s="766">
        <v>5375.8952876454205</v>
      </c>
      <c r="D67" s="679">
        <v>1360.813801373032</v>
      </c>
      <c r="E67" s="679">
        <v>1106.0975427334981</v>
      </c>
      <c r="F67" s="554">
        <v>602.79828704111571</v>
      </c>
      <c r="G67" s="554">
        <v>159.63744479140561</v>
      </c>
      <c r="H67" s="554">
        <v>641.78150493198791</v>
      </c>
      <c r="I67" s="554">
        <v>1187.8375980649782</v>
      </c>
      <c r="J67" s="503">
        <v>463.51796651219871</v>
      </c>
      <c r="K67" s="503">
        <v>2501.0158037631745</v>
      </c>
      <c r="L67" s="503">
        <v>1099.5315537909983</v>
      </c>
      <c r="M67" s="503">
        <v>1608.6328117435037</v>
      </c>
      <c r="N67" s="551"/>
      <c r="O67" s="679"/>
      <c r="P67" s="679"/>
      <c r="Q67" s="679"/>
      <c r="R67" s="679"/>
      <c r="S67" s="554"/>
      <c r="T67" s="554"/>
      <c r="U67" s="554"/>
      <c r="V67" s="554"/>
      <c r="W67" s="503"/>
      <c r="X67" s="503"/>
      <c r="Y67" s="503"/>
      <c r="Z67" s="503"/>
      <c r="AA67" s="771"/>
      <c r="AB67" s="776"/>
      <c r="AC67" s="719"/>
      <c r="AD67" s="719"/>
      <c r="AE67" s="719"/>
      <c r="AF67" s="719"/>
      <c r="AG67" s="718"/>
      <c r="AH67" s="718"/>
      <c r="AI67" s="718"/>
      <c r="AJ67" s="718"/>
      <c r="AK67" s="717"/>
      <c r="AL67" s="717"/>
      <c r="AM67" s="717"/>
      <c r="AN67" s="717"/>
      <c r="AO67" s="771"/>
      <c r="AP67" s="719"/>
      <c r="AQ67" s="719"/>
      <c r="AR67" s="719"/>
      <c r="AS67" s="719"/>
      <c r="AT67" s="718"/>
      <c r="AU67" s="718"/>
      <c r="AV67" s="718"/>
      <c r="AW67" s="718"/>
      <c r="AX67" s="717"/>
      <c r="AY67" s="717"/>
      <c r="AZ67" s="717"/>
      <c r="BA67" s="717"/>
    </row>
    <row r="68" spans="1:53">
      <c r="A68" s="532">
        <v>41628</v>
      </c>
      <c r="B68" s="766">
        <v>305.55853584819897</v>
      </c>
      <c r="C68" s="766">
        <v>4241.1917624156886</v>
      </c>
      <c r="D68" s="679">
        <v>1484.6816246012572</v>
      </c>
      <c r="E68" s="679">
        <v>3546.4768351832199</v>
      </c>
      <c r="F68" s="554">
        <v>557.00601558523499</v>
      </c>
      <c r="G68" s="554">
        <v>152.74246233152755</v>
      </c>
      <c r="H68" s="554">
        <v>619.59290774496026</v>
      </c>
      <c r="I68" s="554">
        <v>990.46376752173194</v>
      </c>
      <c r="J68" s="503">
        <v>457.3299190400802</v>
      </c>
      <c r="K68" s="503">
        <v>1864.1215429286588</v>
      </c>
      <c r="L68" s="503">
        <v>1119.3929994749788</v>
      </c>
      <c r="M68" s="503">
        <v>1215.3830846084143</v>
      </c>
      <c r="N68" s="551"/>
      <c r="O68" s="679"/>
      <c r="P68" s="679"/>
      <c r="Q68" s="679"/>
      <c r="R68" s="679"/>
      <c r="S68" s="554"/>
      <c r="T68" s="554"/>
      <c r="U68" s="554"/>
      <c r="V68" s="554"/>
      <c r="W68" s="503"/>
      <c r="X68" s="503"/>
      <c r="Y68" s="503"/>
      <c r="Z68" s="503"/>
      <c r="AA68" s="771"/>
      <c r="AB68" s="776"/>
      <c r="AC68" s="719"/>
      <c r="AD68" s="719"/>
      <c r="AE68" s="719"/>
      <c r="AF68" s="719"/>
      <c r="AG68" s="718"/>
      <c r="AH68" s="718"/>
      <c r="AI68" s="718"/>
      <c r="AJ68" s="718"/>
      <c r="AK68" s="717"/>
      <c r="AL68" s="717"/>
      <c r="AM68" s="717"/>
      <c r="AN68" s="717"/>
      <c r="AO68" s="771"/>
      <c r="AP68" s="719"/>
      <c r="AQ68" s="719"/>
      <c r="AR68" s="719"/>
      <c r="AS68" s="719"/>
      <c r="AT68" s="718"/>
      <c r="AU68" s="718"/>
      <c r="AV68" s="718"/>
      <c r="AW68" s="718"/>
      <c r="AX68" s="717"/>
      <c r="AY68" s="717"/>
      <c r="AZ68" s="717"/>
      <c r="BA68" s="717"/>
    </row>
    <row r="69" spans="1:53">
      <c r="A69" s="532">
        <v>41629</v>
      </c>
      <c r="B69" s="766">
        <v>321.44916239112587</v>
      </c>
      <c r="C69" s="766">
        <v>4623.8601008470205</v>
      </c>
      <c r="D69" s="679">
        <v>2109.4311771838675</v>
      </c>
      <c r="E69" s="679">
        <v>3801.6977503000953</v>
      </c>
      <c r="F69" s="554">
        <v>514.11237300859887</v>
      </c>
      <c r="G69" s="554">
        <v>145.08919798566018</v>
      </c>
      <c r="H69" s="554">
        <v>595.8260964440758</v>
      </c>
      <c r="I69" s="554">
        <v>665.41544182256689</v>
      </c>
      <c r="J69" s="503">
        <v>506.16771486994082</v>
      </c>
      <c r="K69" s="503">
        <v>1626.4082336826502</v>
      </c>
      <c r="L69" s="503">
        <v>512.69674989013618</v>
      </c>
      <c r="M69" s="503">
        <v>834.19808315536011</v>
      </c>
      <c r="N69" s="551"/>
      <c r="O69" s="679"/>
      <c r="P69" s="679"/>
      <c r="Q69" s="679"/>
      <c r="R69" s="679"/>
      <c r="S69" s="554"/>
      <c r="T69" s="554"/>
      <c r="U69" s="554"/>
      <c r="V69" s="554"/>
      <c r="W69" s="503"/>
      <c r="X69" s="503"/>
      <c r="Y69" s="503"/>
      <c r="Z69" s="503"/>
      <c r="AA69" s="771"/>
      <c r="AB69" s="776"/>
      <c r="AC69" s="719"/>
      <c r="AD69" s="719"/>
      <c r="AE69" s="719"/>
      <c r="AF69" s="719"/>
      <c r="AG69" s="718"/>
      <c r="AH69" s="718"/>
      <c r="AI69" s="718"/>
      <c r="AJ69" s="718"/>
      <c r="AK69" s="717"/>
      <c r="AL69" s="717"/>
      <c r="AM69" s="717"/>
      <c r="AN69" s="717"/>
      <c r="AO69" s="771"/>
      <c r="AP69" s="719"/>
      <c r="AQ69" s="719"/>
      <c r="AR69" s="719"/>
      <c r="AS69" s="719"/>
      <c r="AT69" s="718"/>
      <c r="AU69" s="718"/>
      <c r="AV69" s="718"/>
      <c r="AW69" s="718"/>
      <c r="AX69" s="717"/>
      <c r="AY69" s="717"/>
      <c r="AZ69" s="717"/>
      <c r="BA69" s="717"/>
    </row>
    <row r="70" spans="1:53">
      <c r="A70" s="532">
        <v>41630</v>
      </c>
      <c r="B70" s="766">
        <v>568.10805067826686</v>
      </c>
      <c r="C70" s="766">
        <v>6103.9276153361798</v>
      </c>
      <c r="D70" s="679">
        <v>1108.0873752534862</v>
      </c>
      <c r="E70" s="679">
        <v>3011.8546974982619</v>
      </c>
      <c r="F70" s="554">
        <v>479.07142128349881</v>
      </c>
      <c r="G70" s="554">
        <v>138.61859617582357</v>
      </c>
      <c r="H70" s="554">
        <v>570.79063746923305</v>
      </c>
      <c r="I70" s="554">
        <v>298.1740142125397</v>
      </c>
      <c r="J70" s="503">
        <v>315.40326115525193</v>
      </c>
      <c r="K70" s="503">
        <v>1888.8266624661269</v>
      </c>
      <c r="L70" s="503">
        <v>647.23790490370288</v>
      </c>
      <c r="M70" s="503">
        <v>479.91641365067727</v>
      </c>
      <c r="N70" s="551"/>
      <c r="O70" s="679"/>
      <c r="P70" s="679"/>
      <c r="Q70" s="679"/>
      <c r="R70" s="679"/>
      <c r="S70" s="554"/>
      <c r="T70" s="554"/>
      <c r="U70" s="554"/>
      <c r="V70" s="554"/>
      <c r="W70" s="503"/>
      <c r="X70" s="503"/>
      <c r="Y70" s="503"/>
      <c r="Z70" s="503"/>
      <c r="AA70" s="771"/>
      <c r="AB70" s="776"/>
      <c r="AC70" s="719"/>
      <c r="AD70" s="719"/>
      <c r="AE70" s="719"/>
      <c r="AF70" s="719"/>
      <c r="AG70" s="718"/>
      <c r="AH70" s="718"/>
      <c r="AI70" s="718"/>
      <c r="AJ70" s="718"/>
      <c r="AK70" s="717"/>
      <c r="AL70" s="717"/>
      <c r="AM70" s="717"/>
      <c r="AN70" s="717"/>
      <c r="AO70" s="771"/>
      <c r="AP70" s="719"/>
      <c r="AQ70" s="719"/>
      <c r="AR70" s="719"/>
      <c r="AS70" s="719"/>
      <c r="AT70" s="718"/>
      <c r="AU70" s="718"/>
      <c r="AV70" s="718"/>
      <c r="AW70" s="718"/>
      <c r="AX70" s="717"/>
      <c r="AY70" s="717"/>
      <c r="AZ70" s="717"/>
      <c r="BA70" s="717"/>
    </row>
    <row r="71" spans="1:53">
      <c r="A71" s="532">
        <v>41631</v>
      </c>
      <c r="B71" s="766">
        <v>286.76225980654772</v>
      </c>
      <c r="C71" s="766">
        <v>4789.8320528158711</v>
      </c>
      <c r="D71" s="679">
        <v>1013.5883931309402</v>
      </c>
      <c r="E71" s="679">
        <v>2429.8494443003974</v>
      </c>
      <c r="F71" s="554">
        <v>445.60954539998596</v>
      </c>
      <c r="G71" s="554">
        <v>131.24965887248084</v>
      </c>
      <c r="H71" s="554">
        <v>547.66281838858981</v>
      </c>
      <c r="I71" s="554"/>
      <c r="J71" s="503">
        <v>610.02183066780174</v>
      </c>
      <c r="K71" s="503">
        <v>2124.3033918961178</v>
      </c>
      <c r="L71" s="503">
        <v>617.94621185393282</v>
      </c>
      <c r="M71" s="503">
        <v>194.57775263045869</v>
      </c>
      <c r="N71" s="551"/>
      <c r="O71" s="745">
        <f>SUM(B65:B71)</f>
        <v>2697.4859675762395</v>
      </c>
      <c r="P71" s="745">
        <f t="shared" ref="P71" si="115">SUM(C65:C71)</f>
        <v>31594.522269860696</v>
      </c>
      <c r="Q71" s="745">
        <f t="shared" ref="Q71" si="116">SUM(D65:D71)</f>
        <v>9573.9485392988099</v>
      </c>
      <c r="R71" s="745">
        <f t="shared" ref="R71" si="117">SUM(E65:E71)</f>
        <v>14841.619213571812</v>
      </c>
      <c r="S71" s="745">
        <f t="shared" ref="S71" si="118">SUM(F65:F71)</f>
        <v>3952.7723762992109</v>
      </c>
      <c r="T71" s="745">
        <f t="shared" ref="T71" si="119">SUM(G65:G71)</f>
        <v>1062.5917736859728</v>
      </c>
      <c r="U71" s="745">
        <f t="shared" ref="U71" si="120">SUM(H65:H71)</f>
        <v>4318.8366485782117</v>
      </c>
      <c r="V71" s="745">
        <f t="shared" ref="V71" si="121">SUM(I65:I71)</f>
        <v>5954.6807708659371</v>
      </c>
      <c r="W71" s="745">
        <f t="shared" ref="W71" si="122">SUM(J65:J71)</f>
        <v>3369.6992343106303</v>
      </c>
      <c r="X71" s="745">
        <f t="shared" ref="X71" si="123">SUM(K65:K71)</f>
        <v>16266.798771411224</v>
      </c>
      <c r="Y71" s="745">
        <f t="shared" ref="Y71" si="124">SUM(L65:L71)</f>
        <v>6050.610326442873</v>
      </c>
      <c r="Z71" s="745">
        <f t="shared" ref="Z71" si="125">SUM(M65:M71)</f>
        <v>6245.1913819056608</v>
      </c>
      <c r="AA71" s="772"/>
      <c r="AB71" s="777"/>
      <c r="AC71" s="766"/>
      <c r="AD71" s="766"/>
      <c r="AE71" s="766"/>
      <c r="AF71" s="766"/>
      <c r="AG71" s="766"/>
      <c r="AH71" s="766"/>
      <c r="AI71" s="766"/>
      <c r="AJ71" s="766"/>
      <c r="AK71" s="766"/>
      <c r="AL71" s="766"/>
      <c r="AM71" s="766"/>
      <c r="AN71" s="766"/>
      <c r="AO71" s="772"/>
      <c r="AP71" s="766"/>
      <c r="AQ71" s="766"/>
      <c r="AR71" s="766"/>
      <c r="AS71" s="766"/>
      <c r="AT71" s="766"/>
      <c r="AU71" s="766"/>
      <c r="AV71" s="766"/>
      <c r="AW71" s="766"/>
      <c r="AX71" s="766"/>
      <c r="AY71" s="766"/>
      <c r="AZ71" s="766"/>
      <c r="BA71" s="766"/>
    </row>
    <row r="72" spans="1:53">
      <c r="A72" s="532">
        <v>41632</v>
      </c>
      <c r="B72" s="766">
        <v>192.94849270783979</v>
      </c>
      <c r="C72" s="766">
        <v>3554.2421108739054</v>
      </c>
      <c r="D72" s="679">
        <v>940.15132313625236</v>
      </c>
      <c r="E72" s="679">
        <v>1561.4160793420594</v>
      </c>
      <c r="F72" s="554">
        <v>411.46990403786106</v>
      </c>
      <c r="G72" s="554">
        <v>122.411222251504</v>
      </c>
      <c r="H72" s="554">
        <v>529.05478755220349</v>
      </c>
      <c r="I72" s="554"/>
      <c r="J72" s="503">
        <v>592.05632598030206</v>
      </c>
      <c r="K72" s="503">
        <v>2373.8470743355301</v>
      </c>
      <c r="L72" s="503">
        <v>836.24346192188625</v>
      </c>
      <c r="M72" s="503">
        <v>469.34978451618997</v>
      </c>
      <c r="N72" s="551"/>
      <c r="O72" s="679"/>
      <c r="P72" s="679"/>
      <c r="Q72" s="679"/>
      <c r="R72" s="679"/>
      <c r="S72" s="554"/>
      <c r="T72" s="554"/>
      <c r="U72" s="554"/>
      <c r="V72" s="554"/>
      <c r="W72" s="503"/>
      <c r="X72" s="503"/>
      <c r="Y72" s="503"/>
      <c r="Z72" s="503"/>
      <c r="AA72" s="771"/>
      <c r="AB72" s="776"/>
      <c r="AC72" s="719"/>
      <c r="AD72" s="719"/>
      <c r="AE72" s="719"/>
      <c r="AF72" s="719"/>
      <c r="AG72" s="718"/>
      <c r="AH72" s="718"/>
      <c r="AI72" s="718"/>
      <c r="AJ72" s="718"/>
      <c r="AK72" s="717"/>
      <c r="AL72" s="717"/>
      <c r="AM72" s="717"/>
      <c r="AN72" s="717"/>
      <c r="AO72" s="771"/>
      <c r="AP72" s="719"/>
      <c r="AQ72" s="719"/>
      <c r="AR72" s="719"/>
      <c r="AS72" s="719"/>
      <c r="AT72" s="718"/>
      <c r="AU72" s="718"/>
      <c r="AV72" s="718"/>
      <c r="AW72" s="718"/>
      <c r="AX72" s="717"/>
      <c r="AY72" s="717"/>
      <c r="AZ72" s="717"/>
      <c r="BA72" s="717"/>
    </row>
    <row r="73" spans="1:53">
      <c r="A73" s="532">
        <v>41633</v>
      </c>
      <c r="B73" s="766">
        <v>241.84480336723223</v>
      </c>
      <c r="C73" s="766">
        <v>4692.4245177949197</v>
      </c>
      <c r="D73" s="679">
        <v>974.23387374646813</v>
      </c>
      <c r="E73" s="679">
        <v>970.19889082066481</v>
      </c>
      <c r="F73" s="554">
        <v>379.27408757416896</v>
      </c>
      <c r="G73" s="554">
        <v>114.4863662576041</v>
      </c>
      <c r="H73" s="554">
        <v>510.29233160193144</v>
      </c>
      <c r="I73" s="554"/>
      <c r="J73" s="503">
        <v>672.03380414555852</v>
      </c>
      <c r="K73" s="503">
        <v>889.6747366759605</v>
      </c>
      <c r="L73" s="503">
        <v>651.85064991524598</v>
      </c>
      <c r="M73" s="503">
        <v>275.67386030324639</v>
      </c>
      <c r="N73" s="551"/>
      <c r="O73" s="679"/>
      <c r="P73" s="679"/>
      <c r="Q73" s="679"/>
      <c r="R73" s="679"/>
      <c r="S73" s="554"/>
      <c r="T73" s="554"/>
      <c r="U73" s="554"/>
      <c r="V73" s="554"/>
      <c r="W73" s="503"/>
      <c r="X73" s="503"/>
      <c r="Y73" s="503"/>
      <c r="Z73" s="503"/>
      <c r="AA73" s="771"/>
      <c r="AB73" s="776"/>
      <c r="AC73" s="719"/>
      <c r="AD73" s="719"/>
      <c r="AE73" s="719"/>
      <c r="AF73" s="719"/>
      <c r="AG73" s="718"/>
      <c r="AH73" s="718"/>
      <c r="AI73" s="718"/>
      <c r="AJ73" s="718"/>
      <c r="AK73" s="717"/>
      <c r="AL73" s="717"/>
      <c r="AM73" s="717"/>
      <c r="AN73" s="717"/>
      <c r="AO73" s="771"/>
      <c r="AP73" s="719"/>
      <c r="AQ73" s="719"/>
      <c r="AR73" s="719"/>
      <c r="AS73" s="719"/>
      <c r="AT73" s="718"/>
      <c r="AU73" s="718"/>
      <c r="AV73" s="718"/>
      <c r="AW73" s="718"/>
      <c r="AX73" s="717"/>
      <c r="AY73" s="717"/>
      <c r="AZ73" s="717"/>
      <c r="BA73" s="717"/>
    </row>
    <row r="74" spans="1:53">
      <c r="A74" s="532">
        <v>41634</v>
      </c>
      <c r="B74" s="766">
        <v>763.14297602482702</v>
      </c>
      <c r="C74" s="766">
        <v>3495.521532378365</v>
      </c>
      <c r="D74" s="679">
        <v>747.50559159423699</v>
      </c>
      <c r="E74" s="679">
        <v>634.13019248977525</v>
      </c>
      <c r="F74" s="554">
        <v>345.47737660759964</v>
      </c>
      <c r="G74" s="554">
        <v>107.13873663351893</v>
      </c>
      <c r="H74" s="554">
        <v>491.00306857507383</v>
      </c>
      <c r="I74" s="554"/>
      <c r="J74" s="503">
        <v>310.02670487018372</v>
      </c>
      <c r="K74" s="503">
        <v>2094.0786842962621</v>
      </c>
      <c r="L74" s="503">
        <v>1125.3931878863432</v>
      </c>
      <c r="M74" s="503">
        <v>111.27787718373274</v>
      </c>
      <c r="N74" s="551"/>
      <c r="O74" s="679"/>
      <c r="P74" s="679"/>
      <c r="Q74" s="679"/>
      <c r="R74" s="679"/>
      <c r="S74" s="554"/>
      <c r="T74" s="554"/>
      <c r="U74" s="554"/>
      <c r="V74" s="554"/>
      <c r="W74" s="503"/>
      <c r="X74" s="503"/>
      <c r="Y74" s="503"/>
      <c r="Z74" s="503"/>
      <c r="AA74" s="771"/>
      <c r="AB74" s="776"/>
      <c r="AC74" s="719"/>
      <c r="AD74" s="719"/>
      <c r="AE74" s="719"/>
      <c r="AF74" s="719"/>
      <c r="AG74" s="718"/>
      <c r="AH74" s="718"/>
      <c r="AI74" s="718"/>
      <c r="AJ74" s="718"/>
      <c r="AK74" s="717"/>
      <c r="AL74" s="717"/>
      <c r="AM74" s="717"/>
      <c r="AN74" s="717"/>
      <c r="AO74" s="771"/>
      <c r="AP74" s="719"/>
      <c r="AQ74" s="719"/>
      <c r="AR74" s="719"/>
      <c r="AS74" s="719"/>
      <c r="AT74" s="718"/>
      <c r="AU74" s="718"/>
      <c r="AV74" s="718"/>
      <c r="AW74" s="718"/>
      <c r="AX74" s="717"/>
      <c r="AY74" s="717"/>
      <c r="AZ74" s="717"/>
      <c r="BA74" s="717"/>
    </row>
    <row r="75" spans="1:53">
      <c r="A75" s="532">
        <v>41635</v>
      </c>
      <c r="B75" s="766">
        <v>398.28548362244328</v>
      </c>
      <c r="C75" s="766">
        <v>2783.49819508678</v>
      </c>
      <c r="D75" s="679">
        <v>864.69085850993508</v>
      </c>
      <c r="E75" s="679">
        <v>328.82927924945426</v>
      </c>
      <c r="F75" s="554">
        <v>307.37945989493761</v>
      </c>
      <c r="G75" s="554">
        <v>99.71587061565819</v>
      </c>
      <c r="H75" s="554">
        <v>471.3068284910604</v>
      </c>
      <c r="I75" s="554"/>
      <c r="J75" s="503">
        <v>597.0299966400022</v>
      </c>
      <c r="K75" s="503">
        <v>2567.9479533390063</v>
      </c>
      <c r="L75" s="503">
        <v>1099.2477293106115</v>
      </c>
      <c r="M75" s="503">
        <v>340.83457774824984</v>
      </c>
      <c r="N75" s="551"/>
      <c r="O75" s="679"/>
      <c r="P75" s="679"/>
      <c r="Q75" s="679"/>
      <c r="R75" s="679"/>
      <c r="S75" s="554"/>
      <c r="T75" s="554"/>
      <c r="U75" s="554"/>
      <c r="V75" s="554"/>
      <c r="W75" s="503"/>
      <c r="X75" s="503"/>
      <c r="Y75" s="503"/>
      <c r="Z75" s="503"/>
      <c r="AA75" s="771"/>
      <c r="AB75" s="776"/>
      <c r="AC75" s="719"/>
      <c r="AD75" s="719"/>
      <c r="AE75" s="719"/>
      <c r="AF75" s="719"/>
      <c r="AG75" s="718"/>
      <c r="AH75" s="718"/>
      <c r="AI75" s="718"/>
      <c r="AJ75" s="718"/>
      <c r="AK75" s="717"/>
      <c r="AL75" s="717"/>
      <c r="AM75" s="717"/>
      <c r="AN75" s="717"/>
      <c r="AO75" s="771"/>
      <c r="AP75" s="719"/>
      <c r="AQ75" s="719"/>
      <c r="AR75" s="719"/>
      <c r="AS75" s="719"/>
      <c r="AT75" s="718"/>
      <c r="AU75" s="718"/>
      <c r="AV75" s="718"/>
      <c r="AW75" s="718"/>
      <c r="AX75" s="717"/>
      <c r="AY75" s="717"/>
      <c r="AZ75" s="717"/>
      <c r="BA75" s="717"/>
    </row>
    <row r="76" spans="1:53">
      <c r="A76" s="532">
        <v>41636</v>
      </c>
      <c r="B76" s="766">
        <v>337.60453431149875</v>
      </c>
      <c r="C76" s="766">
        <v>2390.03315116055</v>
      </c>
      <c r="D76" s="679">
        <v>1218.5074537601961</v>
      </c>
      <c r="E76" s="679">
        <v>336.16682326195127</v>
      </c>
      <c r="F76" s="554">
        <v>269.7417712223475</v>
      </c>
      <c r="G76" s="554">
        <v>92.071154911264415</v>
      </c>
      <c r="H76" s="554">
        <v>449.60787988775769</v>
      </c>
      <c r="I76" s="554"/>
      <c r="J76" s="503">
        <v>553.95403229691249</v>
      </c>
      <c r="K76" s="503">
        <v>3483.6681115431461</v>
      </c>
      <c r="L76" s="503">
        <v>711.34600469591646</v>
      </c>
      <c r="M76" s="503">
        <v>302.27587973654261</v>
      </c>
      <c r="N76" s="551"/>
      <c r="O76" s="679"/>
      <c r="P76" s="679"/>
      <c r="Q76" s="679"/>
      <c r="R76" s="679"/>
      <c r="S76" s="554"/>
      <c r="T76" s="554"/>
      <c r="U76" s="554"/>
      <c r="V76" s="554"/>
      <c r="W76" s="503"/>
      <c r="X76" s="503"/>
      <c r="Y76" s="503"/>
      <c r="Z76" s="503"/>
      <c r="AA76" s="771"/>
      <c r="AB76" s="776"/>
      <c r="AC76" s="719"/>
      <c r="AD76" s="719"/>
      <c r="AE76" s="719"/>
      <c r="AF76" s="719"/>
      <c r="AG76" s="718"/>
      <c r="AH76" s="718"/>
      <c r="AI76" s="718"/>
      <c r="AJ76" s="718"/>
      <c r="AK76" s="717"/>
      <c r="AL76" s="717"/>
      <c r="AM76" s="717"/>
      <c r="AN76" s="717"/>
      <c r="AO76" s="771"/>
      <c r="AP76" s="719"/>
      <c r="AQ76" s="719"/>
      <c r="AR76" s="719"/>
      <c r="AS76" s="719"/>
      <c r="AT76" s="718"/>
      <c r="AU76" s="718"/>
      <c r="AV76" s="718"/>
      <c r="AW76" s="718"/>
      <c r="AX76" s="717"/>
      <c r="AY76" s="717"/>
      <c r="AZ76" s="717"/>
      <c r="BA76" s="717"/>
    </row>
    <row r="77" spans="1:53">
      <c r="A77" s="532">
        <v>41637</v>
      </c>
      <c r="B77" s="766">
        <v>69.158042250692262</v>
      </c>
      <c r="C77" s="766">
        <v>4767.2935558532245</v>
      </c>
      <c r="D77" s="679">
        <v>574.75226209851519</v>
      </c>
      <c r="E77" s="679">
        <v>334.98548056259204</v>
      </c>
      <c r="F77" s="554">
        <v>234.95126363547482</v>
      </c>
      <c r="G77" s="554">
        <v>83.881869074811405</v>
      </c>
      <c r="H77" s="554">
        <v>427.1975484418985</v>
      </c>
      <c r="I77" s="554"/>
      <c r="J77" s="503">
        <v>504.57716723928166</v>
      </c>
      <c r="K77" s="503">
        <v>516.15591120243471</v>
      </c>
      <c r="L77" s="503">
        <v>1161.6913879879382</v>
      </c>
      <c r="M77" s="503">
        <v>796.03518834870169</v>
      </c>
      <c r="N77" s="551"/>
      <c r="O77" s="679"/>
      <c r="P77" s="679"/>
      <c r="Q77" s="679"/>
      <c r="R77" s="679"/>
      <c r="S77" s="554"/>
      <c r="T77" s="554"/>
      <c r="U77" s="554"/>
      <c r="V77" s="554"/>
      <c r="W77" s="503"/>
      <c r="X77" s="503"/>
      <c r="Y77" s="503"/>
      <c r="Z77" s="503"/>
      <c r="AA77" s="771"/>
      <c r="AB77" s="776"/>
      <c r="AC77" s="719"/>
      <c r="AD77" s="719"/>
      <c r="AE77" s="719"/>
      <c r="AF77" s="719"/>
      <c r="AG77" s="718"/>
      <c r="AH77" s="718"/>
      <c r="AI77" s="718"/>
      <c r="AJ77" s="718"/>
      <c r="AK77" s="717"/>
      <c r="AL77" s="717"/>
      <c r="AM77" s="717"/>
      <c r="AN77" s="717"/>
      <c r="AO77" s="771"/>
      <c r="AP77" s="719"/>
      <c r="AQ77" s="719"/>
      <c r="AR77" s="719"/>
      <c r="AS77" s="719"/>
      <c r="AT77" s="718"/>
      <c r="AU77" s="718"/>
      <c r="AV77" s="718"/>
      <c r="AW77" s="718"/>
      <c r="AX77" s="717"/>
      <c r="AY77" s="717"/>
      <c r="AZ77" s="717"/>
      <c r="BA77" s="717"/>
    </row>
    <row r="78" spans="1:53">
      <c r="A78" s="532">
        <v>41638</v>
      </c>
      <c r="B78" s="766">
        <v>112.17591649451087</v>
      </c>
      <c r="C78" s="766">
        <v>1170.6084648820565</v>
      </c>
      <c r="D78" s="679">
        <v>1178.7417762414973</v>
      </c>
      <c r="E78" s="679">
        <v>1147.96056944355</v>
      </c>
      <c r="F78" s="554">
        <v>208.63322894378615</v>
      </c>
      <c r="G78" s="554">
        <v>75.294719094595351</v>
      </c>
      <c r="H78" s="554">
        <v>405.42838611791086</v>
      </c>
      <c r="I78" s="554"/>
      <c r="J78" s="503">
        <v>489.7459582972225</v>
      </c>
      <c r="K78" s="503">
        <v>3988.1578926511047</v>
      </c>
      <c r="L78" s="503">
        <v>874.50384390714146</v>
      </c>
      <c r="M78" s="503">
        <v>121.3827578166222</v>
      </c>
      <c r="N78" s="551"/>
      <c r="O78" s="745">
        <f>SUM(B72:B78)</f>
        <v>2115.1602487790442</v>
      </c>
      <c r="P78" s="745">
        <f t="shared" ref="P78" si="126">SUM(C72:C78)</f>
        <v>22853.621528029802</v>
      </c>
      <c r="Q78" s="745">
        <f t="shared" ref="Q78" si="127">SUM(D72:D78)</f>
        <v>6498.5831390871008</v>
      </c>
      <c r="R78" s="745">
        <f t="shared" ref="R78" si="128">SUM(E72:E78)</f>
        <v>5313.6873151700474</v>
      </c>
      <c r="S78" s="745">
        <f t="shared" ref="S78" si="129">SUM(F72:F78)</f>
        <v>2156.9270919161754</v>
      </c>
      <c r="T78" s="745">
        <f t="shared" ref="T78" si="130">SUM(G72:G78)</f>
        <v>694.9999388389565</v>
      </c>
      <c r="U78" s="745">
        <f t="shared" ref="U78" si="131">SUM(H72:H78)</f>
        <v>3283.8908306678363</v>
      </c>
      <c r="V78" s="745">
        <f t="shared" ref="V78" si="132">SUM(I72:I78)</f>
        <v>0</v>
      </c>
      <c r="W78" s="745">
        <f t="shared" ref="W78" si="133">SUM(J72:J78)</f>
        <v>3719.4239894694629</v>
      </c>
      <c r="X78" s="745">
        <f t="shared" ref="X78" si="134">SUM(K72:K78)</f>
        <v>15913.530364043445</v>
      </c>
      <c r="Y78" s="745">
        <f t="shared" ref="Y78" si="135">SUM(L72:L78)</f>
        <v>6460.2762656250825</v>
      </c>
      <c r="Z78" s="745">
        <f t="shared" ref="Z78" si="136">SUM(M72:M78)</f>
        <v>2416.829925653286</v>
      </c>
      <c r="AA78" s="772"/>
      <c r="AB78" s="777"/>
      <c r="AC78" s="766"/>
      <c r="AD78" s="766"/>
      <c r="AE78" s="766"/>
      <c r="AF78" s="766"/>
      <c r="AG78" s="766"/>
      <c r="AH78" s="766"/>
      <c r="AI78" s="766"/>
      <c r="AJ78" s="766"/>
      <c r="AK78" s="766"/>
      <c r="AL78" s="766"/>
      <c r="AM78" s="766"/>
      <c r="AN78" s="766"/>
      <c r="AO78" s="772"/>
      <c r="AP78" s="766"/>
      <c r="AQ78" s="766"/>
      <c r="AR78" s="766"/>
      <c r="AS78" s="766"/>
      <c r="AT78" s="766"/>
      <c r="AU78" s="766"/>
      <c r="AV78" s="766"/>
      <c r="AW78" s="766"/>
      <c r="AX78" s="766"/>
      <c r="AY78" s="766"/>
      <c r="AZ78" s="766"/>
      <c r="BA78" s="766"/>
    </row>
    <row r="79" spans="1:53">
      <c r="A79" s="532">
        <v>41639</v>
      </c>
      <c r="B79" s="766">
        <v>-116.60243375885048</v>
      </c>
      <c r="C79" s="766">
        <v>1930.7930126270196</v>
      </c>
      <c r="D79" s="679">
        <v>1279.3450425485544</v>
      </c>
      <c r="E79" s="679">
        <v>875.68205060502817</v>
      </c>
      <c r="F79" s="554">
        <v>183.57147028892345</v>
      </c>
      <c r="G79" s="554">
        <v>66.807136877129238</v>
      </c>
      <c r="H79" s="554">
        <v>382.65452627123932</v>
      </c>
      <c r="I79" s="554"/>
      <c r="J79" s="503">
        <v>758.71492040657199</v>
      </c>
      <c r="K79" s="503">
        <v>3406.1078012527546</v>
      </c>
      <c r="L79" s="503">
        <v>1009.7219144293887</v>
      </c>
      <c r="M79" s="503">
        <v>282.72274185611241</v>
      </c>
      <c r="N79" s="551"/>
      <c r="O79" s="679"/>
      <c r="P79" s="679"/>
      <c r="Q79" s="679"/>
      <c r="R79" s="679"/>
      <c r="S79" s="554"/>
      <c r="T79" s="554"/>
      <c r="U79" s="554"/>
      <c r="V79" s="554"/>
      <c r="W79" s="503"/>
      <c r="X79" s="503"/>
      <c r="Y79" s="503"/>
      <c r="Z79" s="503"/>
      <c r="AA79" s="771"/>
      <c r="AB79" s="776"/>
      <c r="AC79" s="719"/>
      <c r="AD79" s="719"/>
      <c r="AE79" s="719"/>
      <c r="AF79" s="719"/>
      <c r="AG79" s="718"/>
      <c r="AH79" s="718"/>
      <c r="AI79" s="718"/>
      <c r="AJ79" s="718"/>
      <c r="AK79" s="717"/>
      <c r="AL79" s="717"/>
      <c r="AM79" s="717"/>
      <c r="AN79" s="717"/>
      <c r="AO79" s="771"/>
      <c r="AP79" s="719"/>
      <c r="AQ79" s="719"/>
      <c r="AR79" s="719"/>
      <c r="AS79" s="719"/>
      <c r="AT79" s="718"/>
      <c r="AU79" s="718"/>
      <c r="AV79" s="718"/>
      <c r="AW79" s="718"/>
      <c r="AX79" s="717"/>
      <c r="AY79" s="717"/>
      <c r="AZ79" s="717"/>
      <c r="BA79" s="717"/>
    </row>
    <row r="80" spans="1:53">
      <c r="A80" s="532">
        <v>41640</v>
      </c>
      <c r="B80" s="745">
        <v>-309.17765426548885</v>
      </c>
      <c r="C80" s="745">
        <v>379.31444718204472</v>
      </c>
      <c r="D80" s="679">
        <v>526.48048180317699</v>
      </c>
      <c r="E80" s="679">
        <v>702.05293295852096</v>
      </c>
      <c r="F80" s="554">
        <v>157.4544742142547</v>
      </c>
      <c r="G80" s="554">
        <v>57.700630262765223</v>
      </c>
      <c r="H80" s="554">
        <v>356.48041321214595</v>
      </c>
      <c r="I80" s="554"/>
      <c r="J80" s="503">
        <v>987.7143714796573</v>
      </c>
      <c r="K80" s="503">
        <v>2342.5173336515036</v>
      </c>
      <c r="L80" s="503">
        <v>901.20461221465871</v>
      </c>
      <c r="M80" s="503">
        <v>272.01384176129795</v>
      </c>
      <c r="N80" s="552"/>
      <c r="O80" s="679"/>
      <c r="P80" s="679"/>
      <c r="Q80" s="679"/>
      <c r="R80" s="679"/>
      <c r="S80" s="554"/>
      <c r="T80" s="554"/>
      <c r="U80" s="554"/>
      <c r="V80" s="554"/>
      <c r="W80" s="503"/>
      <c r="X80" s="503"/>
      <c r="Y80" s="503"/>
      <c r="Z80" s="503"/>
      <c r="AA80" s="771"/>
      <c r="AB80" s="776"/>
      <c r="AC80" s="719"/>
      <c r="AD80" s="719"/>
      <c r="AE80" s="719"/>
      <c r="AF80" s="719"/>
      <c r="AG80" s="718"/>
      <c r="AH80" s="718"/>
      <c r="AI80" s="718"/>
      <c r="AJ80" s="718"/>
      <c r="AK80" s="717"/>
      <c r="AL80" s="717"/>
      <c r="AM80" s="717"/>
      <c r="AN80" s="717"/>
      <c r="AO80" s="771"/>
      <c r="AP80" s="719"/>
      <c r="AQ80" s="719"/>
      <c r="AR80" s="719"/>
      <c r="AS80" s="719"/>
      <c r="AT80" s="718"/>
      <c r="AU80" s="718"/>
      <c r="AV80" s="718"/>
      <c r="AW80" s="718"/>
      <c r="AX80" s="717"/>
      <c r="AY80" s="717"/>
      <c r="AZ80" s="717"/>
      <c r="BA80" s="717"/>
    </row>
    <row r="81" spans="1:53">
      <c r="A81" s="532">
        <v>41641</v>
      </c>
      <c r="B81" s="766">
        <v>-188.40223010443503</v>
      </c>
      <c r="C81" s="766">
        <v>1082.0843274348967</v>
      </c>
      <c r="D81" s="679">
        <v>422.9716630637356</v>
      </c>
      <c r="E81" s="679">
        <v>471.17865078573692</v>
      </c>
      <c r="F81" s="554">
        <v>130.64744460923214</v>
      </c>
      <c r="G81" s="554">
        <v>51.107444386361095</v>
      </c>
      <c r="H81" s="554">
        <v>333.64285192943038</v>
      </c>
      <c r="I81" s="554"/>
      <c r="J81" s="503">
        <v>1204.1337120545622</v>
      </c>
      <c r="K81" s="503">
        <v>1376.5074537321091</v>
      </c>
      <c r="L81" s="503">
        <v>795.00557606094526</v>
      </c>
      <c r="M81" s="503">
        <v>261.71149953556233</v>
      </c>
      <c r="N81" s="551"/>
      <c r="O81" s="679"/>
      <c r="P81" s="679"/>
      <c r="Q81" s="679"/>
      <c r="R81" s="679"/>
      <c r="S81" s="554"/>
      <c r="T81" s="554"/>
      <c r="U81" s="554"/>
      <c r="V81" s="554"/>
      <c r="W81" s="503"/>
      <c r="X81" s="503"/>
      <c r="Y81" s="503"/>
      <c r="Z81" s="503"/>
      <c r="AA81" s="771"/>
      <c r="AB81" s="776"/>
      <c r="AC81" s="719"/>
      <c r="AD81" s="719"/>
      <c r="AE81" s="719"/>
      <c r="AF81" s="719"/>
      <c r="AG81" s="718"/>
      <c r="AH81" s="718"/>
      <c r="AI81" s="718"/>
      <c r="AJ81" s="718"/>
      <c r="AK81" s="717"/>
      <c r="AL81" s="717"/>
      <c r="AM81" s="717"/>
      <c r="AN81" s="717"/>
      <c r="AO81" s="771"/>
      <c r="AP81" s="719"/>
      <c r="AQ81" s="719"/>
      <c r="AR81" s="719"/>
      <c r="AS81" s="719"/>
      <c r="AT81" s="718"/>
      <c r="AU81" s="718"/>
      <c r="AV81" s="718"/>
      <c r="AW81" s="718"/>
      <c r="AX81" s="717"/>
      <c r="AY81" s="717"/>
      <c r="AZ81" s="717"/>
      <c r="BA81" s="717"/>
    </row>
    <row r="82" spans="1:53">
      <c r="A82" s="532">
        <v>41642</v>
      </c>
      <c r="B82" s="766">
        <v>-2.3550871402969662</v>
      </c>
      <c r="C82" s="766">
        <v>527.07634976443853</v>
      </c>
      <c r="D82" s="679">
        <v>436.19033813495014</v>
      </c>
      <c r="E82" s="679">
        <v>475.85765801323691</v>
      </c>
      <c r="F82" s="554">
        <v>93.295527599989555</v>
      </c>
      <c r="G82" s="554">
        <v>46.238528747807457</v>
      </c>
      <c r="H82" s="554">
        <v>315.85025491995009</v>
      </c>
      <c r="I82" s="554"/>
      <c r="J82" s="503">
        <v>963.70969887481931</v>
      </c>
      <c r="K82" s="503">
        <v>1718.1573315927487</v>
      </c>
      <c r="L82" s="503">
        <v>675.57050105844905</v>
      </c>
      <c r="M82" s="503">
        <v>148.62557468007861</v>
      </c>
      <c r="N82" s="551"/>
      <c r="O82" s="679"/>
      <c r="P82" s="679"/>
      <c r="Q82" s="679"/>
      <c r="R82" s="679"/>
      <c r="S82" s="554"/>
      <c r="T82" s="554"/>
      <c r="U82" s="554"/>
      <c r="V82" s="554"/>
      <c r="W82" s="503"/>
      <c r="X82" s="503"/>
      <c r="Y82" s="503"/>
      <c r="Z82" s="503"/>
      <c r="AA82" s="771"/>
      <c r="AB82" s="776"/>
      <c r="AC82" s="719"/>
      <c r="AD82" s="719"/>
      <c r="AE82" s="719"/>
      <c r="AF82" s="719"/>
      <c r="AG82" s="718"/>
      <c r="AH82" s="718"/>
      <c r="AI82" s="718"/>
      <c r="AJ82" s="718"/>
      <c r="AK82" s="717"/>
      <c r="AL82" s="717"/>
      <c r="AM82" s="717"/>
      <c r="AN82" s="717"/>
      <c r="AO82" s="771"/>
      <c r="AP82" s="719"/>
      <c r="AQ82" s="719"/>
      <c r="AR82" s="719"/>
      <c r="AS82" s="719"/>
      <c r="AT82" s="718"/>
      <c r="AU82" s="718"/>
      <c r="AV82" s="718"/>
      <c r="AW82" s="718"/>
      <c r="AX82" s="717"/>
      <c r="AY82" s="717"/>
      <c r="AZ82" s="717"/>
      <c r="BA82" s="717"/>
    </row>
    <row r="83" spans="1:53">
      <c r="A83" s="532">
        <v>41643</v>
      </c>
      <c r="B83" s="766">
        <v>93.647174368195522</v>
      </c>
      <c r="C83" s="766">
        <v>974.63069582625735</v>
      </c>
      <c r="D83" s="679">
        <v>542.01687086282448</v>
      </c>
      <c r="E83" s="679">
        <v>343.58436124701575</v>
      </c>
      <c r="F83" s="554">
        <v>56.51038870146261</v>
      </c>
      <c r="G83" s="554">
        <v>41.600780408308133</v>
      </c>
      <c r="H83" s="554">
        <v>299.36363451151925</v>
      </c>
      <c r="I83" s="554"/>
      <c r="J83" s="503">
        <v>1070.4767142441854</v>
      </c>
      <c r="K83" s="503">
        <v>1500.3838184903548</v>
      </c>
      <c r="L83" s="503">
        <v>565.50970342957146</v>
      </c>
      <c r="M83" s="503">
        <v>109.94037728329175</v>
      </c>
      <c r="N83" s="551"/>
      <c r="O83" s="679"/>
      <c r="P83" s="679"/>
      <c r="Q83" s="679"/>
      <c r="R83" s="679"/>
      <c r="S83" s="554"/>
      <c r="T83" s="554"/>
      <c r="U83" s="554"/>
      <c r="V83" s="554"/>
      <c r="W83" s="503"/>
      <c r="X83" s="503"/>
      <c r="Y83" s="503"/>
      <c r="Z83" s="503"/>
      <c r="AA83" s="771"/>
      <c r="AB83" s="776"/>
      <c r="AC83" s="719"/>
      <c r="AD83" s="719"/>
      <c r="AE83" s="719"/>
      <c r="AF83" s="719"/>
      <c r="AG83" s="718"/>
      <c r="AH83" s="718"/>
      <c r="AI83" s="718"/>
      <c r="AJ83" s="718"/>
      <c r="AK83" s="717"/>
      <c r="AL83" s="717"/>
      <c r="AM83" s="717"/>
      <c r="AN83" s="717"/>
      <c r="AO83" s="771"/>
      <c r="AP83" s="719"/>
      <c r="AQ83" s="719"/>
      <c r="AR83" s="719"/>
      <c r="AS83" s="719"/>
      <c r="AT83" s="718"/>
      <c r="AU83" s="718"/>
      <c r="AV83" s="718"/>
      <c r="AW83" s="718"/>
      <c r="AX83" s="717"/>
      <c r="AY83" s="717"/>
      <c r="AZ83" s="717"/>
      <c r="BA83" s="717"/>
    </row>
    <row r="84" spans="1:53">
      <c r="A84" s="532">
        <v>41644</v>
      </c>
      <c r="B84" s="766">
        <v>279.00486436484675</v>
      </c>
      <c r="C84" s="766">
        <v>994.27986421646187</v>
      </c>
      <c r="D84" s="679">
        <v>657.82492238521991</v>
      </c>
      <c r="E84" s="679">
        <v>281.80292246009697</v>
      </c>
      <c r="F84" s="554">
        <v>12.521381564379903</v>
      </c>
      <c r="G84" s="554">
        <v>36.587066770863316</v>
      </c>
      <c r="H84" s="554">
        <v>283.19848925070005</v>
      </c>
      <c r="I84" s="554"/>
      <c r="J84" s="503">
        <v>729.28362252932902</v>
      </c>
      <c r="K84" s="503">
        <v>1300.7130004385278</v>
      </c>
      <c r="L84" s="503">
        <v>542.41519125799891</v>
      </c>
      <c r="M84" s="503">
        <v>172.42823313781849</v>
      </c>
      <c r="N84" s="551"/>
      <c r="O84" s="679"/>
      <c r="P84" s="679"/>
      <c r="Q84" s="679"/>
      <c r="R84" s="679"/>
      <c r="S84" s="554"/>
      <c r="T84" s="554"/>
      <c r="U84" s="554"/>
      <c r="V84" s="554"/>
      <c r="W84" s="503"/>
      <c r="X84" s="503"/>
      <c r="Y84" s="503"/>
      <c r="Z84" s="503"/>
      <c r="AA84" s="771"/>
      <c r="AB84" s="776"/>
      <c r="AC84" s="719"/>
      <c r="AD84" s="719"/>
      <c r="AE84" s="719"/>
      <c r="AF84" s="719"/>
      <c r="AG84" s="718"/>
      <c r="AH84" s="718"/>
      <c r="AI84" s="718"/>
      <c r="AJ84" s="718"/>
      <c r="AK84" s="717"/>
      <c r="AL84" s="717"/>
      <c r="AM84" s="717"/>
      <c r="AN84" s="717"/>
      <c r="AO84" s="771"/>
      <c r="AP84" s="719"/>
      <c r="AQ84" s="719"/>
      <c r="AR84" s="719"/>
      <c r="AS84" s="719"/>
      <c r="AT84" s="718"/>
      <c r="AU84" s="718"/>
      <c r="AV84" s="718"/>
      <c r="AW84" s="718"/>
      <c r="AX84" s="717"/>
      <c r="AY84" s="717"/>
      <c r="AZ84" s="717"/>
      <c r="BA84" s="717"/>
    </row>
    <row r="85" spans="1:53">
      <c r="A85" s="532">
        <v>41645</v>
      </c>
      <c r="B85" s="766">
        <v>445.61227337152019</v>
      </c>
      <c r="C85" s="766">
        <v>470.91366210296934</v>
      </c>
      <c r="D85" s="679">
        <v>578.37721900678469</v>
      </c>
      <c r="E85" s="679">
        <v>166.59213779240849</v>
      </c>
      <c r="F85" s="528"/>
      <c r="G85" s="554">
        <v>31.561235099952107</v>
      </c>
      <c r="H85" s="554">
        <v>266.17575970019834</v>
      </c>
      <c r="I85" s="528"/>
      <c r="J85" s="503">
        <v>285.25639098295602</v>
      </c>
      <c r="K85" s="503">
        <v>1238.0665212274921</v>
      </c>
      <c r="L85" s="503">
        <v>617.78668850219617</v>
      </c>
      <c r="M85" s="503">
        <v>270.94146764674252</v>
      </c>
      <c r="N85" s="551"/>
      <c r="O85" s="745">
        <f>SUM(B79:B85)</f>
        <v>201.72690683549109</v>
      </c>
      <c r="P85" s="745">
        <f t="shared" ref="P85" si="137">SUM(C79:C85)</f>
        <v>6359.0923591540877</v>
      </c>
      <c r="Q85" s="745">
        <f t="shared" ref="Q85" si="138">SUM(D79:D85)</f>
        <v>4443.2065378052466</v>
      </c>
      <c r="R85" s="745">
        <f t="shared" ref="R85" si="139">SUM(E79:E85)</f>
        <v>3316.750713862044</v>
      </c>
      <c r="S85" s="745">
        <f t="shared" ref="S85" si="140">SUM(F79:F85)</f>
        <v>634.00068697824236</v>
      </c>
      <c r="T85" s="745">
        <f t="shared" ref="T85" si="141">SUM(G79:G85)</f>
        <v>331.60282255318657</v>
      </c>
      <c r="U85" s="745">
        <f t="shared" ref="U85" si="142">SUM(H79:H85)</f>
        <v>2237.3659297951835</v>
      </c>
      <c r="V85" s="745">
        <f t="shared" ref="V85" si="143">SUM(I79:I85)</f>
        <v>0</v>
      </c>
      <c r="W85" s="745">
        <f t="shared" ref="W85" si="144">SUM(J79:J85)</f>
        <v>5999.2894305720811</v>
      </c>
      <c r="X85" s="745">
        <f t="shared" ref="X85" si="145">SUM(K79:K85)</f>
        <v>12882.45326038549</v>
      </c>
      <c r="Y85" s="745">
        <f t="shared" ref="Y85" si="146">SUM(L79:L85)</f>
        <v>5107.2141869532079</v>
      </c>
      <c r="Z85" s="745">
        <f t="shared" ref="Z85" si="147">SUM(M79:M85)</f>
        <v>1518.3837359009042</v>
      </c>
      <c r="AA85" s="772"/>
      <c r="AB85" s="777"/>
      <c r="AC85" s="766"/>
      <c r="AD85" s="766"/>
      <c r="AE85" s="766"/>
      <c r="AF85" s="766"/>
      <c r="AG85" s="766"/>
      <c r="AH85" s="766"/>
      <c r="AI85" s="766"/>
      <c r="AJ85" s="766"/>
      <c r="AK85" s="766"/>
      <c r="AL85" s="766"/>
      <c r="AM85" s="766"/>
      <c r="AN85" s="766"/>
      <c r="AO85" s="772"/>
      <c r="AP85" s="766"/>
      <c r="AQ85" s="766"/>
      <c r="AR85" s="766"/>
      <c r="AS85" s="766"/>
      <c r="AT85" s="766"/>
      <c r="AU85" s="766"/>
      <c r="AV85" s="766"/>
      <c r="AW85" s="766"/>
      <c r="AX85" s="766"/>
      <c r="AY85" s="766"/>
      <c r="AZ85" s="766"/>
      <c r="BA85" s="766"/>
    </row>
    <row r="86" spans="1:53">
      <c r="A86" s="464">
        <v>41646</v>
      </c>
      <c r="B86" s="745">
        <v>317.34870507284671</v>
      </c>
      <c r="C86" s="745">
        <v>18985.596498898332</v>
      </c>
      <c r="D86" s="679">
        <v>335.90130167177347</v>
      </c>
      <c r="E86" s="679">
        <v>173.17228709354444</v>
      </c>
      <c r="F86" s="528"/>
      <c r="G86" s="554">
        <v>27.485774125229693</v>
      </c>
      <c r="H86" s="554">
        <v>248.53110000653098</v>
      </c>
      <c r="I86" s="527"/>
      <c r="J86" s="503">
        <v>222.66112626040135</v>
      </c>
      <c r="K86" s="503">
        <v>1179.6104179918837</v>
      </c>
      <c r="L86" s="503">
        <v>516.59493065529171</v>
      </c>
      <c r="M86" s="503">
        <v>191.79541632284403</v>
      </c>
      <c r="N86" s="551"/>
      <c r="O86" s="679"/>
      <c r="P86" s="679"/>
      <c r="Q86" s="679"/>
      <c r="R86" s="679"/>
      <c r="S86" s="554"/>
      <c r="T86" s="554"/>
      <c r="U86" s="554"/>
      <c r="V86" s="554"/>
      <c r="W86" s="503"/>
      <c r="X86" s="503"/>
      <c r="Y86" s="503"/>
      <c r="Z86" s="503"/>
      <c r="AA86" s="771"/>
      <c r="AB86" s="776"/>
      <c r="AC86" s="719"/>
      <c r="AD86" s="719"/>
      <c r="AE86" s="719"/>
      <c r="AF86" s="719"/>
      <c r="AG86" s="718"/>
      <c r="AH86" s="718"/>
      <c r="AI86" s="718"/>
      <c r="AJ86" s="718"/>
      <c r="AK86" s="717"/>
      <c r="AL86" s="717"/>
      <c r="AM86" s="717"/>
      <c r="AN86" s="717"/>
      <c r="AO86" s="771"/>
      <c r="AP86" s="719"/>
      <c r="AQ86" s="719"/>
      <c r="AR86" s="719"/>
      <c r="AS86" s="719"/>
      <c r="AT86" s="718"/>
      <c r="AU86" s="718"/>
      <c r="AV86" s="718"/>
      <c r="AW86" s="718"/>
      <c r="AX86" s="717"/>
      <c r="AY86" s="717"/>
      <c r="AZ86" s="717"/>
      <c r="BA86" s="717"/>
    </row>
    <row r="87" spans="1:53">
      <c r="A87" s="464">
        <v>41647</v>
      </c>
      <c r="B87" s="745">
        <v>-14.934417259602098</v>
      </c>
      <c r="C87" s="745">
        <v>-15238.855278203262</v>
      </c>
      <c r="D87" s="679">
        <v>22.8628088798588</v>
      </c>
      <c r="E87" s="679">
        <v>-103.92166234636974</v>
      </c>
      <c r="F87" s="528"/>
      <c r="G87" s="554">
        <v>22.28213951572517</v>
      </c>
      <c r="H87" s="554">
        <v>233.46191385348644</v>
      </c>
      <c r="I87" s="527"/>
      <c r="J87" s="503">
        <v>166.19287107746445</v>
      </c>
      <c r="K87" s="503">
        <v>1132.5109344050018</v>
      </c>
      <c r="L87" s="503">
        <v>475.23438706826926</v>
      </c>
      <c r="M87" s="503">
        <v>173.02645567905827</v>
      </c>
      <c r="N87" s="551"/>
      <c r="O87" s="679"/>
      <c r="P87" s="679"/>
      <c r="Q87" s="679"/>
      <c r="R87" s="679"/>
      <c r="S87" s="554"/>
      <c r="T87" s="554"/>
      <c r="U87" s="554"/>
      <c r="V87" s="554"/>
      <c r="W87" s="503"/>
      <c r="X87" s="503"/>
      <c r="Y87" s="503"/>
      <c r="Z87" s="503"/>
      <c r="AA87" s="771"/>
      <c r="AB87" s="776"/>
      <c r="AC87" s="719"/>
      <c r="AD87" s="719"/>
      <c r="AE87" s="719"/>
      <c r="AF87" s="719"/>
      <c r="AG87" s="718"/>
      <c r="AH87" s="718"/>
      <c r="AI87" s="718"/>
      <c r="AJ87" s="718"/>
      <c r="AK87" s="717"/>
      <c r="AL87" s="717"/>
      <c r="AM87" s="717"/>
      <c r="AN87" s="717"/>
      <c r="AO87" s="771"/>
      <c r="AP87" s="719"/>
      <c r="AQ87" s="719"/>
      <c r="AR87" s="719"/>
      <c r="AS87" s="719"/>
      <c r="AT87" s="718"/>
      <c r="AU87" s="718"/>
      <c r="AV87" s="718"/>
      <c r="AW87" s="718"/>
      <c r="AX87" s="717"/>
      <c r="AY87" s="717"/>
      <c r="AZ87" s="717"/>
      <c r="BA87" s="717"/>
    </row>
    <row r="88" spans="1:53">
      <c r="A88" s="532">
        <v>41648</v>
      </c>
      <c r="B88" s="766">
        <v>406.45541095648304</v>
      </c>
      <c r="C88" s="766">
        <v>-372.73498060017585</v>
      </c>
      <c r="D88" s="679">
        <v>588.8889077168501</v>
      </c>
      <c r="E88" s="679">
        <v>274.32232635888903</v>
      </c>
      <c r="F88" s="528"/>
      <c r="G88" s="554">
        <v>10.802782427702917</v>
      </c>
      <c r="H88" s="554">
        <v>222.72872440224907</v>
      </c>
      <c r="I88" s="528"/>
      <c r="J88" s="503">
        <v>113.81531455692414</v>
      </c>
      <c r="K88" s="503">
        <v>778.90711274511523</v>
      </c>
      <c r="L88" s="503">
        <v>329.53235008766069</v>
      </c>
      <c r="M88" s="503">
        <v>50.078726468541078</v>
      </c>
      <c r="N88" s="551"/>
      <c r="O88" s="679"/>
      <c r="P88" s="679"/>
      <c r="Q88" s="679"/>
      <c r="R88" s="679"/>
      <c r="S88" s="554"/>
      <c r="T88" s="554"/>
      <c r="U88" s="554"/>
      <c r="V88" s="554"/>
      <c r="W88" s="503"/>
      <c r="X88" s="503"/>
      <c r="Y88" s="503"/>
      <c r="Z88" s="503"/>
      <c r="AA88" s="771"/>
      <c r="AB88" s="776"/>
      <c r="AC88" s="719"/>
      <c r="AD88" s="719"/>
      <c r="AE88" s="719"/>
      <c r="AF88" s="719"/>
      <c r="AG88" s="718"/>
      <c r="AH88" s="718"/>
      <c r="AI88" s="718"/>
      <c r="AJ88" s="718"/>
      <c r="AK88" s="717"/>
      <c r="AL88" s="717"/>
      <c r="AM88" s="717"/>
      <c r="AN88" s="717"/>
      <c r="AO88" s="771"/>
      <c r="AP88" s="719"/>
      <c r="AQ88" s="719"/>
      <c r="AR88" s="719"/>
      <c r="AS88" s="719"/>
      <c r="AT88" s="718"/>
      <c r="AU88" s="718"/>
      <c r="AV88" s="718"/>
      <c r="AW88" s="718"/>
      <c r="AX88" s="717"/>
      <c r="AY88" s="717"/>
      <c r="AZ88" s="717"/>
      <c r="BA88" s="717"/>
    </row>
    <row r="89" spans="1:53">
      <c r="A89" s="532">
        <v>41649</v>
      </c>
      <c r="B89" s="766">
        <v>396.11124935302837</v>
      </c>
      <c r="C89" s="766">
        <v>1209.3981753851394</v>
      </c>
      <c r="D89" s="679">
        <v>540.58702597156241</v>
      </c>
      <c r="E89" s="679">
        <v>193.62375604929559</v>
      </c>
      <c r="F89" s="528"/>
      <c r="G89" s="554">
        <v>12.83591163160802</v>
      </c>
      <c r="H89" s="554">
        <v>209.75669775616393</v>
      </c>
      <c r="I89" s="528"/>
      <c r="J89" s="503">
        <v>281.93691750365673</v>
      </c>
      <c r="K89" s="503">
        <v>1001.0254213798985</v>
      </c>
      <c r="L89" s="503">
        <v>404.85013909356286</v>
      </c>
      <c r="M89" s="503">
        <v>144.06899594735697</v>
      </c>
      <c r="N89" s="551"/>
      <c r="O89" s="679"/>
      <c r="P89" s="679"/>
      <c r="Q89" s="679"/>
      <c r="R89" s="679"/>
      <c r="S89" s="554"/>
      <c r="T89" s="554"/>
      <c r="U89" s="554"/>
      <c r="V89" s="554"/>
      <c r="W89" s="503"/>
      <c r="X89" s="503"/>
      <c r="Y89" s="503"/>
      <c r="Z89" s="503"/>
      <c r="AA89" s="771"/>
      <c r="AB89" s="776"/>
      <c r="AC89" s="719"/>
      <c r="AD89" s="719"/>
      <c r="AE89" s="719"/>
      <c r="AF89" s="719"/>
      <c r="AG89" s="718"/>
      <c r="AH89" s="718"/>
      <c r="AI89" s="718"/>
      <c r="AJ89" s="718"/>
      <c r="AK89" s="717"/>
      <c r="AL89" s="717"/>
      <c r="AM89" s="717"/>
      <c r="AN89" s="717"/>
      <c r="AO89" s="771"/>
      <c r="AP89" s="719"/>
      <c r="AQ89" s="719"/>
      <c r="AR89" s="719"/>
      <c r="AS89" s="719"/>
      <c r="AT89" s="718"/>
      <c r="AU89" s="718"/>
      <c r="AV89" s="718"/>
      <c r="AW89" s="718"/>
      <c r="AX89" s="717"/>
      <c r="AY89" s="717"/>
      <c r="AZ89" s="717"/>
      <c r="BA89" s="717"/>
    </row>
    <row r="90" spans="1:53">
      <c r="A90" s="532">
        <v>41650</v>
      </c>
      <c r="B90" s="766">
        <v>150.17141700212423</v>
      </c>
      <c r="C90" s="766">
        <v>-416.74225576246408</v>
      </c>
      <c r="D90" s="679">
        <v>441.19772463887216</v>
      </c>
      <c r="E90" s="679">
        <v>120.90436122688702</v>
      </c>
      <c r="F90" s="528"/>
      <c r="G90" s="554">
        <v>7.4287615583534858</v>
      </c>
      <c r="H90" s="554">
        <v>194.66491820623929</v>
      </c>
      <c r="I90" s="528"/>
      <c r="J90" s="503">
        <v>551.37484826372622</v>
      </c>
      <c r="K90" s="503">
        <v>1044.8616609767328</v>
      </c>
      <c r="L90" s="503">
        <v>587.62729232838956</v>
      </c>
      <c r="M90" s="503">
        <v>179.53197134871525</v>
      </c>
      <c r="N90" s="551"/>
      <c r="O90" s="679"/>
      <c r="P90" s="679"/>
      <c r="Q90" s="679"/>
      <c r="R90" s="679"/>
      <c r="S90" s="554"/>
      <c r="T90" s="554"/>
      <c r="U90" s="554"/>
      <c r="V90" s="554"/>
      <c r="W90" s="503"/>
      <c r="X90" s="503"/>
      <c r="Y90" s="503"/>
      <c r="Z90" s="503"/>
      <c r="AA90" s="771"/>
      <c r="AB90" s="776"/>
      <c r="AC90" s="719"/>
      <c r="AD90" s="719"/>
      <c r="AE90" s="719"/>
      <c r="AF90" s="719"/>
      <c r="AG90" s="718"/>
      <c r="AH90" s="718"/>
      <c r="AI90" s="718"/>
      <c r="AJ90" s="718"/>
      <c r="AK90" s="717"/>
      <c r="AL90" s="717"/>
      <c r="AM90" s="717"/>
      <c r="AN90" s="717"/>
      <c r="AO90" s="771"/>
      <c r="AP90" s="719"/>
      <c r="AQ90" s="719"/>
      <c r="AR90" s="719"/>
      <c r="AS90" s="719"/>
      <c r="AT90" s="718"/>
      <c r="AU90" s="718"/>
      <c r="AV90" s="718"/>
      <c r="AW90" s="718"/>
      <c r="AX90" s="717"/>
      <c r="AY90" s="717"/>
      <c r="AZ90" s="717"/>
      <c r="BA90" s="717"/>
    </row>
    <row r="91" spans="1:53">
      <c r="A91" s="532">
        <v>41651</v>
      </c>
      <c r="B91" s="766">
        <v>85.224829668005242</v>
      </c>
      <c r="C91" s="766">
        <v>-464.35644228962815</v>
      </c>
      <c r="D91" s="679">
        <v>430.72400230509828</v>
      </c>
      <c r="E91" s="679">
        <v>107.52860146010151</v>
      </c>
      <c r="F91" s="528"/>
      <c r="G91" s="528"/>
      <c r="H91" s="554">
        <v>178.52342422478756</v>
      </c>
      <c r="I91" s="528"/>
      <c r="J91" s="503">
        <v>1194.3383234828252</v>
      </c>
      <c r="K91" s="503">
        <v>999.85810555606849</v>
      </c>
      <c r="L91" s="503">
        <v>564.70904383743584</v>
      </c>
      <c r="M91" s="503">
        <v>200.74371353828832</v>
      </c>
      <c r="N91" s="551"/>
      <c r="O91" s="679"/>
      <c r="P91" s="679"/>
      <c r="Q91" s="679"/>
      <c r="R91" s="679"/>
      <c r="S91" s="554"/>
      <c r="T91" s="554"/>
      <c r="U91" s="554"/>
      <c r="V91" s="554"/>
      <c r="W91" s="503"/>
      <c r="X91" s="503"/>
      <c r="Y91" s="503"/>
      <c r="Z91" s="503"/>
      <c r="AA91" s="771"/>
      <c r="AB91" s="776"/>
      <c r="AC91" s="719"/>
      <c r="AD91" s="719"/>
      <c r="AE91" s="719"/>
      <c r="AF91" s="719"/>
      <c r="AG91" s="718"/>
      <c r="AH91" s="718"/>
      <c r="AI91" s="718"/>
      <c r="AJ91" s="718"/>
      <c r="AK91" s="717"/>
      <c r="AL91" s="717"/>
      <c r="AM91" s="717"/>
      <c r="AN91" s="717"/>
      <c r="AO91" s="771"/>
      <c r="AP91" s="719"/>
      <c r="AQ91" s="719"/>
      <c r="AR91" s="719"/>
      <c r="AS91" s="719"/>
      <c r="AT91" s="718"/>
      <c r="AU91" s="718"/>
      <c r="AV91" s="718"/>
      <c r="AW91" s="718"/>
      <c r="AX91" s="717"/>
      <c r="AY91" s="717"/>
      <c r="AZ91" s="717"/>
      <c r="BA91" s="717"/>
    </row>
    <row r="92" spans="1:53" s="752" customFormat="1">
      <c r="A92" s="746">
        <v>41652</v>
      </c>
      <c r="B92" s="766">
        <v>1049.4884242312328</v>
      </c>
      <c r="C92" s="766">
        <v>-115.4544625783689</v>
      </c>
      <c r="D92" s="747">
        <v>291.89025990821568</v>
      </c>
      <c r="E92" s="747">
        <v>139.15851482679975</v>
      </c>
      <c r="F92" s="748"/>
      <c r="G92" s="748"/>
      <c r="H92" s="749">
        <v>162.21616420427617</v>
      </c>
      <c r="I92" s="748"/>
      <c r="J92" s="750">
        <v>1001.0856229857019</v>
      </c>
      <c r="K92" s="750">
        <v>297.63112936869504</v>
      </c>
      <c r="L92" s="750">
        <v>644.99450256509942</v>
      </c>
      <c r="M92" s="750">
        <v>194.55263326289588</v>
      </c>
      <c r="N92" s="751"/>
      <c r="O92" s="745">
        <f>SUM(B86:B92)</f>
        <v>2389.8656190241181</v>
      </c>
      <c r="P92" s="745">
        <f t="shared" ref="P92" si="148">SUM(C86:C92)</f>
        <v>3586.8512548495733</v>
      </c>
      <c r="Q92" s="745">
        <f t="shared" ref="Q92" si="149">SUM(D86:D92)</f>
        <v>2652.0520310922311</v>
      </c>
      <c r="R92" s="745">
        <f t="shared" ref="R92" si="150">SUM(E86:E92)</f>
        <v>904.78818466914754</v>
      </c>
      <c r="S92" s="745">
        <f t="shared" ref="S92" si="151">SUM(F86:F92)</f>
        <v>0</v>
      </c>
      <c r="T92" s="745">
        <f t="shared" ref="T92" si="152">SUM(G86:G92)</f>
        <v>80.835369258619281</v>
      </c>
      <c r="U92" s="745">
        <f t="shared" ref="U92" si="153">SUM(H86:H92)</f>
        <v>1449.8829426537334</v>
      </c>
      <c r="V92" s="745">
        <f t="shared" ref="V92" si="154">SUM(I86:I92)</f>
        <v>0</v>
      </c>
      <c r="W92" s="745">
        <f t="shared" ref="W92" si="155">SUM(J86:J92)</f>
        <v>3531.4050241307</v>
      </c>
      <c r="X92" s="745">
        <f t="shared" ref="X92" si="156">SUM(K86:K92)</f>
        <v>6434.4047824233958</v>
      </c>
      <c r="Y92" s="745">
        <f t="shared" ref="Y92" si="157">SUM(L86:L92)</f>
        <v>3523.5426456357095</v>
      </c>
      <c r="Z92" s="745">
        <f t="shared" ref="Z92" si="158">SUM(M86:M92)</f>
        <v>1133.7979125676998</v>
      </c>
      <c r="AA92" s="772"/>
      <c r="AB92" s="777"/>
      <c r="AC92" s="766"/>
      <c r="AD92" s="766"/>
      <c r="AE92" s="766"/>
      <c r="AF92" s="766"/>
      <c r="AG92" s="766"/>
      <c r="AH92" s="766"/>
      <c r="AI92" s="766"/>
      <c r="AJ92" s="766"/>
      <c r="AK92" s="766"/>
      <c r="AL92" s="766"/>
      <c r="AM92" s="766"/>
      <c r="AN92" s="766"/>
      <c r="AO92" s="772"/>
      <c r="AP92" s="766"/>
      <c r="AQ92" s="766"/>
      <c r="AR92" s="766"/>
      <c r="AS92" s="766"/>
      <c r="AT92" s="766"/>
      <c r="AU92" s="766"/>
      <c r="AV92" s="766"/>
      <c r="AW92" s="766"/>
      <c r="AX92" s="766"/>
      <c r="AY92" s="766"/>
      <c r="AZ92" s="766"/>
      <c r="BA92" s="766"/>
    </row>
    <row r="93" spans="1:53">
      <c r="A93" s="537">
        <v>41653</v>
      </c>
      <c r="B93" s="680"/>
      <c r="C93" s="680"/>
      <c r="D93" s="679">
        <v>528.86536683978727</v>
      </c>
      <c r="E93" s="679">
        <v>107.73289093823206</v>
      </c>
      <c r="F93" s="528"/>
      <c r="G93" s="528"/>
      <c r="H93" s="554">
        <v>146.4719258965051</v>
      </c>
      <c r="I93" s="528"/>
      <c r="J93" s="503">
        <v>975.89281603617189</v>
      </c>
      <c r="K93" s="503">
        <v>264.84169666670874</v>
      </c>
      <c r="L93" s="503">
        <v>307.32857676297982</v>
      </c>
      <c r="M93" s="503">
        <v>201.72035698739415</v>
      </c>
      <c r="N93" s="551"/>
      <c r="O93" s="679"/>
      <c r="P93" s="679"/>
      <c r="Q93" s="679"/>
      <c r="R93" s="679"/>
      <c r="S93" s="554"/>
      <c r="T93" s="554"/>
      <c r="U93" s="554"/>
      <c r="V93" s="554"/>
      <c r="W93" s="503"/>
      <c r="X93" s="503"/>
      <c r="Y93" s="503"/>
      <c r="Z93" s="503"/>
      <c r="AA93" s="771"/>
      <c r="AB93" s="776"/>
      <c r="AC93" s="719"/>
      <c r="AD93" s="719"/>
      <c r="AE93" s="719"/>
      <c r="AF93" s="719"/>
      <c r="AG93" s="718"/>
      <c r="AH93" s="718"/>
      <c r="AI93" s="718"/>
      <c r="AJ93" s="718"/>
      <c r="AK93" s="717"/>
      <c r="AL93" s="717"/>
      <c r="AM93" s="717"/>
      <c r="AN93" s="717"/>
      <c r="AO93" s="771"/>
      <c r="AP93" s="719"/>
      <c r="AQ93" s="719"/>
      <c r="AR93" s="719"/>
      <c r="AS93" s="719"/>
      <c r="AT93" s="718"/>
      <c r="AU93" s="718"/>
      <c r="AV93" s="718"/>
      <c r="AW93" s="718"/>
      <c r="AX93" s="717"/>
      <c r="AY93" s="717"/>
      <c r="AZ93" s="717"/>
      <c r="BA93" s="717"/>
    </row>
    <row r="94" spans="1:53">
      <c r="A94" s="537">
        <v>41654</v>
      </c>
      <c r="B94" s="680"/>
      <c r="C94" s="680"/>
      <c r="D94" s="679">
        <v>510.24077921479284</v>
      </c>
      <c r="E94" s="679">
        <v>89.336639184593778</v>
      </c>
      <c r="F94" s="528"/>
      <c r="G94" s="528"/>
      <c r="H94" s="554">
        <v>131.89837886308973</v>
      </c>
      <c r="I94" s="528"/>
      <c r="J94" s="503">
        <v>1197.9060669766577</v>
      </c>
      <c r="K94" s="503">
        <v>246.50561519380287</v>
      </c>
      <c r="L94" s="503">
        <v>452.04947217493554</v>
      </c>
      <c r="M94" s="503">
        <v>212.00270395563294</v>
      </c>
      <c r="N94" s="551"/>
      <c r="O94" s="679"/>
      <c r="P94" s="679"/>
      <c r="Q94" s="679"/>
      <c r="R94" s="679"/>
      <c r="S94" s="554"/>
      <c r="T94" s="554"/>
      <c r="U94" s="554"/>
      <c r="V94" s="554"/>
      <c r="W94" s="503"/>
      <c r="X94" s="503"/>
      <c r="Y94" s="503"/>
      <c r="Z94" s="503"/>
      <c r="AA94" s="771"/>
      <c r="AB94" s="776"/>
      <c r="AC94" s="719"/>
      <c r="AD94" s="719"/>
      <c r="AE94" s="719"/>
      <c r="AF94" s="719"/>
      <c r="AG94" s="718"/>
      <c r="AH94" s="718"/>
      <c r="AI94" s="718"/>
      <c r="AJ94" s="718"/>
      <c r="AK94" s="717"/>
      <c r="AL94" s="717"/>
      <c r="AM94" s="717"/>
      <c r="AN94" s="717"/>
      <c r="AO94" s="771"/>
      <c r="AP94" s="719"/>
      <c r="AQ94" s="719"/>
      <c r="AR94" s="719"/>
      <c r="AS94" s="719"/>
      <c r="AT94" s="718"/>
      <c r="AU94" s="718"/>
      <c r="AV94" s="718"/>
      <c r="AW94" s="718"/>
      <c r="AX94" s="717"/>
      <c r="AY94" s="717"/>
      <c r="AZ94" s="717"/>
      <c r="BA94" s="717"/>
    </row>
    <row r="95" spans="1:53">
      <c r="A95" s="537">
        <v>41655</v>
      </c>
      <c r="B95" s="680"/>
      <c r="C95" s="680"/>
      <c r="D95" s="679">
        <v>379.50216950132574</v>
      </c>
      <c r="E95" s="679">
        <v>102.4666426809504</v>
      </c>
      <c r="F95" s="528"/>
      <c r="G95" s="528"/>
      <c r="H95" s="554">
        <v>115.9765722542778</v>
      </c>
      <c r="I95" s="528"/>
      <c r="J95" s="503">
        <v>592.93531666794331</v>
      </c>
      <c r="K95" s="503">
        <v>247.85401058267144</v>
      </c>
      <c r="L95" s="503">
        <v>473.74630732115958</v>
      </c>
      <c r="M95" s="503">
        <v>192.99932434874805</v>
      </c>
      <c r="N95" s="551"/>
      <c r="O95" s="679"/>
      <c r="P95" s="679"/>
      <c r="Q95" s="679"/>
      <c r="R95" s="679"/>
      <c r="S95" s="554"/>
      <c r="T95" s="554"/>
      <c r="U95" s="554"/>
      <c r="V95" s="554"/>
      <c r="W95" s="503"/>
      <c r="X95" s="503"/>
      <c r="Y95" s="503"/>
      <c r="Z95" s="503"/>
      <c r="AA95" s="771"/>
      <c r="AB95" s="776"/>
      <c r="AC95" s="719"/>
      <c r="AD95" s="719"/>
      <c r="AE95" s="719"/>
      <c r="AF95" s="719"/>
      <c r="AG95" s="718"/>
      <c r="AH95" s="718"/>
      <c r="AI95" s="718"/>
      <c r="AJ95" s="718"/>
      <c r="AK95" s="717"/>
      <c r="AL95" s="717"/>
      <c r="AM95" s="717"/>
      <c r="AN95" s="717"/>
      <c r="AO95" s="771"/>
      <c r="AP95" s="719"/>
      <c r="AQ95" s="719"/>
      <c r="AR95" s="719"/>
      <c r="AS95" s="719"/>
      <c r="AT95" s="718"/>
      <c r="AU95" s="718"/>
      <c r="AV95" s="718"/>
      <c r="AW95" s="718"/>
      <c r="AX95" s="717"/>
      <c r="AY95" s="717"/>
      <c r="AZ95" s="717"/>
      <c r="BA95" s="717"/>
    </row>
    <row r="96" spans="1:53">
      <c r="A96" s="537">
        <v>41656</v>
      </c>
      <c r="B96" s="680"/>
      <c r="C96" s="680"/>
      <c r="D96" s="679">
        <v>373.07787103106483</v>
      </c>
      <c r="E96" s="679">
        <v>168.9335766745215</v>
      </c>
      <c r="F96" s="528"/>
      <c r="G96" s="528"/>
      <c r="H96" s="554">
        <v>100.88961527494776</v>
      </c>
      <c r="I96" s="528"/>
      <c r="J96" s="503">
        <v>242.80729387015737</v>
      </c>
      <c r="K96" s="503">
        <v>250.50275631918444</v>
      </c>
      <c r="L96" s="503">
        <v>345.84149859734958</v>
      </c>
      <c r="M96" s="503">
        <v>120.02435077421799</v>
      </c>
      <c r="N96" s="551"/>
      <c r="O96" s="679"/>
      <c r="P96" s="679"/>
      <c r="Q96" s="679"/>
      <c r="R96" s="679"/>
      <c r="S96" s="554"/>
      <c r="T96" s="554"/>
      <c r="U96" s="554"/>
      <c r="V96" s="554"/>
      <c r="W96" s="503"/>
      <c r="X96" s="503"/>
      <c r="Y96" s="503"/>
      <c r="Z96" s="503"/>
      <c r="AA96" s="771"/>
      <c r="AB96" s="776"/>
      <c r="AC96" s="719"/>
      <c r="AD96" s="719"/>
      <c r="AE96" s="719"/>
      <c r="AF96" s="719"/>
      <c r="AG96" s="718"/>
      <c r="AH96" s="718"/>
      <c r="AI96" s="718"/>
      <c r="AJ96" s="718"/>
      <c r="AK96" s="717"/>
      <c r="AL96" s="717"/>
      <c r="AM96" s="717"/>
      <c r="AN96" s="717"/>
      <c r="AO96" s="771"/>
      <c r="AP96" s="719"/>
      <c r="AQ96" s="719"/>
      <c r="AR96" s="719"/>
      <c r="AS96" s="719"/>
      <c r="AT96" s="718"/>
      <c r="AU96" s="718"/>
      <c r="AV96" s="718"/>
      <c r="AW96" s="718"/>
      <c r="AX96" s="717"/>
      <c r="AY96" s="717"/>
      <c r="AZ96" s="717"/>
      <c r="BA96" s="717"/>
    </row>
    <row r="97" spans="1:53">
      <c r="A97" s="537">
        <v>41657</v>
      </c>
      <c r="B97" s="680"/>
      <c r="C97" s="680"/>
      <c r="D97" s="679">
        <v>265.77351142357338</v>
      </c>
      <c r="E97" s="679">
        <v>136.49233674523663</v>
      </c>
      <c r="F97" s="528"/>
      <c r="G97" s="528"/>
      <c r="H97" s="554">
        <v>87.739530493714327</v>
      </c>
      <c r="I97" s="528"/>
      <c r="J97" s="503">
        <v>16.428240057137298</v>
      </c>
      <c r="K97" s="503">
        <v>249.97489736944024</v>
      </c>
      <c r="L97" s="503">
        <v>477.47876993903822</v>
      </c>
      <c r="M97" s="503">
        <v>158.26294773749385</v>
      </c>
      <c r="N97" s="551"/>
      <c r="O97" s="679"/>
      <c r="P97" s="679"/>
      <c r="Q97" s="679"/>
      <c r="R97" s="679"/>
      <c r="S97" s="554"/>
      <c r="T97" s="554"/>
      <c r="U97" s="554"/>
      <c r="V97" s="554"/>
      <c r="W97" s="503"/>
      <c r="X97" s="503"/>
      <c r="Y97" s="503"/>
      <c r="Z97" s="503"/>
      <c r="AA97" s="771"/>
      <c r="AB97" s="776"/>
      <c r="AC97" s="719"/>
      <c r="AD97" s="719"/>
      <c r="AE97" s="719"/>
      <c r="AF97" s="719"/>
      <c r="AG97" s="718"/>
      <c r="AH97" s="718"/>
      <c r="AI97" s="718"/>
      <c r="AJ97" s="718"/>
      <c r="AK97" s="717"/>
      <c r="AL97" s="717"/>
      <c r="AM97" s="717"/>
      <c r="AN97" s="717"/>
      <c r="AO97" s="771"/>
      <c r="AP97" s="719"/>
      <c r="AQ97" s="719"/>
      <c r="AR97" s="719"/>
      <c r="AS97" s="719"/>
      <c r="AT97" s="718"/>
      <c r="AU97" s="718"/>
      <c r="AV97" s="718"/>
      <c r="AW97" s="718"/>
      <c r="AX97" s="717"/>
      <c r="AY97" s="717"/>
      <c r="AZ97" s="717"/>
      <c r="BA97" s="717"/>
    </row>
    <row r="98" spans="1:53">
      <c r="A98" s="537">
        <v>41658</v>
      </c>
      <c r="B98" s="680"/>
      <c r="C98" s="680"/>
      <c r="D98" s="679">
        <v>197.5534652632285</v>
      </c>
      <c r="E98" s="679">
        <v>99.935685949661391</v>
      </c>
      <c r="F98" s="528"/>
      <c r="G98" s="528"/>
      <c r="H98" s="554">
        <v>74.470454727955271</v>
      </c>
      <c r="I98" s="528"/>
      <c r="J98" s="503">
        <v>47.871798194933142</v>
      </c>
      <c r="K98" s="503">
        <v>247.08191902741498</v>
      </c>
      <c r="L98" s="503">
        <v>538.34831151331355</v>
      </c>
      <c r="M98" s="503">
        <v>192.97887771027291</v>
      </c>
      <c r="N98" s="551"/>
      <c r="O98" s="679"/>
      <c r="P98" s="679"/>
      <c r="Q98" s="679"/>
      <c r="R98" s="679"/>
      <c r="S98" s="554"/>
      <c r="T98" s="554"/>
      <c r="U98" s="554"/>
      <c r="V98" s="554"/>
      <c r="W98" s="503"/>
      <c r="X98" s="503"/>
      <c r="Y98" s="503"/>
      <c r="Z98" s="503"/>
      <c r="AA98" s="771"/>
      <c r="AB98" s="776"/>
      <c r="AC98" s="719"/>
      <c r="AD98" s="719"/>
      <c r="AE98" s="719"/>
      <c r="AF98" s="719"/>
      <c r="AG98" s="718"/>
      <c r="AH98" s="718"/>
      <c r="AI98" s="718"/>
      <c r="AJ98" s="718"/>
      <c r="AK98" s="717"/>
      <c r="AL98" s="717"/>
      <c r="AM98" s="717"/>
      <c r="AN98" s="717"/>
      <c r="AO98" s="771"/>
      <c r="AP98" s="719"/>
      <c r="AQ98" s="719"/>
      <c r="AR98" s="719"/>
      <c r="AS98" s="719"/>
      <c r="AT98" s="718"/>
      <c r="AU98" s="718"/>
      <c r="AV98" s="718"/>
      <c r="AW98" s="718"/>
      <c r="AX98" s="717"/>
      <c r="AY98" s="717"/>
      <c r="AZ98" s="717"/>
      <c r="BA98" s="717"/>
    </row>
    <row r="99" spans="1:53">
      <c r="A99" s="537">
        <v>41659</v>
      </c>
      <c r="B99" s="681"/>
      <c r="C99" s="681"/>
      <c r="D99" s="679">
        <v>193.92132322290308</v>
      </c>
      <c r="E99" s="679">
        <v>81.616936251424406</v>
      </c>
      <c r="F99" s="528"/>
      <c r="G99" s="324"/>
      <c r="H99" s="554">
        <v>61.16203477000218</v>
      </c>
      <c r="I99" s="528"/>
      <c r="J99" s="324"/>
      <c r="K99" s="324"/>
      <c r="L99" s="528">
        <v>1.4785910067371479</v>
      </c>
      <c r="M99" s="528">
        <v>1.4297110067370578</v>
      </c>
      <c r="N99" s="551"/>
      <c r="O99" s="745">
        <f>SUM(B93:B99)</f>
        <v>0</v>
      </c>
      <c r="P99" s="745">
        <f t="shared" ref="P99" si="159">SUM(C93:C99)</f>
        <v>0</v>
      </c>
      <c r="Q99" s="745">
        <f t="shared" ref="Q99" si="160">SUM(D93:D99)</f>
        <v>2448.9344864966761</v>
      </c>
      <c r="R99" s="745">
        <f t="shared" ref="R99" si="161">SUM(E93:E99)</f>
        <v>786.51470842462027</v>
      </c>
      <c r="S99" s="745">
        <f t="shared" ref="S99" si="162">SUM(F93:F99)</f>
        <v>0</v>
      </c>
      <c r="T99" s="745">
        <f t="shared" ref="T99" si="163">SUM(G93:G99)</f>
        <v>0</v>
      </c>
      <c r="U99" s="745">
        <f t="shared" ref="U99" si="164">SUM(H93:H99)</f>
        <v>718.60851228049216</v>
      </c>
      <c r="V99" s="745">
        <f t="shared" ref="V99" si="165">SUM(I93:I99)</f>
        <v>0</v>
      </c>
      <c r="W99" s="745">
        <f t="shared" ref="W99" si="166">SUM(J93:J99)</f>
        <v>3073.8415318030011</v>
      </c>
      <c r="X99" s="745">
        <f t="shared" ref="X99" si="167">SUM(K93:K99)</f>
        <v>1506.7608951592229</v>
      </c>
      <c r="Y99" s="745">
        <f t="shared" ref="Y99" si="168">SUM(L93:L99)</f>
        <v>2596.2715273155131</v>
      </c>
      <c r="Z99" s="745">
        <f t="shared" ref="Z99" si="169">SUM(M93:M99)</f>
        <v>1079.4182725204969</v>
      </c>
      <c r="AA99" s="772"/>
      <c r="AB99" s="777"/>
      <c r="AC99" s="766"/>
      <c r="AD99" s="766"/>
      <c r="AE99" s="766"/>
      <c r="AF99" s="766"/>
      <c r="AG99" s="766"/>
      <c r="AH99" s="766"/>
      <c r="AI99" s="766"/>
      <c r="AJ99" s="766"/>
      <c r="AK99" s="766"/>
      <c r="AL99" s="766"/>
      <c r="AM99" s="766"/>
      <c r="AN99" s="766"/>
      <c r="AO99" s="772"/>
      <c r="AP99" s="766"/>
      <c r="AQ99" s="766"/>
      <c r="AR99" s="766"/>
      <c r="AS99" s="766"/>
      <c r="AT99" s="766"/>
      <c r="AU99" s="766"/>
      <c r="AV99" s="766"/>
      <c r="AW99" s="766"/>
      <c r="AX99" s="766"/>
      <c r="AY99" s="766"/>
      <c r="AZ99" s="766"/>
      <c r="BA99" s="766"/>
    </row>
    <row r="100" spans="1:53">
      <c r="A100" s="537">
        <v>41660</v>
      </c>
      <c r="B100" s="681"/>
      <c r="C100" s="681"/>
      <c r="D100" s="679">
        <v>199.49270493915375</v>
      </c>
      <c r="E100" s="679">
        <v>62.340538824129453</v>
      </c>
      <c r="F100" s="528"/>
      <c r="G100" s="324"/>
      <c r="H100" s="554">
        <v>48.350404854606033</v>
      </c>
      <c r="I100" s="528"/>
      <c r="J100" s="324"/>
      <c r="K100" s="324"/>
      <c r="L100" s="528">
        <v>1.6495987921710202</v>
      </c>
      <c r="M100" s="528">
        <v>1.687358792171</v>
      </c>
      <c r="N100" s="551"/>
      <c r="O100" s="679"/>
      <c r="P100" s="679"/>
      <c r="Q100" s="679"/>
      <c r="R100" s="679"/>
      <c r="S100" s="554"/>
      <c r="T100" s="554"/>
      <c r="U100" s="554"/>
      <c r="V100" s="554"/>
      <c r="W100" s="503"/>
      <c r="X100" s="503"/>
      <c r="Y100" s="503"/>
      <c r="Z100" s="503"/>
      <c r="AA100" s="771"/>
      <c r="AB100" s="776"/>
      <c r="AC100" s="719"/>
      <c r="AD100" s="719"/>
      <c r="AE100" s="719"/>
      <c r="AF100" s="719"/>
      <c r="AG100" s="718"/>
      <c r="AH100" s="718"/>
      <c r="AI100" s="718"/>
      <c r="AJ100" s="718"/>
      <c r="AK100" s="717"/>
      <c r="AL100" s="717"/>
      <c r="AM100" s="717"/>
      <c r="AN100" s="717"/>
      <c r="AO100" s="771"/>
      <c r="AP100" s="719"/>
      <c r="AQ100" s="719"/>
      <c r="AR100" s="719"/>
      <c r="AS100" s="719"/>
      <c r="AT100" s="718"/>
      <c r="AU100" s="718"/>
      <c r="AV100" s="718"/>
      <c r="AW100" s="718"/>
      <c r="AX100" s="717"/>
      <c r="AY100" s="717"/>
      <c r="AZ100" s="717"/>
      <c r="BA100" s="717"/>
    </row>
    <row r="101" spans="1:53">
      <c r="A101" s="537">
        <v>41661</v>
      </c>
      <c r="B101" s="681"/>
      <c r="C101" s="681"/>
      <c r="D101" s="679">
        <v>172.44858601138003</v>
      </c>
      <c r="E101" s="679">
        <v>44.320383972417567</v>
      </c>
      <c r="F101" s="528"/>
      <c r="G101" s="324"/>
      <c r="H101" s="554">
        <v>34.691581476796486</v>
      </c>
      <c r="I101" s="528"/>
      <c r="J101" s="324"/>
      <c r="K101" s="324"/>
      <c r="L101" s="528">
        <v>1.6136101006097725</v>
      </c>
      <c r="M101" s="528">
        <v>1.8272101006097348</v>
      </c>
      <c r="N101" s="551"/>
      <c r="O101" s="679"/>
      <c r="P101" s="679"/>
      <c r="Q101" s="679"/>
      <c r="R101" s="679"/>
      <c r="S101" s="554"/>
      <c r="T101" s="554"/>
      <c r="U101" s="554"/>
      <c r="V101" s="554"/>
      <c r="W101" s="503"/>
      <c r="X101" s="503"/>
      <c r="Y101" s="503"/>
      <c r="Z101" s="503"/>
      <c r="AA101" s="771"/>
      <c r="AB101" s="776"/>
      <c r="AC101" s="719"/>
      <c r="AD101" s="719"/>
      <c r="AE101" s="719"/>
      <c r="AF101" s="719"/>
      <c r="AG101" s="718"/>
      <c r="AH101" s="718"/>
      <c r="AI101" s="718"/>
      <c r="AJ101" s="718"/>
      <c r="AK101" s="717"/>
      <c r="AL101" s="717"/>
      <c r="AM101" s="717"/>
      <c r="AN101" s="717"/>
      <c r="AO101" s="771"/>
      <c r="AP101" s="719"/>
      <c r="AQ101" s="719"/>
      <c r="AR101" s="719"/>
      <c r="AS101" s="719"/>
      <c r="AT101" s="718"/>
      <c r="AU101" s="718"/>
      <c r="AV101" s="718"/>
      <c r="AW101" s="718"/>
      <c r="AX101" s="717"/>
      <c r="AY101" s="717"/>
      <c r="AZ101" s="717"/>
      <c r="BA101" s="717"/>
    </row>
    <row r="102" spans="1:53">
      <c r="A102" s="537">
        <v>41662</v>
      </c>
      <c r="B102" s="681"/>
      <c r="C102" s="681"/>
      <c r="D102" s="679">
        <v>110.33327890702388</v>
      </c>
      <c r="E102" s="679">
        <v>49.266388999342311</v>
      </c>
      <c r="F102" s="528"/>
      <c r="G102" s="324"/>
      <c r="H102" s="554">
        <v>21.739134376347128</v>
      </c>
      <c r="I102" s="528"/>
      <c r="J102" s="324"/>
      <c r="K102" s="324"/>
      <c r="L102" s="536">
        <v>1.7395662976360859</v>
      </c>
      <c r="M102" s="536">
        <v>1.8118862976360903</v>
      </c>
      <c r="N102" s="551"/>
      <c r="O102" s="679"/>
      <c r="P102" s="679"/>
      <c r="Q102" s="679"/>
      <c r="R102" s="679"/>
      <c r="S102" s="554"/>
      <c r="T102" s="554"/>
      <c r="U102" s="554"/>
      <c r="V102" s="554"/>
      <c r="W102" s="503"/>
      <c r="X102" s="503"/>
      <c r="Y102" s="503"/>
      <c r="Z102" s="503"/>
      <c r="AA102" s="771"/>
      <c r="AB102" s="776"/>
      <c r="AC102" s="719"/>
      <c r="AD102" s="719"/>
      <c r="AE102" s="719"/>
      <c r="AF102" s="719"/>
      <c r="AG102" s="718"/>
      <c r="AH102" s="718"/>
      <c r="AI102" s="718"/>
      <c r="AJ102" s="718"/>
      <c r="AK102" s="717"/>
      <c r="AL102" s="717"/>
      <c r="AM102" s="717"/>
      <c r="AN102" s="717"/>
      <c r="AO102" s="771"/>
      <c r="AP102" s="719"/>
      <c r="AQ102" s="719"/>
      <c r="AR102" s="719"/>
      <c r="AS102" s="719"/>
      <c r="AT102" s="718"/>
      <c r="AU102" s="718"/>
      <c r="AV102" s="718"/>
      <c r="AW102" s="718"/>
      <c r="AX102" s="717"/>
      <c r="AY102" s="717"/>
      <c r="AZ102" s="717"/>
      <c r="BA102" s="717"/>
    </row>
    <row r="103" spans="1:53">
      <c r="A103" s="537">
        <v>41663</v>
      </c>
      <c r="B103" s="681"/>
      <c r="C103" s="681"/>
      <c r="D103" s="679">
        <v>107.99345872288991</v>
      </c>
      <c r="E103" s="679">
        <v>47.197019273819357</v>
      </c>
      <c r="F103" s="528"/>
      <c r="G103" s="324"/>
      <c r="H103" s="554">
        <v>9.3614326135882315</v>
      </c>
      <c r="I103" s="528"/>
      <c r="J103" s="324"/>
      <c r="K103" s="324"/>
      <c r="L103" s="528">
        <v>1.8655224946623994</v>
      </c>
      <c r="M103" s="528">
        <v>1.7965624946624459</v>
      </c>
      <c r="N103" s="551"/>
      <c r="O103" s="679"/>
      <c r="P103" s="679"/>
      <c r="Q103" s="679"/>
      <c r="R103" s="679"/>
      <c r="S103" s="554"/>
      <c r="T103" s="554"/>
      <c r="U103" s="554"/>
      <c r="V103" s="554"/>
      <c r="W103" s="503"/>
      <c r="X103" s="503"/>
      <c r="Y103" s="503"/>
      <c r="Z103" s="503"/>
      <c r="AA103" s="771"/>
      <c r="AB103" s="776"/>
      <c r="AC103" s="719"/>
      <c r="AD103" s="719"/>
      <c r="AE103" s="719"/>
      <c r="AF103" s="719"/>
      <c r="AG103" s="718"/>
      <c r="AH103" s="718"/>
      <c r="AI103" s="718"/>
      <c r="AJ103" s="718"/>
      <c r="AK103" s="717"/>
      <c r="AL103" s="717"/>
      <c r="AM103" s="717"/>
      <c r="AN103" s="717"/>
      <c r="AO103" s="771"/>
      <c r="AP103" s="719"/>
      <c r="AQ103" s="719"/>
      <c r="AR103" s="719"/>
      <c r="AS103" s="719"/>
      <c r="AT103" s="718"/>
      <c r="AU103" s="718"/>
      <c r="AV103" s="718"/>
      <c r="AW103" s="718"/>
      <c r="AX103" s="717"/>
      <c r="AY103" s="717"/>
      <c r="AZ103" s="717"/>
      <c r="BA103" s="717"/>
    </row>
    <row r="104" spans="1:53">
      <c r="A104" s="537">
        <v>41664</v>
      </c>
      <c r="B104" s="681"/>
      <c r="C104" s="681"/>
      <c r="D104" s="679">
        <v>-145.40343841675957</v>
      </c>
      <c r="E104" s="679">
        <v>109.11949456460688</v>
      </c>
      <c r="F104" s="528"/>
      <c r="G104" s="324"/>
      <c r="H104" s="528"/>
      <c r="I104" s="528"/>
      <c r="J104" s="324"/>
      <c r="K104" s="324"/>
      <c r="L104" s="528">
        <v>2.5209225391509462</v>
      </c>
      <c r="M104" s="528">
        <v>1.203162539151013</v>
      </c>
      <c r="N104" s="551"/>
      <c r="O104" s="679"/>
      <c r="P104" s="679"/>
      <c r="Q104" s="679"/>
      <c r="R104" s="679"/>
      <c r="S104" s="554"/>
      <c r="T104" s="554"/>
      <c r="U104" s="554"/>
      <c r="V104" s="554"/>
      <c r="W104" s="503"/>
      <c r="X104" s="503"/>
      <c r="Y104" s="503"/>
      <c r="Z104" s="503"/>
      <c r="AA104" s="771"/>
      <c r="AB104" s="776"/>
      <c r="AC104" s="719"/>
      <c r="AD104" s="719"/>
      <c r="AE104" s="719"/>
      <c r="AF104" s="719"/>
      <c r="AG104" s="718"/>
      <c r="AH104" s="718"/>
      <c r="AI104" s="718"/>
      <c r="AJ104" s="718"/>
      <c r="AK104" s="717"/>
      <c r="AL104" s="717"/>
      <c r="AM104" s="717"/>
      <c r="AN104" s="717"/>
      <c r="AO104" s="771"/>
      <c r="AP104" s="719"/>
      <c r="AQ104" s="719"/>
      <c r="AR104" s="719"/>
      <c r="AS104" s="719"/>
      <c r="AT104" s="718"/>
      <c r="AU104" s="718"/>
      <c r="AV104" s="718"/>
      <c r="AW104" s="718"/>
      <c r="AX104" s="717"/>
      <c r="AY104" s="717"/>
      <c r="AZ104" s="717"/>
      <c r="BA104" s="717"/>
    </row>
    <row r="105" spans="1:53">
      <c r="A105" s="537">
        <v>41665</v>
      </c>
      <c r="B105" s="681"/>
      <c r="C105" s="681"/>
      <c r="D105" s="679">
        <v>-47.474890502771288</v>
      </c>
      <c r="E105" s="679">
        <v>-2.6628690464906217</v>
      </c>
      <c r="F105" s="528"/>
      <c r="G105" s="324"/>
      <c r="H105" s="528"/>
      <c r="I105" s="528"/>
      <c r="J105" s="324"/>
      <c r="K105" s="324"/>
      <c r="L105" s="528">
        <v>2.2977540268209085</v>
      </c>
      <c r="M105" s="528">
        <v>2.3846980268207512</v>
      </c>
      <c r="N105" s="551"/>
      <c r="O105" s="679"/>
      <c r="P105" s="679"/>
      <c r="Q105" s="679"/>
      <c r="R105" s="679"/>
      <c r="S105" s="554"/>
      <c r="T105" s="554"/>
      <c r="U105" s="554"/>
      <c r="V105" s="554"/>
      <c r="W105" s="503"/>
      <c r="X105" s="503"/>
      <c r="Y105" s="503"/>
      <c r="Z105" s="503"/>
      <c r="AA105" s="771"/>
      <c r="AB105" s="776"/>
      <c r="AC105" s="719"/>
      <c r="AD105" s="719"/>
      <c r="AE105" s="719"/>
      <c r="AF105" s="719"/>
      <c r="AG105" s="718"/>
      <c r="AH105" s="718"/>
      <c r="AI105" s="718"/>
      <c r="AJ105" s="718"/>
      <c r="AK105" s="717"/>
      <c r="AL105" s="717"/>
      <c r="AM105" s="717"/>
      <c r="AN105" s="717"/>
      <c r="AO105" s="771"/>
      <c r="AP105" s="719"/>
      <c r="AQ105" s="719"/>
      <c r="AR105" s="719"/>
      <c r="AS105" s="719"/>
      <c r="AT105" s="718"/>
      <c r="AU105" s="718"/>
      <c r="AV105" s="718"/>
      <c r="AW105" s="718"/>
      <c r="AX105" s="717"/>
      <c r="AY105" s="717"/>
      <c r="AZ105" s="717"/>
      <c r="BA105" s="717"/>
    </row>
    <row r="106" spans="1:53">
      <c r="A106" s="537">
        <v>41666</v>
      </c>
      <c r="B106" s="681"/>
      <c r="C106" s="681"/>
      <c r="D106" s="679">
        <v>-119.25816634891669</v>
      </c>
      <c r="E106" s="679">
        <v>-1.2066033906967299</v>
      </c>
      <c r="F106" s="528"/>
      <c r="G106" s="324"/>
      <c r="H106" s="528"/>
      <c r="I106" s="528"/>
      <c r="J106" s="324"/>
      <c r="K106" s="324"/>
      <c r="L106" s="528">
        <v>2.6000933221684734</v>
      </c>
      <c r="M106" s="528">
        <v>2.4025237221687177</v>
      </c>
      <c r="N106" s="551"/>
      <c r="O106" s="745">
        <f>SUM(B100:B106)</f>
        <v>0</v>
      </c>
      <c r="P106" s="745">
        <f t="shared" ref="P106" si="170">SUM(C100:C106)</f>
        <v>0</v>
      </c>
      <c r="Q106" s="745">
        <f t="shared" ref="Q106" si="171">SUM(D100:D106)</f>
        <v>278.1315333120001</v>
      </c>
      <c r="R106" s="745">
        <f t="shared" ref="R106" si="172">SUM(E100:E106)</f>
        <v>308.37435319712824</v>
      </c>
      <c r="S106" s="745">
        <f t="shared" ref="S106" si="173">SUM(F100:F106)</f>
        <v>0</v>
      </c>
      <c r="T106" s="745">
        <f t="shared" ref="T106" si="174">SUM(G100:G106)</f>
        <v>0</v>
      </c>
      <c r="U106" s="745">
        <f t="shared" ref="U106" si="175">SUM(H100:H106)</f>
        <v>114.14255332133787</v>
      </c>
      <c r="V106" s="745">
        <f t="shared" ref="V106" si="176">SUM(I100:I106)</f>
        <v>0</v>
      </c>
      <c r="W106" s="745">
        <f t="shared" ref="W106" si="177">SUM(J100:J106)</f>
        <v>0</v>
      </c>
      <c r="X106" s="745">
        <f t="shared" ref="X106" si="178">SUM(K100:K106)</f>
        <v>0</v>
      </c>
      <c r="Y106" s="745">
        <f t="shared" ref="Y106" si="179">SUM(L100:L106)</f>
        <v>14.287067573219606</v>
      </c>
      <c r="Z106" s="745">
        <f t="shared" ref="Z106" si="180">SUM(M100:M106)</f>
        <v>13.113401973219753</v>
      </c>
      <c r="AA106" s="772"/>
      <c r="AB106" s="777"/>
      <c r="AC106" s="766"/>
      <c r="AD106" s="766"/>
      <c r="AE106" s="766"/>
      <c r="AF106" s="766"/>
      <c r="AG106" s="766"/>
      <c r="AH106" s="766"/>
      <c r="AI106" s="766"/>
      <c r="AJ106" s="766"/>
      <c r="AK106" s="766"/>
      <c r="AL106" s="766"/>
      <c r="AM106" s="766"/>
      <c r="AN106" s="766"/>
      <c r="AO106" s="772"/>
      <c r="AP106" s="766"/>
      <c r="AQ106" s="766"/>
      <c r="AR106" s="766"/>
      <c r="AS106" s="766"/>
      <c r="AT106" s="766"/>
      <c r="AU106" s="766"/>
      <c r="AV106" s="766"/>
      <c r="AW106" s="766"/>
      <c r="AX106" s="766"/>
      <c r="AY106" s="766"/>
      <c r="AZ106" s="766"/>
      <c r="BA106" s="766"/>
    </row>
    <row r="107" spans="1:53">
      <c r="A107" s="537">
        <v>41667</v>
      </c>
      <c r="B107" s="681"/>
      <c r="C107" s="681"/>
      <c r="D107" s="679">
        <v>-68.688982049806327</v>
      </c>
      <c r="E107" s="679">
        <v>8.523435500688878</v>
      </c>
      <c r="F107" s="528"/>
      <c r="G107" s="324"/>
      <c r="H107" s="528"/>
      <c r="I107" s="528"/>
      <c r="J107" s="324"/>
      <c r="K107" s="324"/>
      <c r="L107" s="528">
        <v>2.3474618679930326</v>
      </c>
      <c r="M107" s="528">
        <v>2.2093498679927444</v>
      </c>
      <c r="N107" s="551"/>
      <c r="O107" s="679"/>
      <c r="P107" s="679"/>
      <c r="Q107" s="679"/>
      <c r="R107" s="679"/>
      <c r="S107" s="554"/>
      <c r="T107" s="554"/>
      <c r="U107" s="554"/>
      <c r="V107" s="554"/>
      <c r="W107" s="503"/>
      <c r="X107" s="503"/>
      <c r="Y107" s="503"/>
      <c r="Z107" s="503"/>
      <c r="AA107" s="771"/>
      <c r="AB107" s="776"/>
      <c r="AC107" s="719"/>
      <c r="AD107" s="719"/>
      <c r="AE107" s="719"/>
      <c r="AF107" s="719"/>
      <c r="AG107" s="718"/>
      <c r="AH107" s="718"/>
      <c r="AI107" s="718"/>
      <c r="AJ107" s="718"/>
      <c r="AK107" s="717"/>
      <c r="AL107" s="717"/>
      <c r="AM107" s="717"/>
      <c r="AN107" s="717"/>
      <c r="AO107" s="771"/>
      <c r="AP107" s="719"/>
      <c r="AQ107" s="719"/>
      <c r="AR107" s="719"/>
      <c r="AS107" s="719"/>
      <c r="AT107" s="718"/>
      <c r="AU107" s="718"/>
      <c r="AV107" s="718"/>
      <c r="AW107" s="718"/>
      <c r="AX107" s="717"/>
      <c r="AY107" s="717"/>
      <c r="AZ107" s="717"/>
      <c r="BA107" s="717"/>
    </row>
    <row r="108" spans="1:53">
      <c r="A108" s="537">
        <v>41668</v>
      </c>
      <c r="B108" s="681"/>
      <c r="C108" s="681"/>
      <c r="D108" s="679">
        <v>-64.661651524696012</v>
      </c>
      <c r="E108" s="679">
        <v>15.358634907520708</v>
      </c>
      <c r="F108" s="528"/>
      <c r="G108" s="324"/>
      <c r="H108" s="528"/>
      <c r="I108" s="528"/>
      <c r="J108" s="324"/>
      <c r="K108" s="324"/>
      <c r="L108" s="528">
        <v>2.3815822034438194</v>
      </c>
      <c r="M108" s="528">
        <v>2.2839822034439616</v>
      </c>
      <c r="N108" s="551"/>
      <c r="O108" s="679"/>
      <c r="P108" s="679"/>
      <c r="Q108" s="679"/>
      <c r="R108" s="679"/>
      <c r="S108" s="554"/>
      <c r="T108" s="554"/>
      <c r="U108" s="554"/>
      <c r="V108" s="554"/>
      <c r="W108" s="503"/>
      <c r="X108" s="503"/>
      <c r="Y108" s="503"/>
      <c r="Z108" s="503"/>
      <c r="AA108" s="771"/>
      <c r="AB108" s="776"/>
      <c r="AC108" s="719"/>
      <c r="AD108" s="719"/>
      <c r="AE108" s="719"/>
      <c r="AF108" s="719"/>
      <c r="AG108" s="718"/>
      <c r="AH108" s="718"/>
      <c r="AI108" s="718"/>
      <c r="AJ108" s="718"/>
      <c r="AK108" s="717"/>
      <c r="AL108" s="717"/>
      <c r="AM108" s="717"/>
      <c r="AN108" s="717"/>
      <c r="AO108" s="771"/>
      <c r="AP108" s="719"/>
      <c r="AQ108" s="719"/>
      <c r="AR108" s="719"/>
      <c r="AS108" s="719"/>
      <c r="AT108" s="718"/>
      <c r="AU108" s="718"/>
      <c r="AV108" s="718"/>
      <c r="AW108" s="718"/>
      <c r="AX108" s="717"/>
      <c r="AY108" s="717"/>
      <c r="AZ108" s="717"/>
      <c r="BA108" s="717"/>
    </row>
    <row r="109" spans="1:53">
      <c r="A109" s="537">
        <v>41669</v>
      </c>
      <c r="B109" s="681"/>
      <c r="C109" s="681"/>
      <c r="D109" s="679">
        <v>-19.456008319169545</v>
      </c>
      <c r="E109" s="679">
        <v>-3.0384034803162088</v>
      </c>
      <c r="F109" s="528"/>
      <c r="G109" s="324"/>
      <c r="H109" s="528"/>
      <c r="I109" s="528"/>
      <c r="J109" s="324"/>
      <c r="K109" s="324"/>
      <c r="L109" s="528">
        <v>2.2005268277617804</v>
      </c>
      <c r="M109" s="528">
        <v>2.5674068277617366</v>
      </c>
      <c r="N109" s="551"/>
      <c r="O109" s="679"/>
      <c r="P109" s="679"/>
      <c r="Q109" s="679"/>
      <c r="R109" s="679"/>
      <c r="S109" s="554"/>
      <c r="T109" s="554"/>
      <c r="U109" s="554"/>
      <c r="V109" s="554"/>
      <c r="W109" s="503"/>
      <c r="X109" s="503"/>
      <c r="Y109" s="503"/>
      <c r="Z109" s="503"/>
      <c r="AA109" s="771"/>
      <c r="AB109" s="776"/>
      <c r="AC109" s="719"/>
      <c r="AD109" s="719"/>
      <c r="AE109" s="719"/>
      <c r="AF109" s="719"/>
      <c r="AG109" s="718"/>
      <c r="AH109" s="718"/>
      <c r="AI109" s="718"/>
      <c r="AJ109" s="718"/>
      <c r="AK109" s="717"/>
      <c r="AL109" s="717"/>
      <c r="AM109" s="717"/>
      <c r="AN109" s="717"/>
      <c r="AO109" s="771"/>
      <c r="AP109" s="719"/>
      <c r="AQ109" s="719"/>
      <c r="AR109" s="719"/>
      <c r="AS109" s="719"/>
      <c r="AT109" s="718"/>
      <c r="AU109" s="718"/>
      <c r="AV109" s="718"/>
      <c r="AW109" s="718"/>
      <c r="AX109" s="717"/>
      <c r="AY109" s="717"/>
      <c r="AZ109" s="717"/>
      <c r="BA109" s="717"/>
    </row>
    <row r="110" spans="1:53">
      <c r="A110" s="537">
        <v>41670</v>
      </c>
      <c r="B110" s="681"/>
      <c r="C110" s="681"/>
      <c r="D110" s="679">
        <v>-37.980385865135233</v>
      </c>
      <c r="E110" s="679">
        <v>8.2475713970074693</v>
      </c>
      <c r="F110" s="528"/>
      <c r="G110" s="324"/>
      <c r="H110" s="528"/>
      <c r="I110" s="528"/>
      <c r="J110" s="324"/>
      <c r="K110" s="324"/>
      <c r="L110" s="528">
        <v>2.2627311948658786</v>
      </c>
      <c r="M110" s="528">
        <v>2.3666991948659057</v>
      </c>
      <c r="N110" s="551"/>
      <c r="O110" s="679"/>
      <c r="P110" s="679"/>
      <c r="Q110" s="679"/>
      <c r="R110" s="679"/>
      <c r="S110" s="554"/>
      <c r="T110" s="554"/>
      <c r="U110" s="554"/>
      <c r="V110" s="554"/>
      <c r="W110" s="503"/>
      <c r="X110" s="503"/>
      <c r="Y110" s="503"/>
      <c r="Z110" s="503"/>
      <c r="AA110" s="771"/>
      <c r="AB110" s="776"/>
      <c r="AC110" s="719"/>
      <c r="AD110" s="719"/>
      <c r="AE110" s="719"/>
      <c r="AF110" s="719"/>
      <c r="AG110" s="718"/>
      <c r="AH110" s="718"/>
      <c r="AI110" s="718"/>
      <c r="AJ110" s="718"/>
      <c r="AK110" s="717"/>
      <c r="AL110" s="717"/>
      <c r="AM110" s="717"/>
      <c r="AN110" s="717"/>
      <c r="AO110" s="771"/>
      <c r="AP110" s="719"/>
      <c r="AQ110" s="719"/>
      <c r="AR110" s="719"/>
      <c r="AS110" s="719"/>
      <c r="AT110" s="718"/>
      <c r="AU110" s="718"/>
      <c r="AV110" s="718"/>
      <c r="AW110" s="718"/>
      <c r="AX110" s="717"/>
      <c r="AY110" s="717"/>
      <c r="AZ110" s="717"/>
      <c r="BA110" s="717"/>
    </row>
    <row r="111" spans="1:53">
      <c r="A111" s="537">
        <v>41671</v>
      </c>
      <c r="B111" s="681"/>
      <c r="C111" s="681"/>
      <c r="D111" s="679">
        <v>-16.267935172971622</v>
      </c>
      <c r="E111" s="679">
        <v>20.920894867140632</v>
      </c>
      <c r="F111" s="528"/>
      <c r="G111" s="324"/>
      <c r="H111" s="528"/>
      <c r="I111" s="528"/>
      <c r="J111" s="324"/>
      <c r="K111" s="324"/>
      <c r="L111" s="528">
        <v>2.053112279457439</v>
      </c>
      <c r="M111" s="528">
        <v>2.2447602794573775</v>
      </c>
      <c r="N111" s="551"/>
      <c r="O111" s="679"/>
      <c r="P111" s="679"/>
      <c r="Q111" s="679"/>
      <c r="R111" s="679"/>
      <c r="S111" s="554"/>
      <c r="T111" s="554"/>
      <c r="U111" s="554"/>
      <c r="V111" s="554"/>
      <c r="W111" s="503"/>
      <c r="X111" s="503"/>
      <c r="Y111" s="503"/>
      <c r="Z111" s="503"/>
      <c r="AA111" s="771"/>
      <c r="AB111" s="776"/>
      <c r="AC111" s="719"/>
      <c r="AD111" s="719"/>
      <c r="AE111" s="719"/>
      <c r="AF111" s="719"/>
      <c r="AG111" s="718"/>
      <c r="AH111" s="718"/>
      <c r="AI111" s="718"/>
      <c r="AJ111" s="718"/>
      <c r="AK111" s="717"/>
      <c r="AL111" s="717"/>
      <c r="AM111" s="717"/>
      <c r="AN111" s="717"/>
      <c r="AO111" s="771"/>
      <c r="AP111" s="719"/>
      <c r="AQ111" s="719"/>
      <c r="AR111" s="719"/>
      <c r="AS111" s="719"/>
      <c r="AT111" s="718"/>
      <c r="AU111" s="718"/>
      <c r="AV111" s="718"/>
      <c r="AW111" s="718"/>
      <c r="AX111" s="717"/>
      <c r="AY111" s="717"/>
      <c r="AZ111" s="717"/>
      <c r="BA111" s="717"/>
    </row>
    <row r="112" spans="1:53">
      <c r="A112" s="537">
        <v>41672</v>
      </c>
      <c r="B112" s="681"/>
      <c r="C112" s="681"/>
      <c r="D112" s="679">
        <v>14.423618687340126</v>
      </c>
      <c r="E112" s="679">
        <v>-11.326903152403689</v>
      </c>
      <c r="F112" s="528"/>
      <c r="G112" s="324"/>
      <c r="H112" s="528"/>
      <c r="I112" s="528"/>
      <c r="J112" s="324"/>
      <c r="K112" s="324"/>
      <c r="L112" s="528">
        <v>1.9516049689221364</v>
      </c>
      <c r="M112" s="528">
        <v>2.4660369689221944</v>
      </c>
      <c r="N112" s="551"/>
      <c r="O112" s="679"/>
      <c r="P112" s="679"/>
      <c r="Q112" s="679"/>
      <c r="R112" s="679"/>
      <c r="S112" s="554"/>
      <c r="T112" s="554"/>
      <c r="U112" s="554"/>
      <c r="V112" s="554"/>
      <c r="W112" s="503"/>
      <c r="X112" s="503"/>
      <c r="Y112" s="503"/>
      <c r="Z112" s="503"/>
      <c r="AA112" s="771"/>
      <c r="AB112" s="776"/>
      <c r="AC112" s="719"/>
      <c r="AD112" s="719"/>
      <c r="AE112" s="719"/>
      <c r="AF112" s="719"/>
      <c r="AG112" s="718"/>
      <c r="AH112" s="718"/>
      <c r="AI112" s="718"/>
      <c r="AJ112" s="718"/>
      <c r="AK112" s="717"/>
      <c r="AL112" s="717"/>
      <c r="AM112" s="717"/>
      <c r="AN112" s="717"/>
      <c r="AO112" s="771"/>
      <c r="AP112" s="719"/>
      <c r="AQ112" s="719"/>
      <c r="AR112" s="719"/>
      <c r="AS112" s="719"/>
      <c r="AT112" s="718"/>
      <c r="AU112" s="718"/>
      <c r="AV112" s="718"/>
      <c r="AW112" s="718"/>
      <c r="AX112" s="717"/>
      <c r="AY112" s="717"/>
      <c r="AZ112" s="717"/>
      <c r="BA112" s="717"/>
    </row>
    <row r="113" spans="1:53">
      <c r="A113" s="537">
        <v>41673</v>
      </c>
      <c r="B113" s="681"/>
      <c r="C113" s="681"/>
      <c r="D113" s="679">
        <v>27.543425185394135</v>
      </c>
      <c r="E113" s="679">
        <v>-2.8856674370514996</v>
      </c>
      <c r="F113" s="528"/>
      <c r="G113" s="324"/>
      <c r="H113" s="528"/>
      <c r="I113" s="528"/>
      <c r="J113" s="324"/>
      <c r="K113" s="324"/>
      <c r="L113" s="528">
        <v>2.1898907406258834</v>
      </c>
      <c r="M113" s="528">
        <v>2.5104507406260437</v>
      </c>
      <c r="N113" s="551"/>
      <c r="O113" s="745">
        <f>SUM(B107:B113)</f>
        <v>0</v>
      </c>
      <c r="P113" s="745">
        <f t="shared" ref="P113" si="181">SUM(C107:C113)</f>
        <v>0</v>
      </c>
      <c r="Q113" s="745">
        <f t="shared" ref="Q113" si="182">SUM(D107:D113)</f>
        <v>-165.08791905904448</v>
      </c>
      <c r="R113" s="745">
        <f t="shared" ref="R113" si="183">SUM(E107:E113)</f>
        <v>35.799562602586285</v>
      </c>
      <c r="S113" s="745">
        <f t="shared" ref="S113" si="184">SUM(F107:F113)</f>
        <v>0</v>
      </c>
      <c r="T113" s="745">
        <f t="shared" ref="T113" si="185">SUM(G107:G113)</f>
        <v>0</v>
      </c>
      <c r="U113" s="745">
        <f t="shared" ref="U113" si="186">SUM(H107:H113)</f>
        <v>0</v>
      </c>
      <c r="V113" s="745">
        <f t="shared" ref="V113" si="187">SUM(I107:I113)</f>
        <v>0</v>
      </c>
      <c r="W113" s="745">
        <f t="shared" ref="W113" si="188">SUM(J107:J113)</f>
        <v>0</v>
      </c>
      <c r="X113" s="745">
        <f t="shared" ref="X113" si="189">SUM(K107:K113)</f>
        <v>0</v>
      </c>
      <c r="Y113" s="745">
        <f t="shared" ref="Y113" si="190">SUM(L107:L113)</f>
        <v>15.386910083069971</v>
      </c>
      <c r="Z113" s="745">
        <f t="shared" ref="Z113" si="191">SUM(M107:M113)</f>
        <v>16.648686083069965</v>
      </c>
      <c r="AA113" s="772"/>
      <c r="AB113" s="777"/>
      <c r="AC113" s="766"/>
      <c r="AD113" s="766"/>
      <c r="AE113" s="766"/>
      <c r="AF113" s="766"/>
      <c r="AG113" s="766"/>
      <c r="AH113" s="766"/>
      <c r="AI113" s="766"/>
      <c r="AJ113" s="766"/>
      <c r="AK113" s="766"/>
      <c r="AL113" s="766"/>
      <c r="AM113" s="766"/>
      <c r="AN113" s="766"/>
      <c r="AO113" s="772"/>
      <c r="AP113" s="766"/>
      <c r="AQ113" s="766"/>
      <c r="AR113" s="766"/>
      <c r="AS113" s="766"/>
      <c r="AT113" s="766"/>
      <c r="AU113" s="766"/>
      <c r="AV113" s="766"/>
      <c r="AW113" s="766"/>
      <c r="AX113" s="766"/>
      <c r="AY113" s="766"/>
      <c r="AZ113" s="766"/>
      <c r="BA113" s="766"/>
    </row>
    <row r="114" spans="1:53">
      <c r="A114" s="537">
        <v>41674</v>
      </c>
      <c r="B114" s="681"/>
      <c r="C114" s="681"/>
      <c r="D114" s="679">
        <v>-171.10325820822138</v>
      </c>
      <c r="E114" s="679">
        <v>7.1450165768680138</v>
      </c>
      <c r="F114" s="528"/>
      <c r="G114" s="324"/>
      <c r="H114" s="528"/>
      <c r="I114" s="528"/>
      <c r="J114" s="324"/>
      <c r="K114" s="324"/>
      <c r="L114" s="528">
        <v>2.6730051567954249</v>
      </c>
      <c r="M114" s="528">
        <v>2.3417571567951243</v>
      </c>
      <c r="N114" s="551"/>
      <c r="O114" s="681"/>
      <c r="P114" s="681"/>
      <c r="Q114" s="679"/>
      <c r="R114" s="679"/>
      <c r="S114" s="528"/>
      <c r="T114" s="324"/>
      <c r="U114" s="528"/>
      <c r="V114" s="528"/>
      <c r="W114" s="324"/>
      <c r="X114" s="324"/>
      <c r="Y114" s="528"/>
      <c r="Z114" s="528"/>
      <c r="AA114" s="773"/>
      <c r="AB114" s="778"/>
      <c r="AC114" s="681"/>
      <c r="AD114" s="681"/>
      <c r="AE114" s="719"/>
      <c r="AF114" s="719"/>
      <c r="AG114" s="269"/>
      <c r="AH114" s="324"/>
      <c r="AI114" s="269"/>
      <c r="AJ114" s="269"/>
      <c r="AK114" s="324"/>
      <c r="AL114" s="324"/>
      <c r="AM114" s="269"/>
      <c r="AN114" s="269"/>
      <c r="AO114" s="773"/>
      <c r="AP114" s="681"/>
      <c r="AQ114" s="681"/>
      <c r="AR114" s="719"/>
      <c r="AS114" s="719"/>
      <c r="AT114" s="269"/>
      <c r="AU114" s="324"/>
      <c r="AV114" s="269"/>
      <c r="AW114" s="269"/>
      <c r="AX114" s="324"/>
      <c r="AY114" s="324"/>
      <c r="AZ114" s="269"/>
      <c r="BA114" s="269"/>
    </row>
    <row r="115" spans="1:53">
      <c r="A115" s="537">
        <v>41675</v>
      </c>
      <c r="B115" s="681"/>
      <c r="C115" s="681"/>
      <c r="D115" s="679">
        <v>-155.31812075028358</v>
      </c>
      <c r="E115" s="679">
        <v>-11.537563719401444</v>
      </c>
      <c r="F115" s="528"/>
      <c r="G115" s="324"/>
      <c r="H115" s="528"/>
      <c r="I115" s="528"/>
      <c r="J115" s="324"/>
      <c r="K115" s="324"/>
      <c r="L115" s="528">
        <v>2.7088173936054547</v>
      </c>
      <c r="M115" s="528">
        <v>2.5667373936056435</v>
      </c>
      <c r="N115" s="551"/>
      <c r="O115" s="681"/>
      <c r="P115" s="681"/>
      <c r="Q115" s="679"/>
      <c r="R115" s="679"/>
      <c r="S115" s="528"/>
      <c r="T115" s="324"/>
      <c r="U115" s="528"/>
      <c r="V115" s="528"/>
      <c r="W115" s="324"/>
      <c r="X115" s="324"/>
      <c r="Y115" s="528"/>
      <c r="Z115" s="528"/>
      <c r="AA115" s="773"/>
      <c r="AB115" s="778"/>
      <c r="AC115" s="681"/>
      <c r="AD115" s="681"/>
      <c r="AE115" s="719"/>
      <c r="AF115" s="719"/>
      <c r="AG115" s="269"/>
      <c r="AH115" s="324"/>
      <c r="AI115" s="269"/>
      <c r="AJ115" s="269"/>
      <c r="AK115" s="324"/>
      <c r="AL115" s="324"/>
      <c r="AM115" s="269"/>
      <c r="AN115" s="269"/>
      <c r="AO115" s="773"/>
      <c r="AP115" s="681"/>
      <c r="AQ115" s="681"/>
      <c r="AR115" s="719"/>
      <c r="AS115" s="719"/>
      <c r="AT115" s="269"/>
      <c r="AU115" s="324"/>
      <c r="AV115" s="269"/>
      <c r="AW115" s="269"/>
      <c r="AX115" s="324"/>
      <c r="AY115" s="324"/>
      <c r="AZ115" s="269"/>
      <c r="BA115" s="269"/>
    </row>
    <row r="116" spans="1:53">
      <c r="A116" s="537">
        <v>41676</v>
      </c>
      <c r="B116" s="681"/>
      <c r="C116" s="681"/>
      <c r="D116" s="679">
        <v>-281.93100013746636</v>
      </c>
      <c r="E116" s="679">
        <v>-46.874852871542679</v>
      </c>
      <c r="F116" s="528"/>
      <c r="G116" s="324"/>
      <c r="H116" s="528"/>
      <c r="I116" s="528"/>
      <c r="J116" s="324"/>
      <c r="K116" s="324"/>
      <c r="L116" s="528">
        <v>3.4315410851027757</v>
      </c>
      <c r="M116" s="528">
        <v>3.1523410851028224</v>
      </c>
      <c r="N116" s="551"/>
      <c r="O116" s="681"/>
      <c r="P116" s="681"/>
      <c r="Q116" s="679"/>
      <c r="R116" s="679"/>
      <c r="S116" s="528"/>
      <c r="T116" s="324"/>
      <c r="U116" s="528"/>
      <c r="V116" s="528"/>
      <c r="W116" s="324"/>
      <c r="X116" s="324"/>
      <c r="Y116" s="528"/>
      <c r="Z116" s="528"/>
      <c r="AA116" s="773"/>
      <c r="AB116" s="778"/>
      <c r="AC116" s="681"/>
      <c r="AD116" s="681"/>
      <c r="AE116" s="719"/>
      <c r="AF116" s="719"/>
      <c r="AG116" s="269"/>
      <c r="AH116" s="324"/>
      <c r="AI116" s="269"/>
      <c r="AJ116" s="269"/>
      <c r="AK116" s="324"/>
      <c r="AL116" s="324"/>
      <c r="AM116" s="269"/>
      <c r="AN116" s="269"/>
      <c r="AO116" s="773"/>
      <c r="AP116" s="681"/>
      <c r="AQ116" s="681"/>
      <c r="AR116" s="719"/>
      <c r="AS116" s="719"/>
      <c r="AT116" s="269"/>
      <c r="AU116" s="324"/>
      <c r="AV116" s="269"/>
      <c r="AW116" s="269"/>
      <c r="AX116" s="324"/>
      <c r="AY116" s="324"/>
      <c r="AZ116" s="269"/>
      <c r="BA116" s="269"/>
    </row>
    <row r="117" spans="1:53">
      <c r="A117" s="537">
        <v>41677</v>
      </c>
      <c r="B117" s="681"/>
      <c r="C117" s="681"/>
      <c r="D117" s="679">
        <v>-231.34659887799683</v>
      </c>
      <c r="E117" s="679">
        <v>-24.319135804339972</v>
      </c>
      <c r="F117" s="528"/>
      <c r="G117" s="324"/>
      <c r="H117" s="528"/>
      <c r="I117" s="528"/>
      <c r="J117" s="324"/>
      <c r="K117" s="324"/>
      <c r="L117" s="528">
        <v>3.1555981542515648</v>
      </c>
      <c r="M117" s="528">
        <v>2.9202381542514915</v>
      </c>
      <c r="N117" s="551"/>
      <c r="O117" s="681"/>
      <c r="P117" s="681"/>
      <c r="Q117" s="679"/>
      <c r="R117" s="679"/>
      <c r="S117" s="528"/>
      <c r="T117" s="324"/>
      <c r="U117" s="528"/>
      <c r="V117" s="528"/>
      <c r="W117" s="324"/>
      <c r="X117" s="324"/>
      <c r="Y117" s="528"/>
      <c r="Z117" s="528"/>
      <c r="AA117" s="773"/>
      <c r="AB117" s="778"/>
      <c r="AC117" s="681"/>
      <c r="AD117" s="681"/>
      <c r="AE117" s="719"/>
      <c r="AF117" s="719"/>
      <c r="AG117" s="269"/>
      <c r="AH117" s="324"/>
      <c r="AI117" s="269"/>
      <c r="AJ117" s="269"/>
      <c r="AK117" s="324"/>
      <c r="AL117" s="324"/>
      <c r="AM117" s="269"/>
      <c r="AN117" s="269"/>
      <c r="AO117" s="773"/>
      <c r="AP117" s="681"/>
      <c r="AQ117" s="681"/>
      <c r="AR117" s="719"/>
      <c r="AS117" s="719"/>
      <c r="AT117" s="269"/>
      <c r="AU117" s="324"/>
      <c r="AV117" s="269"/>
      <c r="AW117" s="269"/>
      <c r="AX117" s="324"/>
      <c r="AY117" s="324"/>
      <c r="AZ117" s="269"/>
      <c r="BA117" s="269"/>
    </row>
    <row r="118" spans="1:53">
      <c r="A118" s="537">
        <v>41678</v>
      </c>
      <c r="B118" s="681"/>
      <c r="C118" s="681"/>
      <c r="D118" s="679">
        <v>-189.55088280752662</v>
      </c>
      <c r="E118" s="679">
        <v>-12.691456831181101</v>
      </c>
      <c r="F118" s="528"/>
      <c r="G118" s="324"/>
      <c r="H118" s="528"/>
      <c r="I118" s="528"/>
      <c r="J118" s="324"/>
      <c r="K118" s="324"/>
      <c r="L118" s="528">
        <v>3.0276353021487412</v>
      </c>
      <c r="M118" s="528">
        <v>2.8959553021486037</v>
      </c>
      <c r="N118" s="551"/>
      <c r="O118" s="681"/>
      <c r="P118" s="681"/>
      <c r="Q118" s="679"/>
      <c r="R118" s="679"/>
      <c r="S118" s="528"/>
      <c r="T118" s="324"/>
      <c r="U118" s="528"/>
      <c r="V118" s="528"/>
      <c r="W118" s="324"/>
      <c r="X118" s="324"/>
      <c r="Y118" s="528"/>
      <c r="Z118" s="528"/>
      <c r="AA118" s="773"/>
      <c r="AB118" s="778"/>
      <c r="AC118" s="681"/>
      <c r="AD118" s="681"/>
      <c r="AE118" s="679"/>
      <c r="AF118" s="679"/>
      <c r="AG118" s="528"/>
      <c r="AH118" s="324"/>
      <c r="AI118" s="528"/>
      <c r="AJ118" s="528"/>
      <c r="AK118" s="324"/>
      <c r="AL118" s="324"/>
      <c r="AM118" s="528"/>
      <c r="AN118" s="528"/>
      <c r="AO118" s="773"/>
      <c r="AP118" s="681"/>
      <c r="AQ118" s="681"/>
      <c r="AR118" s="679"/>
      <c r="AS118" s="679"/>
      <c r="AT118" s="528"/>
      <c r="AU118" s="324"/>
      <c r="AV118" s="528"/>
      <c r="AW118" s="528"/>
      <c r="AX118" s="324"/>
      <c r="AY118" s="324"/>
      <c r="AZ118" s="528"/>
      <c r="BA118" s="528"/>
    </row>
    <row r="119" spans="1:53">
      <c r="A119" s="537">
        <v>41679</v>
      </c>
      <c r="B119" s="681"/>
      <c r="C119" s="681"/>
      <c r="D119" s="679">
        <v>-206.90610381119288</v>
      </c>
      <c r="E119" s="679">
        <v>-17.451032660302026</v>
      </c>
      <c r="F119" s="528"/>
      <c r="G119" s="324"/>
      <c r="H119" s="528"/>
      <c r="I119" s="528"/>
      <c r="J119" s="324"/>
      <c r="K119" s="324"/>
      <c r="L119" s="528">
        <v>3.1392048433325725</v>
      </c>
      <c r="M119" s="528">
        <v>2.8892848433326304</v>
      </c>
      <c r="N119" s="551"/>
      <c r="O119" s="681"/>
      <c r="P119" s="681"/>
      <c r="Q119" s="679"/>
      <c r="R119" s="679"/>
      <c r="S119" s="528"/>
      <c r="T119" s="324"/>
      <c r="U119" s="528"/>
      <c r="V119" s="528"/>
      <c r="W119" s="324"/>
      <c r="X119" s="324"/>
      <c r="Y119" s="528"/>
      <c r="Z119" s="528"/>
      <c r="AA119" s="773"/>
      <c r="AB119" s="778"/>
      <c r="AC119" s="681"/>
      <c r="AD119" s="681"/>
      <c r="AE119" s="679"/>
      <c r="AF119" s="679"/>
      <c r="AG119" s="528"/>
      <c r="AH119" s="324"/>
      <c r="AI119" s="528"/>
      <c r="AJ119" s="528"/>
      <c r="AK119" s="324"/>
      <c r="AL119" s="324"/>
      <c r="AM119" s="528"/>
      <c r="AN119" s="528"/>
      <c r="AO119" s="773"/>
      <c r="AP119" s="681"/>
      <c r="AQ119" s="681"/>
      <c r="AR119" s="679"/>
      <c r="AS119" s="679"/>
      <c r="AT119" s="528"/>
      <c r="AU119" s="324"/>
      <c r="AV119" s="528"/>
      <c r="AW119" s="528"/>
      <c r="AX119" s="324"/>
      <c r="AY119" s="324"/>
      <c r="AZ119" s="528"/>
      <c r="BA119" s="528"/>
    </row>
    <row r="120" spans="1:53">
      <c r="A120" s="537">
        <v>41680</v>
      </c>
      <c r="B120" s="681"/>
      <c r="C120" s="681"/>
      <c r="D120" s="679">
        <v>-215.34152479705668</v>
      </c>
      <c r="E120" s="679">
        <v>-21.58822981472894</v>
      </c>
      <c r="F120" s="528"/>
      <c r="G120" s="324"/>
      <c r="H120" s="528"/>
      <c r="I120" s="528"/>
      <c r="J120" s="324"/>
      <c r="K120" s="324"/>
      <c r="L120" s="528">
        <v>3.0741943512776437</v>
      </c>
      <c r="M120" s="528">
        <v>3.3235543512776342</v>
      </c>
      <c r="N120" s="551"/>
      <c r="O120" s="681"/>
      <c r="P120" s="681"/>
      <c r="Q120" s="679"/>
      <c r="R120" s="679"/>
      <c r="S120" s="528"/>
      <c r="T120" s="324"/>
      <c r="U120" s="528"/>
      <c r="V120" s="528"/>
      <c r="W120" s="324"/>
      <c r="X120" s="324"/>
      <c r="Y120" s="528"/>
      <c r="Z120" s="528"/>
      <c r="AA120" s="773"/>
      <c r="AB120" s="778"/>
      <c r="AC120" s="681"/>
      <c r="AD120" s="681"/>
      <c r="AE120" s="679"/>
      <c r="AF120" s="679"/>
      <c r="AG120" s="528"/>
      <c r="AH120" s="324"/>
      <c r="AI120" s="528"/>
      <c r="AJ120" s="528"/>
      <c r="AK120" s="324"/>
      <c r="AL120" s="324"/>
      <c r="AM120" s="528"/>
      <c r="AN120" s="528"/>
      <c r="AO120" s="773"/>
      <c r="AP120" s="681"/>
      <c r="AQ120" s="681"/>
      <c r="AR120" s="679"/>
      <c r="AS120" s="679"/>
      <c r="AT120" s="528"/>
      <c r="AU120" s="324"/>
      <c r="AV120" s="528"/>
      <c r="AW120" s="528"/>
      <c r="AX120" s="324"/>
      <c r="AY120" s="324"/>
      <c r="AZ120" s="528"/>
      <c r="BA120" s="528"/>
    </row>
    <row r="121" spans="1:53">
      <c r="A121" s="537">
        <v>41681</v>
      </c>
      <c r="B121" s="681"/>
      <c r="C121" s="681"/>
      <c r="D121" s="679">
        <v>-194.98171544825453</v>
      </c>
      <c r="E121" s="679">
        <v>-30.317299199521223</v>
      </c>
      <c r="F121" s="528"/>
      <c r="G121" s="324"/>
      <c r="H121" s="528"/>
      <c r="I121" s="528"/>
      <c r="J121" s="324"/>
      <c r="K121" s="324"/>
      <c r="L121" s="528">
        <v>3.0365507272795531</v>
      </c>
      <c r="M121" s="528">
        <v>3.4904707272796309</v>
      </c>
      <c r="N121" s="551"/>
      <c r="O121" s="681"/>
      <c r="P121" s="681"/>
      <c r="Q121" s="679"/>
      <c r="R121" s="679"/>
      <c r="S121" s="528"/>
      <c r="T121" s="324"/>
      <c r="U121" s="528"/>
      <c r="V121" s="528"/>
      <c r="W121" s="324"/>
      <c r="X121" s="324"/>
      <c r="Y121" s="528"/>
      <c r="Z121" s="528"/>
      <c r="AA121" s="773"/>
      <c r="AB121" s="778"/>
      <c r="AC121" s="681"/>
      <c r="AD121" s="681"/>
      <c r="AE121" s="679"/>
      <c r="AF121" s="679"/>
      <c r="AG121" s="528"/>
      <c r="AH121" s="324"/>
      <c r="AI121" s="528"/>
      <c r="AJ121" s="528"/>
      <c r="AK121" s="324"/>
      <c r="AL121" s="324"/>
      <c r="AM121" s="528"/>
      <c r="AN121" s="528"/>
      <c r="AO121" s="773"/>
      <c r="AP121" s="681"/>
      <c r="AQ121" s="681"/>
      <c r="AR121" s="679"/>
      <c r="AS121" s="679"/>
      <c r="AT121" s="528"/>
      <c r="AU121" s="324"/>
      <c r="AV121" s="528"/>
      <c r="AW121" s="528"/>
      <c r="AX121" s="324"/>
      <c r="AY121" s="324"/>
      <c r="AZ121" s="528"/>
      <c r="BA121" s="528"/>
    </row>
    <row r="122" spans="1:53">
      <c r="A122" s="537">
        <v>41682</v>
      </c>
      <c r="B122" s="681"/>
      <c r="C122" s="681"/>
      <c r="D122" s="679">
        <v>-16.496540657137633</v>
      </c>
      <c r="E122" s="679">
        <v>-3.5735935178867093</v>
      </c>
      <c r="F122" s="528"/>
      <c r="G122" s="324"/>
      <c r="H122" s="528"/>
      <c r="I122" s="528"/>
      <c r="J122" s="324"/>
      <c r="K122" s="324"/>
      <c r="L122" s="528">
        <v>2.1336724516321581</v>
      </c>
      <c r="M122" s="528">
        <v>2.5896724516320675</v>
      </c>
      <c r="N122" s="551"/>
      <c r="O122" s="681"/>
      <c r="P122" s="681"/>
      <c r="Q122" s="679"/>
      <c r="R122" s="679"/>
      <c r="S122" s="528"/>
      <c r="T122" s="324"/>
      <c r="U122" s="528"/>
      <c r="V122" s="528"/>
      <c r="W122" s="324"/>
      <c r="X122" s="324"/>
      <c r="Y122" s="528"/>
      <c r="Z122" s="528"/>
      <c r="AA122" s="773"/>
      <c r="AB122" s="778"/>
      <c r="AC122" s="681"/>
      <c r="AD122" s="681"/>
      <c r="AE122" s="679"/>
      <c r="AF122" s="679"/>
      <c r="AG122" s="528"/>
      <c r="AH122" s="324"/>
      <c r="AI122" s="528"/>
      <c r="AJ122" s="528"/>
      <c r="AK122" s="324"/>
      <c r="AL122" s="324"/>
      <c r="AM122" s="528"/>
      <c r="AN122" s="528"/>
      <c r="AO122" s="773"/>
      <c r="AP122" s="681"/>
      <c r="AQ122" s="681"/>
      <c r="AR122" s="679"/>
      <c r="AS122" s="679"/>
      <c r="AT122" s="528"/>
      <c r="AU122" s="324"/>
      <c r="AV122" s="528"/>
      <c r="AW122" s="528"/>
      <c r="AX122" s="324"/>
      <c r="AY122" s="324"/>
      <c r="AZ122" s="528"/>
      <c r="BA122" s="528"/>
    </row>
    <row r="123" spans="1:53">
      <c r="A123" s="537">
        <v>41683</v>
      </c>
      <c r="B123" s="681"/>
      <c r="C123" s="681"/>
      <c r="D123" s="679">
        <v>22.950557618584654</v>
      </c>
      <c r="E123" s="679">
        <v>8.1590559553562709</v>
      </c>
      <c r="F123" s="528"/>
      <c r="G123" s="324"/>
      <c r="H123" s="528"/>
      <c r="I123" s="528"/>
      <c r="J123" s="324"/>
      <c r="K123" s="324"/>
      <c r="L123" s="528">
        <v>2.1760065634916783</v>
      </c>
      <c r="M123" s="528">
        <v>2.5041345634917329</v>
      </c>
      <c r="N123" s="551"/>
      <c r="O123" s="681"/>
      <c r="P123" s="681"/>
      <c r="Q123" s="679"/>
      <c r="R123" s="679"/>
      <c r="S123" s="528"/>
      <c r="T123" s="324"/>
      <c r="U123" s="528"/>
      <c r="V123" s="528"/>
      <c r="W123" s="324"/>
      <c r="X123" s="324"/>
      <c r="Y123" s="528"/>
      <c r="Z123" s="528"/>
      <c r="AA123" s="773"/>
      <c r="AB123" s="778"/>
      <c r="AC123" s="681"/>
      <c r="AD123" s="681"/>
      <c r="AE123" s="679"/>
      <c r="AF123" s="679"/>
      <c r="AG123" s="528"/>
      <c r="AH123" s="324"/>
      <c r="AI123" s="528"/>
      <c r="AJ123" s="528"/>
      <c r="AK123" s="324"/>
      <c r="AL123" s="324"/>
      <c r="AM123" s="528"/>
      <c r="AN123" s="528"/>
      <c r="AO123" s="773"/>
      <c r="AP123" s="681"/>
      <c r="AQ123" s="681"/>
      <c r="AR123" s="679"/>
      <c r="AS123" s="679"/>
      <c r="AT123" s="528"/>
      <c r="AU123" s="324"/>
      <c r="AV123" s="528"/>
      <c r="AW123" s="528"/>
      <c r="AX123" s="324"/>
      <c r="AY123" s="324"/>
      <c r="AZ123" s="528"/>
      <c r="BA123" s="528"/>
    </row>
    <row r="124" spans="1:53">
      <c r="A124" s="537">
        <v>41684</v>
      </c>
      <c r="B124" s="681"/>
      <c r="C124" s="681"/>
      <c r="D124" s="679">
        <v>135.38291461880428</v>
      </c>
      <c r="E124" s="679">
        <v>41.595040557287007</v>
      </c>
      <c r="F124" s="528"/>
      <c r="G124" s="324"/>
      <c r="H124" s="528"/>
      <c r="I124" s="528"/>
      <c r="J124" s="324"/>
      <c r="K124" s="324"/>
      <c r="L124" s="528">
        <v>1.2432146309908307</v>
      </c>
      <c r="M124" s="528">
        <v>0.88417463099085336</v>
      </c>
      <c r="N124" s="551"/>
      <c r="O124" s="681"/>
      <c r="P124" s="681"/>
      <c r="Q124" s="679"/>
      <c r="R124" s="679"/>
      <c r="S124" s="528"/>
      <c r="T124" s="324"/>
      <c r="U124" s="528"/>
      <c r="V124" s="528"/>
      <c r="W124" s="324"/>
      <c r="X124" s="324"/>
      <c r="Y124" s="528"/>
      <c r="Z124" s="528"/>
      <c r="AA124" s="773"/>
      <c r="AB124" s="778"/>
      <c r="AC124" s="681"/>
      <c r="AD124" s="681"/>
      <c r="AE124" s="679"/>
      <c r="AF124" s="679"/>
      <c r="AG124" s="528"/>
      <c r="AH124" s="324"/>
      <c r="AI124" s="528"/>
      <c r="AJ124" s="528"/>
      <c r="AK124" s="324"/>
      <c r="AL124" s="324"/>
      <c r="AM124" s="528"/>
      <c r="AN124" s="528"/>
      <c r="AO124" s="773"/>
      <c r="AP124" s="681"/>
      <c r="AQ124" s="681"/>
      <c r="AR124" s="679"/>
      <c r="AS124" s="679"/>
      <c r="AT124" s="528"/>
      <c r="AU124" s="324"/>
      <c r="AV124" s="528"/>
      <c r="AW124" s="528"/>
      <c r="AX124" s="324"/>
      <c r="AY124" s="324"/>
      <c r="AZ124" s="528"/>
      <c r="BA124" s="528"/>
    </row>
    <row r="125" spans="1:53">
      <c r="A125" s="537">
        <v>41685</v>
      </c>
      <c r="B125" s="681"/>
      <c r="C125" s="681"/>
      <c r="D125" s="679">
        <v>39.526467759796077</v>
      </c>
      <c r="E125" s="679">
        <v>-6.6404206366702958</v>
      </c>
      <c r="F125" s="528"/>
      <c r="G125" s="324"/>
      <c r="H125" s="528"/>
      <c r="I125" s="528"/>
      <c r="J125" s="324"/>
      <c r="K125" s="324"/>
      <c r="L125" s="528">
        <v>1.7282935796374643</v>
      </c>
      <c r="M125" s="528">
        <v>2.7338935796375892</v>
      </c>
      <c r="N125" s="551"/>
      <c r="O125" s="681"/>
      <c r="P125" s="681"/>
      <c r="Q125" s="679"/>
      <c r="R125" s="679"/>
      <c r="S125" s="528"/>
      <c r="T125" s="324"/>
      <c r="U125" s="528"/>
      <c r="V125" s="528"/>
      <c r="W125" s="324"/>
      <c r="X125" s="324"/>
      <c r="Y125" s="528"/>
      <c r="Z125" s="528"/>
      <c r="AA125" s="773"/>
      <c r="AB125" s="778"/>
      <c r="AC125" s="681"/>
      <c r="AD125" s="681"/>
      <c r="AE125" s="679"/>
      <c r="AF125" s="679"/>
      <c r="AG125" s="528"/>
      <c r="AH125" s="324"/>
      <c r="AI125" s="528"/>
      <c r="AJ125" s="528"/>
      <c r="AK125" s="324"/>
      <c r="AL125" s="324"/>
      <c r="AM125" s="528"/>
      <c r="AN125" s="528"/>
      <c r="AO125" s="773"/>
      <c r="AP125" s="681"/>
      <c r="AQ125" s="681"/>
      <c r="AR125" s="679"/>
      <c r="AS125" s="679"/>
      <c r="AT125" s="528"/>
      <c r="AU125" s="324"/>
      <c r="AV125" s="528"/>
      <c r="AW125" s="528"/>
      <c r="AX125" s="324"/>
      <c r="AY125" s="324"/>
      <c r="AZ125" s="528"/>
      <c r="BA125" s="528"/>
    </row>
    <row r="126" spans="1:53">
      <c r="A126" s="537">
        <v>41686</v>
      </c>
      <c r="B126" s="681"/>
      <c r="C126" s="681"/>
      <c r="D126" s="679">
        <v>33.710585678765177</v>
      </c>
      <c r="E126" s="679">
        <v>-5.2471922964852782</v>
      </c>
      <c r="F126" s="528"/>
      <c r="G126" s="324"/>
      <c r="H126" s="528"/>
      <c r="I126" s="528"/>
      <c r="J126" s="324"/>
      <c r="K126" s="324"/>
      <c r="L126" s="528">
        <v>1.8630550669241157</v>
      </c>
      <c r="M126" s="528">
        <v>2.6838550669241648</v>
      </c>
      <c r="N126" s="551"/>
      <c r="O126" s="681"/>
      <c r="P126" s="681"/>
      <c r="Q126" s="679"/>
      <c r="R126" s="679"/>
      <c r="S126" s="528"/>
      <c r="T126" s="324"/>
      <c r="U126" s="528"/>
      <c r="V126" s="528"/>
      <c r="W126" s="324"/>
      <c r="X126" s="324"/>
      <c r="Y126" s="528"/>
      <c r="Z126" s="528"/>
      <c r="AA126" s="773"/>
      <c r="AB126" s="778"/>
      <c r="AC126" s="681"/>
      <c r="AD126" s="681"/>
      <c r="AE126" s="679"/>
      <c r="AF126" s="679"/>
      <c r="AG126" s="528"/>
      <c r="AH126" s="324"/>
      <c r="AI126" s="528"/>
      <c r="AJ126" s="528"/>
      <c r="AK126" s="324"/>
      <c r="AL126" s="324"/>
      <c r="AM126" s="528"/>
      <c r="AN126" s="528"/>
      <c r="AO126" s="773"/>
      <c r="AP126" s="681"/>
      <c r="AQ126" s="681"/>
      <c r="AR126" s="679"/>
      <c r="AS126" s="679"/>
      <c r="AT126" s="528"/>
      <c r="AU126" s="324"/>
      <c r="AV126" s="528"/>
      <c r="AW126" s="528"/>
      <c r="AX126" s="324"/>
      <c r="AY126" s="324"/>
      <c r="AZ126" s="528"/>
      <c r="BA126" s="528"/>
    </row>
    <row r="127" spans="1:53">
      <c r="A127" s="537">
        <v>41687</v>
      </c>
      <c r="B127" s="681"/>
      <c r="C127" s="681"/>
      <c r="D127" s="679">
        <v>87.219083594331593</v>
      </c>
      <c r="E127" s="679">
        <v>12.845387433044127</v>
      </c>
      <c r="F127" s="528"/>
      <c r="G127" s="324"/>
      <c r="H127" s="528"/>
      <c r="I127" s="528"/>
      <c r="J127" s="324"/>
      <c r="K127" s="324"/>
      <c r="L127" s="528">
        <v>1.6547108162563235</v>
      </c>
      <c r="M127" s="528">
        <v>1.8288708162561718</v>
      </c>
      <c r="N127" s="551"/>
      <c r="O127" s="681"/>
      <c r="P127" s="681"/>
      <c r="Q127" s="679"/>
      <c r="R127" s="679"/>
      <c r="S127" s="528"/>
      <c r="T127" s="324"/>
      <c r="U127" s="528"/>
      <c r="V127" s="528"/>
      <c r="W127" s="324"/>
      <c r="X127" s="324"/>
      <c r="Y127" s="528"/>
      <c r="Z127" s="528"/>
      <c r="AA127" s="773"/>
      <c r="AB127" s="778"/>
      <c r="AC127" s="681"/>
      <c r="AD127" s="681"/>
      <c r="AE127" s="679"/>
      <c r="AF127" s="679"/>
      <c r="AG127" s="528"/>
      <c r="AH127" s="324"/>
      <c r="AI127" s="528"/>
      <c r="AJ127" s="528"/>
      <c r="AK127" s="324"/>
      <c r="AL127" s="324"/>
      <c r="AM127" s="528"/>
      <c r="AN127" s="528"/>
      <c r="AO127" s="773"/>
      <c r="AP127" s="681"/>
      <c r="AQ127" s="681"/>
      <c r="AR127" s="679"/>
      <c r="AS127" s="679"/>
      <c r="AT127" s="528"/>
      <c r="AU127" s="324"/>
      <c r="AV127" s="528"/>
      <c r="AW127" s="528"/>
      <c r="AX127" s="324"/>
      <c r="AY127" s="324"/>
      <c r="AZ127" s="528"/>
      <c r="BA127" s="528"/>
    </row>
    <row r="128" spans="1:53">
      <c r="A128" s="537">
        <v>41688</v>
      </c>
      <c r="B128" s="681"/>
      <c r="C128" s="681"/>
      <c r="D128" s="679">
        <v>1.243359473676185</v>
      </c>
      <c r="E128" s="679">
        <v>4.5604929600245256</v>
      </c>
      <c r="F128" s="528"/>
      <c r="G128" s="324"/>
      <c r="H128" s="528"/>
      <c r="I128" s="528"/>
      <c r="J128" s="324"/>
      <c r="K128" s="324"/>
      <c r="L128" s="528">
        <v>1.4108460903008968</v>
      </c>
      <c r="M128" s="528">
        <v>1.5962668903008905</v>
      </c>
      <c r="N128" s="551"/>
      <c r="O128" s="681"/>
      <c r="P128" s="681"/>
      <c r="Q128" s="679"/>
      <c r="R128" s="679"/>
      <c r="S128" s="528"/>
      <c r="T128" s="324"/>
      <c r="U128" s="528"/>
      <c r="V128" s="528"/>
      <c r="W128" s="324"/>
      <c r="X128" s="324"/>
      <c r="Y128" s="528"/>
      <c r="Z128" s="528"/>
      <c r="AA128" s="773"/>
      <c r="AB128" s="778"/>
      <c r="AC128" s="681"/>
      <c r="AD128" s="681"/>
      <c r="AE128" s="679"/>
      <c r="AF128" s="679"/>
      <c r="AG128" s="528"/>
      <c r="AH128" s="324"/>
      <c r="AI128" s="528"/>
      <c r="AJ128" s="528"/>
      <c r="AK128" s="324"/>
      <c r="AL128" s="324"/>
      <c r="AM128" s="528"/>
      <c r="AN128" s="528"/>
      <c r="AO128" s="773"/>
      <c r="AP128" s="681"/>
      <c r="AQ128" s="681"/>
      <c r="AR128" s="679"/>
      <c r="AS128" s="679"/>
      <c r="AT128" s="528"/>
      <c r="AU128" s="324"/>
      <c r="AV128" s="528"/>
      <c r="AW128" s="528"/>
      <c r="AX128" s="324"/>
      <c r="AY128" s="324"/>
      <c r="AZ128" s="528"/>
      <c r="BA128" s="528"/>
    </row>
    <row r="129" spans="1:53">
      <c r="A129" s="537">
        <v>41689</v>
      </c>
      <c r="B129" s="681"/>
      <c r="C129" s="681"/>
      <c r="D129" s="679">
        <v>-21.759158648487073</v>
      </c>
      <c r="E129" s="679">
        <v>-16.846895825365689</v>
      </c>
      <c r="F129" s="528"/>
      <c r="G129" s="324"/>
      <c r="H129" s="528"/>
      <c r="I129" s="528"/>
      <c r="J129" s="324"/>
      <c r="K129" s="324"/>
      <c r="L129" s="528">
        <v>2.3427004162969345</v>
      </c>
      <c r="M129" s="528">
        <v>3.6305724162968618</v>
      </c>
      <c r="N129" s="551"/>
      <c r="O129" s="681"/>
      <c r="P129" s="681"/>
      <c r="Q129" s="679"/>
      <c r="R129" s="679"/>
      <c r="S129" s="528"/>
      <c r="T129" s="324"/>
      <c r="U129" s="528"/>
      <c r="V129" s="528"/>
      <c r="W129" s="324"/>
      <c r="X129" s="324"/>
      <c r="Y129" s="528"/>
      <c r="Z129" s="528"/>
      <c r="AA129" s="773"/>
      <c r="AB129" s="778"/>
      <c r="AC129" s="681"/>
      <c r="AD129" s="681"/>
      <c r="AE129" s="679"/>
      <c r="AF129" s="679"/>
      <c r="AG129" s="528"/>
      <c r="AH129" s="324"/>
      <c r="AI129" s="528"/>
      <c r="AJ129" s="528"/>
      <c r="AK129" s="324"/>
      <c r="AL129" s="324"/>
      <c r="AM129" s="528"/>
      <c r="AN129" s="528"/>
      <c r="AO129" s="773"/>
      <c r="AP129" s="681"/>
      <c r="AQ129" s="681"/>
      <c r="AR129" s="679"/>
      <c r="AS129" s="679"/>
      <c r="AT129" s="528"/>
      <c r="AU129" s="324"/>
      <c r="AV129" s="528"/>
      <c r="AW129" s="528"/>
      <c r="AX129" s="324"/>
      <c r="AY129" s="324"/>
      <c r="AZ129" s="528"/>
      <c r="BA129" s="528"/>
    </row>
    <row r="130" spans="1:53">
      <c r="A130" s="537">
        <v>41690</v>
      </c>
      <c r="B130" s="681"/>
      <c r="C130" s="681"/>
      <c r="D130" s="679">
        <v>4.6259702450121427</v>
      </c>
      <c r="E130" s="679">
        <v>190.27404748203085</v>
      </c>
      <c r="F130" s="528"/>
      <c r="G130" s="324"/>
      <c r="H130" s="528"/>
      <c r="I130" s="528"/>
      <c r="J130" s="324"/>
      <c r="K130" s="324"/>
      <c r="L130" s="528">
        <v>2.037510644081721</v>
      </c>
      <c r="M130" s="528">
        <v>0</v>
      </c>
      <c r="N130" s="551"/>
      <c r="O130" s="681"/>
      <c r="P130" s="681"/>
      <c r="Q130" s="679"/>
      <c r="R130" s="679"/>
      <c r="S130" s="528"/>
      <c r="T130" s="324"/>
      <c r="U130" s="528"/>
      <c r="V130" s="528"/>
      <c r="W130" s="324"/>
      <c r="X130" s="324"/>
      <c r="Y130" s="528"/>
      <c r="Z130" s="528"/>
      <c r="AA130" s="773"/>
      <c r="AB130" s="778"/>
      <c r="AC130" s="681"/>
      <c r="AD130" s="681"/>
      <c r="AE130" s="679"/>
      <c r="AF130" s="679"/>
      <c r="AG130" s="528"/>
      <c r="AH130" s="324"/>
      <c r="AI130" s="528"/>
      <c r="AJ130" s="528"/>
      <c r="AK130" s="324"/>
      <c r="AL130" s="324"/>
      <c r="AM130" s="528"/>
      <c r="AN130" s="528"/>
      <c r="AO130" s="773"/>
      <c r="AP130" s="681"/>
      <c r="AQ130" s="681"/>
      <c r="AR130" s="679"/>
      <c r="AS130" s="679"/>
      <c r="AT130" s="528"/>
      <c r="AU130" s="324"/>
      <c r="AV130" s="528"/>
      <c r="AW130" s="528"/>
      <c r="AX130" s="324"/>
      <c r="AY130" s="324"/>
      <c r="AZ130" s="528"/>
      <c r="BA130" s="528"/>
    </row>
    <row r="131" spans="1:53">
      <c r="A131" s="537">
        <v>41691</v>
      </c>
      <c r="B131" s="681"/>
      <c r="C131" s="681"/>
      <c r="D131" s="679">
        <v>25.025925353590214</v>
      </c>
      <c r="E131" s="679">
        <v>79.966996334327419</v>
      </c>
      <c r="F131" s="528"/>
      <c r="G131" s="324"/>
      <c r="H131" s="528"/>
      <c r="I131" s="528"/>
      <c r="J131" s="324"/>
      <c r="K131" s="324"/>
      <c r="L131" s="528">
        <v>1.8799248993264281</v>
      </c>
      <c r="M131" s="528">
        <v>0</v>
      </c>
      <c r="N131" s="551"/>
      <c r="O131" s="681"/>
      <c r="P131" s="681"/>
      <c r="Q131" s="679"/>
      <c r="R131" s="679"/>
      <c r="S131" s="528"/>
      <c r="T131" s="324"/>
      <c r="U131" s="528"/>
      <c r="V131" s="528"/>
      <c r="W131" s="324"/>
      <c r="X131" s="324"/>
      <c r="Y131" s="528"/>
      <c r="Z131" s="528"/>
      <c r="AA131" s="773"/>
      <c r="AB131" s="778"/>
      <c r="AC131" s="681"/>
      <c r="AD131" s="681"/>
      <c r="AE131" s="679"/>
      <c r="AF131" s="679"/>
      <c r="AG131" s="528"/>
      <c r="AH131" s="324"/>
      <c r="AI131" s="528"/>
      <c r="AJ131" s="528"/>
      <c r="AK131" s="324"/>
      <c r="AL131" s="324"/>
      <c r="AM131" s="528"/>
      <c r="AN131" s="528"/>
      <c r="AO131" s="773"/>
      <c r="AP131" s="681"/>
      <c r="AQ131" s="681"/>
      <c r="AR131" s="679"/>
      <c r="AS131" s="679"/>
      <c r="AT131" s="528"/>
      <c r="AU131" s="324"/>
      <c r="AV131" s="528"/>
      <c r="AW131" s="528"/>
      <c r="AX131" s="324"/>
      <c r="AY131" s="324"/>
      <c r="AZ131" s="528"/>
      <c r="BA131" s="528"/>
    </row>
    <row r="132" spans="1:53">
      <c r="A132" s="533"/>
      <c r="B132" s="680"/>
      <c r="C132" s="680"/>
      <c r="D132" s="679">
        <v>291.72434333524382</v>
      </c>
      <c r="E132" s="679">
        <v>39.96506094441299</v>
      </c>
      <c r="F132" s="1"/>
      <c r="G132" s="1"/>
      <c r="H132" s="1"/>
      <c r="I132" s="1"/>
      <c r="J132" s="1"/>
      <c r="K132" s="1"/>
      <c r="L132" s="1"/>
      <c r="M132" s="1"/>
      <c r="N132" s="552"/>
      <c r="O132" s="680"/>
      <c r="P132" s="680"/>
      <c r="Q132" s="679"/>
      <c r="R132" s="679"/>
      <c r="S132" s="1"/>
      <c r="T132" s="1"/>
      <c r="U132" s="1"/>
      <c r="V132" s="1"/>
      <c r="W132" s="1"/>
      <c r="X132" s="1"/>
      <c r="Y132" s="1"/>
      <c r="Z132" s="1"/>
      <c r="AA132" s="774"/>
      <c r="AB132" s="779"/>
      <c r="AC132" s="680"/>
      <c r="AD132" s="680"/>
      <c r="AE132" s="679"/>
      <c r="AF132" s="679"/>
      <c r="AG132" s="1"/>
      <c r="AH132" s="1"/>
      <c r="AI132" s="1"/>
      <c r="AJ132" s="1"/>
      <c r="AK132" s="1"/>
      <c r="AL132" s="1"/>
      <c r="AM132" s="1"/>
      <c r="AN132" s="1"/>
      <c r="AO132" s="774"/>
      <c r="AP132" s="680"/>
      <c r="AQ132" s="680"/>
      <c r="AR132" s="679"/>
      <c r="AS132" s="679"/>
      <c r="AT132" s="1"/>
      <c r="AU132" s="1"/>
      <c r="AV132" s="1"/>
      <c r="AW132" s="1"/>
      <c r="AX132" s="1"/>
      <c r="AY132" s="1"/>
      <c r="AZ132" s="1"/>
      <c r="BA132" s="1"/>
    </row>
    <row r="133" spans="1:53">
      <c r="A133" s="533"/>
      <c r="B133" s="680"/>
      <c r="C133" s="680"/>
      <c r="D133" s="679">
        <v>137.12430500263835</v>
      </c>
      <c r="E133" s="679">
        <v>-2.8719494154247247</v>
      </c>
      <c r="F133" s="1"/>
      <c r="G133" s="528"/>
      <c r="H133" s="528"/>
      <c r="I133" s="528"/>
      <c r="J133" s="1"/>
      <c r="K133" s="528"/>
      <c r="L133" s="528"/>
      <c r="M133" s="528"/>
      <c r="N133" s="551"/>
      <c r="O133" s="680"/>
      <c r="P133" s="680"/>
      <c r="Q133" s="679"/>
      <c r="R133" s="679"/>
      <c r="S133" s="1"/>
      <c r="T133" s="528"/>
      <c r="U133" s="528"/>
      <c r="V133" s="528"/>
      <c r="W133" s="1"/>
      <c r="X133" s="528"/>
      <c r="Y133" s="528"/>
      <c r="Z133" s="528"/>
      <c r="AA133" s="773"/>
      <c r="AB133" s="778"/>
      <c r="AC133" s="680"/>
      <c r="AD133" s="680"/>
      <c r="AE133" s="679"/>
      <c r="AF133" s="679"/>
      <c r="AG133" s="1"/>
      <c r="AH133" s="528"/>
      <c r="AI133" s="528"/>
      <c r="AJ133" s="528"/>
      <c r="AK133" s="1"/>
      <c r="AL133" s="528"/>
      <c r="AM133" s="528"/>
      <c r="AN133" s="528"/>
      <c r="AO133" s="773"/>
      <c r="AP133" s="680"/>
      <c r="AQ133" s="680"/>
      <c r="AR133" s="679"/>
      <c r="AS133" s="679"/>
      <c r="AT133" s="1"/>
      <c r="AU133" s="528"/>
      <c r="AV133" s="528"/>
      <c r="AW133" s="528"/>
      <c r="AX133" s="1"/>
      <c r="AY133" s="528"/>
      <c r="AZ133" s="528"/>
      <c r="BA133" s="528"/>
    </row>
    <row r="134" spans="1:53">
      <c r="A134" s="533"/>
      <c r="B134" s="680"/>
      <c r="C134" s="680"/>
      <c r="D134" s="679">
        <v>102.93972310657705</v>
      </c>
      <c r="E134" s="679">
        <v>-2.2845696417085075</v>
      </c>
      <c r="F134" s="1"/>
      <c r="G134" s="1"/>
      <c r="H134" s="1"/>
      <c r="I134" s="1"/>
      <c r="J134" s="1"/>
      <c r="K134" s="1"/>
      <c r="L134" s="1"/>
      <c r="M134" s="1"/>
      <c r="N134" s="552"/>
      <c r="O134" s="680"/>
      <c r="P134" s="680"/>
      <c r="Q134" s="679"/>
      <c r="R134" s="679"/>
      <c r="S134" s="1"/>
      <c r="T134" s="1"/>
      <c r="U134" s="1"/>
      <c r="V134" s="1"/>
      <c r="W134" s="1"/>
      <c r="X134" s="1"/>
      <c r="Y134" s="1"/>
      <c r="Z134" s="1"/>
      <c r="AA134" s="774"/>
      <c r="AB134" s="779"/>
      <c r="AC134" s="680"/>
      <c r="AD134" s="680"/>
      <c r="AE134" s="679"/>
      <c r="AF134" s="679"/>
      <c r="AG134" s="1"/>
      <c r="AH134" s="1"/>
      <c r="AI134" s="1"/>
      <c r="AJ134" s="1"/>
      <c r="AK134" s="1"/>
      <c r="AL134" s="1"/>
      <c r="AM134" s="1"/>
      <c r="AN134" s="1"/>
      <c r="AO134" s="774"/>
      <c r="AP134" s="680"/>
      <c r="AQ134" s="680"/>
      <c r="AR134" s="679"/>
      <c r="AS134" s="679"/>
      <c r="AT134" s="1"/>
      <c r="AU134" s="1"/>
      <c r="AV134" s="1"/>
      <c r="AW134" s="1"/>
      <c r="AX134" s="1"/>
      <c r="AY134" s="1"/>
      <c r="AZ134" s="1"/>
      <c r="BA134" s="1"/>
    </row>
    <row r="135" spans="1:53">
      <c r="A135" s="533"/>
      <c r="B135" s="680"/>
      <c r="C135" s="680"/>
      <c r="D135" s="679">
        <v>79.85207237774128</v>
      </c>
      <c r="E135" s="679">
        <v>-1.1721225472918488</v>
      </c>
      <c r="F135" s="1"/>
      <c r="G135" s="1"/>
      <c r="H135" s="1"/>
      <c r="I135" s="1"/>
      <c r="J135" s="1"/>
      <c r="K135" s="1"/>
      <c r="L135" s="1"/>
      <c r="M135" s="1"/>
      <c r="N135" s="552"/>
      <c r="O135" s="680"/>
      <c r="P135" s="680"/>
      <c r="Q135" s="679"/>
      <c r="R135" s="679"/>
      <c r="S135" s="1"/>
      <c r="T135" s="1"/>
      <c r="U135" s="1"/>
      <c r="V135" s="1"/>
      <c r="W135" s="1"/>
      <c r="X135" s="1"/>
      <c r="Y135" s="1"/>
      <c r="Z135" s="1"/>
      <c r="AA135" s="774"/>
      <c r="AB135" s="779"/>
      <c r="AC135" s="680"/>
      <c r="AD135" s="680"/>
      <c r="AE135" s="679"/>
      <c r="AF135" s="679"/>
      <c r="AG135" s="1"/>
      <c r="AH135" s="1"/>
      <c r="AI135" s="1"/>
      <c r="AJ135" s="1"/>
      <c r="AK135" s="1"/>
      <c r="AL135" s="1"/>
      <c r="AM135" s="1"/>
      <c r="AN135" s="1"/>
      <c r="AO135" s="774"/>
      <c r="AP135" s="680"/>
      <c r="AQ135" s="680"/>
      <c r="AR135" s="679"/>
      <c r="AS135" s="679"/>
      <c r="AT135" s="1"/>
      <c r="AU135" s="1"/>
      <c r="AV135" s="1"/>
      <c r="AW135" s="1"/>
      <c r="AX135" s="1"/>
      <c r="AY135" s="1"/>
      <c r="AZ135" s="1"/>
      <c r="BA135" s="1"/>
    </row>
    <row r="136" spans="1:53">
      <c r="A136" s="533"/>
      <c r="B136" s="680"/>
      <c r="C136" s="680"/>
      <c r="D136" s="679">
        <v>289.2748091960172</v>
      </c>
      <c r="E136" s="679">
        <v>0.16796157030043102</v>
      </c>
      <c r="F136" s="1"/>
      <c r="G136" s="1"/>
      <c r="H136" s="1"/>
      <c r="I136" s="1"/>
      <c r="J136" s="1"/>
      <c r="K136" s="1"/>
      <c r="L136" s="1"/>
      <c r="M136" s="1"/>
      <c r="N136" s="552"/>
      <c r="O136" s="680"/>
      <c r="P136" s="680"/>
      <c r="Q136" s="679"/>
      <c r="R136" s="679"/>
      <c r="S136" s="1"/>
      <c r="T136" s="1"/>
      <c r="U136" s="1"/>
      <c r="V136" s="1"/>
      <c r="W136" s="1"/>
      <c r="X136" s="1"/>
      <c r="Y136" s="1"/>
      <c r="Z136" s="1"/>
      <c r="AA136" s="774"/>
      <c r="AB136" s="779"/>
      <c r="AC136" s="680"/>
      <c r="AD136" s="680"/>
      <c r="AE136" s="679"/>
      <c r="AF136" s="679"/>
      <c r="AG136" s="1"/>
      <c r="AH136" s="1"/>
      <c r="AI136" s="1"/>
      <c r="AJ136" s="1"/>
      <c r="AK136" s="1"/>
      <c r="AL136" s="1"/>
      <c r="AM136" s="1"/>
      <c r="AN136" s="1"/>
      <c r="AO136" s="774"/>
      <c r="AP136" s="680"/>
      <c r="AQ136" s="680"/>
      <c r="AR136" s="679"/>
      <c r="AS136" s="679"/>
      <c r="AT136" s="1"/>
      <c r="AU136" s="1"/>
      <c r="AV136" s="1"/>
      <c r="AW136" s="1"/>
      <c r="AX136" s="1"/>
      <c r="AY136" s="1"/>
      <c r="AZ136" s="1"/>
      <c r="BA136" s="1"/>
    </row>
    <row r="137" spans="1:53">
      <c r="A137" s="533"/>
      <c r="B137" s="680"/>
      <c r="C137" s="680"/>
      <c r="D137" s="679">
        <v>258.72151274225115</v>
      </c>
      <c r="E137" s="679">
        <v>9.6281572325541603E-2</v>
      </c>
      <c r="J137" s="1"/>
      <c r="K137" s="1"/>
      <c r="L137" s="1"/>
      <c r="N137" s="552"/>
      <c r="O137" s="680"/>
      <c r="P137" s="680"/>
      <c r="Q137" s="679"/>
      <c r="R137" s="679"/>
      <c r="W137" s="1"/>
      <c r="X137" s="1"/>
      <c r="Y137" s="1"/>
      <c r="AC137" s="680"/>
      <c r="AD137" s="680"/>
      <c r="AE137" s="679"/>
      <c r="AF137" s="679"/>
      <c r="AK137" s="1"/>
      <c r="AL137" s="1"/>
      <c r="AM137" s="1"/>
      <c r="AP137" s="680"/>
      <c r="AQ137" s="680"/>
      <c r="AR137" s="679"/>
      <c r="AS137" s="679"/>
      <c r="AX137" s="1"/>
      <c r="AY137" s="1"/>
      <c r="AZ137" s="1"/>
    </row>
    <row r="138" spans="1:53">
      <c r="A138" s="533"/>
      <c r="B138" s="680"/>
      <c r="C138" s="680"/>
      <c r="D138" s="679">
        <v>265.76180106730351</v>
      </c>
      <c r="E138" s="679">
        <v>2.4601574350652175E-2</v>
      </c>
      <c r="F138" s="1"/>
      <c r="G138" s="1"/>
      <c r="H138" s="1"/>
      <c r="I138" s="1"/>
      <c r="J138" s="1"/>
      <c r="K138" s="1"/>
      <c r="L138" s="1"/>
      <c r="M138" s="1"/>
      <c r="N138" s="552"/>
      <c r="O138" s="680"/>
      <c r="P138" s="680"/>
      <c r="Q138" s="679"/>
      <c r="R138" s="679"/>
      <c r="S138" s="1"/>
      <c r="T138" s="1"/>
      <c r="U138" s="1"/>
      <c r="V138" s="1"/>
      <c r="W138" s="1"/>
      <c r="X138" s="1"/>
      <c r="Y138" s="1"/>
      <c r="Z138" s="1"/>
      <c r="AA138" s="774"/>
      <c r="AB138" s="779"/>
      <c r="AC138" s="680"/>
      <c r="AD138" s="680"/>
      <c r="AE138" s="679"/>
      <c r="AF138" s="679"/>
      <c r="AG138" s="1"/>
      <c r="AH138" s="1"/>
      <c r="AI138" s="1"/>
      <c r="AJ138" s="1"/>
      <c r="AK138" s="1"/>
      <c r="AL138" s="1"/>
      <c r="AM138" s="1"/>
      <c r="AN138" s="1"/>
      <c r="AO138" s="774"/>
      <c r="AP138" s="680"/>
      <c r="AQ138" s="680"/>
      <c r="AR138" s="679"/>
      <c r="AS138" s="679"/>
      <c r="AT138" s="1"/>
      <c r="AU138" s="1"/>
      <c r="AV138" s="1"/>
      <c r="AW138" s="1"/>
      <c r="AX138" s="1"/>
      <c r="AY138" s="1"/>
      <c r="AZ138" s="1"/>
      <c r="BA138" s="1"/>
    </row>
    <row r="139" spans="1:53">
      <c r="A139" s="533"/>
      <c r="B139" s="680"/>
      <c r="C139" s="680"/>
      <c r="D139" s="679">
        <v>-485.6393673080201</v>
      </c>
      <c r="E139" s="679">
        <v>-14.390763853674713</v>
      </c>
      <c r="F139" s="1"/>
      <c r="G139" s="1"/>
      <c r="H139" s="1"/>
      <c r="I139" s="1"/>
      <c r="J139" s="1"/>
      <c r="K139" s="1"/>
      <c r="L139" s="1"/>
      <c r="M139" s="1"/>
      <c r="N139" s="552"/>
      <c r="O139" s="680"/>
      <c r="P139" s="680"/>
      <c r="Q139" s="679"/>
      <c r="R139" s="679"/>
      <c r="S139" s="1"/>
      <c r="T139" s="1"/>
      <c r="U139" s="1"/>
      <c r="V139" s="1"/>
      <c r="W139" s="1"/>
      <c r="X139" s="1"/>
      <c r="Y139" s="1"/>
      <c r="Z139" s="1"/>
      <c r="AA139" s="774"/>
      <c r="AB139" s="779"/>
      <c r="AC139" s="680"/>
      <c r="AD139" s="680"/>
      <c r="AE139" s="679"/>
      <c r="AF139" s="679"/>
      <c r="AG139" s="1"/>
      <c r="AH139" s="1"/>
      <c r="AI139" s="1"/>
      <c r="AJ139" s="1"/>
      <c r="AK139" s="1"/>
      <c r="AL139" s="1"/>
      <c r="AM139" s="1"/>
      <c r="AN139" s="1"/>
      <c r="AO139" s="774"/>
      <c r="AP139" s="680"/>
      <c r="AQ139" s="680"/>
      <c r="AR139" s="679"/>
      <c r="AS139" s="679"/>
      <c r="AT139" s="1"/>
      <c r="AU139" s="1"/>
      <c r="AV139" s="1"/>
      <c r="AW139" s="1"/>
      <c r="AX139" s="1"/>
      <c r="AY139" s="1"/>
      <c r="AZ139" s="1"/>
      <c r="BA139" s="1"/>
    </row>
    <row r="140" spans="1:53">
      <c r="A140" s="533"/>
      <c r="B140" s="680"/>
      <c r="C140" s="680"/>
      <c r="D140" s="679">
        <v>162.62662851155085</v>
      </c>
      <c r="E140" s="679">
        <v>-7.0179709565645725</v>
      </c>
      <c r="F140" s="1"/>
      <c r="G140" s="1"/>
      <c r="H140" s="1"/>
      <c r="I140" s="1"/>
      <c r="J140" s="1"/>
      <c r="K140" s="1"/>
      <c r="L140" s="1"/>
      <c r="M140" s="1"/>
      <c r="N140" s="552"/>
      <c r="O140" s="680"/>
      <c r="P140" s="680"/>
      <c r="Q140" s="679"/>
      <c r="R140" s="679"/>
      <c r="S140" s="1"/>
      <c r="T140" s="1"/>
      <c r="U140" s="1"/>
      <c r="V140" s="1"/>
      <c r="W140" s="1"/>
      <c r="X140" s="1"/>
      <c r="Y140" s="1"/>
      <c r="Z140" s="1"/>
      <c r="AA140" s="774"/>
      <c r="AB140" s="779"/>
      <c r="AC140" s="680"/>
      <c r="AD140" s="680"/>
      <c r="AE140" s="679"/>
      <c r="AF140" s="679"/>
      <c r="AG140" s="1"/>
      <c r="AH140" s="1"/>
      <c r="AI140" s="1"/>
      <c r="AJ140" s="1"/>
      <c r="AK140" s="1"/>
      <c r="AL140" s="1"/>
      <c r="AM140" s="1"/>
      <c r="AN140" s="1"/>
      <c r="AO140" s="774"/>
      <c r="AP140" s="680"/>
      <c r="AQ140" s="680"/>
      <c r="AR140" s="679"/>
      <c r="AS140" s="679"/>
      <c r="AT140" s="1"/>
      <c r="AU140" s="1"/>
      <c r="AV140" s="1"/>
      <c r="AW140" s="1"/>
      <c r="AX140" s="1"/>
      <c r="AY140" s="1"/>
      <c r="AZ140" s="1"/>
      <c r="BA140" s="1"/>
    </row>
    <row r="141" spans="1:53">
      <c r="A141" s="533"/>
      <c r="B141" s="680"/>
      <c r="C141" s="680"/>
      <c r="D141" s="679">
        <v>227.5396441796124</v>
      </c>
      <c r="E141" s="679">
        <v>33.940210598090182</v>
      </c>
      <c r="F141" s="1"/>
      <c r="G141" s="1"/>
      <c r="H141" s="1"/>
      <c r="I141" s="1"/>
      <c r="J141" s="1"/>
      <c r="K141" s="1"/>
      <c r="L141" s="1"/>
      <c r="M141" s="1"/>
      <c r="N141" s="552"/>
      <c r="O141" s="680"/>
      <c r="P141" s="680"/>
      <c r="Q141" s="679"/>
      <c r="R141" s="679"/>
      <c r="S141" s="1"/>
      <c r="T141" s="1"/>
      <c r="U141" s="1"/>
      <c r="V141" s="1"/>
      <c r="W141" s="1"/>
      <c r="X141" s="1"/>
      <c r="Y141" s="1"/>
      <c r="Z141" s="1"/>
      <c r="AA141" s="774"/>
      <c r="AB141" s="779"/>
      <c r="AC141" s="680"/>
      <c r="AD141" s="680"/>
      <c r="AE141" s="679"/>
      <c r="AF141" s="679"/>
      <c r="AG141" s="1"/>
      <c r="AH141" s="1"/>
      <c r="AI141" s="1"/>
      <c r="AJ141" s="1"/>
      <c r="AK141" s="1"/>
      <c r="AL141" s="1"/>
      <c r="AM141" s="1"/>
      <c r="AN141" s="1"/>
      <c r="AO141" s="774"/>
      <c r="AP141" s="680"/>
      <c r="AQ141" s="680"/>
      <c r="AR141" s="679"/>
      <c r="AS141" s="679"/>
      <c r="AT141" s="1"/>
      <c r="AU141" s="1"/>
      <c r="AV141" s="1"/>
      <c r="AW141" s="1"/>
      <c r="AX141" s="1"/>
      <c r="AY141" s="1"/>
      <c r="AZ141" s="1"/>
      <c r="BA141" s="1"/>
    </row>
    <row r="142" spans="1:53">
      <c r="A142" s="533"/>
      <c r="B142" s="680"/>
      <c r="C142" s="680"/>
      <c r="D142" s="679">
        <v>-244.38635384623745</v>
      </c>
      <c r="E142" s="679">
        <v>1.0907441445847363</v>
      </c>
      <c r="F142" s="1"/>
      <c r="G142" s="1"/>
      <c r="H142" s="1"/>
      <c r="I142" s="1"/>
      <c r="J142" s="1"/>
      <c r="K142" s="1"/>
      <c r="L142" s="1"/>
      <c r="M142" s="1"/>
      <c r="N142" s="552"/>
      <c r="O142" s="680"/>
      <c r="P142" s="680"/>
      <c r="Q142" s="679"/>
      <c r="R142" s="679"/>
      <c r="S142" s="1"/>
      <c r="T142" s="1"/>
      <c r="U142" s="1"/>
      <c r="V142" s="1"/>
      <c r="W142" s="1"/>
      <c r="X142" s="1"/>
      <c r="Y142" s="1"/>
      <c r="Z142" s="1"/>
      <c r="AA142" s="774"/>
      <c r="AB142" s="779"/>
      <c r="AC142" s="680"/>
      <c r="AD142" s="680"/>
      <c r="AE142" s="679"/>
      <c r="AF142" s="679"/>
      <c r="AG142" s="1"/>
      <c r="AH142" s="1"/>
      <c r="AI142" s="1"/>
      <c r="AJ142" s="1"/>
      <c r="AK142" s="1"/>
      <c r="AL142" s="1"/>
      <c r="AM142" s="1"/>
      <c r="AN142" s="1"/>
      <c r="AO142" s="774"/>
      <c r="AP142" s="680"/>
      <c r="AQ142" s="680"/>
      <c r="AR142" s="679"/>
      <c r="AS142" s="679"/>
      <c r="AT142" s="1"/>
      <c r="AU142" s="1"/>
      <c r="AV142" s="1"/>
      <c r="AW142" s="1"/>
      <c r="AX142" s="1"/>
      <c r="AY142" s="1"/>
      <c r="AZ142" s="1"/>
      <c r="BA142" s="1"/>
    </row>
    <row r="143" spans="1:53">
      <c r="A143" s="533"/>
      <c r="B143" s="680"/>
      <c r="C143" s="680"/>
      <c r="D143" s="679">
        <v>1089.4985916708904</v>
      </c>
      <c r="E143" s="679">
        <v>0.14506553111119472</v>
      </c>
      <c r="F143" s="1"/>
      <c r="G143" s="1"/>
      <c r="H143" s="1"/>
      <c r="I143" s="1"/>
      <c r="J143" s="1"/>
      <c r="K143" s="1"/>
      <c r="L143" s="1"/>
      <c r="M143" s="1"/>
      <c r="N143" s="552"/>
      <c r="O143" s="680"/>
      <c r="P143" s="680"/>
      <c r="Q143" s="679"/>
      <c r="R143" s="679"/>
      <c r="S143" s="1"/>
      <c r="T143" s="1"/>
      <c r="U143" s="1"/>
      <c r="V143" s="1"/>
      <c r="W143" s="1"/>
      <c r="X143" s="1"/>
      <c r="Y143" s="1"/>
      <c r="Z143" s="1"/>
      <c r="AA143" s="774"/>
      <c r="AB143" s="779"/>
      <c r="AC143" s="680"/>
      <c r="AD143" s="680"/>
      <c r="AE143" s="679"/>
      <c r="AF143" s="679"/>
      <c r="AG143" s="1"/>
      <c r="AH143" s="1"/>
      <c r="AI143" s="1"/>
      <c r="AJ143" s="1"/>
      <c r="AK143" s="1"/>
      <c r="AL143" s="1"/>
      <c r="AM143" s="1"/>
      <c r="AN143" s="1"/>
      <c r="AO143" s="774"/>
      <c r="AP143" s="680"/>
      <c r="AQ143" s="680"/>
      <c r="AR143" s="679"/>
      <c r="AS143" s="679"/>
      <c r="AT143" s="1"/>
      <c r="AU143" s="1"/>
      <c r="AV143" s="1"/>
      <c r="AW143" s="1"/>
      <c r="AX143" s="1"/>
      <c r="AY143" s="1"/>
      <c r="AZ143" s="1"/>
      <c r="BA143" s="1"/>
    </row>
    <row r="144" spans="1:53">
      <c r="A144" s="533"/>
      <c r="B144" s="680"/>
      <c r="C144" s="680"/>
      <c r="D144" s="679">
        <v>3013.3933528818989</v>
      </c>
      <c r="E144" s="679">
        <v>-0.14995037400716371</v>
      </c>
      <c r="F144" s="1"/>
      <c r="G144" s="1"/>
      <c r="H144" s="1"/>
      <c r="I144" s="1"/>
      <c r="J144" s="1"/>
      <c r="K144" s="1"/>
      <c r="L144" s="1"/>
      <c r="M144" s="1"/>
      <c r="N144" s="552"/>
      <c r="O144" s="680"/>
      <c r="P144" s="680"/>
      <c r="Q144" s="679"/>
      <c r="R144" s="679"/>
      <c r="S144" s="1"/>
      <c r="T144" s="1"/>
      <c r="U144" s="1"/>
      <c r="V144" s="1"/>
      <c r="W144" s="1"/>
      <c r="X144" s="1"/>
      <c r="Y144" s="1"/>
      <c r="Z144" s="1"/>
      <c r="AA144" s="774"/>
      <c r="AB144" s="779"/>
      <c r="AC144" s="680"/>
      <c r="AD144" s="680"/>
      <c r="AE144" s="679"/>
      <c r="AF144" s="679"/>
      <c r="AG144" s="1"/>
      <c r="AH144" s="1"/>
      <c r="AI144" s="1"/>
      <c r="AJ144" s="1"/>
      <c r="AK144" s="1"/>
      <c r="AL144" s="1"/>
      <c r="AM144" s="1"/>
      <c r="AN144" s="1"/>
      <c r="AO144" s="774"/>
      <c r="AP144" s="680"/>
      <c r="AQ144" s="680"/>
      <c r="AR144" s="679"/>
      <c r="AS144" s="679"/>
      <c r="AT144" s="1"/>
      <c r="AU144" s="1"/>
      <c r="AV144" s="1"/>
      <c r="AW144" s="1"/>
      <c r="AX144" s="1"/>
      <c r="AY144" s="1"/>
      <c r="AZ144" s="1"/>
      <c r="BA144" s="1"/>
    </row>
    <row r="145" spans="1:53">
      <c r="A145" s="533"/>
      <c r="B145" s="680"/>
      <c r="C145" s="680"/>
      <c r="D145" s="679">
        <v>5956.1461450250763</v>
      </c>
      <c r="E145" s="679">
        <v>81.282583216955175</v>
      </c>
      <c r="F145" s="1"/>
      <c r="G145" s="1"/>
      <c r="H145" s="1"/>
      <c r="I145" s="1"/>
      <c r="J145" s="1"/>
      <c r="K145" s="1"/>
      <c r="L145" s="1"/>
      <c r="M145" s="1"/>
      <c r="N145" s="552"/>
      <c r="O145" s="680"/>
      <c r="P145" s="680"/>
      <c r="Q145" s="679"/>
      <c r="R145" s="679"/>
      <c r="S145" s="1"/>
      <c r="T145" s="1"/>
      <c r="U145" s="1"/>
      <c r="V145" s="1"/>
      <c r="W145" s="1"/>
      <c r="X145" s="1"/>
      <c r="Y145" s="1"/>
      <c r="Z145" s="1"/>
      <c r="AA145" s="774"/>
      <c r="AB145" s="779"/>
      <c r="AC145" s="680"/>
      <c r="AD145" s="680"/>
      <c r="AE145" s="679"/>
      <c r="AF145" s="679"/>
      <c r="AG145" s="1"/>
      <c r="AH145" s="1"/>
      <c r="AI145" s="1"/>
      <c r="AJ145" s="1"/>
      <c r="AK145" s="1"/>
      <c r="AL145" s="1"/>
      <c r="AM145" s="1"/>
      <c r="AN145" s="1"/>
      <c r="AO145" s="774"/>
      <c r="AP145" s="680"/>
      <c r="AQ145" s="680"/>
      <c r="AR145" s="679"/>
      <c r="AS145" s="679"/>
      <c r="AT145" s="1"/>
      <c r="AU145" s="1"/>
      <c r="AV145" s="1"/>
      <c r="AW145" s="1"/>
      <c r="AX145" s="1"/>
      <c r="AY145" s="1"/>
      <c r="AZ145" s="1"/>
      <c r="BA145" s="1"/>
    </row>
    <row r="146" spans="1:53">
      <c r="A146" s="533"/>
      <c r="B146" s="680"/>
      <c r="C146" s="680"/>
      <c r="D146" s="679">
        <v>0</v>
      </c>
      <c r="E146" s="679">
        <v>0</v>
      </c>
      <c r="F146" s="1"/>
      <c r="G146" s="1"/>
      <c r="H146" s="1"/>
      <c r="I146" s="1"/>
      <c r="J146" s="1"/>
      <c r="K146" s="1"/>
      <c r="L146" s="1"/>
      <c r="M146" s="1"/>
      <c r="N146" s="552"/>
      <c r="O146" s="680"/>
      <c r="P146" s="680"/>
      <c r="Q146" s="679"/>
      <c r="R146" s="679"/>
      <c r="S146" s="1"/>
      <c r="T146" s="1"/>
      <c r="U146" s="1"/>
      <c r="V146" s="1"/>
      <c r="W146" s="1"/>
      <c r="X146" s="1"/>
      <c r="Y146" s="1"/>
      <c r="Z146" s="1"/>
      <c r="AA146" s="774"/>
      <c r="AB146" s="779"/>
      <c r="AC146" s="680"/>
      <c r="AD146" s="680"/>
      <c r="AE146" s="679"/>
      <c r="AF146" s="679"/>
      <c r="AG146" s="1"/>
      <c r="AH146" s="1"/>
      <c r="AI146" s="1"/>
      <c r="AJ146" s="1"/>
      <c r="AK146" s="1"/>
      <c r="AL146" s="1"/>
      <c r="AM146" s="1"/>
      <c r="AN146" s="1"/>
      <c r="AO146" s="774"/>
      <c r="AP146" s="680"/>
      <c r="AQ146" s="680"/>
      <c r="AR146" s="679"/>
      <c r="AS146" s="679"/>
      <c r="AT146" s="1"/>
      <c r="AU146" s="1"/>
      <c r="AV146" s="1"/>
      <c r="AW146" s="1"/>
      <c r="AX146" s="1"/>
      <c r="AY146" s="1"/>
      <c r="AZ146" s="1"/>
      <c r="BA146" s="1"/>
    </row>
    <row r="149" spans="1:53">
      <c r="B149" s="1">
        <v>88469.304173139026</v>
      </c>
      <c r="C149" s="1">
        <v>14971.312340715014</v>
      </c>
      <c r="D149" s="1">
        <v>33595.939539027393</v>
      </c>
      <c r="E149" s="1">
        <v>-16863.723634311213</v>
      </c>
      <c r="F149" s="1">
        <v>153038.03418509677</v>
      </c>
      <c r="G149" s="1">
        <v>146611.52161548327</v>
      </c>
      <c r="H149" s="1">
        <v>72279.10833938382</v>
      </c>
      <c r="I149" s="1">
        <v>207635.89557595408</v>
      </c>
      <c r="J149" s="1">
        <v>48290.69150228404</v>
      </c>
      <c r="K149" s="1">
        <v>164422.63933193235</v>
      </c>
      <c r="L149" s="1">
        <v>78745.436776351853</v>
      </c>
      <c r="M149" s="1">
        <v>64357.641320518407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774"/>
      <c r="AB149" s="779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774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207"/>
  <sheetViews>
    <sheetView topLeftCell="AS146" zoomScale="150" zoomScaleNormal="150" zoomScalePageLayoutView="150" workbookViewId="0">
      <selection activeCell="AL163" sqref="AL163"/>
    </sheetView>
  </sheetViews>
  <sheetFormatPr baseColWidth="10" defaultRowHeight="16"/>
  <cols>
    <col min="1" max="1" width="15.7109375" style="147" customWidth="1"/>
    <col min="2" max="2" width="10.7109375" style="786"/>
    <col min="3" max="3" width="7.28515625" style="451" bestFit="1" customWidth="1"/>
    <col min="4" max="5" width="3.42578125" style="451" bestFit="1" customWidth="1"/>
    <col min="6" max="6" width="4.42578125" style="309" bestFit="1" customWidth="1"/>
    <col min="7" max="8" width="4.42578125" style="309" customWidth="1"/>
    <col min="9" max="9" width="6" style="309" customWidth="1"/>
    <col min="10" max="10" width="5.85546875" style="309" customWidth="1"/>
    <col min="11" max="11" width="6.5703125" style="451" customWidth="1"/>
    <col min="12" max="12" width="8.5703125" style="452" customWidth="1"/>
    <col min="13" max="13" width="7" style="451" customWidth="1"/>
    <col min="14" max="14" width="9.140625" style="309" customWidth="1"/>
    <col min="15" max="15" width="5.5703125" style="806" customWidth="1"/>
    <col min="16" max="16" width="5.42578125" style="34" customWidth="1"/>
    <col min="17" max="18" width="5.28515625" style="34" customWidth="1"/>
    <col min="19" max="19" width="5.5703125" style="806" customWidth="1"/>
    <col min="20" max="20" width="5.42578125" style="34" customWidth="1"/>
    <col min="21" max="22" width="5.28515625" style="34" customWidth="1"/>
    <col min="23" max="23" width="7.28515625" style="815" customWidth="1"/>
    <col min="24" max="24" width="5.28515625" style="34" customWidth="1"/>
    <col min="25" max="25" width="7.42578125" customWidth="1"/>
    <col min="26" max="26" width="5.28515625" customWidth="1"/>
    <col min="27" max="27" width="6.28515625" style="34" customWidth="1"/>
    <col min="28" max="28" width="7.42578125" customWidth="1"/>
    <col min="29" max="29" width="5.28515625" customWidth="1"/>
    <col min="30" max="30" width="6.5703125" style="34" customWidth="1"/>
    <col min="31" max="31" width="7.42578125" customWidth="1"/>
    <col min="32" max="32" width="5.28515625" customWidth="1"/>
    <col min="33" max="33" width="6.5703125" style="34" customWidth="1"/>
    <col min="34" max="34" width="7.42578125" customWidth="1"/>
    <col min="35" max="35" width="5.28515625" customWidth="1"/>
    <col min="36" max="36" width="1.42578125" style="822" customWidth="1"/>
    <col min="40" max="40" width="10.7109375" style="46"/>
    <col min="44" max="44" width="10.7109375" style="46"/>
    <col min="48" max="48" width="10.7109375" style="46"/>
    <col min="52" max="52" width="10.7109375" style="46"/>
  </cols>
  <sheetData>
    <row r="1" spans="1:52">
      <c r="A1" s="147" t="s">
        <v>616</v>
      </c>
      <c r="B1" s="786" t="s">
        <v>118</v>
      </c>
      <c r="C1" s="805">
        <v>268300</v>
      </c>
      <c r="D1" s="451" t="s">
        <v>617</v>
      </c>
      <c r="O1" s="283"/>
      <c r="S1" s="283"/>
    </row>
    <row r="2" spans="1:52">
      <c r="B2" s="786" t="s">
        <v>119</v>
      </c>
      <c r="C2" s="805">
        <v>449600</v>
      </c>
      <c r="D2" s="451" t="s">
        <v>617</v>
      </c>
      <c r="O2" s="283"/>
      <c r="S2" s="283"/>
    </row>
    <row r="3" spans="1:52">
      <c r="B3" s="786" t="s">
        <v>120</v>
      </c>
      <c r="C3" s="805">
        <v>187500</v>
      </c>
      <c r="D3" s="451" t="s">
        <v>617</v>
      </c>
      <c r="O3" s="283"/>
      <c r="S3" s="283"/>
      <c r="X3" s="910" t="s">
        <v>624</v>
      </c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823"/>
      <c r="AK3" s="910" t="s">
        <v>189</v>
      </c>
      <c r="AL3" s="910"/>
      <c r="AM3" s="910"/>
      <c r="AN3" s="910"/>
      <c r="AO3" s="910"/>
      <c r="AP3" s="910"/>
      <c r="AQ3" s="910"/>
      <c r="AR3" s="910"/>
      <c r="AS3" s="910"/>
      <c r="AT3" s="910"/>
      <c r="AU3" s="910"/>
      <c r="AV3" s="910"/>
      <c r="AW3" s="910"/>
      <c r="AX3" s="910"/>
      <c r="AY3" s="910"/>
      <c r="AZ3" s="21"/>
    </row>
    <row r="4" spans="1:52" ht="34">
      <c r="B4" s="786" t="s">
        <v>121</v>
      </c>
      <c r="C4" s="805">
        <v>241000</v>
      </c>
      <c r="D4" s="451" t="s">
        <v>617</v>
      </c>
      <c r="O4" s="283"/>
      <c r="S4" s="283"/>
      <c r="X4" s="910" t="s">
        <v>118</v>
      </c>
      <c r="Y4" s="910"/>
      <c r="Z4" s="910"/>
      <c r="AA4" s="910" t="s">
        <v>119</v>
      </c>
      <c r="AB4" s="910"/>
      <c r="AC4" s="910"/>
      <c r="AD4" s="910" t="s">
        <v>120</v>
      </c>
      <c r="AE4" s="910"/>
      <c r="AF4" s="910"/>
      <c r="AG4" s="910" t="s">
        <v>121</v>
      </c>
      <c r="AH4" s="910"/>
      <c r="AI4" s="910"/>
      <c r="AJ4" s="823"/>
      <c r="AK4" s="910" t="s">
        <v>118</v>
      </c>
      <c r="AL4" s="910"/>
      <c r="AM4" s="910"/>
      <c r="AN4" s="835" t="s">
        <v>629</v>
      </c>
      <c r="AO4" s="910" t="s">
        <v>119</v>
      </c>
      <c r="AP4" s="910"/>
      <c r="AQ4" s="910"/>
      <c r="AR4" s="835" t="s">
        <v>629</v>
      </c>
      <c r="AS4" s="910" t="s">
        <v>120</v>
      </c>
      <c r="AT4" s="910"/>
      <c r="AU4" s="910"/>
      <c r="AV4" s="835" t="s">
        <v>629</v>
      </c>
      <c r="AW4" s="910" t="s">
        <v>121</v>
      </c>
      <c r="AX4" s="910"/>
      <c r="AY4" s="910"/>
      <c r="AZ4" s="835" t="s">
        <v>629</v>
      </c>
    </row>
    <row r="5" spans="1:52">
      <c r="C5" s="911" t="s">
        <v>122</v>
      </c>
      <c r="D5" s="911"/>
      <c r="E5" s="911"/>
      <c r="F5" s="911"/>
      <c r="G5" s="911" t="s">
        <v>625</v>
      </c>
      <c r="H5" s="911"/>
      <c r="I5" s="911"/>
      <c r="J5" s="911"/>
      <c r="K5" s="912" t="s">
        <v>618</v>
      </c>
      <c r="L5" s="912"/>
      <c r="M5" s="912"/>
      <c r="N5" s="912"/>
      <c r="P5" s="806"/>
      <c r="Q5" s="806"/>
      <c r="R5" s="806"/>
      <c r="S5" s="809"/>
      <c r="T5" s="809"/>
      <c r="U5" s="809"/>
      <c r="V5" s="809"/>
      <c r="X5" s="817"/>
      <c r="Y5" s="460"/>
      <c r="Z5" s="818"/>
      <c r="AA5" s="817"/>
      <c r="AB5" s="460"/>
      <c r="AC5" s="818"/>
      <c r="AD5" s="817"/>
      <c r="AE5" s="460"/>
      <c r="AF5" s="818"/>
      <c r="AG5" s="817"/>
      <c r="AH5" s="460"/>
      <c r="AI5" s="818"/>
      <c r="AJ5" s="824"/>
      <c r="AK5" s="817"/>
      <c r="AL5" s="460"/>
      <c r="AM5" s="818"/>
      <c r="AN5" s="26"/>
      <c r="AO5" s="817"/>
      <c r="AP5" s="460"/>
      <c r="AQ5" s="818"/>
      <c r="AR5" s="26"/>
      <c r="AS5" s="817"/>
      <c r="AT5" s="460"/>
      <c r="AU5" s="818"/>
      <c r="AV5" s="26"/>
      <c r="AW5" s="817"/>
      <c r="AX5" s="460"/>
      <c r="AY5" s="818"/>
      <c r="AZ5" s="26"/>
    </row>
    <row r="6" spans="1:52" ht="51">
      <c r="A6" s="147" t="s">
        <v>0</v>
      </c>
      <c r="B6" s="786" t="s">
        <v>122</v>
      </c>
      <c r="C6" s="451" t="s">
        <v>118</v>
      </c>
      <c r="D6" s="451" t="s">
        <v>119</v>
      </c>
      <c r="E6" s="451" t="s">
        <v>120</v>
      </c>
      <c r="F6" s="309" t="s">
        <v>121</v>
      </c>
      <c r="K6" s="810" t="s">
        <v>118</v>
      </c>
      <c r="L6" s="814" t="s">
        <v>119</v>
      </c>
      <c r="M6" s="810" t="s">
        <v>120</v>
      </c>
      <c r="N6" s="811" t="s">
        <v>121</v>
      </c>
      <c r="O6" s="807" t="s">
        <v>619</v>
      </c>
      <c r="P6" s="807" t="s">
        <v>619</v>
      </c>
      <c r="Q6" s="807" t="s">
        <v>619</v>
      </c>
      <c r="R6" s="807" t="s">
        <v>619</v>
      </c>
      <c r="S6" s="808" t="s">
        <v>620</v>
      </c>
      <c r="T6" s="808" t="s">
        <v>620</v>
      </c>
      <c r="U6" s="808" t="s">
        <v>620</v>
      </c>
      <c r="V6" s="808" t="s">
        <v>620</v>
      </c>
      <c r="W6" s="815" t="s">
        <v>0</v>
      </c>
      <c r="X6" s="819" t="s">
        <v>622</v>
      </c>
      <c r="Y6" s="820" t="s">
        <v>615</v>
      </c>
      <c r="Z6" s="821" t="s">
        <v>623</v>
      </c>
      <c r="AA6" s="819" t="s">
        <v>622</v>
      </c>
      <c r="AB6" s="820" t="s">
        <v>615</v>
      </c>
      <c r="AC6" s="821" t="s">
        <v>623</v>
      </c>
      <c r="AD6" s="819" t="s">
        <v>622</v>
      </c>
      <c r="AE6" s="820" t="s">
        <v>615</v>
      </c>
      <c r="AF6" s="821" t="s">
        <v>623</v>
      </c>
      <c r="AG6" s="819" t="s">
        <v>622</v>
      </c>
      <c r="AH6" s="820" t="s">
        <v>615</v>
      </c>
      <c r="AI6" s="821" t="s">
        <v>623</v>
      </c>
      <c r="AJ6" s="825"/>
      <c r="AK6" s="819" t="s">
        <v>622</v>
      </c>
      <c r="AL6" s="820" t="s">
        <v>615</v>
      </c>
      <c r="AM6" s="821" t="s">
        <v>623</v>
      </c>
      <c r="AN6" s="835"/>
      <c r="AO6" s="819" t="s">
        <v>622</v>
      </c>
      <c r="AP6" s="820" t="s">
        <v>621</v>
      </c>
      <c r="AQ6" s="821" t="s">
        <v>623</v>
      </c>
      <c r="AR6" s="835"/>
      <c r="AS6" s="819" t="s">
        <v>622</v>
      </c>
      <c r="AT6" s="820" t="s">
        <v>621</v>
      </c>
      <c r="AU6" s="821" t="s">
        <v>623</v>
      </c>
      <c r="AV6" s="835"/>
      <c r="AW6" s="819" t="s">
        <v>622</v>
      </c>
      <c r="AX6" s="820" t="s">
        <v>621</v>
      </c>
      <c r="AY6" s="821" t="s">
        <v>623</v>
      </c>
      <c r="AZ6" s="835"/>
    </row>
    <row r="7" spans="1:52">
      <c r="A7" s="787">
        <v>42260</v>
      </c>
      <c r="B7" s="788">
        <v>0.18</v>
      </c>
      <c r="F7" s="799">
        <f t="shared" ref="F7:F36" si="0">AVERAGE(B$7:B$36)</f>
        <v>0.40266666666666584</v>
      </c>
      <c r="G7" s="829">
        <f>-C7</f>
        <v>0</v>
      </c>
      <c r="H7" s="829">
        <f t="shared" ref="H7:H70" si="1">-D7</f>
        <v>0</v>
      </c>
      <c r="I7" s="829">
        <f t="shared" ref="I7:I70" si="2">-E7</f>
        <v>0</v>
      </c>
      <c r="J7" s="829">
        <f t="shared" ref="J7:J70" si="3">-F7</f>
        <v>-0.40266666666666584</v>
      </c>
      <c r="K7" s="810">
        <f>C7/1000*C$1</f>
        <v>0</v>
      </c>
      <c r="L7" s="814">
        <f>D7/1000*C$2</f>
        <v>0</v>
      </c>
      <c r="M7" s="810">
        <f>E7/1000*C$3</f>
        <v>0</v>
      </c>
      <c r="N7" s="810">
        <f>F7/1000*C$4</f>
        <v>97.042666666666477</v>
      </c>
      <c r="O7" s="806">
        <f>0</f>
        <v>0</v>
      </c>
      <c r="P7" s="806">
        <f>0</f>
        <v>0</v>
      </c>
      <c r="Q7" s="806">
        <f>0</f>
        <v>0</v>
      </c>
      <c r="R7" s="806">
        <v>7</v>
      </c>
      <c r="S7" s="809">
        <f>O7/1000*C$1</f>
        <v>0</v>
      </c>
      <c r="T7" s="809">
        <f>P7/1000*C$2</f>
        <v>0</v>
      </c>
      <c r="U7" s="809">
        <f>Q7/1000*C$3</f>
        <v>0</v>
      </c>
      <c r="V7" s="809">
        <f>R7/1000*C$4</f>
        <v>1687</v>
      </c>
      <c r="W7" s="816">
        <v>42260</v>
      </c>
      <c r="X7" s="817">
        <f>IF((S7-K7)&gt;0,(S7-K7),0)</f>
        <v>0</v>
      </c>
      <c r="Y7" s="460">
        <v>0</v>
      </c>
      <c r="Z7" s="818">
        <f>IF(Y7&gt;X7,X7,Y7)</f>
        <v>0</v>
      </c>
      <c r="AA7" s="817">
        <f t="shared" ref="AA7:AA70" si="4">IF((T7-L7)&gt;0,(T7-L7),0)</f>
        <v>0</v>
      </c>
      <c r="AB7" s="460">
        <v>0</v>
      </c>
      <c r="AC7" s="818">
        <f>IF(AB7&gt;AA7,AA7,AB7)</f>
        <v>0</v>
      </c>
      <c r="AD7" s="817">
        <f>IF((U7-M7)&gt;0,(U7-M7),0)</f>
        <v>0</v>
      </c>
      <c r="AE7" s="460">
        <v>0</v>
      </c>
      <c r="AF7" s="818">
        <f>IF(AE7&gt;AD7,AD7,AE7)</f>
        <v>0</v>
      </c>
      <c r="AG7" s="817">
        <f t="shared" ref="AG7:AG70" si="5">IF((V7-N7)&gt;0,(V7-N7),0)</f>
        <v>1589.9573333333335</v>
      </c>
      <c r="AH7" s="460">
        <v>0</v>
      </c>
      <c r="AI7" s="818">
        <f>IF(AH7&gt;AG7,AG7,AH7)</f>
        <v>0</v>
      </c>
      <c r="AJ7" s="824"/>
      <c r="AK7" s="826">
        <f>X7/$C$1*1000</f>
        <v>0</v>
      </c>
      <c r="AL7" s="458">
        <f t="shared" ref="AL7:AM7" si="6">Y7/$C$1*1000</f>
        <v>0</v>
      </c>
      <c r="AM7" s="827">
        <f t="shared" si="6"/>
        <v>0</v>
      </c>
      <c r="AN7" s="836">
        <f>AK7-AM7</f>
        <v>0</v>
      </c>
      <c r="AO7" s="826">
        <f>AA7/$C$2*1000</f>
        <v>0</v>
      </c>
      <c r="AP7" s="458">
        <f>AB7/$C$2*1000</f>
        <v>0</v>
      </c>
      <c r="AQ7" s="827">
        <f>AC7/$C$2*1000</f>
        <v>0</v>
      </c>
      <c r="AR7" s="836">
        <f>AO7-AQ7</f>
        <v>0</v>
      </c>
      <c r="AS7" s="826">
        <f t="shared" ref="AS7:AS38" si="7">AD7/$C$3*1000</f>
        <v>0</v>
      </c>
      <c r="AT7" s="458">
        <f t="shared" ref="AT7:AT38" si="8">AE7/$C$3*1000</f>
        <v>0</v>
      </c>
      <c r="AU7" s="827">
        <f t="shared" ref="AU7:AU38" si="9">AF7/$C$3*1000</f>
        <v>0</v>
      </c>
      <c r="AV7" s="836">
        <f>AS7-AU7</f>
        <v>0</v>
      </c>
      <c r="AW7" s="826">
        <f t="shared" ref="AW7:AW38" si="10">AG7/$C$4*1000</f>
        <v>6.5973333333333342</v>
      </c>
      <c r="AX7" s="458">
        <f t="shared" ref="AX7:AX38" si="11">AH7/$C$4*1000</f>
        <v>0</v>
      </c>
      <c r="AY7" s="827">
        <f t="shared" ref="AY7:AY38" si="12">AI7/$C$4*1000</f>
        <v>0</v>
      </c>
      <c r="AZ7" s="836">
        <f>AW7-AY7</f>
        <v>6.5973333333333342</v>
      </c>
    </row>
    <row r="8" spans="1:52">
      <c r="A8" s="787">
        <f>A7+1</f>
        <v>42261</v>
      </c>
      <c r="B8" s="788">
        <v>0</v>
      </c>
      <c r="F8" s="799">
        <f t="shared" si="0"/>
        <v>0.40266666666666584</v>
      </c>
      <c r="G8" s="829">
        <f t="shared" ref="G8:G71" si="13">-C8</f>
        <v>0</v>
      </c>
      <c r="H8" s="829">
        <f t="shared" si="1"/>
        <v>0</v>
      </c>
      <c r="I8" s="829">
        <f t="shared" si="2"/>
        <v>0</v>
      </c>
      <c r="J8" s="829">
        <f t="shared" si="3"/>
        <v>-0.40266666666666584</v>
      </c>
      <c r="K8" s="810">
        <f t="shared" ref="K8:K71" si="14">C8/1000*C$1</f>
        <v>0</v>
      </c>
      <c r="L8" s="814">
        <f t="shared" ref="L8:L71" si="15">D8/1000*C$2</f>
        <v>0</v>
      </c>
      <c r="M8" s="810">
        <f t="shared" ref="M8:M71" si="16">E8/1000*C$3</f>
        <v>0</v>
      </c>
      <c r="N8" s="811">
        <f t="shared" ref="N8:N71" si="17">F8/1000*C$4</f>
        <v>97.042666666666477</v>
      </c>
      <c r="O8" s="806">
        <f>0</f>
        <v>0</v>
      </c>
      <c r="P8" s="806">
        <f>0</f>
        <v>0</v>
      </c>
      <c r="Q8" s="806">
        <f>0</f>
        <v>0</v>
      </c>
      <c r="R8" s="806">
        <v>7</v>
      </c>
      <c r="S8" s="809">
        <f t="shared" ref="S8:S71" si="18">O8/1000*C$1</f>
        <v>0</v>
      </c>
      <c r="T8" s="809">
        <f t="shared" ref="T8:T71" si="19">P8/1000*C$2</f>
        <v>0</v>
      </c>
      <c r="U8" s="809">
        <f t="shared" ref="U8:U71" si="20">Q8/1000*C$3</f>
        <v>0</v>
      </c>
      <c r="V8" s="809">
        <f t="shared" ref="V8:V71" si="21">R8/1000*C$4</f>
        <v>1687</v>
      </c>
      <c r="W8" s="816">
        <f>W7+1</f>
        <v>42261</v>
      </c>
      <c r="X8" s="817">
        <f t="shared" ref="X8:X71" si="22">IF((S8-K8)&gt;0,(S8-K8),0)</f>
        <v>0</v>
      </c>
      <c r="Y8" s="460">
        <v>0</v>
      </c>
      <c r="Z8" s="818">
        <f t="shared" ref="Z8:Z71" si="23">IF(Y8&gt;X8,X8,Y8)</f>
        <v>0</v>
      </c>
      <c r="AA8" s="817">
        <f t="shared" si="4"/>
        <v>0</v>
      </c>
      <c r="AB8" s="460">
        <v>0</v>
      </c>
      <c r="AC8" s="818">
        <f t="shared" ref="AC8:AC71" si="24">IF(AB8&gt;AA8,AA8,AB8)</f>
        <v>0</v>
      </c>
      <c r="AD8" s="817">
        <f t="shared" ref="AD8:AD71" si="25">IF((U8-M8)&gt;0,(U8-M8),0)</f>
        <v>0</v>
      </c>
      <c r="AE8" s="460">
        <v>0</v>
      </c>
      <c r="AF8" s="818">
        <f t="shared" ref="AF8:AF71" si="26">IF(AE8&gt;AD8,AD8,AE8)</f>
        <v>0</v>
      </c>
      <c r="AG8" s="817">
        <f t="shared" si="5"/>
        <v>1589.9573333333335</v>
      </c>
      <c r="AH8" s="460">
        <v>0</v>
      </c>
      <c r="AI8" s="818">
        <f t="shared" ref="AI8:AI71" si="27">IF(AH8&gt;AG8,AG8,AH8)</f>
        <v>0</v>
      </c>
      <c r="AJ8" s="824"/>
      <c r="AK8" s="826">
        <f t="shared" ref="AK8:AK71" si="28">X8/$C$1*1000</f>
        <v>0</v>
      </c>
      <c r="AL8" s="458">
        <f t="shared" ref="AL8:AL71" si="29">Y8/$C$1*1000</f>
        <v>0</v>
      </c>
      <c r="AM8" s="827">
        <f t="shared" ref="AM8:AM71" si="30">Z8/$C$1*1000</f>
        <v>0</v>
      </c>
      <c r="AN8" s="836">
        <f t="shared" ref="AN8:AN71" si="31">AK8-AM8</f>
        <v>0</v>
      </c>
      <c r="AO8" s="826">
        <f t="shared" ref="AO8:AO71" si="32">AA8/$C$2*1000</f>
        <v>0</v>
      </c>
      <c r="AP8" s="458">
        <f t="shared" ref="AP8:AP39" si="33">AB8/$C$2*1000</f>
        <v>0</v>
      </c>
      <c r="AQ8" s="827">
        <f t="shared" ref="AQ8:AQ39" si="34">AC8/$C$2*1000</f>
        <v>0</v>
      </c>
      <c r="AR8" s="836">
        <f t="shared" ref="AR8:AR71" si="35">AO8-AQ8</f>
        <v>0</v>
      </c>
      <c r="AS8" s="826">
        <f t="shared" si="7"/>
        <v>0</v>
      </c>
      <c r="AT8" s="458">
        <f t="shared" si="8"/>
        <v>0</v>
      </c>
      <c r="AU8" s="827">
        <f t="shared" si="9"/>
        <v>0</v>
      </c>
      <c r="AV8" s="836">
        <f t="shared" ref="AV8:AV71" si="36">AS8-AU8</f>
        <v>0</v>
      </c>
      <c r="AW8" s="826">
        <f t="shared" si="10"/>
        <v>6.5973333333333342</v>
      </c>
      <c r="AX8" s="458">
        <f t="shared" si="11"/>
        <v>0</v>
      </c>
      <c r="AY8" s="827">
        <f t="shared" si="12"/>
        <v>0</v>
      </c>
      <c r="AZ8" s="836">
        <f t="shared" ref="AZ8:AZ71" si="37">AW8-AY8</f>
        <v>6.5973333333333342</v>
      </c>
    </row>
    <row r="9" spans="1:52">
      <c r="A9" s="787">
        <f t="shared" ref="A9:A72" si="38">A8+1</f>
        <v>42262</v>
      </c>
      <c r="B9" s="788">
        <v>0</v>
      </c>
      <c r="F9" s="799">
        <f t="shared" si="0"/>
        <v>0.40266666666666584</v>
      </c>
      <c r="G9" s="829">
        <f t="shared" si="13"/>
        <v>0</v>
      </c>
      <c r="H9" s="829">
        <f t="shared" si="1"/>
        <v>0</v>
      </c>
      <c r="I9" s="829">
        <f t="shared" si="2"/>
        <v>0</v>
      </c>
      <c r="J9" s="829">
        <f t="shared" si="3"/>
        <v>-0.40266666666666584</v>
      </c>
      <c r="K9" s="810">
        <f t="shared" si="14"/>
        <v>0</v>
      </c>
      <c r="L9" s="814">
        <f t="shared" si="15"/>
        <v>0</v>
      </c>
      <c r="M9" s="810">
        <f t="shared" si="16"/>
        <v>0</v>
      </c>
      <c r="N9" s="811">
        <f t="shared" si="17"/>
        <v>97.042666666666477</v>
      </c>
      <c r="O9" s="806">
        <f>0</f>
        <v>0</v>
      </c>
      <c r="P9" s="806">
        <f>0</f>
        <v>0</v>
      </c>
      <c r="Q9" s="806">
        <f>0</f>
        <v>0</v>
      </c>
      <c r="R9" s="806">
        <v>7</v>
      </c>
      <c r="S9" s="809">
        <f t="shared" si="18"/>
        <v>0</v>
      </c>
      <c r="T9" s="809">
        <f t="shared" si="19"/>
        <v>0</v>
      </c>
      <c r="U9" s="809">
        <f t="shared" si="20"/>
        <v>0</v>
      </c>
      <c r="V9" s="809">
        <f t="shared" si="21"/>
        <v>1687</v>
      </c>
      <c r="W9" s="816">
        <f t="shared" ref="W9:W72" si="39">W8+1</f>
        <v>42262</v>
      </c>
      <c r="X9" s="817">
        <f t="shared" si="22"/>
        <v>0</v>
      </c>
      <c r="Y9" s="460">
        <v>0</v>
      </c>
      <c r="Z9" s="818">
        <f t="shared" si="23"/>
        <v>0</v>
      </c>
      <c r="AA9" s="817">
        <f t="shared" si="4"/>
        <v>0</v>
      </c>
      <c r="AB9" s="460">
        <v>0</v>
      </c>
      <c r="AC9" s="818">
        <f t="shared" si="24"/>
        <v>0</v>
      </c>
      <c r="AD9" s="817">
        <f t="shared" si="25"/>
        <v>0</v>
      </c>
      <c r="AE9" s="460">
        <v>0</v>
      </c>
      <c r="AF9" s="818">
        <f t="shared" si="26"/>
        <v>0</v>
      </c>
      <c r="AG9" s="817">
        <f t="shared" si="5"/>
        <v>1589.9573333333335</v>
      </c>
      <c r="AH9" s="460">
        <v>0</v>
      </c>
      <c r="AI9" s="818">
        <f t="shared" si="27"/>
        <v>0</v>
      </c>
      <c r="AJ9" s="824"/>
      <c r="AK9" s="826">
        <f t="shared" si="28"/>
        <v>0</v>
      </c>
      <c r="AL9" s="458">
        <f t="shared" si="29"/>
        <v>0</v>
      </c>
      <c r="AM9" s="827">
        <f t="shared" si="30"/>
        <v>0</v>
      </c>
      <c r="AN9" s="836">
        <f t="shared" si="31"/>
        <v>0</v>
      </c>
      <c r="AO9" s="826">
        <f t="shared" si="32"/>
        <v>0</v>
      </c>
      <c r="AP9" s="458">
        <f t="shared" si="33"/>
        <v>0</v>
      </c>
      <c r="AQ9" s="827">
        <f t="shared" si="34"/>
        <v>0</v>
      </c>
      <c r="AR9" s="836">
        <f t="shared" si="35"/>
        <v>0</v>
      </c>
      <c r="AS9" s="826">
        <f t="shared" si="7"/>
        <v>0</v>
      </c>
      <c r="AT9" s="458">
        <f t="shared" si="8"/>
        <v>0</v>
      </c>
      <c r="AU9" s="827">
        <f t="shared" si="9"/>
        <v>0</v>
      </c>
      <c r="AV9" s="836">
        <f t="shared" si="36"/>
        <v>0</v>
      </c>
      <c r="AW9" s="826">
        <f t="shared" si="10"/>
        <v>6.5973333333333342</v>
      </c>
      <c r="AX9" s="458">
        <f t="shared" si="11"/>
        <v>0</v>
      </c>
      <c r="AY9" s="827">
        <f t="shared" si="12"/>
        <v>0</v>
      </c>
      <c r="AZ9" s="836">
        <f t="shared" si="37"/>
        <v>6.5973333333333342</v>
      </c>
    </row>
    <row r="10" spans="1:52">
      <c r="A10" s="787">
        <f t="shared" si="38"/>
        <v>42263</v>
      </c>
      <c r="B10" s="788">
        <v>0.1</v>
      </c>
      <c r="F10" s="799">
        <f t="shared" si="0"/>
        <v>0.40266666666666584</v>
      </c>
      <c r="G10" s="829">
        <f t="shared" si="13"/>
        <v>0</v>
      </c>
      <c r="H10" s="829">
        <f t="shared" si="1"/>
        <v>0</v>
      </c>
      <c r="I10" s="829">
        <f t="shared" si="2"/>
        <v>0</v>
      </c>
      <c r="J10" s="829">
        <f t="shared" si="3"/>
        <v>-0.40266666666666584</v>
      </c>
      <c r="K10" s="810">
        <f t="shared" si="14"/>
        <v>0</v>
      </c>
      <c r="L10" s="814">
        <f t="shared" si="15"/>
        <v>0</v>
      </c>
      <c r="M10" s="810">
        <f t="shared" si="16"/>
        <v>0</v>
      </c>
      <c r="N10" s="811">
        <f t="shared" si="17"/>
        <v>97.042666666666477</v>
      </c>
      <c r="O10" s="806">
        <f>0</f>
        <v>0</v>
      </c>
      <c r="P10" s="806">
        <f>0</f>
        <v>0</v>
      </c>
      <c r="Q10" s="806">
        <f>0</f>
        <v>0</v>
      </c>
      <c r="R10" s="806">
        <v>7</v>
      </c>
      <c r="S10" s="809">
        <f t="shared" si="18"/>
        <v>0</v>
      </c>
      <c r="T10" s="809">
        <f t="shared" si="19"/>
        <v>0</v>
      </c>
      <c r="U10" s="809">
        <f t="shared" si="20"/>
        <v>0</v>
      </c>
      <c r="V10" s="809">
        <f t="shared" si="21"/>
        <v>1687</v>
      </c>
      <c r="W10" s="816">
        <f t="shared" si="39"/>
        <v>42263</v>
      </c>
      <c r="X10" s="817">
        <f t="shared" si="22"/>
        <v>0</v>
      </c>
      <c r="Y10" s="460">
        <v>0</v>
      </c>
      <c r="Z10" s="818">
        <f t="shared" si="23"/>
        <v>0</v>
      </c>
      <c r="AA10" s="817">
        <f t="shared" si="4"/>
        <v>0</v>
      </c>
      <c r="AB10" s="460">
        <v>0</v>
      </c>
      <c r="AC10" s="818">
        <f t="shared" si="24"/>
        <v>0</v>
      </c>
      <c r="AD10" s="817">
        <f t="shared" si="25"/>
        <v>0</v>
      </c>
      <c r="AE10" s="460">
        <v>0</v>
      </c>
      <c r="AF10" s="818">
        <f t="shared" si="26"/>
        <v>0</v>
      </c>
      <c r="AG10" s="817">
        <f t="shared" si="5"/>
        <v>1589.9573333333335</v>
      </c>
      <c r="AH10" s="460">
        <v>0</v>
      </c>
      <c r="AI10" s="818">
        <f t="shared" si="27"/>
        <v>0</v>
      </c>
      <c r="AJ10" s="824"/>
      <c r="AK10" s="826">
        <f t="shared" si="28"/>
        <v>0</v>
      </c>
      <c r="AL10" s="458">
        <f t="shared" si="29"/>
        <v>0</v>
      </c>
      <c r="AM10" s="827">
        <f t="shared" si="30"/>
        <v>0</v>
      </c>
      <c r="AN10" s="836">
        <f t="shared" si="31"/>
        <v>0</v>
      </c>
      <c r="AO10" s="826">
        <f t="shared" si="32"/>
        <v>0</v>
      </c>
      <c r="AP10" s="458">
        <f t="shared" si="33"/>
        <v>0</v>
      </c>
      <c r="AQ10" s="827">
        <f t="shared" si="34"/>
        <v>0</v>
      </c>
      <c r="AR10" s="836">
        <f t="shared" si="35"/>
        <v>0</v>
      </c>
      <c r="AS10" s="826">
        <f t="shared" si="7"/>
        <v>0</v>
      </c>
      <c r="AT10" s="458">
        <f t="shared" si="8"/>
        <v>0</v>
      </c>
      <c r="AU10" s="827">
        <f t="shared" si="9"/>
        <v>0</v>
      </c>
      <c r="AV10" s="836">
        <f t="shared" si="36"/>
        <v>0</v>
      </c>
      <c r="AW10" s="826">
        <f t="shared" si="10"/>
        <v>6.5973333333333342</v>
      </c>
      <c r="AX10" s="458">
        <f t="shared" si="11"/>
        <v>0</v>
      </c>
      <c r="AY10" s="827">
        <f t="shared" si="12"/>
        <v>0</v>
      </c>
      <c r="AZ10" s="836">
        <f t="shared" si="37"/>
        <v>6.5973333333333342</v>
      </c>
    </row>
    <row r="11" spans="1:52">
      <c r="A11" s="787">
        <f t="shared" si="38"/>
        <v>42264</v>
      </c>
      <c r="B11" s="788">
        <v>1.4</v>
      </c>
      <c r="F11" s="799">
        <f t="shared" si="0"/>
        <v>0.40266666666666584</v>
      </c>
      <c r="G11" s="829">
        <f t="shared" si="13"/>
        <v>0</v>
      </c>
      <c r="H11" s="829">
        <f t="shared" si="1"/>
        <v>0</v>
      </c>
      <c r="I11" s="829">
        <f t="shared" si="2"/>
        <v>0</v>
      </c>
      <c r="J11" s="829">
        <f t="shared" si="3"/>
        <v>-0.40266666666666584</v>
      </c>
      <c r="K11" s="810">
        <f t="shared" si="14"/>
        <v>0</v>
      </c>
      <c r="L11" s="814">
        <f t="shared" si="15"/>
        <v>0</v>
      </c>
      <c r="M11" s="810">
        <f t="shared" si="16"/>
        <v>0</v>
      </c>
      <c r="N11" s="811">
        <f t="shared" si="17"/>
        <v>97.042666666666477</v>
      </c>
      <c r="O11" s="806">
        <f>0</f>
        <v>0</v>
      </c>
      <c r="P11" s="806">
        <f>0</f>
        <v>0</v>
      </c>
      <c r="Q11" s="806">
        <f>0</f>
        <v>0</v>
      </c>
      <c r="R11" s="806">
        <v>7</v>
      </c>
      <c r="S11" s="809">
        <f t="shared" si="18"/>
        <v>0</v>
      </c>
      <c r="T11" s="809">
        <f t="shared" si="19"/>
        <v>0</v>
      </c>
      <c r="U11" s="809">
        <f t="shared" si="20"/>
        <v>0</v>
      </c>
      <c r="V11" s="809">
        <f t="shared" si="21"/>
        <v>1687</v>
      </c>
      <c r="W11" s="816">
        <f t="shared" si="39"/>
        <v>42264</v>
      </c>
      <c r="X11" s="817">
        <f t="shared" si="22"/>
        <v>0</v>
      </c>
      <c r="Y11" s="460">
        <v>0</v>
      </c>
      <c r="Z11" s="818">
        <f t="shared" si="23"/>
        <v>0</v>
      </c>
      <c r="AA11" s="817">
        <f t="shared" si="4"/>
        <v>0</v>
      </c>
      <c r="AB11" s="460">
        <v>0</v>
      </c>
      <c r="AC11" s="818">
        <f t="shared" si="24"/>
        <v>0</v>
      </c>
      <c r="AD11" s="817">
        <f t="shared" si="25"/>
        <v>0</v>
      </c>
      <c r="AE11" s="460">
        <v>0</v>
      </c>
      <c r="AF11" s="818">
        <f t="shared" si="26"/>
        <v>0</v>
      </c>
      <c r="AG11" s="817">
        <f t="shared" si="5"/>
        <v>1589.9573333333335</v>
      </c>
      <c r="AH11" s="460">
        <v>0</v>
      </c>
      <c r="AI11" s="818">
        <f t="shared" si="27"/>
        <v>0</v>
      </c>
      <c r="AJ11" s="824"/>
      <c r="AK11" s="826">
        <f t="shared" si="28"/>
        <v>0</v>
      </c>
      <c r="AL11" s="458">
        <f t="shared" si="29"/>
        <v>0</v>
      </c>
      <c r="AM11" s="827">
        <f t="shared" si="30"/>
        <v>0</v>
      </c>
      <c r="AN11" s="836">
        <f t="shared" si="31"/>
        <v>0</v>
      </c>
      <c r="AO11" s="826">
        <f t="shared" si="32"/>
        <v>0</v>
      </c>
      <c r="AP11" s="458">
        <f t="shared" si="33"/>
        <v>0</v>
      </c>
      <c r="AQ11" s="827">
        <f t="shared" si="34"/>
        <v>0</v>
      </c>
      <c r="AR11" s="836">
        <f t="shared" si="35"/>
        <v>0</v>
      </c>
      <c r="AS11" s="826">
        <f t="shared" si="7"/>
        <v>0</v>
      </c>
      <c r="AT11" s="458">
        <f t="shared" si="8"/>
        <v>0</v>
      </c>
      <c r="AU11" s="827">
        <f t="shared" si="9"/>
        <v>0</v>
      </c>
      <c r="AV11" s="836">
        <f t="shared" si="36"/>
        <v>0</v>
      </c>
      <c r="AW11" s="826">
        <f t="shared" si="10"/>
        <v>6.5973333333333342</v>
      </c>
      <c r="AX11" s="458">
        <f t="shared" si="11"/>
        <v>0</v>
      </c>
      <c r="AY11" s="827">
        <f t="shared" si="12"/>
        <v>0</v>
      </c>
      <c r="AZ11" s="836">
        <f t="shared" si="37"/>
        <v>6.5973333333333342</v>
      </c>
    </row>
    <row r="12" spans="1:52">
      <c r="A12" s="787">
        <f t="shared" si="38"/>
        <v>42265</v>
      </c>
      <c r="B12" s="788">
        <v>0</v>
      </c>
      <c r="F12" s="799">
        <f t="shared" si="0"/>
        <v>0.40266666666666584</v>
      </c>
      <c r="G12" s="829">
        <f t="shared" si="13"/>
        <v>0</v>
      </c>
      <c r="H12" s="829">
        <f t="shared" si="1"/>
        <v>0</v>
      </c>
      <c r="I12" s="829">
        <f t="shared" si="2"/>
        <v>0</v>
      </c>
      <c r="J12" s="829">
        <f t="shared" si="3"/>
        <v>-0.40266666666666584</v>
      </c>
      <c r="K12" s="810">
        <f t="shared" si="14"/>
        <v>0</v>
      </c>
      <c r="L12" s="814">
        <f t="shared" si="15"/>
        <v>0</v>
      </c>
      <c r="M12" s="810">
        <f t="shared" si="16"/>
        <v>0</v>
      </c>
      <c r="N12" s="811">
        <f t="shared" si="17"/>
        <v>97.042666666666477</v>
      </c>
      <c r="O12" s="806">
        <f>0</f>
        <v>0</v>
      </c>
      <c r="P12" s="806">
        <f>0</f>
        <v>0</v>
      </c>
      <c r="Q12" s="806">
        <f>0</f>
        <v>0</v>
      </c>
      <c r="R12" s="806">
        <v>7</v>
      </c>
      <c r="S12" s="809">
        <f t="shared" si="18"/>
        <v>0</v>
      </c>
      <c r="T12" s="809">
        <f t="shared" si="19"/>
        <v>0</v>
      </c>
      <c r="U12" s="809">
        <f t="shared" si="20"/>
        <v>0</v>
      </c>
      <c r="V12" s="809">
        <f t="shared" si="21"/>
        <v>1687</v>
      </c>
      <c r="W12" s="816">
        <f t="shared" si="39"/>
        <v>42265</v>
      </c>
      <c r="X12" s="817">
        <f t="shared" si="22"/>
        <v>0</v>
      </c>
      <c r="Y12" s="460">
        <v>0</v>
      </c>
      <c r="Z12" s="818">
        <f t="shared" si="23"/>
        <v>0</v>
      </c>
      <c r="AA12" s="817">
        <f t="shared" si="4"/>
        <v>0</v>
      </c>
      <c r="AB12" s="460">
        <v>0</v>
      </c>
      <c r="AC12" s="818">
        <f t="shared" si="24"/>
        <v>0</v>
      </c>
      <c r="AD12" s="817">
        <f t="shared" si="25"/>
        <v>0</v>
      </c>
      <c r="AE12" s="460">
        <v>0</v>
      </c>
      <c r="AF12" s="818">
        <f t="shared" si="26"/>
        <v>0</v>
      </c>
      <c r="AG12" s="817">
        <f t="shared" si="5"/>
        <v>1589.9573333333335</v>
      </c>
      <c r="AH12" s="460">
        <v>0</v>
      </c>
      <c r="AI12" s="818">
        <f t="shared" si="27"/>
        <v>0</v>
      </c>
      <c r="AJ12" s="824"/>
      <c r="AK12" s="826">
        <f t="shared" si="28"/>
        <v>0</v>
      </c>
      <c r="AL12" s="458">
        <f t="shared" si="29"/>
        <v>0</v>
      </c>
      <c r="AM12" s="827">
        <f t="shared" si="30"/>
        <v>0</v>
      </c>
      <c r="AN12" s="836">
        <f t="shared" si="31"/>
        <v>0</v>
      </c>
      <c r="AO12" s="826">
        <f t="shared" si="32"/>
        <v>0</v>
      </c>
      <c r="AP12" s="458">
        <f t="shared" si="33"/>
        <v>0</v>
      </c>
      <c r="AQ12" s="827">
        <f t="shared" si="34"/>
        <v>0</v>
      </c>
      <c r="AR12" s="836">
        <f t="shared" si="35"/>
        <v>0</v>
      </c>
      <c r="AS12" s="826">
        <f t="shared" si="7"/>
        <v>0</v>
      </c>
      <c r="AT12" s="458">
        <f t="shared" si="8"/>
        <v>0</v>
      </c>
      <c r="AU12" s="827">
        <f t="shared" si="9"/>
        <v>0</v>
      </c>
      <c r="AV12" s="836">
        <f t="shared" si="36"/>
        <v>0</v>
      </c>
      <c r="AW12" s="826">
        <f t="shared" si="10"/>
        <v>6.5973333333333342</v>
      </c>
      <c r="AX12" s="458">
        <f t="shared" si="11"/>
        <v>0</v>
      </c>
      <c r="AY12" s="827">
        <f t="shared" si="12"/>
        <v>0</v>
      </c>
      <c r="AZ12" s="836">
        <f t="shared" si="37"/>
        <v>6.5973333333333342</v>
      </c>
    </row>
    <row r="13" spans="1:52">
      <c r="A13" s="787">
        <f t="shared" si="38"/>
        <v>42266</v>
      </c>
      <c r="B13" s="788">
        <v>0</v>
      </c>
      <c r="F13" s="799">
        <f t="shared" si="0"/>
        <v>0.40266666666666584</v>
      </c>
      <c r="G13" s="829">
        <f t="shared" si="13"/>
        <v>0</v>
      </c>
      <c r="H13" s="829">
        <f t="shared" si="1"/>
        <v>0</v>
      </c>
      <c r="I13" s="829">
        <f t="shared" si="2"/>
        <v>0</v>
      </c>
      <c r="J13" s="829">
        <f t="shared" si="3"/>
        <v>-0.40266666666666584</v>
      </c>
      <c r="K13" s="810">
        <f t="shared" si="14"/>
        <v>0</v>
      </c>
      <c r="L13" s="814">
        <f t="shared" si="15"/>
        <v>0</v>
      </c>
      <c r="M13" s="810">
        <f t="shared" si="16"/>
        <v>0</v>
      </c>
      <c r="N13" s="811">
        <f t="shared" si="17"/>
        <v>97.042666666666477</v>
      </c>
      <c r="O13" s="806">
        <f>0</f>
        <v>0</v>
      </c>
      <c r="P13" s="806">
        <f>0</f>
        <v>0</v>
      </c>
      <c r="Q13" s="806">
        <f>0</f>
        <v>0</v>
      </c>
      <c r="R13" s="806">
        <v>7</v>
      </c>
      <c r="S13" s="809">
        <f t="shared" si="18"/>
        <v>0</v>
      </c>
      <c r="T13" s="809">
        <f t="shared" si="19"/>
        <v>0</v>
      </c>
      <c r="U13" s="809">
        <f t="shared" si="20"/>
        <v>0</v>
      </c>
      <c r="V13" s="809">
        <f t="shared" si="21"/>
        <v>1687</v>
      </c>
      <c r="W13" s="816">
        <f t="shared" si="39"/>
        <v>42266</v>
      </c>
      <c r="X13" s="817">
        <f t="shared" si="22"/>
        <v>0</v>
      </c>
      <c r="Y13" s="460">
        <v>0</v>
      </c>
      <c r="Z13" s="818">
        <f t="shared" si="23"/>
        <v>0</v>
      </c>
      <c r="AA13" s="817">
        <f t="shared" si="4"/>
        <v>0</v>
      </c>
      <c r="AB13" s="460">
        <v>0</v>
      </c>
      <c r="AC13" s="818">
        <f t="shared" si="24"/>
        <v>0</v>
      </c>
      <c r="AD13" s="817">
        <f t="shared" si="25"/>
        <v>0</v>
      </c>
      <c r="AE13" s="460">
        <v>0</v>
      </c>
      <c r="AF13" s="818">
        <f t="shared" si="26"/>
        <v>0</v>
      </c>
      <c r="AG13" s="817">
        <f t="shared" si="5"/>
        <v>1589.9573333333335</v>
      </c>
      <c r="AH13" s="460">
        <v>0</v>
      </c>
      <c r="AI13" s="818">
        <f t="shared" si="27"/>
        <v>0</v>
      </c>
      <c r="AJ13" s="824"/>
      <c r="AK13" s="826">
        <f t="shared" si="28"/>
        <v>0</v>
      </c>
      <c r="AL13" s="458">
        <f t="shared" si="29"/>
        <v>0</v>
      </c>
      <c r="AM13" s="827">
        <f t="shared" si="30"/>
        <v>0</v>
      </c>
      <c r="AN13" s="836">
        <f t="shared" si="31"/>
        <v>0</v>
      </c>
      <c r="AO13" s="826">
        <f t="shared" si="32"/>
        <v>0</v>
      </c>
      <c r="AP13" s="458">
        <f t="shared" si="33"/>
        <v>0</v>
      </c>
      <c r="AQ13" s="827">
        <f t="shared" si="34"/>
        <v>0</v>
      </c>
      <c r="AR13" s="836">
        <f t="shared" si="35"/>
        <v>0</v>
      </c>
      <c r="AS13" s="826">
        <f t="shared" si="7"/>
        <v>0</v>
      </c>
      <c r="AT13" s="458">
        <f t="shared" si="8"/>
        <v>0</v>
      </c>
      <c r="AU13" s="827">
        <f t="shared" si="9"/>
        <v>0</v>
      </c>
      <c r="AV13" s="836">
        <f t="shared" si="36"/>
        <v>0</v>
      </c>
      <c r="AW13" s="826">
        <f t="shared" si="10"/>
        <v>6.5973333333333342</v>
      </c>
      <c r="AX13" s="458">
        <f t="shared" si="11"/>
        <v>0</v>
      </c>
      <c r="AY13" s="827">
        <f t="shared" si="12"/>
        <v>0</v>
      </c>
      <c r="AZ13" s="836">
        <f t="shared" si="37"/>
        <v>6.5973333333333342</v>
      </c>
    </row>
    <row r="14" spans="1:52">
      <c r="A14" s="787">
        <f t="shared" si="38"/>
        <v>42267</v>
      </c>
      <c r="B14" s="788">
        <v>0</v>
      </c>
      <c r="F14" s="799">
        <f t="shared" si="0"/>
        <v>0.40266666666666584</v>
      </c>
      <c r="G14" s="829">
        <f t="shared" si="13"/>
        <v>0</v>
      </c>
      <c r="H14" s="829">
        <f t="shared" si="1"/>
        <v>0</v>
      </c>
      <c r="I14" s="829">
        <f t="shared" si="2"/>
        <v>0</v>
      </c>
      <c r="J14" s="829">
        <f t="shared" si="3"/>
        <v>-0.40266666666666584</v>
      </c>
      <c r="K14" s="810">
        <f t="shared" si="14"/>
        <v>0</v>
      </c>
      <c r="L14" s="814">
        <f t="shared" si="15"/>
        <v>0</v>
      </c>
      <c r="M14" s="810">
        <f t="shared" si="16"/>
        <v>0</v>
      </c>
      <c r="N14" s="811">
        <f t="shared" si="17"/>
        <v>97.042666666666477</v>
      </c>
      <c r="O14" s="806">
        <f>0</f>
        <v>0</v>
      </c>
      <c r="P14" s="806">
        <f>0</f>
        <v>0</v>
      </c>
      <c r="Q14" s="806">
        <f>0</f>
        <v>0</v>
      </c>
      <c r="R14" s="806">
        <v>7</v>
      </c>
      <c r="S14" s="809">
        <f t="shared" si="18"/>
        <v>0</v>
      </c>
      <c r="T14" s="809">
        <f t="shared" si="19"/>
        <v>0</v>
      </c>
      <c r="U14" s="809">
        <f t="shared" si="20"/>
        <v>0</v>
      </c>
      <c r="V14" s="809">
        <f t="shared" si="21"/>
        <v>1687</v>
      </c>
      <c r="W14" s="816">
        <f t="shared" si="39"/>
        <v>42267</v>
      </c>
      <c r="X14" s="817">
        <f t="shared" si="22"/>
        <v>0</v>
      </c>
      <c r="Y14" s="460">
        <v>0</v>
      </c>
      <c r="Z14" s="818">
        <f t="shared" si="23"/>
        <v>0</v>
      </c>
      <c r="AA14" s="817">
        <f t="shared" si="4"/>
        <v>0</v>
      </c>
      <c r="AB14" s="460">
        <v>0</v>
      </c>
      <c r="AC14" s="818">
        <f t="shared" si="24"/>
        <v>0</v>
      </c>
      <c r="AD14" s="817">
        <f t="shared" si="25"/>
        <v>0</v>
      </c>
      <c r="AE14" s="460">
        <v>0</v>
      </c>
      <c r="AF14" s="818">
        <f t="shared" si="26"/>
        <v>0</v>
      </c>
      <c r="AG14" s="817">
        <f t="shared" si="5"/>
        <v>1589.9573333333335</v>
      </c>
      <c r="AH14" s="460">
        <v>0</v>
      </c>
      <c r="AI14" s="818">
        <f t="shared" si="27"/>
        <v>0</v>
      </c>
      <c r="AJ14" s="824"/>
      <c r="AK14" s="826">
        <f t="shared" si="28"/>
        <v>0</v>
      </c>
      <c r="AL14" s="458">
        <f t="shared" si="29"/>
        <v>0</v>
      </c>
      <c r="AM14" s="827">
        <f t="shared" si="30"/>
        <v>0</v>
      </c>
      <c r="AN14" s="836">
        <f t="shared" si="31"/>
        <v>0</v>
      </c>
      <c r="AO14" s="826">
        <f t="shared" si="32"/>
        <v>0</v>
      </c>
      <c r="AP14" s="458">
        <f t="shared" si="33"/>
        <v>0</v>
      </c>
      <c r="AQ14" s="827">
        <f t="shared" si="34"/>
        <v>0</v>
      </c>
      <c r="AR14" s="836">
        <f t="shared" si="35"/>
        <v>0</v>
      </c>
      <c r="AS14" s="826">
        <f t="shared" si="7"/>
        <v>0</v>
      </c>
      <c r="AT14" s="458">
        <f t="shared" si="8"/>
        <v>0</v>
      </c>
      <c r="AU14" s="827">
        <f t="shared" si="9"/>
        <v>0</v>
      </c>
      <c r="AV14" s="836">
        <f t="shared" si="36"/>
        <v>0</v>
      </c>
      <c r="AW14" s="826">
        <f t="shared" si="10"/>
        <v>6.5973333333333342</v>
      </c>
      <c r="AX14" s="458">
        <f t="shared" si="11"/>
        <v>0</v>
      </c>
      <c r="AY14" s="827">
        <f t="shared" si="12"/>
        <v>0</v>
      </c>
      <c r="AZ14" s="836">
        <f t="shared" si="37"/>
        <v>6.5973333333333342</v>
      </c>
    </row>
    <row r="15" spans="1:52">
      <c r="A15" s="787">
        <f t="shared" si="38"/>
        <v>42268</v>
      </c>
      <c r="B15" s="788">
        <v>0</v>
      </c>
      <c r="F15" s="799">
        <f t="shared" si="0"/>
        <v>0.40266666666666584</v>
      </c>
      <c r="G15" s="829">
        <f t="shared" si="13"/>
        <v>0</v>
      </c>
      <c r="H15" s="829">
        <f t="shared" si="1"/>
        <v>0</v>
      </c>
      <c r="I15" s="829">
        <f t="shared" si="2"/>
        <v>0</v>
      </c>
      <c r="J15" s="829">
        <f t="shared" si="3"/>
        <v>-0.40266666666666584</v>
      </c>
      <c r="K15" s="810">
        <f t="shared" si="14"/>
        <v>0</v>
      </c>
      <c r="L15" s="814">
        <f t="shared" si="15"/>
        <v>0</v>
      </c>
      <c r="M15" s="810">
        <f t="shared" si="16"/>
        <v>0</v>
      </c>
      <c r="N15" s="811">
        <f t="shared" si="17"/>
        <v>97.042666666666477</v>
      </c>
      <c r="O15" s="806">
        <f>0</f>
        <v>0</v>
      </c>
      <c r="P15" s="806">
        <f>0</f>
        <v>0</v>
      </c>
      <c r="Q15" s="806">
        <f>0</f>
        <v>0</v>
      </c>
      <c r="R15" s="806">
        <v>7</v>
      </c>
      <c r="S15" s="809">
        <f t="shared" si="18"/>
        <v>0</v>
      </c>
      <c r="T15" s="809">
        <f t="shared" si="19"/>
        <v>0</v>
      </c>
      <c r="U15" s="809">
        <f t="shared" si="20"/>
        <v>0</v>
      </c>
      <c r="V15" s="809">
        <f t="shared" si="21"/>
        <v>1687</v>
      </c>
      <c r="W15" s="816">
        <f t="shared" si="39"/>
        <v>42268</v>
      </c>
      <c r="X15" s="817">
        <f t="shared" si="22"/>
        <v>0</v>
      </c>
      <c r="Y15" s="460">
        <v>0</v>
      </c>
      <c r="Z15" s="818">
        <f t="shared" si="23"/>
        <v>0</v>
      </c>
      <c r="AA15" s="817">
        <f t="shared" si="4"/>
        <v>0</v>
      </c>
      <c r="AB15" s="460">
        <v>0</v>
      </c>
      <c r="AC15" s="818">
        <f t="shared" si="24"/>
        <v>0</v>
      </c>
      <c r="AD15" s="817">
        <f t="shared" si="25"/>
        <v>0</v>
      </c>
      <c r="AE15" s="460">
        <v>0</v>
      </c>
      <c r="AF15" s="818">
        <f t="shared" si="26"/>
        <v>0</v>
      </c>
      <c r="AG15" s="817">
        <f t="shared" si="5"/>
        <v>1589.9573333333335</v>
      </c>
      <c r="AH15" s="460">
        <v>0</v>
      </c>
      <c r="AI15" s="818">
        <f t="shared" si="27"/>
        <v>0</v>
      </c>
      <c r="AJ15" s="824"/>
      <c r="AK15" s="826">
        <f t="shared" si="28"/>
        <v>0</v>
      </c>
      <c r="AL15" s="458">
        <f t="shared" si="29"/>
        <v>0</v>
      </c>
      <c r="AM15" s="827">
        <f t="shared" si="30"/>
        <v>0</v>
      </c>
      <c r="AN15" s="836">
        <f t="shared" si="31"/>
        <v>0</v>
      </c>
      <c r="AO15" s="826">
        <f t="shared" si="32"/>
        <v>0</v>
      </c>
      <c r="AP15" s="458">
        <f t="shared" si="33"/>
        <v>0</v>
      </c>
      <c r="AQ15" s="827">
        <f t="shared" si="34"/>
        <v>0</v>
      </c>
      <c r="AR15" s="836">
        <f t="shared" si="35"/>
        <v>0</v>
      </c>
      <c r="AS15" s="826">
        <f t="shared" si="7"/>
        <v>0</v>
      </c>
      <c r="AT15" s="458">
        <f t="shared" si="8"/>
        <v>0</v>
      </c>
      <c r="AU15" s="827">
        <f t="shared" si="9"/>
        <v>0</v>
      </c>
      <c r="AV15" s="836">
        <f t="shared" si="36"/>
        <v>0</v>
      </c>
      <c r="AW15" s="826">
        <f t="shared" si="10"/>
        <v>6.5973333333333342</v>
      </c>
      <c r="AX15" s="458">
        <f t="shared" si="11"/>
        <v>0</v>
      </c>
      <c r="AY15" s="827">
        <f t="shared" si="12"/>
        <v>0</v>
      </c>
      <c r="AZ15" s="836">
        <f t="shared" si="37"/>
        <v>6.5973333333333342</v>
      </c>
    </row>
    <row r="16" spans="1:52">
      <c r="A16" s="787">
        <f t="shared" si="38"/>
        <v>42269</v>
      </c>
      <c r="B16" s="788">
        <v>0</v>
      </c>
      <c r="F16" s="799">
        <f t="shared" si="0"/>
        <v>0.40266666666666584</v>
      </c>
      <c r="G16" s="829">
        <f t="shared" si="13"/>
        <v>0</v>
      </c>
      <c r="H16" s="829">
        <f t="shared" si="1"/>
        <v>0</v>
      </c>
      <c r="I16" s="829">
        <f t="shared" si="2"/>
        <v>0</v>
      </c>
      <c r="J16" s="829">
        <f t="shared" si="3"/>
        <v>-0.40266666666666584</v>
      </c>
      <c r="K16" s="810">
        <f t="shared" si="14"/>
        <v>0</v>
      </c>
      <c r="L16" s="814">
        <f t="shared" si="15"/>
        <v>0</v>
      </c>
      <c r="M16" s="810">
        <f t="shared" si="16"/>
        <v>0</v>
      </c>
      <c r="N16" s="811">
        <f t="shared" si="17"/>
        <v>97.042666666666477</v>
      </c>
      <c r="O16" s="806">
        <f>0</f>
        <v>0</v>
      </c>
      <c r="P16" s="806">
        <f>0</f>
        <v>0</v>
      </c>
      <c r="Q16" s="806">
        <f>0</f>
        <v>0</v>
      </c>
      <c r="R16" s="806">
        <v>7</v>
      </c>
      <c r="S16" s="809">
        <f t="shared" si="18"/>
        <v>0</v>
      </c>
      <c r="T16" s="809">
        <f t="shared" si="19"/>
        <v>0</v>
      </c>
      <c r="U16" s="809">
        <f t="shared" si="20"/>
        <v>0</v>
      </c>
      <c r="V16" s="809">
        <f t="shared" si="21"/>
        <v>1687</v>
      </c>
      <c r="W16" s="816">
        <f t="shared" si="39"/>
        <v>42269</v>
      </c>
      <c r="X16" s="817">
        <f t="shared" si="22"/>
        <v>0</v>
      </c>
      <c r="Y16" s="460">
        <v>0</v>
      </c>
      <c r="Z16" s="818">
        <f t="shared" si="23"/>
        <v>0</v>
      </c>
      <c r="AA16" s="817">
        <f t="shared" si="4"/>
        <v>0</v>
      </c>
      <c r="AB16" s="460">
        <v>0</v>
      </c>
      <c r="AC16" s="818">
        <f t="shared" si="24"/>
        <v>0</v>
      </c>
      <c r="AD16" s="817">
        <f t="shared" si="25"/>
        <v>0</v>
      </c>
      <c r="AE16" s="460">
        <v>0</v>
      </c>
      <c r="AF16" s="818">
        <f t="shared" si="26"/>
        <v>0</v>
      </c>
      <c r="AG16" s="817">
        <f t="shared" si="5"/>
        <v>1589.9573333333335</v>
      </c>
      <c r="AH16" s="460">
        <v>0</v>
      </c>
      <c r="AI16" s="818">
        <f t="shared" si="27"/>
        <v>0</v>
      </c>
      <c r="AJ16" s="824"/>
      <c r="AK16" s="826">
        <f t="shared" si="28"/>
        <v>0</v>
      </c>
      <c r="AL16" s="458">
        <f t="shared" si="29"/>
        <v>0</v>
      </c>
      <c r="AM16" s="827">
        <f t="shared" si="30"/>
        <v>0</v>
      </c>
      <c r="AN16" s="836">
        <f t="shared" si="31"/>
        <v>0</v>
      </c>
      <c r="AO16" s="826">
        <f t="shared" si="32"/>
        <v>0</v>
      </c>
      <c r="AP16" s="458">
        <f t="shared" si="33"/>
        <v>0</v>
      </c>
      <c r="AQ16" s="827">
        <f t="shared" si="34"/>
        <v>0</v>
      </c>
      <c r="AR16" s="836">
        <f t="shared" si="35"/>
        <v>0</v>
      </c>
      <c r="AS16" s="826">
        <f t="shared" si="7"/>
        <v>0</v>
      </c>
      <c r="AT16" s="458">
        <f t="shared" si="8"/>
        <v>0</v>
      </c>
      <c r="AU16" s="827">
        <f t="shared" si="9"/>
        <v>0</v>
      </c>
      <c r="AV16" s="836">
        <f t="shared" si="36"/>
        <v>0</v>
      </c>
      <c r="AW16" s="826">
        <f t="shared" si="10"/>
        <v>6.5973333333333342</v>
      </c>
      <c r="AX16" s="458">
        <f t="shared" si="11"/>
        <v>0</v>
      </c>
      <c r="AY16" s="827">
        <f t="shared" si="12"/>
        <v>0</v>
      </c>
      <c r="AZ16" s="836">
        <f t="shared" si="37"/>
        <v>6.5973333333333342</v>
      </c>
    </row>
    <row r="17" spans="1:52">
      <c r="A17" s="787">
        <f t="shared" si="38"/>
        <v>42270</v>
      </c>
      <c r="B17" s="788">
        <v>0</v>
      </c>
      <c r="F17" s="799">
        <f t="shared" si="0"/>
        <v>0.40266666666666584</v>
      </c>
      <c r="G17" s="829">
        <f t="shared" si="13"/>
        <v>0</v>
      </c>
      <c r="H17" s="829">
        <f t="shared" si="1"/>
        <v>0</v>
      </c>
      <c r="I17" s="829">
        <f t="shared" si="2"/>
        <v>0</v>
      </c>
      <c r="J17" s="829">
        <f t="shared" si="3"/>
        <v>-0.40266666666666584</v>
      </c>
      <c r="K17" s="810">
        <f t="shared" si="14"/>
        <v>0</v>
      </c>
      <c r="L17" s="814">
        <f t="shared" si="15"/>
        <v>0</v>
      </c>
      <c r="M17" s="810">
        <f t="shared" si="16"/>
        <v>0</v>
      </c>
      <c r="N17" s="811">
        <f t="shared" si="17"/>
        <v>97.042666666666477</v>
      </c>
      <c r="O17" s="806">
        <f>0</f>
        <v>0</v>
      </c>
      <c r="P17" s="806">
        <f>0</f>
        <v>0</v>
      </c>
      <c r="Q17" s="806">
        <f>0</f>
        <v>0</v>
      </c>
      <c r="R17" s="806">
        <v>7</v>
      </c>
      <c r="S17" s="809">
        <f t="shared" si="18"/>
        <v>0</v>
      </c>
      <c r="T17" s="809">
        <f t="shared" si="19"/>
        <v>0</v>
      </c>
      <c r="U17" s="809">
        <f t="shared" si="20"/>
        <v>0</v>
      </c>
      <c r="V17" s="809">
        <f t="shared" si="21"/>
        <v>1687</v>
      </c>
      <c r="W17" s="816">
        <f t="shared" si="39"/>
        <v>42270</v>
      </c>
      <c r="X17" s="817">
        <f t="shared" si="22"/>
        <v>0</v>
      </c>
      <c r="Y17" s="460">
        <v>0</v>
      </c>
      <c r="Z17" s="818">
        <f t="shared" si="23"/>
        <v>0</v>
      </c>
      <c r="AA17" s="817">
        <f t="shared" si="4"/>
        <v>0</v>
      </c>
      <c r="AB17" s="460">
        <v>0</v>
      </c>
      <c r="AC17" s="818">
        <f t="shared" si="24"/>
        <v>0</v>
      </c>
      <c r="AD17" s="817">
        <f t="shared" si="25"/>
        <v>0</v>
      </c>
      <c r="AE17" s="460">
        <v>0</v>
      </c>
      <c r="AF17" s="818">
        <f t="shared" si="26"/>
        <v>0</v>
      </c>
      <c r="AG17" s="817">
        <f t="shared" si="5"/>
        <v>1589.9573333333335</v>
      </c>
      <c r="AH17" s="460">
        <v>0</v>
      </c>
      <c r="AI17" s="818">
        <f t="shared" si="27"/>
        <v>0</v>
      </c>
      <c r="AJ17" s="824"/>
      <c r="AK17" s="826">
        <f t="shared" si="28"/>
        <v>0</v>
      </c>
      <c r="AL17" s="458">
        <f t="shared" si="29"/>
        <v>0</v>
      </c>
      <c r="AM17" s="827">
        <f t="shared" si="30"/>
        <v>0</v>
      </c>
      <c r="AN17" s="836">
        <f t="shared" si="31"/>
        <v>0</v>
      </c>
      <c r="AO17" s="826">
        <f t="shared" si="32"/>
        <v>0</v>
      </c>
      <c r="AP17" s="458">
        <f t="shared" si="33"/>
        <v>0</v>
      </c>
      <c r="AQ17" s="827">
        <f t="shared" si="34"/>
        <v>0</v>
      </c>
      <c r="AR17" s="836">
        <f t="shared" si="35"/>
        <v>0</v>
      </c>
      <c r="AS17" s="826">
        <f t="shared" si="7"/>
        <v>0</v>
      </c>
      <c r="AT17" s="458">
        <f t="shared" si="8"/>
        <v>0</v>
      </c>
      <c r="AU17" s="827">
        <f t="shared" si="9"/>
        <v>0</v>
      </c>
      <c r="AV17" s="836">
        <f t="shared" si="36"/>
        <v>0</v>
      </c>
      <c r="AW17" s="826">
        <f t="shared" si="10"/>
        <v>6.5973333333333342</v>
      </c>
      <c r="AX17" s="458">
        <f t="shared" si="11"/>
        <v>0</v>
      </c>
      <c r="AY17" s="827">
        <f t="shared" si="12"/>
        <v>0</v>
      </c>
      <c r="AZ17" s="836">
        <f t="shared" si="37"/>
        <v>6.5973333333333342</v>
      </c>
    </row>
    <row r="18" spans="1:52">
      <c r="A18" s="787">
        <f t="shared" si="38"/>
        <v>42271</v>
      </c>
      <c r="B18" s="788">
        <v>0</v>
      </c>
      <c r="F18" s="799">
        <f t="shared" si="0"/>
        <v>0.40266666666666584</v>
      </c>
      <c r="G18" s="829">
        <f t="shared" si="13"/>
        <v>0</v>
      </c>
      <c r="H18" s="829">
        <f t="shared" si="1"/>
        <v>0</v>
      </c>
      <c r="I18" s="829">
        <f t="shared" si="2"/>
        <v>0</v>
      </c>
      <c r="J18" s="829">
        <f t="shared" si="3"/>
        <v>-0.40266666666666584</v>
      </c>
      <c r="K18" s="810">
        <f t="shared" si="14"/>
        <v>0</v>
      </c>
      <c r="L18" s="814">
        <f t="shared" si="15"/>
        <v>0</v>
      </c>
      <c r="M18" s="810">
        <f t="shared" si="16"/>
        <v>0</v>
      </c>
      <c r="N18" s="811">
        <f t="shared" si="17"/>
        <v>97.042666666666477</v>
      </c>
      <c r="O18" s="806">
        <f>0</f>
        <v>0</v>
      </c>
      <c r="P18" s="806">
        <f>0</f>
        <v>0</v>
      </c>
      <c r="Q18" s="806">
        <f>0</f>
        <v>0</v>
      </c>
      <c r="R18" s="806">
        <v>7</v>
      </c>
      <c r="S18" s="809">
        <f t="shared" si="18"/>
        <v>0</v>
      </c>
      <c r="T18" s="809">
        <f t="shared" si="19"/>
        <v>0</v>
      </c>
      <c r="U18" s="809">
        <f t="shared" si="20"/>
        <v>0</v>
      </c>
      <c r="V18" s="809">
        <f t="shared" si="21"/>
        <v>1687</v>
      </c>
      <c r="W18" s="816">
        <f t="shared" si="39"/>
        <v>42271</v>
      </c>
      <c r="X18" s="817">
        <f t="shared" si="22"/>
        <v>0</v>
      </c>
      <c r="Y18" s="460">
        <v>0</v>
      </c>
      <c r="Z18" s="818">
        <f t="shared" si="23"/>
        <v>0</v>
      </c>
      <c r="AA18" s="817">
        <f t="shared" si="4"/>
        <v>0</v>
      </c>
      <c r="AB18" s="460">
        <v>0</v>
      </c>
      <c r="AC18" s="818">
        <f t="shared" si="24"/>
        <v>0</v>
      </c>
      <c r="AD18" s="817">
        <f t="shared" si="25"/>
        <v>0</v>
      </c>
      <c r="AE18" s="460">
        <v>0</v>
      </c>
      <c r="AF18" s="818">
        <f t="shared" si="26"/>
        <v>0</v>
      </c>
      <c r="AG18" s="817">
        <f t="shared" si="5"/>
        <v>1589.9573333333335</v>
      </c>
      <c r="AH18" s="460">
        <v>0</v>
      </c>
      <c r="AI18" s="818">
        <f t="shared" si="27"/>
        <v>0</v>
      </c>
      <c r="AJ18" s="824"/>
      <c r="AK18" s="826">
        <f t="shared" si="28"/>
        <v>0</v>
      </c>
      <c r="AL18" s="458">
        <f t="shared" si="29"/>
        <v>0</v>
      </c>
      <c r="AM18" s="827">
        <f t="shared" si="30"/>
        <v>0</v>
      </c>
      <c r="AN18" s="836">
        <f t="shared" si="31"/>
        <v>0</v>
      </c>
      <c r="AO18" s="826">
        <f t="shared" si="32"/>
        <v>0</v>
      </c>
      <c r="AP18" s="458">
        <f t="shared" si="33"/>
        <v>0</v>
      </c>
      <c r="AQ18" s="827">
        <f t="shared" si="34"/>
        <v>0</v>
      </c>
      <c r="AR18" s="836">
        <f t="shared" si="35"/>
        <v>0</v>
      </c>
      <c r="AS18" s="826">
        <f t="shared" si="7"/>
        <v>0</v>
      </c>
      <c r="AT18" s="458">
        <f t="shared" si="8"/>
        <v>0</v>
      </c>
      <c r="AU18" s="827">
        <f t="shared" si="9"/>
        <v>0</v>
      </c>
      <c r="AV18" s="836">
        <f t="shared" si="36"/>
        <v>0</v>
      </c>
      <c r="AW18" s="826">
        <f t="shared" si="10"/>
        <v>6.5973333333333342</v>
      </c>
      <c r="AX18" s="458">
        <f t="shared" si="11"/>
        <v>0</v>
      </c>
      <c r="AY18" s="827">
        <f t="shared" si="12"/>
        <v>0</v>
      </c>
      <c r="AZ18" s="836">
        <f t="shared" si="37"/>
        <v>6.5973333333333342</v>
      </c>
    </row>
    <row r="19" spans="1:52">
      <c r="A19" s="787">
        <f t="shared" si="38"/>
        <v>42272</v>
      </c>
      <c r="B19" s="788">
        <v>1.3</v>
      </c>
      <c r="E19" s="802">
        <f>AVERAGE(B$19:B$48)</f>
        <v>7.7688888888889513</v>
      </c>
      <c r="F19" s="799">
        <f t="shared" si="0"/>
        <v>0.40266666666666584</v>
      </c>
      <c r="G19" s="829">
        <f t="shared" si="13"/>
        <v>0</v>
      </c>
      <c r="H19" s="829">
        <f t="shared" si="1"/>
        <v>0</v>
      </c>
      <c r="I19" s="829">
        <f t="shared" si="2"/>
        <v>-7.7688888888889513</v>
      </c>
      <c r="J19" s="829">
        <f t="shared" si="3"/>
        <v>-0.40266666666666584</v>
      </c>
      <c r="K19" s="810">
        <f t="shared" si="14"/>
        <v>0</v>
      </c>
      <c r="L19" s="814">
        <f t="shared" si="15"/>
        <v>0</v>
      </c>
      <c r="M19" s="810">
        <f t="shared" si="16"/>
        <v>1456.6666666666783</v>
      </c>
      <c r="N19" s="811">
        <f t="shared" si="17"/>
        <v>97.042666666666477</v>
      </c>
      <c r="O19" s="806">
        <f>0</f>
        <v>0</v>
      </c>
      <c r="P19" s="806">
        <f>0</f>
        <v>0</v>
      </c>
      <c r="Q19" s="806">
        <v>7</v>
      </c>
      <c r="R19" s="806">
        <v>7</v>
      </c>
      <c r="S19" s="809">
        <f t="shared" si="18"/>
        <v>0</v>
      </c>
      <c r="T19" s="809">
        <f t="shared" si="19"/>
        <v>0</v>
      </c>
      <c r="U19" s="809">
        <f t="shared" si="20"/>
        <v>1312.5</v>
      </c>
      <c r="V19" s="809">
        <f t="shared" si="21"/>
        <v>1687</v>
      </c>
      <c r="W19" s="816">
        <f t="shared" si="39"/>
        <v>42272</v>
      </c>
      <c r="X19" s="817">
        <f t="shared" si="22"/>
        <v>0</v>
      </c>
      <c r="Y19" s="460">
        <v>0</v>
      </c>
      <c r="Z19" s="818">
        <f t="shared" si="23"/>
        <v>0</v>
      </c>
      <c r="AA19" s="817">
        <f t="shared" si="4"/>
        <v>0</v>
      </c>
      <c r="AB19" s="460">
        <v>0</v>
      </c>
      <c r="AC19" s="818">
        <f t="shared" si="24"/>
        <v>0</v>
      </c>
      <c r="AD19" s="817">
        <f t="shared" si="25"/>
        <v>0</v>
      </c>
      <c r="AE19" s="460">
        <v>0</v>
      </c>
      <c r="AF19" s="818">
        <f t="shared" si="26"/>
        <v>0</v>
      </c>
      <c r="AG19" s="817">
        <f t="shared" si="5"/>
        <v>1589.9573333333335</v>
      </c>
      <c r="AH19" s="460">
        <v>0</v>
      </c>
      <c r="AI19" s="818">
        <f t="shared" si="27"/>
        <v>0</v>
      </c>
      <c r="AJ19" s="824"/>
      <c r="AK19" s="826">
        <f t="shared" si="28"/>
        <v>0</v>
      </c>
      <c r="AL19" s="458">
        <f t="shared" si="29"/>
        <v>0</v>
      </c>
      <c r="AM19" s="827">
        <f t="shared" si="30"/>
        <v>0</v>
      </c>
      <c r="AN19" s="836">
        <f t="shared" si="31"/>
        <v>0</v>
      </c>
      <c r="AO19" s="826">
        <f t="shared" si="32"/>
        <v>0</v>
      </c>
      <c r="AP19" s="458">
        <f t="shared" si="33"/>
        <v>0</v>
      </c>
      <c r="AQ19" s="827">
        <f t="shared" si="34"/>
        <v>0</v>
      </c>
      <c r="AR19" s="836">
        <f t="shared" si="35"/>
        <v>0</v>
      </c>
      <c r="AS19" s="826">
        <f t="shared" si="7"/>
        <v>0</v>
      </c>
      <c r="AT19" s="458">
        <f t="shared" si="8"/>
        <v>0</v>
      </c>
      <c r="AU19" s="827">
        <f t="shared" si="9"/>
        <v>0</v>
      </c>
      <c r="AV19" s="836">
        <f t="shared" si="36"/>
        <v>0</v>
      </c>
      <c r="AW19" s="826">
        <f t="shared" si="10"/>
        <v>6.5973333333333342</v>
      </c>
      <c r="AX19" s="458">
        <f t="shared" si="11"/>
        <v>0</v>
      </c>
      <c r="AY19" s="827">
        <f t="shared" si="12"/>
        <v>0</v>
      </c>
      <c r="AZ19" s="836">
        <f t="shared" si="37"/>
        <v>6.5973333333333342</v>
      </c>
    </row>
    <row r="20" spans="1:52">
      <c r="A20" s="787">
        <f t="shared" si="38"/>
        <v>42273</v>
      </c>
      <c r="B20" s="786">
        <v>0</v>
      </c>
      <c r="E20" s="802">
        <f t="shared" ref="E20:E48" si="40">AVERAGE(B$19:B$48)</f>
        <v>7.7688888888889513</v>
      </c>
      <c r="F20" s="799">
        <f t="shared" si="0"/>
        <v>0.40266666666666584</v>
      </c>
      <c r="G20" s="829">
        <f t="shared" si="13"/>
        <v>0</v>
      </c>
      <c r="H20" s="829">
        <f t="shared" si="1"/>
        <v>0</v>
      </c>
      <c r="I20" s="829">
        <f t="shared" si="2"/>
        <v>-7.7688888888889513</v>
      </c>
      <c r="J20" s="829">
        <f t="shared" si="3"/>
        <v>-0.40266666666666584</v>
      </c>
      <c r="K20" s="810">
        <f t="shared" si="14"/>
        <v>0</v>
      </c>
      <c r="L20" s="814">
        <f t="shared" si="15"/>
        <v>0</v>
      </c>
      <c r="M20" s="810">
        <f t="shared" si="16"/>
        <v>1456.6666666666783</v>
      </c>
      <c r="N20" s="811">
        <f t="shared" si="17"/>
        <v>97.042666666666477</v>
      </c>
      <c r="O20" s="806">
        <f>0</f>
        <v>0</v>
      </c>
      <c r="P20" s="806">
        <f>0</f>
        <v>0</v>
      </c>
      <c r="Q20" s="806">
        <v>7</v>
      </c>
      <c r="R20" s="806">
        <v>7</v>
      </c>
      <c r="S20" s="809">
        <f t="shared" si="18"/>
        <v>0</v>
      </c>
      <c r="T20" s="809">
        <f t="shared" si="19"/>
        <v>0</v>
      </c>
      <c r="U20" s="809">
        <f t="shared" si="20"/>
        <v>1312.5</v>
      </c>
      <c r="V20" s="809">
        <f t="shared" si="21"/>
        <v>1687</v>
      </c>
      <c r="W20" s="816">
        <f t="shared" si="39"/>
        <v>42273</v>
      </c>
      <c r="X20" s="817">
        <f t="shared" si="22"/>
        <v>0</v>
      </c>
      <c r="Y20" s="460">
        <v>0</v>
      </c>
      <c r="Z20" s="818">
        <f t="shared" si="23"/>
        <v>0</v>
      </c>
      <c r="AA20" s="817">
        <f t="shared" si="4"/>
        <v>0</v>
      </c>
      <c r="AB20" s="460">
        <v>0</v>
      </c>
      <c r="AC20" s="818">
        <f t="shared" si="24"/>
        <v>0</v>
      </c>
      <c r="AD20" s="817">
        <f t="shared" si="25"/>
        <v>0</v>
      </c>
      <c r="AE20" s="460">
        <v>0</v>
      </c>
      <c r="AF20" s="818">
        <f t="shared" si="26"/>
        <v>0</v>
      </c>
      <c r="AG20" s="817">
        <f t="shared" si="5"/>
        <v>1589.9573333333335</v>
      </c>
      <c r="AH20" s="460">
        <v>0</v>
      </c>
      <c r="AI20" s="818">
        <f t="shared" si="27"/>
        <v>0</v>
      </c>
      <c r="AJ20" s="824"/>
      <c r="AK20" s="826">
        <f t="shared" si="28"/>
        <v>0</v>
      </c>
      <c r="AL20" s="458">
        <f t="shared" si="29"/>
        <v>0</v>
      </c>
      <c r="AM20" s="827">
        <f t="shared" si="30"/>
        <v>0</v>
      </c>
      <c r="AN20" s="836">
        <f t="shared" si="31"/>
        <v>0</v>
      </c>
      <c r="AO20" s="826">
        <f t="shared" si="32"/>
        <v>0</v>
      </c>
      <c r="AP20" s="458">
        <f t="shared" si="33"/>
        <v>0</v>
      </c>
      <c r="AQ20" s="827">
        <f t="shared" si="34"/>
        <v>0</v>
      </c>
      <c r="AR20" s="836">
        <f t="shared" si="35"/>
        <v>0</v>
      </c>
      <c r="AS20" s="826">
        <f t="shared" si="7"/>
        <v>0</v>
      </c>
      <c r="AT20" s="458">
        <f t="shared" si="8"/>
        <v>0</v>
      </c>
      <c r="AU20" s="827">
        <f t="shared" si="9"/>
        <v>0</v>
      </c>
      <c r="AV20" s="836">
        <f t="shared" si="36"/>
        <v>0</v>
      </c>
      <c r="AW20" s="826">
        <f t="shared" si="10"/>
        <v>6.5973333333333342</v>
      </c>
      <c r="AX20" s="458">
        <f t="shared" si="11"/>
        <v>0</v>
      </c>
      <c r="AY20" s="827">
        <f t="shared" si="12"/>
        <v>0</v>
      </c>
      <c r="AZ20" s="836">
        <f t="shared" si="37"/>
        <v>6.5973333333333342</v>
      </c>
    </row>
    <row r="21" spans="1:52">
      <c r="A21" s="787">
        <f t="shared" si="38"/>
        <v>42274</v>
      </c>
      <c r="B21" s="786">
        <v>0</v>
      </c>
      <c r="E21" s="802">
        <f t="shared" si="40"/>
        <v>7.7688888888889513</v>
      </c>
      <c r="F21" s="799">
        <f t="shared" si="0"/>
        <v>0.40266666666666584</v>
      </c>
      <c r="G21" s="829">
        <f t="shared" si="13"/>
        <v>0</v>
      </c>
      <c r="H21" s="829">
        <f t="shared" si="1"/>
        <v>0</v>
      </c>
      <c r="I21" s="829">
        <f t="shared" si="2"/>
        <v>-7.7688888888889513</v>
      </c>
      <c r="J21" s="829">
        <f t="shared" si="3"/>
        <v>-0.40266666666666584</v>
      </c>
      <c r="K21" s="810">
        <f t="shared" si="14"/>
        <v>0</v>
      </c>
      <c r="L21" s="814">
        <f t="shared" si="15"/>
        <v>0</v>
      </c>
      <c r="M21" s="810">
        <f t="shared" si="16"/>
        <v>1456.6666666666783</v>
      </c>
      <c r="N21" s="811">
        <f t="shared" si="17"/>
        <v>97.042666666666477</v>
      </c>
      <c r="O21" s="806">
        <f>0</f>
        <v>0</v>
      </c>
      <c r="P21" s="806">
        <f>0</f>
        <v>0</v>
      </c>
      <c r="Q21" s="806">
        <v>7</v>
      </c>
      <c r="R21" s="806">
        <v>7</v>
      </c>
      <c r="S21" s="809">
        <f t="shared" si="18"/>
        <v>0</v>
      </c>
      <c r="T21" s="809">
        <f t="shared" si="19"/>
        <v>0</v>
      </c>
      <c r="U21" s="809">
        <f t="shared" si="20"/>
        <v>1312.5</v>
      </c>
      <c r="V21" s="809">
        <f t="shared" si="21"/>
        <v>1687</v>
      </c>
      <c r="W21" s="816">
        <f t="shared" si="39"/>
        <v>42274</v>
      </c>
      <c r="X21" s="817">
        <f t="shared" si="22"/>
        <v>0</v>
      </c>
      <c r="Y21" s="460">
        <v>0</v>
      </c>
      <c r="Z21" s="818">
        <f t="shared" si="23"/>
        <v>0</v>
      </c>
      <c r="AA21" s="817">
        <f t="shared" si="4"/>
        <v>0</v>
      </c>
      <c r="AB21" s="460">
        <v>0</v>
      </c>
      <c r="AC21" s="818">
        <f t="shared" si="24"/>
        <v>0</v>
      </c>
      <c r="AD21" s="817">
        <f t="shared" si="25"/>
        <v>0</v>
      </c>
      <c r="AE21" s="460">
        <v>0</v>
      </c>
      <c r="AF21" s="818">
        <f t="shared" si="26"/>
        <v>0</v>
      </c>
      <c r="AG21" s="817">
        <f t="shared" si="5"/>
        <v>1589.9573333333335</v>
      </c>
      <c r="AH21" s="460">
        <v>0</v>
      </c>
      <c r="AI21" s="818">
        <f t="shared" si="27"/>
        <v>0</v>
      </c>
      <c r="AJ21" s="824"/>
      <c r="AK21" s="826">
        <f t="shared" si="28"/>
        <v>0</v>
      </c>
      <c r="AL21" s="458">
        <f t="shared" si="29"/>
        <v>0</v>
      </c>
      <c r="AM21" s="827">
        <f t="shared" si="30"/>
        <v>0</v>
      </c>
      <c r="AN21" s="836">
        <f t="shared" si="31"/>
        <v>0</v>
      </c>
      <c r="AO21" s="826">
        <f t="shared" si="32"/>
        <v>0</v>
      </c>
      <c r="AP21" s="458">
        <f t="shared" si="33"/>
        <v>0</v>
      </c>
      <c r="AQ21" s="827">
        <f t="shared" si="34"/>
        <v>0</v>
      </c>
      <c r="AR21" s="836">
        <f t="shared" si="35"/>
        <v>0</v>
      </c>
      <c r="AS21" s="826">
        <f t="shared" si="7"/>
        <v>0</v>
      </c>
      <c r="AT21" s="458">
        <f t="shared" si="8"/>
        <v>0</v>
      </c>
      <c r="AU21" s="827">
        <f t="shared" si="9"/>
        <v>0</v>
      </c>
      <c r="AV21" s="836">
        <f t="shared" si="36"/>
        <v>0</v>
      </c>
      <c r="AW21" s="826">
        <f t="shared" si="10"/>
        <v>6.5973333333333342</v>
      </c>
      <c r="AX21" s="458">
        <f t="shared" si="11"/>
        <v>0</v>
      </c>
      <c r="AY21" s="827">
        <f t="shared" si="12"/>
        <v>0</v>
      </c>
      <c r="AZ21" s="836">
        <f t="shared" si="37"/>
        <v>6.5973333333333342</v>
      </c>
    </row>
    <row r="22" spans="1:52">
      <c r="A22" s="787">
        <f t="shared" si="38"/>
        <v>42275</v>
      </c>
      <c r="B22" s="786">
        <v>0</v>
      </c>
      <c r="E22" s="802">
        <f t="shared" si="40"/>
        <v>7.7688888888889513</v>
      </c>
      <c r="F22" s="799">
        <f t="shared" si="0"/>
        <v>0.40266666666666584</v>
      </c>
      <c r="G22" s="829">
        <f t="shared" si="13"/>
        <v>0</v>
      </c>
      <c r="H22" s="829">
        <f t="shared" si="1"/>
        <v>0</v>
      </c>
      <c r="I22" s="829">
        <f t="shared" si="2"/>
        <v>-7.7688888888889513</v>
      </c>
      <c r="J22" s="829">
        <f t="shared" si="3"/>
        <v>-0.40266666666666584</v>
      </c>
      <c r="K22" s="810">
        <f t="shared" si="14"/>
        <v>0</v>
      </c>
      <c r="L22" s="814">
        <f t="shared" si="15"/>
        <v>0</v>
      </c>
      <c r="M22" s="810">
        <f t="shared" si="16"/>
        <v>1456.6666666666783</v>
      </c>
      <c r="N22" s="811">
        <f t="shared" si="17"/>
        <v>97.042666666666477</v>
      </c>
      <c r="O22" s="806">
        <f>0</f>
        <v>0</v>
      </c>
      <c r="P22" s="806">
        <f>0</f>
        <v>0</v>
      </c>
      <c r="Q22" s="806">
        <v>7</v>
      </c>
      <c r="R22" s="806">
        <v>7</v>
      </c>
      <c r="S22" s="809">
        <f t="shared" si="18"/>
        <v>0</v>
      </c>
      <c r="T22" s="809">
        <f t="shared" si="19"/>
        <v>0</v>
      </c>
      <c r="U22" s="809">
        <f t="shared" si="20"/>
        <v>1312.5</v>
      </c>
      <c r="V22" s="809">
        <f t="shared" si="21"/>
        <v>1687</v>
      </c>
      <c r="W22" s="816">
        <f t="shared" si="39"/>
        <v>42275</v>
      </c>
      <c r="X22" s="817">
        <f t="shared" si="22"/>
        <v>0</v>
      </c>
      <c r="Y22" s="460">
        <v>0</v>
      </c>
      <c r="Z22" s="818">
        <f t="shared" si="23"/>
        <v>0</v>
      </c>
      <c r="AA22" s="817">
        <f t="shared" si="4"/>
        <v>0</v>
      </c>
      <c r="AB22" s="460">
        <v>0</v>
      </c>
      <c r="AC22" s="818">
        <f t="shared" si="24"/>
        <v>0</v>
      </c>
      <c r="AD22" s="817">
        <f t="shared" si="25"/>
        <v>0</v>
      </c>
      <c r="AE22" s="460">
        <v>0</v>
      </c>
      <c r="AF22" s="818">
        <f t="shared" si="26"/>
        <v>0</v>
      </c>
      <c r="AG22" s="817">
        <f t="shared" si="5"/>
        <v>1589.9573333333335</v>
      </c>
      <c r="AH22" s="460">
        <v>0</v>
      </c>
      <c r="AI22" s="818">
        <f t="shared" si="27"/>
        <v>0</v>
      </c>
      <c r="AJ22" s="824"/>
      <c r="AK22" s="826">
        <f t="shared" si="28"/>
        <v>0</v>
      </c>
      <c r="AL22" s="458">
        <f t="shared" si="29"/>
        <v>0</v>
      </c>
      <c r="AM22" s="827">
        <f t="shared" si="30"/>
        <v>0</v>
      </c>
      <c r="AN22" s="836">
        <f t="shared" si="31"/>
        <v>0</v>
      </c>
      <c r="AO22" s="826">
        <f t="shared" si="32"/>
        <v>0</v>
      </c>
      <c r="AP22" s="458">
        <f t="shared" si="33"/>
        <v>0</v>
      </c>
      <c r="AQ22" s="827">
        <f t="shared" si="34"/>
        <v>0</v>
      </c>
      <c r="AR22" s="836">
        <f t="shared" si="35"/>
        <v>0</v>
      </c>
      <c r="AS22" s="826">
        <f t="shared" si="7"/>
        <v>0</v>
      </c>
      <c r="AT22" s="458">
        <f t="shared" si="8"/>
        <v>0</v>
      </c>
      <c r="AU22" s="827">
        <f t="shared" si="9"/>
        <v>0</v>
      </c>
      <c r="AV22" s="836">
        <f t="shared" si="36"/>
        <v>0</v>
      </c>
      <c r="AW22" s="826">
        <f t="shared" si="10"/>
        <v>6.5973333333333342</v>
      </c>
      <c r="AX22" s="458">
        <f t="shared" si="11"/>
        <v>0</v>
      </c>
      <c r="AY22" s="827">
        <f t="shared" si="12"/>
        <v>0</v>
      </c>
      <c r="AZ22" s="836">
        <f t="shared" si="37"/>
        <v>6.5973333333333342</v>
      </c>
    </row>
    <row r="23" spans="1:52">
      <c r="A23" s="787">
        <f t="shared" si="38"/>
        <v>42276</v>
      </c>
      <c r="B23" s="786">
        <v>0</v>
      </c>
      <c r="E23" s="802">
        <f t="shared" si="40"/>
        <v>7.7688888888889513</v>
      </c>
      <c r="F23" s="799">
        <f t="shared" si="0"/>
        <v>0.40266666666666584</v>
      </c>
      <c r="G23" s="829">
        <f t="shared" si="13"/>
        <v>0</v>
      </c>
      <c r="H23" s="829">
        <f t="shared" si="1"/>
        <v>0</v>
      </c>
      <c r="I23" s="829">
        <f t="shared" si="2"/>
        <v>-7.7688888888889513</v>
      </c>
      <c r="J23" s="829">
        <f t="shared" si="3"/>
        <v>-0.40266666666666584</v>
      </c>
      <c r="K23" s="810">
        <f t="shared" si="14"/>
        <v>0</v>
      </c>
      <c r="L23" s="814">
        <f t="shared" si="15"/>
        <v>0</v>
      </c>
      <c r="M23" s="810">
        <f t="shared" si="16"/>
        <v>1456.6666666666783</v>
      </c>
      <c r="N23" s="811">
        <f t="shared" si="17"/>
        <v>97.042666666666477</v>
      </c>
      <c r="O23" s="806">
        <f>0</f>
        <v>0</v>
      </c>
      <c r="P23" s="806">
        <f>0</f>
        <v>0</v>
      </c>
      <c r="Q23" s="806">
        <v>7</v>
      </c>
      <c r="R23" s="806">
        <v>7</v>
      </c>
      <c r="S23" s="809">
        <f t="shared" si="18"/>
        <v>0</v>
      </c>
      <c r="T23" s="809">
        <f t="shared" si="19"/>
        <v>0</v>
      </c>
      <c r="U23" s="809">
        <f t="shared" si="20"/>
        <v>1312.5</v>
      </c>
      <c r="V23" s="809">
        <f t="shared" si="21"/>
        <v>1687</v>
      </c>
      <c r="W23" s="816">
        <f t="shared" si="39"/>
        <v>42276</v>
      </c>
      <c r="X23" s="817">
        <f t="shared" si="22"/>
        <v>0</v>
      </c>
      <c r="Y23" s="460">
        <v>0</v>
      </c>
      <c r="Z23" s="818">
        <f t="shared" si="23"/>
        <v>0</v>
      </c>
      <c r="AA23" s="817">
        <f t="shared" si="4"/>
        <v>0</v>
      </c>
      <c r="AB23" s="460">
        <v>0</v>
      </c>
      <c r="AC23" s="818">
        <f t="shared" si="24"/>
        <v>0</v>
      </c>
      <c r="AD23" s="817">
        <f t="shared" si="25"/>
        <v>0</v>
      </c>
      <c r="AE23" s="460">
        <v>0</v>
      </c>
      <c r="AF23" s="818">
        <f t="shared" si="26"/>
        <v>0</v>
      </c>
      <c r="AG23" s="817">
        <f t="shared" si="5"/>
        <v>1589.9573333333335</v>
      </c>
      <c r="AH23" s="460">
        <v>0</v>
      </c>
      <c r="AI23" s="818">
        <f t="shared" si="27"/>
        <v>0</v>
      </c>
      <c r="AJ23" s="824"/>
      <c r="AK23" s="826">
        <f t="shared" si="28"/>
        <v>0</v>
      </c>
      <c r="AL23" s="458">
        <f t="shared" si="29"/>
        <v>0</v>
      </c>
      <c r="AM23" s="827">
        <f t="shared" si="30"/>
        <v>0</v>
      </c>
      <c r="AN23" s="836">
        <f t="shared" si="31"/>
        <v>0</v>
      </c>
      <c r="AO23" s="826">
        <f t="shared" si="32"/>
        <v>0</v>
      </c>
      <c r="AP23" s="458">
        <f t="shared" si="33"/>
        <v>0</v>
      </c>
      <c r="AQ23" s="827">
        <f t="shared" si="34"/>
        <v>0</v>
      </c>
      <c r="AR23" s="836">
        <f t="shared" si="35"/>
        <v>0</v>
      </c>
      <c r="AS23" s="826">
        <f t="shared" si="7"/>
        <v>0</v>
      </c>
      <c r="AT23" s="458">
        <f t="shared" si="8"/>
        <v>0</v>
      </c>
      <c r="AU23" s="827">
        <f t="shared" si="9"/>
        <v>0</v>
      </c>
      <c r="AV23" s="836">
        <f t="shared" si="36"/>
        <v>0</v>
      </c>
      <c r="AW23" s="826">
        <f t="shared" si="10"/>
        <v>6.5973333333333342</v>
      </c>
      <c r="AX23" s="458">
        <f t="shared" si="11"/>
        <v>0</v>
      </c>
      <c r="AY23" s="827">
        <f t="shared" si="12"/>
        <v>0</v>
      </c>
      <c r="AZ23" s="836">
        <f t="shared" si="37"/>
        <v>6.5973333333333342</v>
      </c>
    </row>
    <row r="24" spans="1:52">
      <c r="A24" s="787">
        <f t="shared" si="38"/>
        <v>42277</v>
      </c>
      <c r="B24" s="786">
        <v>0</v>
      </c>
      <c r="E24" s="802">
        <f t="shared" si="40"/>
        <v>7.7688888888889513</v>
      </c>
      <c r="F24" s="799">
        <f t="shared" si="0"/>
        <v>0.40266666666666584</v>
      </c>
      <c r="G24" s="829">
        <f t="shared" si="13"/>
        <v>0</v>
      </c>
      <c r="H24" s="829">
        <f t="shared" si="1"/>
        <v>0</v>
      </c>
      <c r="I24" s="829">
        <f t="shared" si="2"/>
        <v>-7.7688888888889513</v>
      </c>
      <c r="J24" s="829">
        <f t="shared" si="3"/>
        <v>-0.40266666666666584</v>
      </c>
      <c r="K24" s="810">
        <f t="shared" si="14"/>
        <v>0</v>
      </c>
      <c r="L24" s="814">
        <f t="shared" si="15"/>
        <v>0</v>
      </c>
      <c r="M24" s="810">
        <f t="shared" si="16"/>
        <v>1456.6666666666783</v>
      </c>
      <c r="N24" s="811">
        <f t="shared" si="17"/>
        <v>97.042666666666477</v>
      </c>
      <c r="O24" s="806">
        <f>0</f>
        <v>0</v>
      </c>
      <c r="P24" s="806">
        <f>0</f>
        <v>0</v>
      </c>
      <c r="Q24" s="806">
        <v>7</v>
      </c>
      <c r="R24" s="806">
        <v>7</v>
      </c>
      <c r="S24" s="809">
        <f t="shared" si="18"/>
        <v>0</v>
      </c>
      <c r="T24" s="809">
        <f t="shared" si="19"/>
        <v>0</v>
      </c>
      <c r="U24" s="809">
        <f t="shared" si="20"/>
        <v>1312.5</v>
      </c>
      <c r="V24" s="809">
        <f t="shared" si="21"/>
        <v>1687</v>
      </c>
      <c r="W24" s="816">
        <f t="shared" si="39"/>
        <v>42277</v>
      </c>
      <c r="X24" s="817">
        <f t="shared" si="22"/>
        <v>0</v>
      </c>
      <c r="Y24" s="460">
        <v>0</v>
      </c>
      <c r="Z24" s="818">
        <f t="shared" si="23"/>
        <v>0</v>
      </c>
      <c r="AA24" s="817">
        <f t="shared" si="4"/>
        <v>0</v>
      </c>
      <c r="AB24" s="460">
        <v>0</v>
      </c>
      <c r="AC24" s="818">
        <f t="shared" si="24"/>
        <v>0</v>
      </c>
      <c r="AD24" s="817">
        <f t="shared" si="25"/>
        <v>0</v>
      </c>
      <c r="AE24" s="460">
        <v>0</v>
      </c>
      <c r="AF24" s="818">
        <f t="shared" si="26"/>
        <v>0</v>
      </c>
      <c r="AG24" s="817">
        <f t="shared" si="5"/>
        <v>1589.9573333333335</v>
      </c>
      <c r="AH24" s="460">
        <v>0</v>
      </c>
      <c r="AI24" s="818">
        <f t="shared" si="27"/>
        <v>0</v>
      </c>
      <c r="AJ24" s="824"/>
      <c r="AK24" s="826">
        <f t="shared" si="28"/>
        <v>0</v>
      </c>
      <c r="AL24" s="458">
        <f t="shared" si="29"/>
        <v>0</v>
      </c>
      <c r="AM24" s="827">
        <f t="shared" si="30"/>
        <v>0</v>
      </c>
      <c r="AN24" s="836">
        <f t="shared" si="31"/>
        <v>0</v>
      </c>
      <c r="AO24" s="826">
        <f t="shared" si="32"/>
        <v>0</v>
      </c>
      <c r="AP24" s="458">
        <f t="shared" si="33"/>
        <v>0</v>
      </c>
      <c r="AQ24" s="827">
        <f t="shared" si="34"/>
        <v>0</v>
      </c>
      <c r="AR24" s="836">
        <f t="shared" si="35"/>
        <v>0</v>
      </c>
      <c r="AS24" s="826">
        <f t="shared" si="7"/>
        <v>0</v>
      </c>
      <c r="AT24" s="458">
        <f t="shared" si="8"/>
        <v>0</v>
      </c>
      <c r="AU24" s="827">
        <f t="shared" si="9"/>
        <v>0</v>
      </c>
      <c r="AV24" s="836">
        <f t="shared" si="36"/>
        <v>0</v>
      </c>
      <c r="AW24" s="826">
        <f t="shared" si="10"/>
        <v>6.5973333333333342</v>
      </c>
      <c r="AX24" s="458">
        <f t="shared" si="11"/>
        <v>0</v>
      </c>
      <c r="AY24" s="827">
        <f t="shared" si="12"/>
        <v>0</v>
      </c>
      <c r="AZ24" s="836">
        <f t="shared" si="37"/>
        <v>6.5973333333333342</v>
      </c>
    </row>
    <row r="25" spans="1:52">
      <c r="A25" s="787">
        <f t="shared" si="38"/>
        <v>42278</v>
      </c>
      <c r="B25" s="786">
        <v>0</v>
      </c>
      <c r="E25" s="802">
        <f t="shared" si="40"/>
        <v>7.7688888888889513</v>
      </c>
      <c r="F25" s="799">
        <f t="shared" si="0"/>
        <v>0.40266666666666584</v>
      </c>
      <c r="G25" s="829">
        <f t="shared" si="13"/>
        <v>0</v>
      </c>
      <c r="H25" s="829">
        <f t="shared" si="1"/>
        <v>0</v>
      </c>
      <c r="I25" s="829">
        <f t="shared" si="2"/>
        <v>-7.7688888888889513</v>
      </c>
      <c r="J25" s="829">
        <f t="shared" si="3"/>
        <v>-0.40266666666666584</v>
      </c>
      <c r="K25" s="810">
        <f t="shared" si="14"/>
        <v>0</v>
      </c>
      <c r="L25" s="814">
        <f t="shared" si="15"/>
        <v>0</v>
      </c>
      <c r="M25" s="810">
        <f t="shared" si="16"/>
        <v>1456.6666666666783</v>
      </c>
      <c r="N25" s="811">
        <f t="shared" si="17"/>
        <v>97.042666666666477</v>
      </c>
      <c r="O25" s="806">
        <f>0</f>
        <v>0</v>
      </c>
      <c r="P25" s="806">
        <f>0</f>
        <v>0</v>
      </c>
      <c r="Q25" s="806">
        <v>7</v>
      </c>
      <c r="R25" s="806">
        <v>7</v>
      </c>
      <c r="S25" s="809">
        <f t="shared" si="18"/>
        <v>0</v>
      </c>
      <c r="T25" s="809">
        <f t="shared" si="19"/>
        <v>0</v>
      </c>
      <c r="U25" s="809">
        <f t="shared" si="20"/>
        <v>1312.5</v>
      </c>
      <c r="V25" s="809">
        <f t="shared" si="21"/>
        <v>1687</v>
      </c>
      <c r="W25" s="816">
        <f t="shared" si="39"/>
        <v>42278</v>
      </c>
      <c r="X25" s="817">
        <f t="shared" si="22"/>
        <v>0</v>
      </c>
      <c r="Y25" s="460">
        <v>0</v>
      </c>
      <c r="Z25" s="818">
        <f t="shared" si="23"/>
        <v>0</v>
      </c>
      <c r="AA25" s="817">
        <f t="shared" si="4"/>
        <v>0</v>
      </c>
      <c r="AB25" s="460">
        <v>0</v>
      </c>
      <c r="AC25" s="818">
        <f t="shared" si="24"/>
        <v>0</v>
      </c>
      <c r="AD25" s="817">
        <f t="shared" si="25"/>
        <v>0</v>
      </c>
      <c r="AE25" s="460">
        <v>0</v>
      </c>
      <c r="AF25" s="818">
        <f t="shared" si="26"/>
        <v>0</v>
      </c>
      <c r="AG25" s="817">
        <f t="shared" si="5"/>
        <v>1589.9573333333335</v>
      </c>
      <c r="AH25" s="460">
        <v>0</v>
      </c>
      <c r="AI25" s="818">
        <f t="shared" si="27"/>
        <v>0</v>
      </c>
      <c r="AJ25" s="824"/>
      <c r="AK25" s="826">
        <f t="shared" si="28"/>
        <v>0</v>
      </c>
      <c r="AL25" s="458">
        <f t="shared" si="29"/>
        <v>0</v>
      </c>
      <c r="AM25" s="827">
        <f t="shared" si="30"/>
        <v>0</v>
      </c>
      <c r="AN25" s="836">
        <f t="shared" si="31"/>
        <v>0</v>
      </c>
      <c r="AO25" s="826">
        <f t="shared" si="32"/>
        <v>0</v>
      </c>
      <c r="AP25" s="458">
        <f t="shared" si="33"/>
        <v>0</v>
      </c>
      <c r="AQ25" s="827">
        <f t="shared" si="34"/>
        <v>0</v>
      </c>
      <c r="AR25" s="836">
        <f t="shared" si="35"/>
        <v>0</v>
      </c>
      <c r="AS25" s="826">
        <f t="shared" si="7"/>
        <v>0</v>
      </c>
      <c r="AT25" s="458">
        <f t="shared" si="8"/>
        <v>0</v>
      </c>
      <c r="AU25" s="827">
        <f t="shared" si="9"/>
        <v>0</v>
      </c>
      <c r="AV25" s="836">
        <f t="shared" si="36"/>
        <v>0</v>
      </c>
      <c r="AW25" s="826">
        <f t="shared" si="10"/>
        <v>6.5973333333333342</v>
      </c>
      <c r="AX25" s="458">
        <f t="shared" si="11"/>
        <v>0</v>
      </c>
      <c r="AY25" s="827">
        <f t="shared" si="12"/>
        <v>0</v>
      </c>
      <c r="AZ25" s="836">
        <f t="shared" si="37"/>
        <v>6.5973333333333342</v>
      </c>
    </row>
    <row r="26" spans="1:52">
      <c r="A26" s="787">
        <f t="shared" si="38"/>
        <v>42279</v>
      </c>
      <c r="B26" s="786">
        <v>0</v>
      </c>
      <c r="E26" s="802">
        <f t="shared" si="40"/>
        <v>7.7688888888889513</v>
      </c>
      <c r="F26" s="799">
        <f t="shared" si="0"/>
        <v>0.40266666666666584</v>
      </c>
      <c r="G26" s="829">
        <f t="shared" si="13"/>
        <v>0</v>
      </c>
      <c r="H26" s="829">
        <f t="shared" si="1"/>
        <v>0</v>
      </c>
      <c r="I26" s="829">
        <f t="shared" si="2"/>
        <v>-7.7688888888889513</v>
      </c>
      <c r="J26" s="829">
        <f t="shared" si="3"/>
        <v>-0.40266666666666584</v>
      </c>
      <c r="K26" s="810">
        <f t="shared" si="14"/>
        <v>0</v>
      </c>
      <c r="L26" s="814">
        <f t="shared" si="15"/>
        <v>0</v>
      </c>
      <c r="M26" s="810">
        <f t="shared" si="16"/>
        <v>1456.6666666666783</v>
      </c>
      <c r="N26" s="811">
        <f t="shared" si="17"/>
        <v>97.042666666666477</v>
      </c>
      <c r="O26" s="806">
        <f>0</f>
        <v>0</v>
      </c>
      <c r="P26" s="806">
        <f>0</f>
        <v>0</v>
      </c>
      <c r="Q26" s="806">
        <v>7</v>
      </c>
      <c r="R26" s="806">
        <v>7</v>
      </c>
      <c r="S26" s="809">
        <f t="shared" si="18"/>
        <v>0</v>
      </c>
      <c r="T26" s="809">
        <f t="shared" si="19"/>
        <v>0</v>
      </c>
      <c r="U26" s="809">
        <f t="shared" si="20"/>
        <v>1312.5</v>
      </c>
      <c r="V26" s="809">
        <f t="shared" si="21"/>
        <v>1687</v>
      </c>
      <c r="W26" s="816">
        <f t="shared" si="39"/>
        <v>42279</v>
      </c>
      <c r="X26" s="817">
        <f t="shared" si="22"/>
        <v>0</v>
      </c>
      <c r="Y26" s="460">
        <v>0</v>
      </c>
      <c r="Z26" s="818">
        <f t="shared" si="23"/>
        <v>0</v>
      </c>
      <c r="AA26" s="817">
        <f t="shared" si="4"/>
        <v>0</v>
      </c>
      <c r="AB26" s="460">
        <v>0</v>
      </c>
      <c r="AC26" s="818">
        <f t="shared" si="24"/>
        <v>0</v>
      </c>
      <c r="AD26" s="817">
        <f t="shared" si="25"/>
        <v>0</v>
      </c>
      <c r="AE26" s="460">
        <v>0</v>
      </c>
      <c r="AF26" s="818">
        <f t="shared" si="26"/>
        <v>0</v>
      </c>
      <c r="AG26" s="817">
        <f t="shared" si="5"/>
        <v>1589.9573333333335</v>
      </c>
      <c r="AH26" s="460">
        <v>0</v>
      </c>
      <c r="AI26" s="818">
        <f t="shared" si="27"/>
        <v>0</v>
      </c>
      <c r="AJ26" s="824"/>
      <c r="AK26" s="826">
        <f t="shared" si="28"/>
        <v>0</v>
      </c>
      <c r="AL26" s="458">
        <f t="shared" si="29"/>
        <v>0</v>
      </c>
      <c r="AM26" s="827">
        <f t="shared" si="30"/>
        <v>0</v>
      </c>
      <c r="AN26" s="836">
        <f t="shared" si="31"/>
        <v>0</v>
      </c>
      <c r="AO26" s="826">
        <f t="shared" si="32"/>
        <v>0</v>
      </c>
      <c r="AP26" s="458">
        <f t="shared" si="33"/>
        <v>0</v>
      </c>
      <c r="AQ26" s="827">
        <f t="shared" si="34"/>
        <v>0</v>
      </c>
      <c r="AR26" s="836">
        <f t="shared" si="35"/>
        <v>0</v>
      </c>
      <c r="AS26" s="826">
        <f t="shared" si="7"/>
        <v>0</v>
      </c>
      <c r="AT26" s="458">
        <f t="shared" si="8"/>
        <v>0</v>
      </c>
      <c r="AU26" s="827">
        <f t="shared" si="9"/>
        <v>0</v>
      </c>
      <c r="AV26" s="836">
        <f t="shared" si="36"/>
        <v>0</v>
      </c>
      <c r="AW26" s="826">
        <f t="shared" si="10"/>
        <v>6.5973333333333342</v>
      </c>
      <c r="AX26" s="458">
        <f t="shared" si="11"/>
        <v>0</v>
      </c>
      <c r="AY26" s="827">
        <f t="shared" si="12"/>
        <v>0</v>
      </c>
      <c r="AZ26" s="836">
        <f t="shared" si="37"/>
        <v>6.5973333333333342</v>
      </c>
    </row>
    <row r="27" spans="1:52">
      <c r="A27" s="787">
        <f t="shared" si="38"/>
        <v>42280</v>
      </c>
      <c r="B27" s="786">
        <v>0</v>
      </c>
      <c r="E27" s="802">
        <f t="shared" si="40"/>
        <v>7.7688888888889513</v>
      </c>
      <c r="F27" s="799">
        <f t="shared" si="0"/>
        <v>0.40266666666666584</v>
      </c>
      <c r="G27" s="829">
        <f t="shared" si="13"/>
        <v>0</v>
      </c>
      <c r="H27" s="829">
        <f t="shared" si="1"/>
        <v>0</v>
      </c>
      <c r="I27" s="829">
        <f t="shared" si="2"/>
        <v>-7.7688888888889513</v>
      </c>
      <c r="J27" s="829">
        <f t="shared" si="3"/>
        <v>-0.40266666666666584</v>
      </c>
      <c r="K27" s="810">
        <f t="shared" si="14"/>
        <v>0</v>
      </c>
      <c r="L27" s="814">
        <f t="shared" si="15"/>
        <v>0</v>
      </c>
      <c r="M27" s="810">
        <f t="shared" si="16"/>
        <v>1456.6666666666783</v>
      </c>
      <c r="N27" s="811">
        <f t="shared" si="17"/>
        <v>97.042666666666477</v>
      </c>
      <c r="O27" s="806">
        <f>0</f>
        <v>0</v>
      </c>
      <c r="P27" s="806">
        <f>0</f>
        <v>0</v>
      </c>
      <c r="Q27" s="806">
        <v>7</v>
      </c>
      <c r="R27" s="806">
        <v>7</v>
      </c>
      <c r="S27" s="809">
        <f t="shared" si="18"/>
        <v>0</v>
      </c>
      <c r="T27" s="809">
        <f t="shared" si="19"/>
        <v>0</v>
      </c>
      <c r="U27" s="809">
        <f t="shared" si="20"/>
        <v>1312.5</v>
      </c>
      <c r="V27" s="809">
        <f t="shared" si="21"/>
        <v>1687</v>
      </c>
      <c r="W27" s="816">
        <f t="shared" si="39"/>
        <v>42280</v>
      </c>
      <c r="X27" s="817">
        <f t="shared" si="22"/>
        <v>0</v>
      </c>
      <c r="Y27" s="460">
        <v>0</v>
      </c>
      <c r="Z27" s="818">
        <f t="shared" si="23"/>
        <v>0</v>
      </c>
      <c r="AA27" s="817">
        <f t="shared" si="4"/>
        <v>0</v>
      </c>
      <c r="AB27" s="460">
        <v>0</v>
      </c>
      <c r="AC27" s="818">
        <f t="shared" si="24"/>
        <v>0</v>
      </c>
      <c r="AD27" s="817">
        <f t="shared" si="25"/>
        <v>0</v>
      </c>
      <c r="AE27" s="460">
        <v>0</v>
      </c>
      <c r="AF27" s="818">
        <f t="shared" si="26"/>
        <v>0</v>
      </c>
      <c r="AG27" s="817">
        <f t="shared" si="5"/>
        <v>1589.9573333333335</v>
      </c>
      <c r="AH27" s="460">
        <v>0</v>
      </c>
      <c r="AI27" s="818">
        <f t="shared" si="27"/>
        <v>0</v>
      </c>
      <c r="AJ27" s="824"/>
      <c r="AK27" s="826">
        <f t="shared" si="28"/>
        <v>0</v>
      </c>
      <c r="AL27" s="458">
        <f t="shared" si="29"/>
        <v>0</v>
      </c>
      <c r="AM27" s="827">
        <f t="shared" si="30"/>
        <v>0</v>
      </c>
      <c r="AN27" s="836">
        <f t="shared" si="31"/>
        <v>0</v>
      </c>
      <c r="AO27" s="826">
        <f t="shared" si="32"/>
        <v>0</v>
      </c>
      <c r="AP27" s="458">
        <f t="shared" si="33"/>
        <v>0</v>
      </c>
      <c r="AQ27" s="827">
        <f t="shared" si="34"/>
        <v>0</v>
      </c>
      <c r="AR27" s="836">
        <f t="shared" si="35"/>
        <v>0</v>
      </c>
      <c r="AS27" s="826">
        <f t="shared" si="7"/>
        <v>0</v>
      </c>
      <c r="AT27" s="458">
        <f t="shared" si="8"/>
        <v>0</v>
      </c>
      <c r="AU27" s="827">
        <f t="shared" si="9"/>
        <v>0</v>
      </c>
      <c r="AV27" s="836">
        <f t="shared" si="36"/>
        <v>0</v>
      </c>
      <c r="AW27" s="826">
        <f t="shared" si="10"/>
        <v>6.5973333333333342</v>
      </c>
      <c r="AX27" s="458">
        <f t="shared" si="11"/>
        <v>0</v>
      </c>
      <c r="AY27" s="827">
        <f t="shared" si="12"/>
        <v>0</v>
      </c>
      <c r="AZ27" s="836">
        <f t="shared" si="37"/>
        <v>6.5973333333333342</v>
      </c>
    </row>
    <row r="28" spans="1:52">
      <c r="A28" s="787">
        <f t="shared" si="38"/>
        <v>42281</v>
      </c>
      <c r="B28" s="786">
        <v>0</v>
      </c>
      <c r="E28" s="802">
        <f t="shared" si="40"/>
        <v>7.7688888888889513</v>
      </c>
      <c r="F28" s="799">
        <f t="shared" si="0"/>
        <v>0.40266666666666584</v>
      </c>
      <c r="G28" s="829">
        <f t="shared" si="13"/>
        <v>0</v>
      </c>
      <c r="H28" s="829">
        <f t="shared" si="1"/>
        <v>0</v>
      </c>
      <c r="I28" s="829">
        <f t="shared" si="2"/>
        <v>-7.7688888888889513</v>
      </c>
      <c r="J28" s="829">
        <f t="shared" si="3"/>
        <v>-0.40266666666666584</v>
      </c>
      <c r="K28" s="810">
        <f t="shared" si="14"/>
        <v>0</v>
      </c>
      <c r="L28" s="814">
        <f t="shared" si="15"/>
        <v>0</v>
      </c>
      <c r="M28" s="810">
        <f t="shared" si="16"/>
        <v>1456.6666666666783</v>
      </c>
      <c r="N28" s="811">
        <f t="shared" si="17"/>
        <v>97.042666666666477</v>
      </c>
      <c r="O28" s="806">
        <f>0</f>
        <v>0</v>
      </c>
      <c r="P28" s="806">
        <f>0</f>
        <v>0</v>
      </c>
      <c r="Q28" s="806">
        <v>7</v>
      </c>
      <c r="R28" s="806">
        <v>7</v>
      </c>
      <c r="S28" s="809">
        <f t="shared" si="18"/>
        <v>0</v>
      </c>
      <c r="T28" s="809">
        <f t="shared" si="19"/>
        <v>0</v>
      </c>
      <c r="U28" s="809">
        <f t="shared" si="20"/>
        <v>1312.5</v>
      </c>
      <c r="V28" s="809">
        <f t="shared" si="21"/>
        <v>1687</v>
      </c>
      <c r="W28" s="816">
        <f t="shared" si="39"/>
        <v>42281</v>
      </c>
      <c r="X28" s="817">
        <f t="shared" si="22"/>
        <v>0</v>
      </c>
      <c r="Y28" s="460">
        <v>0</v>
      </c>
      <c r="Z28" s="818">
        <f t="shared" si="23"/>
        <v>0</v>
      </c>
      <c r="AA28" s="817">
        <f t="shared" si="4"/>
        <v>0</v>
      </c>
      <c r="AB28" s="460">
        <v>0</v>
      </c>
      <c r="AC28" s="818">
        <f t="shared" si="24"/>
        <v>0</v>
      </c>
      <c r="AD28" s="817">
        <f t="shared" si="25"/>
        <v>0</v>
      </c>
      <c r="AE28" s="460">
        <v>0</v>
      </c>
      <c r="AF28" s="818">
        <f t="shared" si="26"/>
        <v>0</v>
      </c>
      <c r="AG28" s="817">
        <f t="shared" si="5"/>
        <v>1589.9573333333335</v>
      </c>
      <c r="AH28" s="460">
        <v>0</v>
      </c>
      <c r="AI28" s="818">
        <f t="shared" si="27"/>
        <v>0</v>
      </c>
      <c r="AJ28" s="824"/>
      <c r="AK28" s="826">
        <f t="shared" si="28"/>
        <v>0</v>
      </c>
      <c r="AL28" s="458">
        <f t="shared" si="29"/>
        <v>0</v>
      </c>
      <c r="AM28" s="827">
        <f t="shared" si="30"/>
        <v>0</v>
      </c>
      <c r="AN28" s="836">
        <f t="shared" si="31"/>
        <v>0</v>
      </c>
      <c r="AO28" s="826">
        <f t="shared" si="32"/>
        <v>0</v>
      </c>
      <c r="AP28" s="458">
        <f t="shared" si="33"/>
        <v>0</v>
      </c>
      <c r="AQ28" s="827">
        <f t="shared" si="34"/>
        <v>0</v>
      </c>
      <c r="AR28" s="836">
        <f t="shared" si="35"/>
        <v>0</v>
      </c>
      <c r="AS28" s="826">
        <f t="shared" si="7"/>
        <v>0</v>
      </c>
      <c r="AT28" s="458">
        <f t="shared" si="8"/>
        <v>0</v>
      </c>
      <c r="AU28" s="827">
        <f t="shared" si="9"/>
        <v>0</v>
      </c>
      <c r="AV28" s="836">
        <f t="shared" si="36"/>
        <v>0</v>
      </c>
      <c r="AW28" s="826">
        <f t="shared" si="10"/>
        <v>6.5973333333333342</v>
      </c>
      <c r="AX28" s="458">
        <f t="shared" si="11"/>
        <v>0</v>
      </c>
      <c r="AY28" s="827">
        <f t="shared" si="12"/>
        <v>0</v>
      </c>
      <c r="AZ28" s="836">
        <f t="shared" si="37"/>
        <v>6.5973333333333342</v>
      </c>
    </row>
    <row r="29" spans="1:52">
      <c r="A29" s="787">
        <f t="shared" si="38"/>
        <v>42282</v>
      </c>
      <c r="B29" s="786">
        <v>0</v>
      </c>
      <c r="E29" s="802">
        <f t="shared" si="40"/>
        <v>7.7688888888889513</v>
      </c>
      <c r="F29" s="799">
        <f t="shared" si="0"/>
        <v>0.40266666666666584</v>
      </c>
      <c r="G29" s="829">
        <f t="shared" si="13"/>
        <v>0</v>
      </c>
      <c r="H29" s="829">
        <f t="shared" si="1"/>
        <v>0</v>
      </c>
      <c r="I29" s="829">
        <f t="shared" si="2"/>
        <v>-7.7688888888889513</v>
      </c>
      <c r="J29" s="829">
        <f t="shared" si="3"/>
        <v>-0.40266666666666584</v>
      </c>
      <c r="K29" s="810">
        <f t="shared" si="14"/>
        <v>0</v>
      </c>
      <c r="L29" s="814">
        <f t="shared" si="15"/>
        <v>0</v>
      </c>
      <c r="M29" s="810">
        <f t="shared" si="16"/>
        <v>1456.6666666666783</v>
      </c>
      <c r="N29" s="811">
        <f t="shared" si="17"/>
        <v>97.042666666666477</v>
      </c>
      <c r="O29" s="806">
        <f>0</f>
        <v>0</v>
      </c>
      <c r="P29" s="806">
        <f>0</f>
        <v>0</v>
      </c>
      <c r="Q29" s="806">
        <v>7</v>
      </c>
      <c r="R29" s="806">
        <v>7</v>
      </c>
      <c r="S29" s="809">
        <f t="shared" si="18"/>
        <v>0</v>
      </c>
      <c r="T29" s="809">
        <f t="shared" si="19"/>
        <v>0</v>
      </c>
      <c r="U29" s="809">
        <f t="shared" si="20"/>
        <v>1312.5</v>
      </c>
      <c r="V29" s="809">
        <f t="shared" si="21"/>
        <v>1687</v>
      </c>
      <c r="W29" s="816">
        <f t="shared" si="39"/>
        <v>42282</v>
      </c>
      <c r="X29" s="817">
        <f t="shared" si="22"/>
        <v>0</v>
      </c>
      <c r="Y29" s="460">
        <v>0</v>
      </c>
      <c r="Z29" s="818">
        <f t="shared" si="23"/>
        <v>0</v>
      </c>
      <c r="AA29" s="817">
        <f t="shared" si="4"/>
        <v>0</v>
      </c>
      <c r="AB29" s="460">
        <v>0</v>
      </c>
      <c r="AC29" s="818">
        <f t="shared" si="24"/>
        <v>0</v>
      </c>
      <c r="AD29" s="817">
        <f t="shared" si="25"/>
        <v>0</v>
      </c>
      <c r="AE29" s="460">
        <v>0</v>
      </c>
      <c r="AF29" s="818">
        <f t="shared" si="26"/>
        <v>0</v>
      </c>
      <c r="AG29" s="817">
        <f t="shared" si="5"/>
        <v>1589.9573333333335</v>
      </c>
      <c r="AH29" s="460">
        <v>0</v>
      </c>
      <c r="AI29" s="818">
        <f t="shared" si="27"/>
        <v>0</v>
      </c>
      <c r="AJ29" s="824"/>
      <c r="AK29" s="826">
        <f t="shared" si="28"/>
        <v>0</v>
      </c>
      <c r="AL29" s="458">
        <f t="shared" si="29"/>
        <v>0</v>
      </c>
      <c r="AM29" s="827">
        <f t="shared" si="30"/>
        <v>0</v>
      </c>
      <c r="AN29" s="836">
        <f t="shared" si="31"/>
        <v>0</v>
      </c>
      <c r="AO29" s="826">
        <f t="shared" si="32"/>
        <v>0</v>
      </c>
      <c r="AP29" s="458">
        <f t="shared" si="33"/>
        <v>0</v>
      </c>
      <c r="AQ29" s="827">
        <f t="shared" si="34"/>
        <v>0</v>
      </c>
      <c r="AR29" s="836">
        <f t="shared" si="35"/>
        <v>0</v>
      </c>
      <c r="AS29" s="826">
        <f t="shared" si="7"/>
        <v>0</v>
      </c>
      <c r="AT29" s="458">
        <f t="shared" si="8"/>
        <v>0</v>
      </c>
      <c r="AU29" s="827">
        <f t="shared" si="9"/>
        <v>0</v>
      </c>
      <c r="AV29" s="836">
        <f t="shared" si="36"/>
        <v>0</v>
      </c>
      <c r="AW29" s="826">
        <f t="shared" si="10"/>
        <v>6.5973333333333342</v>
      </c>
      <c r="AX29" s="458">
        <f t="shared" si="11"/>
        <v>0</v>
      </c>
      <c r="AY29" s="827">
        <f t="shared" si="12"/>
        <v>0</v>
      </c>
      <c r="AZ29" s="836">
        <f t="shared" si="37"/>
        <v>6.5973333333333342</v>
      </c>
    </row>
    <row r="30" spans="1:52">
      <c r="A30" s="787">
        <f t="shared" si="38"/>
        <v>42283</v>
      </c>
      <c r="B30" s="786">
        <v>0</v>
      </c>
      <c r="E30" s="802">
        <f t="shared" si="40"/>
        <v>7.7688888888889513</v>
      </c>
      <c r="F30" s="799">
        <f t="shared" si="0"/>
        <v>0.40266666666666584</v>
      </c>
      <c r="G30" s="829">
        <f t="shared" si="13"/>
        <v>0</v>
      </c>
      <c r="H30" s="829">
        <f t="shared" si="1"/>
        <v>0</v>
      </c>
      <c r="I30" s="829">
        <f t="shared" si="2"/>
        <v>-7.7688888888889513</v>
      </c>
      <c r="J30" s="829">
        <f t="shared" si="3"/>
        <v>-0.40266666666666584</v>
      </c>
      <c r="K30" s="810">
        <f t="shared" si="14"/>
        <v>0</v>
      </c>
      <c r="L30" s="814">
        <f t="shared" si="15"/>
        <v>0</v>
      </c>
      <c r="M30" s="810">
        <f t="shared" si="16"/>
        <v>1456.6666666666783</v>
      </c>
      <c r="N30" s="811">
        <f t="shared" si="17"/>
        <v>97.042666666666477</v>
      </c>
      <c r="O30" s="806">
        <f>0</f>
        <v>0</v>
      </c>
      <c r="P30" s="806">
        <f>0</f>
        <v>0</v>
      </c>
      <c r="Q30" s="806">
        <v>7</v>
      </c>
      <c r="R30" s="806">
        <v>7</v>
      </c>
      <c r="S30" s="809">
        <f t="shared" si="18"/>
        <v>0</v>
      </c>
      <c r="T30" s="809">
        <f t="shared" si="19"/>
        <v>0</v>
      </c>
      <c r="U30" s="809">
        <f t="shared" si="20"/>
        <v>1312.5</v>
      </c>
      <c r="V30" s="809">
        <f t="shared" si="21"/>
        <v>1687</v>
      </c>
      <c r="W30" s="816">
        <f t="shared" si="39"/>
        <v>42283</v>
      </c>
      <c r="X30" s="817">
        <f t="shared" si="22"/>
        <v>0</v>
      </c>
      <c r="Y30" s="460">
        <v>0</v>
      </c>
      <c r="Z30" s="818">
        <f t="shared" si="23"/>
        <v>0</v>
      </c>
      <c r="AA30" s="817">
        <f t="shared" si="4"/>
        <v>0</v>
      </c>
      <c r="AB30" s="460">
        <v>0</v>
      </c>
      <c r="AC30" s="818">
        <f t="shared" si="24"/>
        <v>0</v>
      </c>
      <c r="AD30" s="817">
        <f t="shared" si="25"/>
        <v>0</v>
      </c>
      <c r="AE30" s="460">
        <v>0</v>
      </c>
      <c r="AF30" s="818">
        <f t="shared" si="26"/>
        <v>0</v>
      </c>
      <c r="AG30" s="817">
        <f t="shared" si="5"/>
        <v>1589.9573333333335</v>
      </c>
      <c r="AH30" s="460">
        <v>0</v>
      </c>
      <c r="AI30" s="818">
        <f t="shared" si="27"/>
        <v>0</v>
      </c>
      <c r="AJ30" s="824"/>
      <c r="AK30" s="826">
        <f t="shared" si="28"/>
        <v>0</v>
      </c>
      <c r="AL30" s="458">
        <f t="shared" si="29"/>
        <v>0</v>
      </c>
      <c r="AM30" s="827">
        <f t="shared" si="30"/>
        <v>0</v>
      </c>
      <c r="AN30" s="836">
        <f t="shared" si="31"/>
        <v>0</v>
      </c>
      <c r="AO30" s="826">
        <f t="shared" si="32"/>
        <v>0</v>
      </c>
      <c r="AP30" s="458">
        <f t="shared" si="33"/>
        <v>0</v>
      </c>
      <c r="AQ30" s="827">
        <f t="shared" si="34"/>
        <v>0</v>
      </c>
      <c r="AR30" s="836">
        <f t="shared" si="35"/>
        <v>0</v>
      </c>
      <c r="AS30" s="826">
        <f t="shared" si="7"/>
        <v>0</v>
      </c>
      <c r="AT30" s="458">
        <f t="shared" si="8"/>
        <v>0</v>
      </c>
      <c r="AU30" s="827">
        <f t="shared" si="9"/>
        <v>0</v>
      </c>
      <c r="AV30" s="836">
        <f t="shared" si="36"/>
        <v>0</v>
      </c>
      <c r="AW30" s="826">
        <f t="shared" si="10"/>
        <v>6.5973333333333342</v>
      </c>
      <c r="AX30" s="458">
        <f t="shared" si="11"/>
        <v>0</v>
      </c>
      <c r="AY30" s="827">
        <f t="shared" si="12"/>
        <v>0</v>
      </c>
      <c r="AZ30" s="836">
        <f t="shared" si="37"/>
        <v>6.5973333333333342</v>
      </c>
    </row>
    <row r="31" spans="1:52">
      <c r="A31" s="787">
        <f t="shared" si="38"/>
        <v>42284</v>
      </c>
      <c r="B31" s="786">
        <v>0</v>
      </c>
      <c r="E31" s="802">
        <f t="shared" si="40"/>
        <v>7.7688888888889513</v>
      </c>
      <c r="F31" s="799">
        <f t="shared" si="0"/>
        <v>0.40266666666666584</v>
      </c>
      <c r="G31" s="829">
        <f t="shared" si="13"/>
        <v>0</v>
      </c>
      <c r="H31" s="829">
        <f t="shared" si="1"/>
        <v>0</v>
      </c>
      <c r="I31" s="829">
        <f t="shared" si="2"/>
        <v>-7.7688888888889513</v>
      </c>
      <c r="J31" s="829">
        <f t="shared" si="3"/>
        <v>-0.40266666666666584</v>
      </c>
      <c r="K31" s="810">
        <f t="shared" si="14"/>
        <v>0</v>
      </c>
      <c r="L31" s="814">
        <f t="shared" si="15"/>
        <v>0</v>
      </c>
      <c r="M31" s="810">
        <f t="shared" si="16"/>
        <v>1456.6666666666783</v>
      </c>
      <c r="N31" s="811">
        <f t="shared" si="17"/>
        <v>97.042666666666477</v>
      </c>
      <c r="O31" s="806">
        <f>0</f>
        <v>0</v>
      </c>
      <c r="P31" s="806">
        <f>0</f>
        <v>0</v>
      </c>
      <c r="Q31" s="806">
        <v>7</v>
      </c>
      <c r="R31" s="806">
        <v>7</v>
      </c>
      <c r="S31" s="809">
        <f t="shared" si="18"/>
        <v>0</v>
      </c>
      <c r="T31" s="809">
        <f t="shared" si="19"/>
        <v>0</v>
      </c>
      <c r="U31" s="809">
        <f t="shared" si="20"/>
        <v>1312.5</v>
      </c>
      <c r="V31" s="809">
        <f t="shared" si="21"/>
        <v>1687</v>
      </c>
      <c r="W31" s="816">
        <f t="shared" si="39"/>
        <v>42284</v>
      </c>
      <c r="X31" s="817">
        <f t="shared" si="22"/>
        <v>0</v>
      </c>
      <c r="Y31" s="460">
        <v>0</v>
      </c>
      <c r="Z31" s="818">
        <f t="shared" si="23"/>
        <v>0</v>
      </c>
      <c r="AA31" s="817">
        <f t="shared" si="4"/>
        <v>0</v>
      </c>
      <c r="AB31" s="460">
        <v>0</v>
      </c>
      <c r="AC31" s="818">
        <f t="shared" si="24"/>
        <v>0</v>
      </c>
      <c r="AD31" s="817">
        <f t="shared" si="25"/>
        <v>0</v>
      </c>
      <c r="AE31" s="460">
        <v>0</v>
      </c>
      <c r="AF31" s="818">
        <f t="shared" si="26"/>
        <v>0</v>
      </c>
      <c r="AG31" s="817">
        <f t="shared" si="5"/>
        <v>1589.9573333333335</v>
      </c>
      <c r="AH31" s="460">
        <v>0</v>
      </c>
      <c r="AI31" s="818">
        <f t="shared" si="27"/>
        <v>0</v>
      </c>
      <c r="AJ31" s="824"/>
      <c r="AK31" s="826">
        <f t="shared" si="28"/>
        <v>0</v>
      </c>
      <c r="AL31" s="458">
        <f t="shared" si="29"/>
        <v>0</v>
      </c>
      <c r="AM31" s="827">
        <f t="shared" si="30"/>
        <v>0</v>
      </c>
      <c r="AN31" s="836">
        <f t="shared" si="31"/>
        <v>0</v>
      </c>
      <c r="AO31" s="826">
        <f t="shared" si="32"/>
        <v>0</v>
      </c>
      <c r="AP31" s="458">
        <f t="shared" si="33"/>
        <v>0</v>
      </c>
      <c r="AQ31" s="827">
        <f t="shared" si="34"/>
        <v>0</v>
      </c>
      <c r="AR31" s="836">
        <f t="shared" si="35"/>
        <v>0</v>
      </c>
      <c r="AS31" s="826">
        <f t="shared" si="7"/>
        <v>0</v>
      </c>
      <c r="AT31" s="458">
        <f t="shared" si="8"/>
        <v>0</v>
      </c>
      <c r="AU31" s="827">
        <f t="shared" si="9"/>
        <v>0</v>
      </c>
      <c r="AV31" s="836">
        <f t="shared" si="36"/>
        <v>0</v>
      </c>
      <c r="AW31" s="826">
        <f t="shared" si="10"/>
        <v>6.5973333333333342</v>
      </c>
      <c r="AX31" s="458">
        <f t="shared" si="11"/>
        <v>0</v>
      </c>
      <c r="AY31" s="827">
        <f t="shared" si="12"/>
        <v>0</v>
      </c>
      <c r="AZ31" s="836">
        <f t="shared" si="37"/>
        <v>6.5973333333333342</v>
      </c>
    </row>
    <row r="32" spans="1:52">
      <c r="A32" s="787">
        <f t="shared" si="38"/>
        <v>42285</v>
      </c>
      <c r="B32" s="786">
        <v>9.0999999999999748</v>
      </c>
      <c r="E32" s="802">
        <f t="shared" si="40"/>
        <v>7.7688888888889513</v>
      </c>
      <c r="F32" s="799">
        <f t="shared" si="0"/>
        <v>0.40266666666666584</v>
      </c>
      <c r="G32" s="829">
        <f t="shared" si="13"/>
        <v>0</v>
      </c>
      <c r="H32" s="829">
        <f t="shared" si="1"/>
        <v>0</v>
      </c>
      <c r="I32" s="829">
        <f t="shared" si="2"/>
        <v>-7.7688888888889513</v>
      </c>
      <c r="J32" s="829">
        <f t="shared" si="3"/>
        <v>-0.40266666666666584</v>
      </c>
      <c r="K32" s="810">
        <f t="shared" si="14"/>
        <v>0</v>
      </c>
      <c r="L32" s="814">
        <f t="shared" si="15"/>
        <v>0</v>
      </c>
      <c r="M32" s="810">
        <f t="shared" si="16"/>
        <v>1456.6666666666783</v>
      </c>
      <c r="N32" s="811">
        <f t="shared" si="17"/>
        <v>97.042666666666477</v>
      </c>
      <c r="O32" s="806">
        <f>0</f>
        <v>0</v>
      </c>
      <c r="P32" s="806">
        <f>0</f>
        <v>0</v>
      </c>
      <c r="Q32" s="806">
        <v>7</v>
      </c>
      <c r="R32" s="806">
        <v>7</v>
      </c>
      <c r="S32" s="809">
        <f t="shared" si="18"/>
        <v>0</v>
      </c>
      <c r="T32" s="809">
        <f t="shared" si="19"/>
        <v>0</v>
      </c>
      <c r="U32" s="809">
        <f t="shared" si="20"/>
        <v>1312.5</v>
      </c>
      <c r="V32" s="809">
        <f t="shared" si="21"/>
        <v>1687</v>
      </c>
      <c r="W32" s="816">
        <f t="shared" si="39"/>
        <v>42285</v>
      </c>
      <c r="X32" s="817">
        <f t="shared" si="22"/>
        <v>0</v>
      </c>
      <c r="Y32" s="460">
        <v>0</v>
      </c>
      <c r="Z32" s="818">
        <f t="shared" si="23"/>
        <v>0</v>
      </c>
      <c r="AA32" s="817">
        <f t="shared" si="4"/>
        <v>0</v>
      </c>
      <c r="AB32" s="460">
        <v>0</v>
      </c>
      <c r="AC32" s="818">
        <f t="shared" si="24"/>
        <v>0</v>
      </c>
      <c r="AD32" s="817">
        <f t="shared" si="25"/>
        <v>0</v>
      </c>
      <c r="AE32" s="460">
        <v>0</v>
      </c>
      <c r="AF32" s="818">
        <f t="shared" si="26"/>
        <v>0</v>
      </c>
      <c r="AG32" s="817">
        <f t="shared" si="5"/>
        <v>1589.9573333333335</v>
      </c>
      <c r="AH32" s="460">
        <v>0</v>
      </c>
      <c r="AI32" s="818">
        <f t="shared" si="27"/>
        <v>0</v>
      </c>
      <c r="AJ32" s="824"/>
      <c r="AK32" s="826">
        <f t="shared" si="28"/>
        <v>0</v>
      </c>
      <c r="AL32" s="458">
        <f t="shared" si="29"/>
        <v>0</v>
      </c>
      <c r="AM32" s="827">
        <f t="shared" si="30"/>
        <v>0</v>
      </c>
      <c r="AN32" s="836">
        <f t="shared" si="31"/>
        <v>0</v>
      </c>
      <c r="AO32" s="826">
        <f t="shared" si="32"/>
        <v>0</v>
      </c>
      <c r="AP32" s="458">
        <f t="shared" si="33"/>
        <v>0</v>
      </c>
      <c r="AQ32" s="827">
        <f t="shared" si="34"/>
        <v>0</v>
      </c>
      <c r="AR32" s="836">
        <f t="shared" si="35"/>
        <v>0</v>
      </c>
      <c r="AS32" s="826">
        <f t="shared" si="7"/>
        <v>0</v>
      </c>
      <c r="AT32" s="458">
        <f t="shared" si="8"/>
        <v>0</v>
      </c>
      <c r="AU32" s="827">
        <f t="shared" si="9"/>
        <v>0</v>
      </c>
      <c r="AV32" s="836">
        <f t="shared" si="36"/>
        <v>0</v>
      </c>
      <c r="AW32" s="826">
        <f t="shared" si="10"/>
        <v>6.5973333333333342</v>
      </c>
      <c r="AX32" s="458">
        <f t="shared" si="11"/>
        <v>0</v>
      </c>
      <c r="AY32" s="827">
        <f t="shared" si="12"/>
        <v>0</v>
      </c>
      <c r="AZ32" s="836">
        <f t="shared" si="37"/>
        <v>6.5973333333333342</v>
      </c>
    </row>
    <row r="33" spans="1:52">
      <c r="A33" s="787">
        <f t="shared" si="38"/>
        <v>42286</v>
      </c>
      <c r="B33" s="786">
        <v>0</v>
      </c>
      <c r="E33" s="802">
        <f t="shared" si="40"/>
        <v>7.7688888888889513</v>
      </c>
      <c r="F33" s="799">
        <f t="shared" si="0"/>
        <v>0.40266666666666584</v>
      </c>
      <c r="G33" s="829">
        <f t="shared" si="13"/>
        <v>0</v>
      </c>
      <c r="H33" s="829">
        <f t="shared" si="1"/>
        <v>0</v>
      </c>
      <c r="I33" s="829">
        <f t="shared" si="2"/>
        <v>-7.7688888888889513</v>
      </c>
      <c r="J33" s="829">
        <f t="shared" si="3"/>
        <v>-0.40266666666666584</v>
      </c>
      <c r="K33" s="810">
        <f t="shared" si="14"/>
        <v>0</v>
      </c>
      <c r="L33" s="814">
        <f t="shared" si="15"/>
        <v>0</v>
      </c>
      <c r="M33" s="810">
        <f t="shared" si="16"/>
        <v>1456.6666666666783</v>
      </c>
      <c r="N33" s="811">
        <f t="shared" si="17"/>
        <v>97.042666666666477</v>
      </c>
      <c r="O33" s="806">
        <f>0</f>
        <v>0</v>
      </c>
      <c r="P33" s="806">
        <f>0</f>
        <v>0</v>
      </c>
      <c r="Q33" s="806">
        <v>7</v>
      </c>
      <c r="R33" s="806">
        <v>7</v>
      </c>
      <c r="S33" s="809">
        <f t="shared" si="18"/>
        <v>0</v>
      </c>
      <c r="T33" s="809">
        <f t="shared" si="19"/>
        <v>0</v>
      </c>
      <c r="U33" s="809">
        <f t="shared" si="20"/>
        <v>1312.5</v>
      </c>
      <c r="V33" s="809">
        <f t="shared" si="21"/>
        <v>1687</v>
      </c>
      <c r="W33" s="816">
        <f t="shared" si="39"/>
        <v>42286</v>
      </c>
      <c r="X33" s="817">
        <f t="shared" si="22"/>
        <v>0</v>
      </c>
      <c r="Y33" s="460">
        <v>0</v>
      </c>
      <c r="Z33" s="818">
        <f t="shared" si="23"/>
        <v>0</v>
      </c>
      <c r="AA33" s="817">
        <f t="shared" si="4"/>
        <v>0</v>
      </c>
      <c r="AB33" s="460">
        <v>0</v>
      </c>
      <c r="AC33" s="818">
        <f t="shared" si="24"/>
        <v>0</v>
      </c>
      <c r="AD33" s="817">
        <f t="shared" si="25"/>
        <v>0</v>
      </c>
      <c r="AE33" s="460">
        <v>0</v>
      </c>
      <c r="AF33" s="818">
        <f t="shared" si="26"/>
        <v>0</v>
      </c>
      <c r="AG33" s="817">
        <f t="shared" si="5"/>
        <v>1589.9573333333335</v>
      </c>
      <c r="AH33" s="460">
        <v>0</v>
      </c>
      <c r="AI33" s="818">
        <f t="shared" si="27"/>
        <v>0</v>
      </c>
      <c r="AJ33" s="824"/>
      <c r="AK33" s="826">
        <f t="shared" si="28"/>
        <v>0</v>
      </c>
      <c r="AL33" s="458">
        <f t="shared" si="29"/>
        <v>0</v>
      </c>
      <c r="AM33" s="827">
        <f t="shared" si="30"/>
        <v>0</v>
      </c>
      <c r="AN33" s="836">
        <f t="shared" si="31"/>
        <v>0</v>
      </c>
      <c r="AO33" s="826">
        <f t="shared" si="32"/>
        <v>0</v>
      </c>
      <c r="AP33" s="458">
        <f t="shared" si="33"/>
        <v>0</v>
      </c>
      <c r="AQ33" s="827">
        <f t="shared" si="34"/>
        <v>0</v>
      </c>
      <c r="AR33" s="836">
        <f t="shared" si="35"/>
        <v>0</v>
      </c>
      <c r="AS33" s="826">
        <f t="shared" si="7"/>
        <v>0</v>
      </c>
      <c r="AT33" s="458">
        <f t="shared" si="8"/>
        <v>0</v>
      </c>
      <c r="AU33" s="827">
        <f t="shared" si="9"/>
        <v>0</v>
      </c>
      <c r="AV33" s="836">
        <f t="shared" si="36"/>
        <v>0</v>
      </c>
      <c r="AW33" s="826">
        <f t="shared" si="10"/>
        <v>6.5973333333333342</v>
      </c>
      <c r="AX33" s="458">
        <f t="shared" si="11"/>
        <v>0</v>
      </c>
      <c r="AY33" s="827">
        <f t="shared" si="12"/>
        <v>0</v>
      </c>
      <c r="AZ33" s="836">
        <f t="shared" si="37"/>
        <v>6.5973333333333342</v>
      </c>
    </row>
    <row r="34" spans="1:52">
      <c r="A34" s="787">
        <f t="shared" si="38"/>
        <v>42287</v>
      </c>
      <c r="B34" s="786">
        <v>0</v>
      </c>
      <c r="E34" s="802">
        <f t="shared" si="40"/>
        <v>7.7688888888889513</v>
      </c>
      <c r="F34" s="799">
        <f t="shared" si="0"/>
        <v>0.40266666666666584</v>
      </c>
      <c r="G34" s="829">
        <f t="shared" si="13"/>
        <v>0</v>
      </c>
      <c r="H34" s="829">
        <f t="shared" si="1"/>
        <v>0</v>
      </c>
      <c r="I34" s="829">
        <f t="shared" si="2"/>
        <v>-7.7688888888889513</v>
      </c>
      <c r="J34" s="829">
        <f t="shared" si="3"/>
        <v>-0.40266666666666584</v>
      </c>
      <c r="K34" s="810">
        <f t="shared" si="14"/>
        <v>0</v>
      </c>
      <c r="L34" s="814">
        <f t="shared" si="15"/>
        <v>0</v>
      </c>
      <c r="M34" s="810">
        <f t="shared" si="16"/>
        <v>1456.6666666666783</v>
      </c>
      <c r="N34" s="811">
        <f t="shared" si="17"/>
        <v>97.042666666666477</v>
      </c>
      <c r="O34" s="806">
        <f>0</f>
        <v>0</v>
      </c>
      <c r="P34" s="806">
        <f>0</f>
        <v>0</v>
      </c>
      <c r="Q34" s="806">
        <v>7</v>
      </c>
      <c r="R34" s="806">
        <v>7</v>
      </c>
      <c r="S34" s="809">
        <f t="shared" si="18"/>
        <v>0</v>
      </c>
      <c r="T34" s="809">
        <f t="shared" si="19"/>
        <v>0</v>
      </c>
      <c r="U34" s="809">
        <f t="shared" si="20"/>
        <v>1312.5</v>
      </c>
      <c r="V34" s="809">
        <f t="shared" si="21"/>
        <v>1687</v>
      </c>
      <c r="W34" s="816">
        <f t="shared" si="39"/>
        <v>42287</v>
      </c>
      <c r="X34" s="817">
        <f t="shared" si="22"/>
        <v>0</v>
      </c>
      <c r="Y34" s="460">
        <v>0</v>
      </c>
      <c r="Z34" s="818">
        <f t="shared" si="23"/>
        <v>0</v>
      </c>
      <c r="AA34" s="817">
        <f t="shared" si="4"/>
        <v>0</v>
      </c>
      <c r="AB34" s="460">
        <v>0</v>
      </c>
      <c r="AC34" s="818">
        <f t="shared" si="24"/>
        <v>0</v>
      </c>
      <c r="AD34" s="817">
        <f t="shared" si="25"/>
        <v>0</v>
      </c>
      <c r="AE34" s="460">
        <v>0</v>
      </c>
      <c r="AF34" s="818">
        <f t="shared" si="26"/>
        <v>0</v>
      </c>
      <c r="AG34" s="817">
        <f t="shared" si="5"/>
        <v>1589.9573333333335</v>
      </c>
      <c r="AH34" s="460">
        <v>0</v>
      </c>
      <c r="AI34" s="818">
        <f t="shared" si="27"/>
        <v>0</v>
      </c>
      <c r="AJ34" s="824"/>
      <c r="AK34" s="826">
        <f t="shared" si="28"/>
        <v>0</v>
      </c>
      <c r="AL34" s="458">
        <f t="shared" si="29"/>
        <v>0</v>
      </c>
      <c r="AM34" s="827">
        <f t="shared" si="30"/>
        <v>0</v>
      </c>
      <c r="AN34" s="836">
        <f t="shared" si="31"/>
        <v>0</v>
      </c>
      <c r="AO34" s="826">
        <f t="shared" si="32"/>
        <v>0</v>
      </c>
      <c r="AP34" s="458">
        <f t="shared" si="33"/>
        <v>0</v>
      </c>
      <c r="AQ34" s="827">
        <f t="shared" si="34"/>
        <v>0</v>
      </c>
      <c r="AR34" s="836">
        <f t="shared" si="35"/>
        <v>0</v>
      </c>
      <c r="AS34" s="826">
        <f t="shared" si="7"/>
        <v>0</v>
      </c>
      <c r="AT34" s="458">
        <f t="shared" si="8"/>
        <v>0</v>
      </c>
      <c r="AU34" s="827">
        <f t="shared" si="9"/>
        <v>0</v>
      </c>
      <c r="AV34" s="836">
        <f t="shared" si="36"/>
        <v>0</v>
      </c>
      <c r="AW34" s="826">
        <f t="shared" si="10"/>
        <v>6.5973333333333342</v>
      </c>
      <c r="AX34" s="458">
        <f t="shared" si="11"/>
        <v>0</v>
      </c>
      <c r="AY34" s="827">
        <f t="shared" si="12"/>
        <v>0</v>
      </c>
      <c r="AZ34" s="836">
        <f t="shared" si="37"/>
        <v>6.5973333333333342</v>
      </c>
    </row>
    <row r="35" spans="1:52">
      <c r="A35" s="787">
        <f t="shared" si="38"/>
        <v>42288</v>
      </c>
      <c r="B35" s="786">
        <v>0</v>
      </c>
      <c r="E35" s="802">
        <f t="shared" si="40"/>
        <v>7.7688888888889513</v>
      </c>
      <c r="F35" s="799">
        <f t="shared" si="0"/>
        <v>0.40266666666666584</v>
      </c>
      <c r="G35" s="829">
        <f t="shared" si="13"/>
        <v>0</v>
      </c>
      <c r="H35" s="829">
        <f t="shared" si="1"/>
        <v>0</v>
      </c>
      <c r="I35" s="829">
        <f t="shared" si="2"/>
        <v>-7.7688888888889513</v>
      </c>
      <c r="J35" s="829">
        <f t="shared" si="3"/>
        <v>-0.40266666666666584</v>
      </c>
      <c r="K35" s="810">
        <f t="shared" si="14"/>
        <v>0</v>
      </c>
      <c r="L35" s="814">
        <f t="shared" si="15"/>
        <v>0</v>
      </c>
      <c r="M35" s="810">
        <f t="shared" si="16"/>
        <v>1456.6666666666783</v>
      </c>
      <c r="N35" s="811">
        <f t="shared" si="17"/>
        <v>97.042666666666477</v>
      </c>
      <c r="O35" s="806">
        <f>0</f>
        <v>0</v>
      </c>
      <c r="P35" s="806">
        <f>0</f>
        <v>0</v>
      </c>
      <c r="Q35" s="806">
        <v>7</v>
      </c>
      <c r="R35" s="806">
        <v>7</v>
      </c>
      <c r="S35" s="809">
        <f t="shared" si="18"/>
        <v>0</v>
      </c>
      <c r="T35" s="809">
        <f t="shared" si="19"/>
        <v>0</v>
      </c>
      <c r="U35" s="809">
        <f t="shared" si="20"/>
        <v>1312.5</v>
      </c>
      <c r="V35" s="809">
        <f t="shared" si="21"/>
        <v>1687</v>
      </c>
      <c r="W35" s="816">
        <f t="shared" si="39"/>
        <v>42288</v>
      </c>
      <c r="X35" s="817">
        <f t="shared" si="22"/>
        <v>0</v>
      </c>
      <c r="Y35" s="460">
        <v>0</v>
      </c>
      <c r="Z35" s="818">
        <f t="shared" si="23"/>
        <v>0</v>
      </c>
      <c r="AA35" s="817">
        <f t="shared" si="4"/>
        <v>0</v>
      </c>
      <c r="AB35" s="460">
        <v>0</v>
      </c>
      <c r="AC35" s="818">
        <f t="shared" si="24"/>
        <v>0</v>
      </c>
      <c r="AD35" s="817">
        <f t="shared" si="25"/>
        <v>0</v>
      </c>
      <c r="AE35" s="460">
        <v>0</v>
      </c>
      <c r="AF35" s="818">
        <f t="shared" si="26"/>
        <v>0</v>
      </c>
      <c r="AG35" s="817">
        <f t="shared" si="5"/>
        <v>1589.9573333333335</v>
      </c>
      <c r="AH35" s="460">
        <v>0</v>
      </c>
      <c r="AI35" s="818">
        <f t="shared" si="27"/>
        <v>0</v>
      </c>
      <c r="AJ35" s="824"/>
      <c r="AK35" s="826">
        <f t="shared" si="28"/>
        <v>0</v>
      </c>
      <c r="AL35" s="458">
        <f t="shared" si="29"/>
        <v>0</v>
      </c>
      <c r="AM35" s="827">
        <f t="shared" si="30"/>
        <v>0</v>
      </c>
      <c r="AN35" s="836">
        <f t="shared" si="31"/>
        <v>0</v>
      </c>
      <c r="AO35" s="826">
        <f t="shared" si="32"/>
        <v>0</v>
      </c>
      <c r="AP35" s="458">
        <f t="shared" si="33"/>
        <v>0</v>
      </c>
      <c r="AQ35" s="827">
        <f t="shared" si="34"/>
        <v>0</v>
      </c>
      <c r="AR35" s="836">
        <f t="shared" si="35"/>
        <v>0</v>
      </c>
      <c r="AS35" s="826">
        <f t="shared" si="7"/>
        <v>0</v>
      </c>
      <c r="AT35" s="458">
        <f t="shared" si="8"/>
        <v>0</v>
      </c>
      <c r="AU35" s="827">
        <f t="shared" si="9"/>
        <v>0</v>
      </c>
      <c r="AV35" s="836">
        <f t="shared" si="36"/>
        <v>0</v>
      </c>
      <c r="AW35" s="826">
        <f t="shared" si="10"/>
        <v>6.5973333333333342</v>
      </c>
      <c r="AX35" s="458">
        <f t="shared" si="11"/>
        <v>0</v>
      </c>
      <c r="AY35" s="827">
        <f t="shared" si="12"/>
        <v>0</v>
      </c>
      <c r="AZ35" s="836">
        <f t="shared" si="37"/>
        <v>6.5973333333333342</v>
      </c>
    </row>
    <row r="36" spans="1:52">
      <c r="A36" s="787">
        <f t="shared" si="38"/>
        <v>42289</v>
      </c>
      <c r="B36" s="786">
        <v>0</v>
      </c>
      <c r="E36" s="802">
        <f t="shared" si="40"/>
        <v>7.7688888888889513</v>
      </c>
      <c r="F36" s="799">
        <f t="shared" si="0"/>
        <v>0.40266666666666584</v>
      </c>
      <c r="G36" s="829">
        <f t="shared" si="13"/>
        <v>0</v>
      </c>
      <c r="H36" s="829">
        <f t="shared" si="1"/>
        <v>0</v>
      </c>
      <c r="I36" s="829">
        <f t="shared" si="2"/>
        <v>-7.7688888888889513</v>
      </c>
      <c r="J36" s="829">
        <f t="shared" si="3"/>
        <v>-0.40266666666666584</v>
      </c>
      <c r="K36" s="810">
        <f t="shared" si="14"/>
        <v>0</v>
      </c>
      <c r="L36" s="814">
        <f t="shared" si="15"/>
        <v>0</v>
      </c>
      <c r="M36" s="810">
        <f t="shared" si="16"/>
        <v>1456.6666666666783</v>
      </c>
      <c r="N36" s="811">
        <f t="shared" si="17"/>
        <v>97.042666666666477</v>
      </c>
      <c r="O36" s="806">
        <f>0</f>
        <v>0</v>
      </c>
      <c r="P36" s="806">
        <f>0</f>
        <v>0</v>
      </c>
      <c r="Q36" s="806">
        <v>7</v>
      </c>
      <c r="R36" s="806">
        <v>7</v>
      </c>
      <c r="S36" s="809">
        <f t="shared" si="18"/>
        <v>0</v>
      </c>
      <c r="T36" s="809">
        <f t="shared" si="19"/>
        <v>0</v>
      </c>
      <c r="U36" s="809">
        <f t="shared" si="20"/>
        <v>1312.5</v>
      </c>
      <c r="V36" s="809">
        <f t="shared" si="21"/>
        <v>1687</v>
      </c>
      <c r="W36" s="816">
        <f t="shared" si="39"/>
        <v>42289</v>
      </c>
      <c r="X36" s="817">
        <f t="shared" si="22"/>
        <v>0</v>
      </c>
      <c r="Y36" s="460">
        <v>0</v>
      </c>
      <c r="Z36" s="818">
        <f t="shared" si="23"/>
        <v>0</v>
      </c>
      <c r="AA36" s="817">
        <f t="shared" si="4"/>
        <v>0</v>
      </c>
      <c r="AB36" s="460">
        <v>0</v>
      </c>
      <c r="AC36" s="818">
        <f t="shared" si="24"/>
        <v>0</v>
      </c>
      <c r="AD36" s="817">
        <f t="shared" si="25"/>
        <v>0</v>
      </c>
      <c r="AE36" s="460">
        <v>0</v>
      </c>
      <c r="AF36" s="818">
        <f t="shared" si="26"/>
        <v>0</v>
      </c>
      <c r="AG36" s="817">
        <f t="shared" si="5"/>
        <v>1589.9573333333335</v>
      </c>
      <c r="AH36" s="460">
        <v>0</v>
      </c>
      <c r="AI36" s="818">
        <f t="shared" si="27"/>
        <v>0</v>
      </c>
      <c r="AJ36" s="824"/>
      <c r="AK36" s="826">
        <f t="shared" si="28"/>
        <v>0</v>
      </c>
      <c r="AL36" s="458">
        <f t="shared" si="29"/>
        <v>0</v>
      </c>
      <c r="AM36" s="827">
        <f t="shared" si="30"/>
        <v>0</v>
      </c>
      <c r="AN36" s="836">
        <f t="shared" si="31"/>
        <v>0</v>
      </c>
      <c r="AO36" s="826">
        <f t="shared" si="32"/>
        <v>0</v>
      </c>
      <c r="AP36" s="458">
        <f t="shared" si="33"/>
        <v>0</v>
      </c>
      <c r="AQ36" s="827">
        <f t="shared" si="34"/>
        <v>0</v>
      </c>
      <c r="AR36" s="836">
        <f t="shared" si="35"/>
        <v>0</v>
      </c>
      <c r="AS36" s="826">
        <f t="shared" si="7"/>
        <v>0</v>
      </c>
      <c r="AT36" s="458">
        <f t="shared" si="8"/>
        <v>0</v>
      </c>
      <c r="AU36" s="827">
        <f t="shared" si="9"/>
        <v>0</v>
      </c>
      <c r="AV36" s="836">
        <f t="shared" si="36"/>
        <v>0</v>
      </c>
      <c r="AW36" s="826">
        <f t="shared" si="10"/>
        <v>6.5973333333333342</v>
      </c>
      <c r="AX36" s="458">
        <f t="shared" si="11"/>
        <v>0</v>
      </c>
      <c r="AY36" s="827">
        <f t="shared" si="12"/>
        <v>0</v>
      </c>
      <c r="AZ36" s="836">
        <f t="shared" si="37"/>
        <v>6.5973333333333342</v>
      </c>
    </row>
    <row r="37" spans="1:52">
      <c r="A37" s="787">
        <f t="shared" si="38"/>
        <v>42290</v>
      </c>
      <c r="B37" s="786">
        <v>0</v>
      </c>
      <c r="E37" s="802">
        <f t="shared" si="40"/>
        <v>7.7688888888889513</v>
      </c>
      <c r="F37" s="800">
        <f t="shared" ref="F37:F66" si="41">AVERAGE(B$38:B$66)</f>
        <v>8.7890804597701795</v>
      </c>
      <c r="G37" s="829">
        <f t="shared" si="13"/>
        <v>0</v>
      </c>
      <c r="H37" s="829">
        <f t="shared" si="1"/>
        <v>0</v>
      </c>
      <c r="I37" s="829">
        <f t="shared" si="2"/>
        <v>-7.7688888888889513</v>
      </c>
      <c r="J37" s="829">
        <f t="shared" si="3"/>
        <v>-8.7890804597701795</v>
      </c>
      <c r="K37" s="810">
        <f t="shared" si="14"/>
        <v>0</v>
      </c>
      <c r="L37" s="814">
        <f t="shared" si="15"/>
        <v>0</v>
      </c>
      <c r="M37" s="810">
        <f t="shared" si="16"/>
        <v>1456.6666666666783</v>
      </c>
      <c r="N37" s="811">
        <f t="shared" si="17"/>
        <v>2118.1683908046134</v>
      </c>
      <c r="O37" s="806">
        <f>0</f>
        <v>0</v>
      </c>
      <c r="P37" s="806">
        <f>0</f>
        <v>0</v>
      </c>
      <c r="Q37" s="806">
        <v>7</v>
      </c>
      <c r="R37" s="806">
        <v>7</v>
      </c>
      <c r="S37" s="809">
        <f t="shared" si="18"/>
        <v>0</v>
      </c>
      <c r="T37" s="809">
        <f t="shared" si="19"/>
        <v>0</v>
      </c>
      <c r="U37" s="809">
        <f t="shared" si="20"/>
        <v>1312.5</v>
      </c>
      <c r="V37" s="809">
        <f t="shared" si="21"/>
        <v>1687</v>
      </c>
      <c r="W37" s="816">
        <f t="shared" si="39"/>
        <v>42290</v>
      </c>
      <c r="X37" s="817">
        <f t="shared" si="22"/>
        <v>0</v>
      </c>
      <c r="Y37" s="460">
        <v>0</v>
      </c>
      <c r="Z37" s="818">
        <f t="shared" si="23"/>
        <v>0</v>
      </c>
      <c r="AA37" s="817">
        <f t="shared" si="4"/>
        <v>0</v>
      </c>
      <c r="AB37" s="460">
        <v>0</v>
      </c>
      <c r="AC37" s="818">
        <f t="shared" si="24"/>
        <v>0</v>
      </c>
      <c r="AD37" s="817">
        <f t="shared" si="25"/>
        <v>0</v>
      </c>
      <c r="AE37" s="460">
        <v>0</v>
      </c>
      <c r="AF37" s="818">
        <f t="shared" si="26"/>
        <v>0</v>
      </c>
      <c r="AG37" s="817">
        <f t="shared" si="5"/>
        <v>0</v>
      </c>
      <c r="AH37" s="460">
        <v>0</v>
      </c>
      <c r="AI37" s="818">
        <f t="shared" si="27"/>
        <v>0</v>
      </c>
      <c r="AJ37" s="824"/>
      <c r="AK37" s="826">
        <f t="shared" si="28"/>
        <v>0</v>
      </c>
      <c r="AL37" s="458">
        <f t="shared" si="29"/>
        <v>0</v>
      </c>
      <c r="AM37" s="827">
        <f t="shared" si="30"/>
        <v>0</v>
      </c>
      <c r="AN37" s="836">
        <f t="shared" si="31"/>
        <v>0</v>
      </c>
      <c r="AO37" s="826">
        <f t="shared" si="32"/>
        <v>0</v>
      </c>
      <c r="AP37" s="458">
        <f t="shared" si="33"/>
        <v>0</v>
      </c>
      <c r="AQ37" s="827">
        <f t="shared" si="34"/>
        <v>0</v>
      </c>
      <c r="AR37" s="836">
        <f t="shared" si="35"/>
        <v>0</v>
      </c>
      <c r="AS37" s="826">
        <f t="shared" si="7"/>
        <v>0</v>
      </c>
      <c r="AT37" s="458">
        <f t="shared" si="8"/>
        <v>0</v>
      </c>
      <c r="AU37" s="827">
        <f t="shared" si="9"/>
        <v>0</v>
      </c>
      <c r="AV37" s="836">
        <f t="shared" si="36"/>
        <v>0</v>
      </c>
      <c r="AW37" s="826">
        <f t="shared" si="10"/>
        <v>0</v>
      </c>
      <c r="AX37" s="458">
        <f t="shared" si="11"/>
        <v>0</v>
      </c>
      <c r="AY37" s="827">
        <f t="shared" si="12"/>
        <v>0</v>
      </c>
      <c r="AZ37" s="836">
        <f t="shared" si="37"/>
        <v>0</v>
      </c>
    </row>
    <row r="38" spans="1:52">
      <c r="A38" s="787">
        <f t="shared" si="38"/>
        <v>42291</v>
      </c>
      <c r="B38" s="786">
        <v>0</v>
      </c>
      <c r="E38" s="802">
        <f t="shared" si="40"/>
        <v>7.7688888888889513</v>
      </c>
      <c r="F38" s="800">
        <f t="shared" si="41"/>
        <v>8.7890804597701795</v>
      </c>
      <c r="G38" s="829">
        <f t="shared" si="13"/>
        <v>0</v>
      </c>
      <c r="H38" s="829">
        <f t="shared" si="1"/>
        <v>0</v>
      </c>
      <c r="I38" s="829">
        <f t="shared" si="2"/>
        <v>-7.7688888888889513</v>
      </c>
      <c r="J38" s="829">
        <f t="shared" si="3"/>
        <v>-8.7890804597701795</v>
      </c>
      <c r="K38" s="810">
        <f t="shared" si="14"/>
        <v>0</v>
      </c>
      <c r="L38" s="814">
        <f t="shared" si="15"/>
        <v>0</v>
      </c>
      <c r="M38" s="810">
        <f t="shared" si="16"/>
        <v>1456.6666666666783</v>
      </c>
      <c r="N38" s="811">
        <f t="shared" si="17"/>
        <v>2118.1683908046134</v>
      </c>
      <c r="O38" s="806">
        <f>0</f>
        <v>0</v>
      </c>
      <c r="P38" s="806">
        <f>0</f>
        <v>0</v>
      </c>
      <c r="Q38" s="806">
        <v>7</v>
      </c>
      <c r="R38" s="806">
        <v>14</v>
      </c>
      <c r="S38" s="809">
        <f t="shared" si="18"/>
        <v>0</v>
      </c>
      <c r="T38" s="809">
        <f t="shared" si="19"/>
        <v>0</v>
      </c>
      <c r="U38" s="809">
        <f t="shared" si="20"/>
        <v>1312.5</v>
      </c>
      <c r="V38" s="809">
        <f t="shared" si="21"/>
        <v>3374</v>
      </c>
      <c r="W38" s="816">
        <f t="shared" si="39"/>
        <v>42291</v>
      </c>
      <c r="X38" s="817">
        <f t="shared" si="22"/>
        <v>0</v>
      </c>
      <c r="Y38" s="460">
        <v>0</v>
      </c>
      <c r="Z38" s="818">
        <f t="shared" si="23"/>
        <v>0</v>
      </c>
      <c r="AA38" s="817">
        <f t="shared" si="4"/>
        <v>0</v>
      </c>
      <c r="AB38" s="460">
        <v>0</v>
      </c>
      <c r="AC38" s="818">
        <f t="shared" si="24"/>
        <v>0</v>
      </c>
      <c r="AD38" s="817">
        <f t="shared" si="25"/>
        <v>0</v>
      </c>
      <c r="AE38" s="460">
        <v>0</v>
      </c>
      <c r="AF38" s="818">
        <f t="shared" si="26"/>
        <v>0</v>
      </c>
      <c r="AG38" s="817">
        <f t="shared" si="5"/>
        <v>1255.8316091953866</v>
      </c>
      <c r="AH38" s="460">
        <v>0</v>
      </c>
      <c r="AI38" s="818">
        <f t="shared" si="27"/>
        <v>0</v>
      </c>
      <c r="AJ38" s="824"/>
      <c r="AK38" s="826">
        <f t="shared" si="28"/>
        <v>0</v>
      </c>
      <c r="AL38" s="458">
        <f t="shared" si="29"/>
        <v>0</v>
      </c>
      <c r="AM38" s="827">
        <f t="shared" si="30"/>
        <v>0</v>
      </c>
      <c r="AN38" s="836">
        <f t="shared" si="31"/>
        <v>0</v>
      </c>
      <c r="AO38" s="826">
        <f t="shared" si="32"/>
        <v>0</v>
      </c>
      <c r="AP38" s="458">
        <f t="shared" si="33"/>
        <v>0</v>
      </c>
      <c r="AQ38" s="827">
        <f t="shared" si="34"/>
        <v>0</v>
      </c>
      <c r="AR38" s="836">
        <f t="shared" si="35"/>
        <v>0</v>
      </c>
      <c r="AS38" s="826">
        <f t="shared" si="7"/>
        <v>0</v>
      </c>
      <c r="AT38" s="458">
        <f t="shared" si="8"/>
        <v>0</v>
      </c>
      <c r="AU38" s="827">
        <f t="shared" si="9"/>
        <v>0</v>
      </c>
      <c r="AV38" s="836">
        <f t="shared" si="36"/>
        <v>0</v>
      </c>
      <c r="AW38" s="826">
        <f t="shared" si="10"/>
        <v>5.2109195402298196</v>
      </c>
      <c r="AX38" s="458">
        <f t="shared" si="11"/>
        <v>0</v>
      </c>
      <c r="AY38" s="827">
        <f t="shared" si="12"/>
        <v>0</v>
      </c>
      <c r="AZ38" s="836">
        <f t="shared" si="37"/>
        <v>5.2109195402298196</v>
      </c>
    </row>
    <row r="39" spans="1:52">
      <c r="A39" s="787">
        <f t="shared" si="38"/>
        <v>42292</v>
      </c>
      <c r="B39" s="786">
        <v>0</v>
      </c>
      <c r="E39" s="802">
        <f t="shared" si="40"/>
        <v>7.7688888888889513</v>
      </c>
      <c r="F39" s="800">
        <f t="shared" si="41"/>
        <v>8.7890804597701795</v>
      </c>
      <c r="G39" s="829">
        <f t="shared" si="13"/>
        <v>0</v>
      </c>
      <c r="H39" s="829">
        <f t="shared" si="1"/>
        <v>0</v>
      </c>
      <c r="I39" s="829">
        <f t="shared" si="2"/>
        <v>-7.7688888888889513</v>
      </c>
      <c r="J39" s="829">
        <f t="shared" si="3"/>
        <v>-8.7890804597701795</v>
      </c>
      <c r="K39" s="810">
        <f t="shared" si="14"/>
        <v>0</v>
      </c>
      <c r="L39" s="814">
        <f t="shared" si="15"/>
        <v>0</v>
      </c>
      <c r="M39" s="810">
        <f t="shared" si="16"/>
        <v>1456.6666666666783</v>
      </c>
      <c r="N39" s="811">
        <f t="shared" si="17"/>
        <v>2118.1683908046134</v>
      </c>
      <c r="O39" s="806">
        <f>0</f>
        <v>0</v>
      </c>
      <c r="P39" s="806">
        <f>0</f>
        <v>0</v>
      </c>
      <c r="Q39" s="806">
        <v>7</v>
      </c>
      <c r="R39" s="806">
        <v>14</v>
      </c>
      <c r="S39" s="809">
        <f t="shared" si="18"/>
        <v>0</v>
      </c>
      <c r="T39" s="809">
        <f t="shared" si="19"/>
        <v>0</v>
      </c>
      <c r="U39" s="809">
        <f t="shared" si="20"/>
        <v>1312.5</v>
      </c>
      <c r="V39" s="809">
        <f t="shared" si="21"/>
        <v>3374</v>
      </c>
      <c r="W39" s="816">
        <f t="shared" si="39"/>
        <v>42292</v>
      </c>
      <c r="X39" s="817">
        <f t="shared" si="22"/>
        <v>0</v>
      </c>
      <c r="Y39" s="460">
        <v>2747.6550087338669</v>
      </c>
      <c r="Z39" s="818">
        <f t="shared" si="23"/>
        <v>0</v>
      </c>
      <c r="AA39" s="817">
        <f t="shared" si="4"/>
        <v>0</v>
      </c>
      <c r="AB39" s="460">
        <v>2323.6944459487227</v>
      </c>
      <c r="AC39" s="818">
        <f t="shared" si="24"/>
        <v>0</v>
      </c>
      <c r="AD39" s="817">
        <f t="shared" si="25"/>
        <v>0</v>
      </c>
      <c r="AE39" s="460">
        <v>840.94087824140513</v>
      </c>
      <c r="AF39" s="818">
        <f t="shared" si="26"/>
        <v>0</v>
      </c>
      <c r="AG39" s="817">
        <f t="shared" si="5"/>
        <v>1255.8316091953866</v>
      </c>
      <c r="AH39" s="460">
        <v>3091.9074563698455</v>
      </c>
      <c r="AI39" s="818">
        <f t="shared" si="27"/>
        <v>1255.8316091953866</v>
      </c>
      <c r="AJ39" s="824"/>
      <c r="AK39" s="826">
        <f t="shared" si="28"/>
        <v>0</v>
      </c>
      <c r="AL39" s="458">
        <f t="shared" si="29"/>
        <v>10.240980278545907</v>
      </c>
      <c r="AM39" s="827">
        <f t="shared" si="30"/>
        <v>0</v>
      </c>
      <c r="AN39" s="836">
        <f t="shared" si="31"/>
        <v>0</v>
      </c>
      <c r="AO39" s="826">
        <f t="shared" si="32"/>
        <v>0</v>
      </c>
      <c r="AP39" s="458">
        <f t="shared" si="33"/>
        <v>5.1683595328040983</v>
      </c>
      <c r="AQ39" s="827">
        <f t="shared" si="34"/>
        <v>0</v>
      </c>
      <c r="AR39" s="836">
        <f t="shared" si="35"/>
        <v>0</v>
      </c>
      <c r="AS39" s="826">
        <f t="shared" ref="AS39:AS70" si="42">AD39/$C$3*1000</f>
        <v>0</v>
      </c>
      <c r="AT39" s="458">
        <f t="shared" ref="AT39:AT70" si="43">AE39/$C$3*1000</f>
        <v>4.4850180172874934</v>
      </c>
      <c r="AU39" s="827">
        <f t="shared" ref="AU39:AU70" si="44">AF39/$C$3*1000</f>
        <v>0</v>
      </c>
      <c r="AV39" s="836">
        <f t="shared" si="36"/>
        <v>0</v>
      </c>
      <c r="AW39" s="826">
        <f t="shared" ref="AW39:AW70" si="45">AG39/$C$4*1000</f>
        <v>5.2109195402298196</v>
      </c>
      <c r="AX39" s="458">
        <f t="shared" ref="AX39:AX70" si="46">AH39/$C$4*1000</f>
        <v>12.829491520206828</v>
      </c>
      <c r="AY39" s="827">
        <f t="shared" ref="AY39:AY70" si="47">AI39/$C$4*1000</f>
        <v>5.2109195402298196</v>
      </c>
      <c r="AZ39" s="836">
        <f t="shared" si="37"/>
        <v>0</v>
      </c>
    </row>
    <row r="40" spans="1:52">
      <c r="A40" s="787">
        <f t="shared" si="38"/>
        <v>42293</v>
      </c>
      <c r="B40" s="786">
        <v>127.800000000002</v>
      </c>
      <c r="E40" s="802">
        <f t="shared" si="40"/>
        <v>7.7688888888889513</v>
      </c>
      <c r="F40" s="800">
        <f t="shared" si="41"/>
        <v>8.7890804597701795</v>
      </c>
      <c r="G40" s="829">
        <f t="shared" si="13"/>
        <v>0</v>
      </c>
      <c r="H40" s="829">
        <f t="shared" si="1"/>
        <v>0</v>
      </c>
      <c r="I40" s="829">
        <f t="shared" si="2"/>
        <v>-7.7688888888889513</v>
      </c>
      <c r="J40" s="829">
        <f t="shared" si="3"/>
        <v>-8.7890804597701795</v>
      </c>
      <c r="K40" s="810">
        <f t="shared" si="14"/>
        <v>0</v>
      </c>
      <c r="L40" s="814">
        <f t="shared" si="15"/>
        <v>0</v>
      </c>
      <c r="M40" s="810">
        <f t="shared" si="16"/>
        <v>1456.6666666666783</v>
      </c>
      <c r="N40" s="811">
        <f t="shared" si="17"/>
        <v>2118.1683908046134</v>
      </c>
      <c r="O40" s="806">
        <f>0</f>
        <v>0</v>
      </c>
      <c r="P40" s="806">
        <f>0</f>
        <v>0</v>
      </c>
      <c r="Q40" s="806">
        <v>7</v>
      </c>
      <c r="R40" s="806">
        <v>14</v>
      </c>
      <c r="S40" s="809">
        <f t="shared" si="18"/>
        <v>0</v>
      </c>
      <c r="T40" s="809">
        <f t="shared" si="19"/>
        <v>0</v>
      </c>
      <c r="U40" s="809">
        <f t="shared" si="20"/>
        <v>1312.5</v>
      </c>
      <c r="V40" s="809">
        <f t="shared" si="21"/>
        <v>3374</v>
      </c>
      <c r="W40" s="816">
        <f t="shared" si="39"/>
        <v>42293</v>
      </c>
      <c r="X40" s="817">
        <f t="shared" si="22"/>
        <v>0</v>
      </c>
      <c r="Y40" s="460">
        <v>2747.6550087338669</v>
      </c>
      <c r="Z40" s="818">
        <f t="shared" si="23"/>
        <v>0</v>
      </c>
      <c r="AA40" s="817">
        <f t="shared" si="4"/>
        <v>0</v>
      </c>
      <c r="AB40" s="460">
        <v>2323.6944459487227</v>
      </c>
      <c r="AC40" s="818">
        <f t="shared" si="24"/>
        <v>0</v>
      </c>
      <c r="AD40" s="817">
        <f t="shared" si="25"/>
        <v>0</v>
      </c>
      <c r="AE40" s="460">
        <v>840.94087824140513</v>
      </c>
      <c r="AF40" s="818">
        <f t="shared" si="26"/>
        <v>0</v>
      </c>
      <c r="AG40" s="817">
        <f t="shared" si="5"/>
        <v>1255.8316091953866</v>
      </c>
      <c r="AH40" s="460">
        <v>3091.9074563698455</v>
      </c>
      <c r="AI40" s="818">
        <f t="shared" si="27"/>
        <v>1255.8316091953866</v>
      </c>
      <c r="AJ40" s="824"/>
      <c r="AK40" s="826">
        <f t="shared" si="28"/>
        <v>0</v>
      </c>
      <c r="AL40" s="458">
        <f t="shared" si="29"/>
        <v>10.240980278545907</v>
      </c>
      <c r="AM40" s="827">
        <f t="shared" si="30"/>
        <v>0</v>
      </c>
      <c r="AN40" s="836">
        <f t="shared" si="31"/>
        <v>0</v>
      </c>
      <c r="AO40" s="826">
        <f t="shared" si="32"/>
        <v>0</v>
      </c>
      <c r="AP40" s="458">
        <f t="shared" ref="AP40:AP71" si="48">AB40/$C$2*1000</f>
        <v>5.1683595328040983</v>
      </c>
      <c r="AQ40" s="827">
        <f t="shared" ref="AQ40:AQ71" si="49">AC40/$C$2*1000</f>
        <v>0</v>
      </c>
      <c r="AR40" s="836">
        <f t="shared" si="35"/>
        <v>0</v>
      </c>
      <c r="AS40" s="826">
        <f t="shared" si="42"/>
        <v>0</v>
      </c>
      <c r="AT40" s="458">
        <f t="shared" si="43"/>
        <v>4.4850180172874934</v>
      </c>
      <c r="AU40" s="827">
        <f t="shared" si="44"/>
        <v>0</v>
      </c>
      <c r="AV40" s="836">
        <f t="shared" si="36"/>
        <v>0</v>
      </c>
      <c r="AW40" s="826">
        <f t="shared" si="45"/>
        <v>5.2109195402298196</v>
      </c>
      <c r="AX40" s="458">
        <f t="shared" si="46"/>
        <v>12.829491520206828</v>
      </c>
      <c r="AY40" s="827">
        <f t="shared" si="47"/>
        <v>5.2109195402298196</v>
      </c>
      <c r="AZ40" s="836">
        <f t="shared" si="37"/>
        <v>0</v>
      </c>
    </row>
    <row r="41" spans="1:52">
      <c r="A41" s="787">
        <f t="shared" si="38"/>
        <v>42294</v>
      </c>
      <c r="B41" s="786">
        <v>21.2</v>
      </c>
      <c r="E41" s="802">
        <f t="shared" si="40"/>
        <v>7.7688888888889513</v>
      </c>
      <c r="F41" s="800">
        <f t="shared" si="41"/>
        <v>8.7890804597701795</v>
      </c>
      <c r="G41" s="829">
        <f t="shared" si="13"/>
        <v>0</v>
      </c>
      <c r="H41" s="829">
        <f t="shared" si="1"/>
        <v>0</v>
      </c>
      <c r="I41" s="829">
        <f t="shared" si="2"/>
        <v>-7.7688888888889513</v>
      </c>
      <c r="J41" s="829">
        <f t="shared" si="3"/>
        <v>-8.7890804597701795</v>
      </c>
      <c r="K41" s="810">
        <f t="shared" si="14"/>
        <v>0</v>
      </c>
      <c r="L41" s="814">
        <f t="shared" si="15"/>
        <v>0</v>
      </c>
      <c r="M41" s="810">
        <f t="shared" si="16"/>
        <v>1456.6666666666783</v>
      </c>
      <c r="N41" s="811">
        <f t="shared" si="17"/>
        <v>2118.1683908046134</v>
      </c>
      <c r="O41" s="806">
        <f>0</f>
        <v>0</v>
      </c>
      <c r="P41" s="806">
        <f>0</f>
        <v>0</v>
      </c>
      <c r="Q41" s="806">
        <v>7</v>
      </c>
      <c r="R41" s="806">
        <v>14</v>
      </c>
      <c r="S41" s="809">
        <f t="shared" si="18"/>
        <v>0</v>
      </c>
      <c r="T41" s="809">
        <f t="shared" si="19"/>
        <v>0</v>
      </c>
      <c r="U41" s="809">
        <f t="shared" si="20"/>
        <v>1312.5</v>
      </c>
      <c r="V41" s="809">
        <f t="shared" si="21"/>
        <v>3374</v>
      </c>
      <c r="W41" s="816">
        <f t="shared" si="39"/>
        <v>42294</v>
      </c>
      <c r="X41" s="817">
        <f t="shared" si="22"/>
        <v>0</v>
      </c>
      <c r="Y41" s="460">
        <v>2752.3273003296476</v>
      </c>
      <c r="Z41" s="818">
        <f t="shared" si="23"/>
        <v>0</v>
      </c>
      <c r="AA41" s="817">
        <f t="shared" si="4"/>
        <v>0</v>
      </c>
      <c r="AB41" s="460">
        <v>2328.1420866670996</v>
      </c>
      <c r="AC41" s="818">
        <f t="shared" si="24"/>
        <v>0</v>
      </c>
      <c r="AD41" s="817">
        <f t="shared" si="25"/>
        <v>0</v>
      </c>
      <c r="AE41" s="460">
        <v>838.5187365135389</v>
      </c>
      <c r="AF41" s="818">
        <f t="shared" si="26"/>
        <v>0</v>
      </c>
      <c r="AG41" s="817">
        <f t="shared" si="5"/>
        <v>1255.8316091953866</v>
      </c>
      <c r="AH41" s="460">
        <v>3095.8415383058045</v>
      </c>
      <c r="AI41" s="818">
        <f t="shared" si="27"/>
        <v>1255.8316091953866</v>
      </c>
      <c r="AJ41" s="824"/>
      <c r="AK41" s="826">
        <f t="shared" si="28"/>
        <v>0</v>
      </c>
      <c r="AL41" s="458">
        <f t="shared" si="29"/>
        <v>10.258394708645724</v>
      </c>
      <c r="AM41" s="827">
        <f t="shared" si="30"/>
        <v>0</v>
      </c>
      <c r="AN41" s="836">
        <f t="shared" si="31"/>
        <v>0</v>
      </c>
      <c r="AO41" s="826">
        <f t="shared" si="32"/>
        <v>0</v>
      </c>
      <c r="AP41" s="458">
        <f t="shared" si="48"/>
        <v>5.1782519721243316</v>
      </c>
      <c r="AQ41" s="827">
        <f t="shared" si="49"/>
        <v>0</v>
      </c>
      <c r="AR41" s="836">
        <f t="shared" si="35"/>
        <v>0</v>
      </c>
      <c r="AS41" s="826">
        <f t="shared" si="42"/>
        <v>0</v>
      </c>
      <c r="AT41" s="458">
        <f t="shared" si="43"/>
        <v>4.4720999280722076</v>
      </c>
      <c r="AU41" s="827">
        <f t="shared" si="44"/>
        <v>0</v>
      </c>
      <c r="AV41" s="836">
        <f t="shared" si="36"/>
        <v>0</v>
      </c>
      <c r="AW41" s="826">
        <f t="shared" si="45"/>
        <v>5.2109195402298196</v>
      </c>
      <c r="AX41" s="458">
        <f t="shared" si="46"/>
        <v>12.845815511642343</v>
      </c>
      <c r="AY41" s="827">
        <f t="shared" si="47"/>
        <v>5.2109195402298196</v>
      </c>
      <c r="AZ41" s="836">
        <f t="shared" si="37"/>
        <v>0</v>
      </c>
    </row>
    <row r="42" spans="1:52">
      <c r="A42" s="787">
        <f t="shared" si="38"/>
        <v>42295</v>
      </c>
      <c r="B42" s="786">
        <v>11.4</v>
      </c>
      <c r="C42" s="802">
        <v>3.6627777777777744</v>
      </c>
      <c r="D42" s="802">
        <f t="shared" ref="D42:D71" si="50">AVERAGE(B$42:B$71)</f>
        <v>3.6627777777777744</v>
      </c>
      <c r="E42" s="802">
        <f t="shared" si="40"/>
        <v>7.7688888888889513</v>
      </c>
      <c r="F42" s="800">
        <f t="shared" si="41"/>
        <v>8.7890804597701795</v>
      </c>
      <c r="G42" s="829">
        <f t="shared" si="13"/>
        <v>-3.6627777777777744</v>
      </c>
      <c r="H42" s="829">
        <f t="shared" si="1"/>
        <v>-3.6627777777777744</v>
      </c>
      <c r="I42" s="829">
        <f t="shared" si="2"/>
        <v>-7.7688888888889513</v>
      </c>
      <c r="J42" s="829">
        <f t="shared" si="3"/>
        <v>-8.7890804597701795</v>
      </c>
      <c r="K42" s="810">
        <f t="shared" si="14"/>
        <v>982.72327777777684</v>
      </c>
      <c r="L42" s="814">
        <f t="shared" si="15"/>
        <v>1646.7848888888873</v>
      </c>
      <c r="M42" s="810">
        <f t="shared" si="16"/>
        <v>1456.6666666666783</v>
      </c>
      <c r="N42" s="811">
        <f t="shared" si="17"/>
        <v>2118.1683908046134</v>
      </c>
      <c r="O42" s="806">
        <v>7</v>
      </c>
      <c r="P42" s="806">
        <v>7</v>
      </c>
      <c r="Q42" s="806">
        <v>7</v>
      </c>
      <c r="R42" s="806">
        <v>14</v>
      </c>
      <c r="S42" s="809">
        <f t="shared" si="18"/>
        <v>1878.1000000000001</v>
      </c>
      <c r="T42" s="809">
        <f t="shared" si="19"/>
        <v>3147.2000000000003</v>
      </c>
      <c r="U42" s="809">
        <f t="shared" si="20"/>
        <v>1312.5</v>
      </c>
      <c r="V42" s="809">
        <f t="shared" si="21"/>
        <v>3374</v>
      </c>
      <c r="W42" s="816">
        <f t="shared" si="39"/>
        <v>42295</v>
      </c>
      <c r="X42" s="817">
        <f t="shared" si="22"/>
        <v>895.37672222222329</v>
      </c>
      <c r="Y42" s="460">
        <v>3625.0276520747616</v>
      </c>
      <c r="Z42" s="818">
        <f t="shared" si="23"/>
        <v>895.37672222222329</v>
      </c>
      <c r="AA42" s="817">
        <f t="shared" si="4"/>
        <v>1500.415111111113</v>
      </c>
      <c r="AB42" s="460">
        <v>3023.3707040196955</v>
      </c>
      <c r="AC42" s="818">
        <f t="shared" si="24"/>
        <v>1500.415111111113</v>
      </c>
      <c r="AD42" s="817">
        <f t="shared" si="25"/>
        <v>0</v>
      </c>
      <c r="AE42" s="460">
        <v>968.53858483413126</v>
      </c>
      <c r="AF42" s="818">
        <f t="shared" si="26"/>
        <v>0</v>
      </c>
      <c r="AG42" s="817">
        <f t="shared" si="5"/>
        <v>1255.8316091953866</v>
      </c>
      <c r="AH42" s="460">
        <v>4083.3032493809778</v>
      </c>
      <c r="AI42" s="818">
        <f t="shared" si="27"/>
        <v>1255.8316091953866</v>
      </c>
      <c r="AJ42" s="824"/>
      <c r="AK42" s="826">
        <f t="shared" si="28"/>
        <v>3.3372222222222261</v>
      </c>
      <c r="AL42" s="458">
        <f t="shared" si="29"/>
        <v>13.511098218690874</v>
      </c>
      <c r="AM42" s="827">
        <f t="shared" si="30"/>
        <v>3.3372222222222261</v>
      </c>
      <c r="AN42" s="836">
        <f t="shared" si="31"/>
        <v>0</v>
      </c>
      <c r="AO42" s="826">
        <f t="shared" si="32"/>
        <v>3.3372222222222261</v>
      </c>
      <c r="AP42" s="458">
        <f t="shared" si="48"/>
        <v>6.7245789680153374</v>
      </c>
      <c r="AQ42" s="827">
        <f t="shared" si="49"/>
        <v>3.3372222222222261</v>
      </c>
      <c r="AR42" s="836">
        <f t="shared" si="35"/>
        <v>0</v>
      </c>
      <c r="AS42" s="826">
        <f t="shared" si="42"/>
        <v>0</v>
      </c>
      <c r="AT42" s="458">
        <f t="shared" si="43"/>
        <v>5.1655391191153672</v>
      </c>
      <c r="AU42" s="827">
        <f t="shared" si="44"/>
        <v>0</v>
      </c>
      <c r="AV42" s="836">
        <f t="shared" si="36"/>
        <v>0</v>
      </c>
      <c r="AW42" s="826">
        <f t="shared" si="45"/>
        <v>5.2109195402298196</v>
      </c>
      <c r="AX42" s="458">
        <f t="shared" si="46"/>
        <v>16.943167009879573</v>
      </c>
      <c r="AY42" s="827">
        <f t="shared" si="47"/>
        <v>5.2109195402298196</v>
      </c>
      <c r="AZ42" s="836">
        <f t="shared" si="37"/>
        <v>0</v>
      </c>
    </row>
    <row r="43" spans="1:52">
      <c r="A43" s="787">
        <f t="shared" si="38"/>
        <v>42296</v>
      </c>
      <c r="B43" s="786">
        <v>24.049999999999976</v>
      </c>
      <c r="C43" s="802">
        <v>3.6627777777777744</v>
      </c>
      <c r="D43" s="802">
        <f t="shared" si="50"/>
        <v>3.6627777777777744</v>
      </c>
      <c r="E43" s="802">
        <f t="shared" si="40"/>
        <v>7.7688888888889513</v>
      </c>
      <c r="F43" s="800">
        <f t="shared" si="41"/>
        <v>8.7890804597701795</v>
      </c>
      <c r="G43" s="829">
        <f t="shared" si="13"/>
        <v>-3.6627777777777744</v>
      </c>
      <c r="H43" s="829">
        <f t="shared" si="1"/>
        <v>-3.6627777777777744</v>
      </c>
      <c r="I43" s="829">
        <f t="shared" si="2"/>
        <v>-7.7688888888889513</v>
      </c>
      <c r="J43" s="829">
        <f t="shared" si="3"/>
        <v>-8.7890804597701795</v>
      </c>
      <c r="K43" s="810">
        <f t="shared" si="14"/>
        <v>982.72327777777684</v>
      </c>
      <c r="L43" s="814">
        <f t="shared" si="15"/>
        <v>1646.7848888888873</v>
      </c>
      <c r="M43" s="810">
        <f t="shared" si="16"/>
        <v>1456.6666666666783</v>
      </c>
      <c r="N43" s="811">
        <f t="shared" si="17"/>
        <v>2118.1683908046134</v>
      </c>
      <c r="O43" s="806">
        <v>7</v>
      </c>
      <c r="P43" s="806">
        <v>7</v>
      </c>
      <c r="Q43" s="806">
        <v>7</v>
      </c>
      <c r="R43" s="806">
        <v>14</v>
      </c>
      <c r="S43" s="809">
        <f t="shared" si="18"/>
        <v>1878.1000000000001</v>
      </c>
      <c r="T43" s="809">
        <f t="shared" si="19"/>
        <v>3147.2000000000003</v>
      </c>
      <c r="U43" s="809">
        <f t="shared" si="20"/>
        <v>1312.5</v>
      </c>
      <c r="V43" s="809">
        <f t="shared" si="21"/>
        <v>3374</v>
      </c>
      <c r="W43" s="816">
        <f t="shared" si="39"/>
        <v>42296</v>
      </c>
      <c r="X43" s="817">
        <f t="shared" si="22"/>
        <v>895.37672222222329</v>
      </c>
      <c r="Y43" s="460">
        <v>3717.5305834899996</v>
      </c>
      <c r="Z43" s="818">
        <f t="shared" si="23"/>
        <v>895.37672222222329</v>
      </c>
      <c r="AA43" s="817">
        <f t="shared" si="4"/>
        <v>1500.415111111113</v>
      </c>
      <c r="AB43" s="460">
        <v>3389.4914184882432</v>
      </c>
      <c r="AC43" s="818">
        <f t="shared" si="24"/>
        <v>1500.415111111113</v>
      </c>
      <c r="AD43" s="817">
        <f t="shared" si="25"/>
        <v>0</v>
      </c>
      <c r="AE43" s="460">
        <v>1071.60900044353</v>
      </c>
      <c r="AF43" s="818">
        <f t="shared" si="26"/>
        <v>0</v>
      </c>
      <c r="AG43" s="817">
        <f t="shared" si="5"/>
        <v>1255.8316091953866</v>
      </c>
      <c r="AH43" s="460">
        <v>4301.9801975394294</v>
      </c>
      <c r="AI43" s="818">
        <f t="shared" si="27"/>
        <v>1255.8316091953866</v>
      </c>
      <c r="AJ43" s="824"/>
      <c r="AK43" s="826">
        <f t="shared" si="28"/>
        <v>3.3372222222222261</v>
      </c>
      <c r="AL43" s="458">
        <f t="shared" si="29"/>
        <v>13.855872469213566</v>
      </c>
      <c r="AM43" s="827">
        <f t="shared" si="30"/>
        <v>3.3372222222222261</v>
      </c>
      <c r="AN43" s="836">
        <f t="shared" si="31"/>
        <v>0</v>
      </c>
      <c r="AO43" s="826">
        <f t="shared" si="32"/>
        <v>3.3372222222222261</v>
      </c>
      <c r="AP43" s="458">
        <f t="shared" si="48"/>
        <v>7.5389044005521422</v>
      </c>
      <c r="AQ43" s="827">
        <f t="shared" si="49"/>
        <v>3.3372222222222261</v>
      </c>
      <c r="AR43" s="836">
        <f t="shared" si="35"/>
        <v>0</v>
      </c>
      <c r="AS43" s="826">
        <f t="shared" si="42"/>
        <v>0</v>
      </c>
      <c r="AT43" s="458">
        <f t="shared" si="43"/>
        <v>5.7152480023654935</v>
      </c>
      <c r="AU43" s="827">
        <f t="shared" si="44"/>
        <v>0</v>
      </c>
      <c r="AV43" s="836">
        <f t="shared" si="36"/>
        <v>0</v>
      </c>
      <c r="AW43" s="826">
        <f t="shared" si="45"/>
        <v>5.2109195402298196</v>
      </c>
      <c r="AX43" s="458">
        <f t="shared" si="46"/>
        <v>17.850540238752817</v>
      </c>
      <c r="AY43" s="827">
        <f t="shared" si="47"/>
        <v>5.2109195402298196</v>
      </c>
      <c r="AZ43" s="836">
        <f t="shared" si="37"/>
        <v>0</v>
      </c>
    </row>
    <row r="44" spans="1:52">
      <c r="A44" s="787">
        <f t="shared" si="38"/>
        <v>42297</v>
      </c>
      <c r="B44" s="786">
        <v>25.749999999999925</v>
      </c>
      <c r="C44" s="802">
        <v>3.6627777777777744</v>
      </c>
      <c r="D44" s="802">
        <f t="shared" si="50"/>
        <v>3.6627777777777744</v>
      </c>
      <c r="E44" s="802">
        <f t="shared" si="40"/>
        <v>7.7688888888889513</v>
      </c>
      <c r="F44" s="800">
        <f t="shared" si="41"/>
        <v>8.7890804597701795</v>
      </c>
      <c r="G44" s="829">
        <f t="shared" si="13"/>
        <v>-3.6627777777777744</v>
      </c>
      <c r="H44" s="829">
        <f t="shared" si="1"/>
        <v>-3.6627777777777744</v>
      </c>
      <c r="I44" s="829">
        <f t="shared" si="2"/>
        <v>-7.7688888888889513</v>
      </c>
      <c r="J44" s="829">
        <f t="shared" si="3"/>
        <v>-8.7890804597701795</v>
      </c>
      <c r="K44" s="810">
        <f t="shared" si="14"/>
        <v>982.72327777777684</v>
      </c>
      <c r="L44" s="814">
        <f t="shared" si="15"/>
        <v>1646.7848888888873</v>
      </c>
      <c r="M44" s="810">
        <f t="shared" si="16"/>
        <v>1456.6666666666783</v>
      </c>
      <c r="N44" s="811">
        <f t="shared" si="17"/>
        <v>2118.1683908046134</v>
      </c>
      <c r="O44" s="806">
        <v>7</v>
      </c>
      <c r="P44" s="806">
        <v>7</v>
      </c>
      <c r="Q44" s="806">
        <v>7</v>
      </c>
      <c r="R44" s="806">
        <v>14</v>
      </c>
      <c r="S44" s="809">
        <f t="shared" si="18"/>
        <v>1878.1000000000001</v>
      </c>
      <c r="T44" s="809">
        <f t="shared" si="19"/>
        <v>3147.2000000000003</v>
      </c>
      <c r="U44" s="809">
        <f t="shared" si="20"/>
        <v>1312.5</v>
      </c>
      <c r="V44" s="809">
        <f t="shared" si="21"/>
        <v>3374</v>
      </c>
      <c r="W44" s="816">
        <f t="shared" si="39"/>
        <v>42297</v>
      </c>
      <c r="X44" s="817">
        <f t="shared" si="22"/>
        <v>895.37672222222329</v>
      </c>
      <c r="Y44" s="460">
        <v>3922.6448277241288</v>
      </c>
      <c r="Z44" s="818">
        <f t="shared" si="23"/>
        <v>895.37672222222329</v>
      </c>
      <c r="AA44" s="817">
        <f t="shared" si="4"/>
        <v>1500.415111111113</v>
      </c>
      <c r="AB44" s="460">
        <v>3656.6454704313855</v>
      </c>
      <c r="AC44" s="818">
        <f t="shared" si="24"/>
        <v>1500.415111111113</v>
      </c>
      <c r="AD44" s="817">
        <f t="shared" si="25"/>
        <v>0</v>
      </c>
      <c r="AE44" s="460">
        <v>1136.6747712541783</v>
      </c>
      <c r="AF44" s="818">
        <f t="shared" si="26"/>
        <v>0</v>
      </c>
      <c r="AG44" s="817">
        <f t="shared" si="5"/>
        <v>1255.8316091953866</v>
      </c>
      <c r="AH44" s="460">
        <v>4518.558460502255</v>
      </c>
      <c r="AI44" s="818">
        <f t="shared" si="27"/>
        <v>1255.8316091953866</v>
      </c>
      <c r="AJ44" s="824"/>
      <c r="AK44" s="826">
        <f t="shared" si="28"/>
        <v>3.3372222222222261</v>
      </c>
      <c r="AL44" s="458">
        <f t="shared" si="29"/>
        <v>14.620368347834994</v>
      </c>
      <c r="AM44" s="827">
        <f t="shared" si="30"/>
        <v>3.3372222222222261</v>
      </c>
      <c r="AN44" s="836">
        <f t="shared" si="31"/>
        <v>0</v>
      </c>
      <c r="AO44" s="826">
        <f t="shared" si="32"/>
        <v>3.3372222222222261</v>
      </c>
      <c r="AP44" s="458">
        <f t="shared" si="48"/>
        <v>8.1331082527388467</v>
      </c>
      <c r="AQ44" s="827">
        <f t="shared" si="49"/>
        <v>3.3372222222222261</v>
      </c>
      <c r="AR44" s="836">
        <f t="shared" si="35"/>
        <v>0</v>
      </c>
      <c r="AS44" s="826">
        <f t="shared" si="42"/>
        <v>0</v>
      </c>
      <c r="AT44" s="458">
        <f t="shared" si="43"/>
        <v>6.0622654466889507</v>
      </c>
      <c r="AU44" s="827">
        <f t="shared" si="44"/>
        <v>0</v>
      </c>
      <c r="AV44" s="836">
        <f t="shared" si="36"/>
        <v>0</v>
      </c>
      <c r="AW44" s="826">
        <f t="shared" si="45"/>
        <v>5.2109195402298196</v>
      </c>
      <c r="AX44" s="458">
        <f t="shared" si="46"/>
        <v>18.749205230299811</v>
      </c>
      <c r="AY44" s="827">
        <f t="shared" si="47"/>
        <v>5.2109195402298196</v>
      </c>
      <c r="AZ44" s="836">
        <f t="shared" si="37"/>
        <v>0</v>
      </c>
    </row>
    <row r="45" spans="1:52">
      <c r="A45" s="787">
        <f t="shared" si="38"/>
        <v>42298</v>
      </c>
      <c r="B45" s="786">
        <v>2</v>
      </c>
      <c r="C45" s="802">
        <v>3.6627777777777744</v>
      </c>
      <c r="D45" s="802">
        <f t="shared" si="50"/>
        <v>3.6627777777777744</v>
      </c>
      <c r="E45" s="802">
        <f t="shared" si="40"/>
        <v>7.7688888888889513</v>
      </c>
      <c r="F45" s="800">
        <f t="shared" si="41"/>
        <v>8.7890804597701795</v>
      </c>
      <c r="G45" s="829">
        <f t="shared" si="13"/>
        <v>-3.6627777777777744</v>
      </c>
      <c r="H45" s="829">
        <f t="shared" si="1"/>
        <v>-3.6627777777777744</v>
      </c>
      <c r="I45" s="829">
        <f t="shared" si="2"/>
        <v>-7.7688888888889513</v>
      </c>
      <c r="J45" s="829">
        <f t="shared" si="3"/>
        <v>-8.7890804597701795</v>
      </c>
      <c r="K45" s="810">
        <f t="shared" si="14"/>
        <v>982.72327777777684</v>
      </c>
      <c r="L45" s="814">
        <f t="shared" si="15"/>
        <v>1646.7848888888873</v>
      </c>
      <c r="M45" s="810">
        <f t="shared" si="16"/>
        <v>1456.6666666666783</v>
      </c>
      <c r="N45" s="811">
        <f t="shared" si="17"/>
        <v>2118.1683908046134</v>
      </c>
      <c r="O45" s="806">
        <v>7</v>
      </c>
      <c r="P45" s="806">
        <v>7</v>
      </c>
      <c r="Q45" s="806">
        <v>7</v>
      </c>
      <c r="R45" s="806">
        <v>14</v>
      </c>
      <c r="S45" s="809">
        <f t="shared" si="18"/>
        <v>1878.1000000000001</v>
      </c>
      <c r="T45" s="809">
        <f t="shared" si="19"/>
        <v>3147.2000000000003</v>
      </c>
      <c r="U45" s="809">
        <f t="shared" si="20"/>
        <v>1312.5</v>
      </c>
      <c r="V45" s="809">
        <f t="shared" si="21"/>
        <v>3374</v>
      </c>
      <c r="W45" s="816">
        <f t="shared" si="39"/>
        <v>42298</v>
      </c>
      <c r="X45" s="817">
        <f t="shared" si="22"/>
        <v>895.37672222222329</v>
      </c>
      <c r="Y45" s="460">
        <v>3892.3154424723925</v>
      </c>
      <c r="Z45" s="818">
        <f t="shared" si="23"/>
        <v>895.37672222222329</v>
      </c>
      <c r="AA45" s="817">
        <f t="shared" si="4"/>
        <v>1500.415111111113</v>
      </c>
      <c r="AB45" s="460">
        <v>3901.9249205784718</v>
      </c>
      <c r="AC45" s="818">
        <f t="shared" si="24"/>
        <v>1500.415111111113</v>
      </c>
      <c r="AD45" s="817">
        <f t="shared" si="25"/>
        <v>0</v>
      </c>
      <c r="AE45" s="460">
        <v>1279.1488958420289</v>
      </c>
      <c r="AF45" s="818">
        <f t="shared" si="26"/>
        <v>0</v>
      </c>
      <c r="AG45" s="817">
        <f t="shared" si="5"/>
        <v>1255.8316091953866</v>
      </c>
      <c r="AH45" s="460">
        <v>5248.7398675696213</v>
      </c>
      <c r="AI45" s="818">
        <f t="shared" si="27"/>
        <v>1255.8316091953866</v>
      </c>
      <c r="AJ45" s="824"/>
      <c r="AK45" s="826">
        <f t="shared" si="28"/>
        <v>3.3372222222222261</v>
      </c>
      <c r="AL45" s="458">
        <f t="shared" si="29"/>
        <v>14.507325540336909</v>
      </c>
      <c r="AM45" s="827">
        <f t="shared" si="30"/>
        <v>3.3372222222222261</v>
      </c>
      <c r="AN45" s="836">
        <f t="shared" si="31"/>
        <v>0</v>
      </c>
      <c r="AO45" s="826">
        <f t="shared" si="32"/>
        <v>3.3372222222222261</v>
      </c>
      <c r="AP45" s="458">
        <f t="shared" si="48"/>
        <v>8.678658631179875</v>
      </c>
      <c r="AQ45" s="827">
        <f t="shared" si="49"/>
        <v>3.3372222222222261</v>
      </c>
      <c r="AR45" s="836">
        <f t="shared" si="35"/>
        <v>0</v>
      </c>
      <c r="AS45" s="826">
        <f t="shared" si="42"/>
        <v>0</v>
      </c>
      <c r="AT45" s="458">
        <f t="shared" si="43"/>
        <v>6.8221274444908211</v>
      </c>
      <c r="AU45" s="827">
        <f t="shared" si="44"/>
        <v>0</v>
      </c>
      <c r="AV45" s="836">
        <f t="shared" si="36"/>
        <v>0</v>
      </c>
      <c r="AW45" s="826">
        <f t="shared" si="45"/>
        <v>5.2109195402298196</v>
      </c>
      <c r="AX45" s="458">
        <f t="shared" si="46"/>
        <v>21.779003599873946</v>
      </c>
      <c r="AY45" s="827">
        <f t="shared" si="47"/>
        <v>5.2109195402298196</v>
      </c>
      <c r="AZ45" s="836">
        <f t="shared" si="37"/>
        <v>0</v>
      </c>
    </row>
    <row r="46" spans="1:52">
      <c r="A46" s="787">
        <f t="shared" si="38"/>
        <v>42299</v>
      </c>
      <c r="B46" s="786">
        <v>10.466666666666667</v>
      </c>
      <c r="C46" s="802">
        <v>3.6627777777777744</v>
      </c>
      <c r="D46" s="802">
        <f t="shared" si="50"/>
        <v>3.6627777777777744</v>
      </c>
      <c r="E46" s="802">
        <f t="shared" si="40"/>
        <v>7.7688888888889513</v>
      </c>
      <c r="F46" s="800">
        <f t="shared" si="41"/>
        <v>8.7890804597701795</v>
      </c>
      <c r="G46" s="829">
        <f t="shared" si="13"/>
        <v>-3.6627777777777744</v>
      </c>
      <c r="H46" s="829">
        <f t="shared" si="1"/>
        <v>-3.6627777777777744</v>
      </c>
      <c r="I46" s="829">
        <f t="shared" si="2"/>
        <v>-7.7688888888889513</v>
      </c>
      <c r="J46" s="829">
        <f t="shared" si="3"/>
        <v>-8.7890804597701795</v>
      </c>
      <c r="K46" s="810">
        <f t="shared" si="14"/>
        <v>982.72327777777684</v>
      </c>
      <c r="L46" s="814">
        <f t="shared" si="15"/>
        <v>1646.7848888888873</v>
      </c>
      <c r="M46" s="810">
        <f t="shared" si="16"/>
        <v>1456.6666666666783</v>
      </c>
      <c r="N46" s="811">
        <f t="shared" si="17"/>
        <v>2118.1683908046134</v>
      </c>
      <c r="O46" s="806">
        <v>7</v>
      </c>
      <c r="P46" s="806">
        <v>7</v>
      </c>
      <c r="Q46" s="806">
        <v>7</v>
      </c>
      <c r="R46" s="806">
        <v>14</v>
      </c>
      <c r="S46" s="809">
        <f t="shared" si="18"/>
        <v>1878.1000000000001</v>
      </c>
      <c r="T46" s="809">
        <f t="shared" si="19"/>
        <v>3147.2000000000003</v>
      </c>
      <c r="U46" s="809">
        <f t="shared" si="20"/>
        <v>1312.5</v>
      </c>
      <c r="V46" s="809">
        <f t="shared" si="21"/>
        <v>3374</v>
      </c>
      <c r="W46" s="816">
        <f t="shared" si="39"/>
        <v>42299</v>
      </c>
      <c r="X46" s="817">
        <f t="shared" si="22"/>
        <v>895.37672222222329</v>
      </c>
      <c r="Y46" s="460">
        <v>3820.7388408602787</v>
      </c>
      <c r="Z46" s="818">
        <f t="shared" si="23"/>
        <v>895.37672222222329</v>
      </c>
      <c r="AA46" s="817">
        <f t="shared" si="4"/>
        <v>1500.415111111113</v>
      </c>
      <c r="AB46" s="460">
        <v>3951.3192098527793</v>
      </c>
      <c r="AC46" s="818">
        <f t="shared" si="24"/>
        <v>1500.415111111113</v>
      </c>
      <c r="AD46" s="817">
        <f t="shared" si="25"/>
        <v>0</v>
      </c>
      <c r="AE46" s="460">
        <v>1336.5014552460989</v>
      </c>
      <c r="AF46" s="818">
        <f t="shared" si="26"/>
        <v>0</v>
      </c>
      <c r="AG46" s="817">
        <f t="shared" si="5"/>
        <v>1255.8316091953866</v>
      </c>
      <c r="AH46" s="460">
        <v>4341.9067944897079</v>
      </c>
      <c r="AI46" s="818">
        <f t="shared" si="27"/>
        <v>1255.8316091953866</v>
      </c>
      <c r="AJ46" s="824"/>
      <c r="AK46" s="826">
        <f t="shared" si="28"/>
        <v>3.3372222222222261</v>
      </c>
      <c r="AL46" s="458">
        <f t="shared" si="29"/>
        <v>14.240547301007375</v>
      </c>
      <c r="AM46" s="827">
        <f t="shared" si="30"/>
        <v>3.3372222222222261</v>
      </c>
      <c r="AN46" s="836">
        <f t="shared" si="31"/>
        <v>0</v>
      </c>
      <c r="AO46" s="826">
        <f t="shared" si="32"/>
        <v>3.3372222222222261</v>
      </c>
      <c r="AP46" s="458">
        <f t="shared" si="48"/>
        <v>8.7885213742277113</v>
      </c>
      <c r="AQ46" s="827">
        <f t="shared" si="49"/>
        <v>3.3372222222222261</v>
      </c>
      <c r="AR46" s="836">
        <f t="shared" si="35"/>
        <v>0</v>
      </c>
      <c r="AS46" s="826">
        <f t="shared" si="42"/>
        <v>0</v>
      </c>
      <c r="AT46" s="458">
        <f t="shared" si="43"/>
        <v>7.128007761312527</v>
      </c>
      <c r="AU46" s="827">
        <f t="shared" si="44"/>
        <v>0</v>
      </c>
      <c r="AV46" s="836">
        <f t="shared" si="36"/>
        <v>0</v>
      </c>
      <c r="AW46" s="826">
        <f t="shared" si="45"/>
        <v>5.2109195402298196</v>
      </c>
      <c r="AX46" s="458">
        <f t="shared" si="46"/>
        <v>18.01621076551746</v>
      </c>
      <c r="AY46" s="827">
        <f t="shared" si="47"/>
        <v>5.2109195402298196</v>
      </c>
      <c r="AZ46" s="836">
        <f t="shared" si="37"/>
        <v>0</v>
      </c>
    </row>
    <row r="47" spans="1:52">
      <c r="A47" s="787">
        <f t="shared" si="38"/>
        <v>42300</v>
      </c>
      <c r="B47" s="786">
        <v>0</v>
      </c>
      <c r="C47" s="802">
        <v>3.6627777777777744</v>
      </c>
      <c r="D47" s="802">
        <f t="shared" si="50"/>
        <v>3.6627777777777744</v>
      </c>
      <c r="E47" s="802">
        <f t="shared" si="40"/>
        <v>7.7688888888889513</v>
      </c>
      <c r="F47" s="800">
        <f t="shared" si="41"/>
        <v>8.7890804597701795</v>
      </c>
      <c r="G47" s="829">
        <f t="shared" si="13"/>
        <v>-3.6627777777777744</v>
      </c>
      <c r="H47" s="829">
        <f t="shared" si="1"/>
        <v>-3.6627777777777744</v>
      </c>
      <c r="I47" s="829">
        <f t="shared" si="2"/>
        <v>-7.7688888888889513</v>
      </c>
      <c r="J47" s="829">
        <f t="shared" si="3"/>
        <v>-8.7890804597701795</v>
      </c>
      <c r="K47" s="810">
        <f t="shared" si="14"/>
        <v>982.72327777777684</v>
      </c>
      <c r="L47" s="814">
        <f t="shared" si="15"/>
        <v>1646.7848888888873</v>
      </c>
      <c r="M47" s="810">
        <f t="shared" si="16"/>
        <v>1456.6666666666783</v>
      </c>
      <c r="N47" s="811">
        <f t="shared" si="17"/>
        <v>2118.1683908046134</v>
      </c>
      <c r="O47" s="806">
        <v>7</v>
      </c>
      <c r="P47" s="806">
        <v>7</v>
      </c>
      <c r="Q47" s="806">
        <v>7</v>
      </c>
      <c r="R47" s="806">
        <v>14</v>
      </c>
      <c r="S47" s="809">
        <f t="shared" si="18"/>
        <v>1878.1000000000001</v>
      </c>
      <c r="T47" s="809">
        <f t="shared" si="19"/>
        <v>3147.2000000000003</v>
      </c>
      <c r="U47" s="809">
        <f t="shared" si="20"/>
        <v>1312.5</v>
      </c>
      <c r="V47" s="809">
        <f t="shared" si="21"/>
        <v>3374</v>
      </c>
      <c r="W47" s="816">
        <f t="shared" si="39"/>
        <v>42300</v>
      </c>
      <c r="X47" s="817">
        <f t="shared" si="22"/>
        <v>895.37672222222329</v>
      </c>
      <c r="Y47" s="460">
        <v>3743.4888058969095</v>
      </c>
      <c r="Z47" s="818">
        <f t="shared" si="23"/>
        <v>895.37672222222329</v>
      </c>
      <c r="AA47" s="817">
        <f t="shared" si="4"/>
        <v>1500.415111111113</v>
      </c>
      <c r="AB47" s="460">
        <v>3881.8589978176042</v>
      </c>
      <c r="AC47" s="818">
        <f t="shared" si="24"/>
        <v>1500.415111111113</v>
      </c>
      <c r="AD47" s="817">
        <f t="shared" si="25"/>
        <v>0</v>
      </c>
      <c r="AE47" s="460">
        <v>1318.1154379178486</v>
      </c>
      <c r="AF47" s="818">
        <f t="shared" si="26"/>
        <v>0</v>
      </c>
      <c r="AG47" s="817">
        <f t="shared" si="5"/>
        <v>1255.8316091953866</v>
      </c>
      <c r="AH47" s="460">
        <v>4399.2304683689517</v>
      </c>
      <c r="AI47" s="818">
        <f t="shared" si="27"/>
        <v>1255.8316091953866</v>
      </c>
      <c r="AJ47" s="824"/>
      <c r="AK47" s="826">
        <f t="shared" si="28"/>
        <v>3.3372222222222261</v>
      </c>
      <c r="AL47" s="458">
        <f t="shared" si="29"/>
        <v>13.95262320498289</v>
      </c>
      <c r="AM47" s="827">
        <f t="shared" si="30"/>
        <v>3.3372222222222261</v>
      </c>
      <c r="AN47" s="836">
        <f t="shared" si="31"/>
        <v>0</v>
      </c>
      <c r="AO47" s="826">
        <f t="shared" si="32"/>
        <v>3.3372222222222261</v>
      </c>
      <c r="AP47" s="458">
        <f t="shared" si="48"/>
        <v>8.6340280200569488</v>
      </c>
      <c r="AQ47" s="827">
        <f t="shared" si="49"/>
        <v>3.3372222222222261</v>
      </c>
      <c r="AR47" s="836">
        <f t="shared" si="35"/>
        <v>0</v>
      </c>
      <c r="AS47" s="826">
        <f t="shared" si="42"/>
        <v>0</v>
      </c>
      <c r="AT47" s="458">
        <f t="shared" si="43"/>
        <v>7.0299490022285251</v>
      </c>
      <c r="AU47" s="827">
        <f t="shared" si="44"/>
        <v>0</v>
      </c>
      <c r="AV47" s="836">
        <f t="shared" si="36"/>
        <v>0</v>
      </c>
      <c r="AW47" s="826">
        <f t="shared" si="45"/>
        <v>5.2109195402298196</v>
      </c>
      <c r="AX47" s="458">
        <f t="shared" si="46"/>
        <v>18.254068333481126</v>
      </c>
      <c r="AY47" s="827">
        <f t="shared" si="47"/>
        <v>5.2109195402298196</v>
      </c>
      <c r="AZ47" s="836">
        <f t="shared" si="37"/>
        <v>0</v>
      </c>
    </row>
    <row r="48" spans="1:52">
      <c r="A48" s="787">
        <f t="shared" si="38"/>
        <v>42301</v>
      </c>
      <c r="B48" s="786">
        <v>0</v>
      </c>
      <c r="C48" s="802">
        <v>3.6627777777777744</v>
      </c>
      <c r="D48" s="802">
        <f t="shared" si="50"/>
        <v>3.6627777777777744</v>
      </c>
      <c r="E48" s="802">
        <f t="shared" si="40"/>
        <v>7.7688888888889513</v>
      </c>
      <c r="F48" s="800">
        <f t="shared" si="41"/>
        <v>8.7890804597701795</v>
      </c>
      <c r="G48" s="829">
        <f t="shared" si="13"/>
        <v>-3.6627777777777744</v>
      </c>
      <c r="H48" s="829">
        <f t="shared" si="1"/>
        <v>-3.6627777777777744</v>
      </c>
      <c r="I48" s="829">
        <f t="shared" si="2"/>
        <v>-7.7688888888889513</v>
      </c>
      <c r="J48" s="829">
        <f t="shared" si="3"/>
        <v>-8.7890804597701795</v>
      </c>
      <c r="K48" s="810">
        <f t="shared" si="14"/>
        <v>982.72327777777684</v>
      </c>
      <c r="L48" s="814">
        <f t="shared" si="15"/>
        <v>1646.7848888888873</v>
      </c>
      <c r="M48" s="810">
        <f t="shared" si="16"/>
        <v>1456.6666666666783</v>
      </c>
      <c r="N48" s="811">
        <f t="shared" si="17"/>
        <v>2118.1683908046134</v>
      </c>
      <c r="O48" s="806">
        <v>7</v>
      </c>
      <c r="P48" s="806">
        <v>7</v>
      </c>
      <c r="Q48" s="806">
        <v>7</v>
      </c>
      <c r="R48" s="806">
        <v>14</v>
      </c>
      <c r="S48" s="809">
        <f t="shared" si="18"/>
        <v>1878.1000000000001</v>
      </c>
      <c r="T48" s="809">
        <f t="shared" si="19"/>
        <v>3147.2000000000003</v>
      </c>
      <c r="U48" s="809">
        <f t="shared" si="20"/>
        <v>1312.5</v>
      </c>
      <c r="V48" s="809">
        <f t="shared" si="21"/>
        <v>3374</v>
      </c>
      <c r="W48" s="816">
        <f t="shared" si="39"/>
        <v>42301</v>
      </c>
      <c r="X48" s="817">
        <f t="shared" si="22"/>
        <v>895.37672222222329</v>
      </c>
      <c r="Y48" s="460">
        <v>3667.5435204971163</v>
      </c>
      <c r="Z48" s="818">
        <f t="shared" si="23"/>
        <v>895.37672222222329</v>
      </c>
      <c r="AA48" s="817">
        <f t="shared" si="4"/>
        <v>1500.415111111113</v>
      </c>
      <c r="AB48" s="460">
        <v>3797.689709726732</v>
      </c>
      <c r="AC48" s="818">
        <f t="shared" si="24"/>
        <v>1500.415111111113</v>
      </c>
      <c r="AD48" s="817">
        <f t="shared" si="25"/>
        <v>0</v>
      </c>
      <c r="AE48" s="460">
        <v>1289.6247031589282</v>
      </c>
      <c r="AF48" s="818">
        <f t="shared" si="26"/>
        <v>0</v>
      </c>
      <c r="AG48" s="817">
        <f t="shared" si="5"/>
        <v>1255.8316091953866</v>
      </c>
      <c r="AH48" s="460">
        <v>4260.9192098710437</v>
      </c>
      <c r="AI48" s="818">
        <f t="shared" si="27"/>
        <v>1255.8316091953866</v>
      </c>
      <c r="AJ48" s="824"/>
      <c r="AK48" s="826">
        <f t="shared" si="28"/>
        <v>3.3372222222222261</v>
      </c>
      <c r="AL48" s="458">
        <f t="shared" si="29"/>
        <v>13.669562133794694</v>
      </c>
      <c r="AM48" s="827">
        <f t="shared" si="30"/>
        <v>3.3372222222222261</v>
      </c>
      <c r="AN48" s="836">
        <f t="shared" si="31"/>
        <v>0</v>
      </c>
      <c r="AO48" s="826">
        <f t="shared" si="32"/>
        <v>3.3372222222222261</v>
      </c>
      <c r="AP48" s="458">
        <f t="shared" si="48"/>
        <v>8.4468187493921985</v>
      </c>
      <c r="AQ48" s="827">
        <f t="shared" si="49"/>
        <v>3.3372222222222261</v>
      </c>
      <c r="AR48" s="836">
        <f t="shared" si="35"/>
        <v>0</v>
      </c>
      <c r="AS48" s="826">
        <f t="shared" si="42"/>
        <v>0</v>
      </c>
      <c r="AT48" s="458">
        <f t="shared" si="43"/>
        <v>6.8779984168476167</v>
      </c>
      <c r="AU48" s="827">
        <f t="shared" si="44"/>
        <v>0</v>
      </c>
      <c r="AV48" s="836">
        <f t="shared" si="36"/>
        <v>0</v>
      </c>
      <c r="AW48" s="826">
        <f t="shared" si="45"/>
        <v>5.2109195402298196</v>
      </c>
      <c r="AX48" s="458">
        <f t="shared" si="46"/>
        <v>17.680162696560348</v>
      </c>
      <c r="AY48" s="827">
        <f t="shared" si="47"/>
        <v>5.2109195402298196</v>
      </c>
      <c r="AZ48" s="836">
        <f t="shared" si="37"/>
        <v>0</v>
      </c>
    </row>
    <row r="49" spans="1:52">
      <c r="A49" s="787">
        <f t="shared" si="38"/>
        <v>42302</v>
      </c>
      <c r="B49" s="786">
        <v>0</v>
      </c>
      <c r="C49" s="802">
        <v>3.6627777777777744</v>
      </c>
      <c r="D49" s="802">
        <f t="shared" si="50"/>
        <v>3.6627777777777744</v>
      </c>
      <c r="E49" s="803">
        <f>AVERAGE(B$49:B$78)</f>
        <v>3.3288888888888906</v>
      </c>
      <c r="F49" s="800">
        <f t="shared" si="41"/>
        <v>8.7890804597701795</v>
      </c>
      <c r="G49" s="829">
        <f t="shared" si="13"/>
        <v>-3.6627777777777744</v>
      </c>
      <c r="H49" s="829">
        <f t="shared" si="1"/>
        <v>-3.6627777777777744</v>
      </c>
      <c r="I49" s="829">
        <f t="shared" si="2"/>
        <v>-3.3288888888888906</v>
      </c>
      <c r="J49" s="829">
        <f t="shared" si="3"/>
        <v>-8.7890804597701795</v>
      </c>
      <c r="K49" s="810">
        <f t="shared" si="14"/>
        <v>982.72327777777684</v>
      </c>
      <c r="L49" s="814">
        <f t="shared" si="15"/>
        <v>1646.7848888888873</v>
      </c>
      <c r="M49" s="810">
        <f t="shared" si="16"/>
        <v>624.16666666666697</v>
      </c>
      <c r="N49" s="811">
        <f t="shared" si="17"/>
        <v>2118.1683908046134</v>
      </c>
      <c r="O49" s="806">
        <v>7</v>
      </c>
      <c r="P49" s="806">
        <v>7</v>
      </c>
      <c r="Q49" s="806">
        <v>14</v>
      </c>
      <c r="R49" s="806">
        <v>14</v>
      </c>
      <c r="S49" s="809">
        <f t="shared" si="18"/>
        <v>1878.1000000000001</v>
      </c>
      <c r="T49" s="809">
        <f t="shared" si="19"/>
        <v>3147.2000000000003</v>
      </c>
      <c r="U49" s="809">
        <f t="shared" si="20"/>
        <v>2625</v>
      </c>
      <c r="V49" s="809">
        <f t="shared" si="21"/>
        <v>3374</v>
      </c>
      <c r="W49" s="816">
        <f t="shared" si="39"/>
        <v>42302</v>
      </c>
      <c r="X49" s="817">
        <f t="shared" si="22"/>
        <v>895.37672222222329</v>
      </c>
      <c r="Y49" s="460">
        <v>3595.9843687280995</v>
      </c>
      <c r="Z49" s="818">
        <f t="shared" si="23"/>
        <v>895.37672222222329</v>
      </c>
      <c r="AA49" s="817">
        <f t="shared" si="4"/>
        <v>1500.415111111113</v>
      </c>
      <c r="AB49" s="460">
        <v>3704.5225620843362</v>
      </c>
      <c r="AC49" s="818">
        <f t="shared" si="24"/>
        <v>1500.415111111113</v>
      </c>
      <c r="AD49" s="817">
        <f t="shared" si="25"/>
        <v>2000.833333333333</v>
      </c>
      <c r="AE49" s="460">
        <v>1260.8788481497606</v>
      </c>
      <c r="AF49" s="818">
        <f t="shared" si="26"/>
        <v>1260.8788481497606</v>
      </c>
      <c r="AG49" s="817">
        <f t="shared" si="5"/>
        <v>1255.8316091953866</v>
      </c>
      <c r="AH49" s="460">
        <v>4133.4457925816832</v>
      </c>
      <c r="AI49" s="818">
        <f t="shared" si="27"/>
        <v>1255.8316091953866</v>
      </c>
      <c r="AJ49" s="824"/>
      <c r="AK49" s="826">
        <f t="shared" si="28"/>
        <v>3.3372222222222261</v>
      </c>
      <c r="AL49" s="458">
        <f t="shared" si="29"/>
        <v>13.402848933015653</v>
      </c>
      <c r="AM49" s="827">
        <f t="shared" si="30"/>
        <v>3.3372222222222261</v>
      </c>
      <c r="AN49" s="836">
        <f t="shared" si="31"/>
        <v>0</v>
      </c>
      <c r="AO49" s="826">
        <f t="shared" si="32"/>
        <v>3.3372222222222261</v>
      </c>
      <c r="AP49" s="458">
        <f t="shared" si="48"/>
        <v>8.2395964459171172</v>
      </c>
      <c r="AQ49" s="827">
        <f t="shared" si="49"/>
        <v>3.3372222222222261</v>
      </c>
      <c r="AR49" s="836">
        <f t="shared" si="35"/>
        <v>0</v>
      </c>
      <c r="AS49" s="826">
        <f t="shared" si="42"/>
        <v>10.671111111111109</v>
      </c>
      <c r="AT49" s="458">
        <f t="shared" si="43"/>
        <v>6.7246871901320571</v>
      </c>
      <c r="AU49" s="827">
        <f t="shared" si="44"/>
        <v>6.7246871901320571</v>
      </c>
      <c r="AV49" s="836">
        <f t="shared" si="36"/>
        <v>3.9464239209790524</v>
      </c>
      <c r="AW49" s="826">
        <f t="shared" si="45"/>
        <v>5.2109195402298196</v>
      </c>
      <c r="AX49" s="458">
        <f t="shared" si="46"/>
        <v>17.15122735511072</v>
      </c>
      <c r="AY49" s="827">
        <f t="shared" si="47"/>
        <v>5.2109195402298196</v>
      </c>
      <c r="AZ49" s="836">
        <f t="shared" si="37"/>
        <v>0</v>
      </c>
    </row>
    <row r="50" spans="1:52">
      <c r="A50" s="787">
        <f t="shared" si="38"/>
        <v>42303</v>
      </c>
      <c r="B50" s="786">
        <v>0</v>
      </c>
      <c r="C50" s="802">
        <v>3.6627777777777744</v>
      </c>
      <c r="D50" s="802">
        <f t="shared" si="50"/>
        <v>3.6627777777777744</v>
      </c>
      <c r="E50" s="803">
        <f t="shared" ref="E50:E78" si="51">AVERAGE(B$49:B$78)</f>
        <v>3.3288888888888906</v>
      </c>
      <c r="F50" s="800">
        <f t="shared" si="41"/>
        <v>8.7890804597701795</v>
      </c>
      <c r="G50" s="829">
        <f t="shared" si="13"/>
        <v>-3.6627777777777744</v>
      </c>
      <c r="H50" s="829">
        <f t="shared" si="1"/>
        <v>-3.6627777777777744</v>
      </c>
      <c r="I50" s="829">
        <f t="shared" si="2"/>
        <v>-3.3288888888888906</v>
      </c>
      <c r="J50" s="829">
        <f t="shared" si="3"/>
        <v>-8.7890804597701795</v>
      </c>
      <c r="K50" s="810">
        <f t="shared" si="14"/>
        <v>982.72327777777684</v>
      </c>
      <c r="L50" s="814">
        <f t="shared" si="15"/>
        <v>1646.7848888888873</v>
      </c>
      <c r="M50" s="810">
        <f t="shared" si="16"/>
        <v>624.16666666666697</v>
      </c>
      <c r="N50" s="811">
        <f t="shared" si="17"/>
        <v>2118.1683908046134</v>
      </c>
      <c r="O50" s="806">
        <v>7</v>
      </c>
      <c r="P50" s="806">
        <v>7</v>
      </c>
      <c r="Q50" s="806">
        <v>14</v>
      </c>
      <c r="R50" s="806">
        <v>14</v>
      </c>
      <c r="S50" s="809">
        <f t="shared" si="18"/>
        <v>1878.1000000000001</v>
      </c>
      <c r="T50" s="809">
        <f t="shared" si="19"/>
        <v>3147.2000000000003</v>
      </c>
      <c r="U50" s="809">
        <f t="shared" si="20"/>
        <v>2625</v>
      </c>
      <c r="V50" s="809">
        <f t="shared" si="21"/>
        <v>3374</v>
      </c>
      <c r="W50" s="816">
        <f t="shared" si="39"/>
        <v>42303</v>
      </c>
      <c r="X50" s="817">
        <f t="shared" si="22"/>
        <v>895.37672222222329</v>
      </c>
      <c r="Y50" s="460">
        <v>3526.7520736896581</v>
      </c>
      <c r="Z50" s="818">
        <f t="shared" si="23"/>
        <v>895.37672222222329</v>
      </c>
      <c r="AA50" s="817">
        <f t="shared" si="4"/>
        <v>1500.415111111113</v>
      </c>
      <c r="AB50" s="460">
        <v>3610.7746716600709</v>
      </c>
      <c r="AC50" s="818">
        <f t="shared" si="24"/>
        <v>1500.415111111113</v>
      </c>
      <c r="AD50" s="817">
        <f t="shared" si="25"/>
        <v>2000.833333333333</v>
      </c>
      <c r="AE50" s="460">
        <v>1230.5291278751033</v>
      </c>
      <c r="AF50" s="818">
        <f t="shared" si="26"/>
        <v>1230.5291278751033</v>
      </c>
      <c r="AG50" s="817">
        <f t="shared" si="5"/>
        <v>1255.8316091953866</v>
      </c>
      <c r="AH50" s="460">
        <v>4057.7138614478868</v>
      </c>
      <c r="AI50" s="818">
        <f t="shared" si="27"/>
        <v>1255.8316091953866</v>
      </c>
      <c r="AJ50" s="824"/>
      <c r="AK50" s="826">
        <f t="shared" si="28"/>
        <v>3.3372222222222261</v>
      </c>
      <c r="AL50" s="458">
        <f t="shared" si="29"/>
        <v>13.144808325343488</v>
      </c>
      <c r="AM50" s="827">
        <f t="shared" si="30"/>
        <v>3.3372222222222261</v>
      </c>
      <c r="AN50" s="836">
        <f t="shared" si="31"/>
        <v>0</v>
      </c>
      <c r="AO50" s="826">
        <f t="shared" si="32"/>
        <v>3.3372222222222261</v>
      </c>
      <c r="AP50" s="458">
        <f t="shared" si="48"/>
        <v>8.0310824547599431</v>
      </c>
      <c r="AQ50" s="827">
        <f t="shared" si="49"/>
        <v>3.3372222222222261</v>
      </c>
      <c r="AR50" s="836">
        <f t="shared" si="35"/>
        <v>0</v>
      </c>
      <c r="AS50" s="826">
        <f t="shared" si="42"/>
        <v>10.671111111111109</v>
      </c>
      <c r="AT50" s="458">
        <f t="shared" si="43"/>
        <v>6.562822015333885</v>
      </c>
      <c r="AU50" s="827">
        <f t="shared" si="44"/>
        <v>6.562822015333885</v>
      </c>
      <c r="AV50" s="836">
        <f t="shared" si="36"/>
        <v>4.1082890957772245</v>
      </c>
      <c r="AW50" s="826">
        <f t="shared" si="45"/>
        <v>5.2109195402298196</v>
      </c>
      <c r="AX50" s="458">
        <f t="shared" si="46"/>
        <v>16.836986976962187</v>
      </c>
      <c r="AY50" s="827">
        <f t="shared" si="47"/>
        <v>5.2109195402298196</v>
      </c>
      <c r="AZ50" s="836">
        <f t="shared" si="37"/>
        <v>0</v>
      </c>
    </row>
    <row r="51" spans="1:52">
      <c r="A51" s="787">
        <f t="shared" si="38"/>
        <v>42304</v>
      </c>
      <c r="B51" s="786">
        <v>0</v>
      </c>
      <c r="C51" s="802">
        <v>3.6627777777777744</v>
      </c>
      <c r="D51" s="802">
        <f t="shared" si="50"/>
        <v>3.6627777777777744</v>
      </c>
      <c r="E51" s="803">
        <f t="shared" si="51"/>
        <v>3.3288888888888906</v>
      </c>
      <c r="F51" s="800">
        <f t="shared" si="41"/>
        <v>8.7890804597701795</v>
      </c>
      <c r="G51" s="829">
        <f t="shared" si="13"/>
        <v>-3.6627777777777744</v>
      </c>
      <c r="H51" s="829">
        <f t="shared" si="1"/>
        <v>-3.6627777777777744</v>
      </c>
      <c r="I51" s="829">
        <f t="shared" si="2"/>
        <v>-3.3288888888888906</v>
      </c>
      <c r="J51" s="829">
        <f t="shared" si="3"/>
        <v>-8.7890804597701795</v>
      </c>
      <c r="K51" s="810">
        <f t="shared" si="14"/>
        <v>982.72327777777684</v>
      </c>
      <c r="L51" s="814">
        <f t="shared" si="15"/>
        <v>1646.7848888888873</v>
      </c>
      <c r="M51" s="810">
        <f t="shared" si="16"/>
        <v>624.16666666666697</v>
      </c>
      <c r="N51" s="811">
        <f t="shared" si="17"/>
        <v>2118.1683908046134</v>
      </c>
      <c r="O51" s="806">
        <v>7</v>
      </c>
      <c r="P51" s="806">
        <v>7</v>
      </c>
      <c r="Q51" s="806">
        <v>14</v>
      </c>
      <c r="R51" s="806">
        <v>14</v>
      </c>
      <c r="S51" s="809">
        <f t="shared" si="18"/>
        <v>1878.1000000000001</v>
      </c>
      <c r="T51" s="809">
        <f t="shared" si="19"/>
        <v>3147.2000000000003</v>
      </c>
      <c r="U51" s="809">
        <f t="shared" si="20"/>
        <v>2625</v>
      </c>
      <c r="V51" s="809">
        <f t="shared" si="21"/>
        <v>3374</v>
      </c>
      <c r="W51" s="816">
        <f t="shared" si="39"/>
        <v>42304</v>
      </c>
      <c r="X51" s="817">
        <f t="shared" si="22"/>
        <v>895.37672222222329</v>
      </c>
      <c r="Y51" s="460">
        <v>3451.7831746691463</v>
      </c>
      <c r="Z51" s="818">
        <f t="shared" si="23"/>
        <v>895.37672222222329</v>
      </c>
      <c r="AA51" s="817">
        <f t="shared" si="4"/>
        <v>1500.415111111113</v>
      </c>
      <c r="AB51" s="460">
        <v>3522.6154655926957</v>
      </c>
      <c r="AC51" s="818">
        <f t="shared" si="24"/>
        <v>1500.415111111113</v>
      </c>
      <c r="AD51" s="817">
        <f t="shared" si="25"/>
        <v>2000.833333333333</v>
      </c>
      <c r="AE51" s="460">
        <v>1199.742098119362</v>
      </c>
      <c r="AF51" s="818">
        <f t="shared" si="26"/>
        <v>1199.742098119362</v>
      </c>
      <c r="AG51" s="817">
        <f t="shared" si="5"/>
        <v>1255.8316091953866</v>
      </c>
      <c r="AH51" s="460">
        <v>4021.4252107191401</v>
      </c>
      <c r="AI51" s="818">
        <f t="shared" si="27"/>
        <v>1255.8316091953866</v>
      </c>
      <c r="AJ51" s="824"/>
      <c r="AK51" s="826">
        <f t="shared" si="28"/>
        <v>3.3372222222222261</v>
      </c>
      <c r="AL51" s="458">
        <f t="shared" si="29"/>
        <v>12.865386413228276</v>
      </c>
      <c r="AM51" s="827">
        <f t="shared" si="30"/>
        <v>3.3372222222222261</v>
      </c>
      <c r="AN51" s="836">
        <f t="shared" si="31"/>
        <v>0</v>
      </c>
      <c r="AO51" s="826">
        <f t="shared" si="32"/>
        <v>3.3372222222222261</v>
      </c>
      <c r="AP51" s="458">
        <f t="shared" si="48"/>
        <v>7.8349988113716549</v>
      </c>
      <c r="AQ51" s="827">
        <f t="shared" si="49"/>
        <v>3.3372222222222261</v>
      </c>
      <c r="AR51" s="836">
        <f t="shared" si="35"/>
        <v>0</v>
      </c>
      <c r="AS51" s="826">
        <f t="shared" si="42"/>
        <v>10.671111111111109</v>
      </c>
      <c r="AT51" s="458">
        <f t="shared" si="43"/>
        <v>6.3986245233032637</v>
      </c>
      <c r="AU51" s="827">
        <f t="shared" si="44"/>
        <v>6.3986245233032637</v>
      </c>
      <c r="AV51" s="836">
        <f t="shared" si="36"/>
        <v>4.2724865878078457</v>
      </c>
      <c r="AW51" s="826">
        <f t="shared" si="45"/>
        <v>5.2109195402298196</v>
      </c>
      <c r="AX51" s="458">
        <f t="shared" si="46"/>
        <v>16.686411662735022</v>
      </c>
      <c r="AY51" s="827">
        <f t="shared" si="47"/>
        <v>5.2109195402298196</v>
      </c>
      <c r="AZ51" s="836">
        <f t="shared" si="37"/>
        <v>0</v>
      </c>
    </row>
    <row r="52" spans="1:52">
      <c r="A52" s="787">
        <f t="shared" si="38"/>
        <v>42305</v>
      </c>
      <c r="B52" s="786">
        <v>0</v>
      </c>
      <c r="C52" s="802">
        <v>3.6627777777777744</v>
      </c>
      <c r="D52" s="802">
        <f t="shared" si="50"/>
        <v>3.6627777777777744</v>
      </c>
      <c r="E52" s="803">
        <f t="shared" si="51"/>
        <v>3.3288888888888906</v>
      </c>
      <c r="F52" s="800">
        <f t="shared" si="41"/>
        <v>8.7890804597701795</v>
      </c>
      <c r="G52" s="829">
        <f t="shared" si="13"/>
        <v>-3.6627777777777744</v>
      </c>
      <c r="H52" s="829">
        <f t="shared" si="1"/>
        <v>-3.6627777777777744</v>
      </c>
      <c r="I52" s="829">
        <f t="shared" si="2"/>
        <v>-3.3288888888888906</v>
      </c>
      <c r="J52" s="829">
        <f t="shared" si="3"/>
        <v>-8.7890804597701795</v>
      </c>
      <c r="K52" s="810">
        <f t="shared" si="14"/>
        <v>982.72327777777684</v>
      </c>
      <c r="L52" s="814">
        <f t="shared" si="15"/>
        <v>1646.7848888888873</v>
      </c>
      <c r="M52" s="810">
        <f t="shared" si="16"/>
        <v>624.16666666666697</v>
      </c>
      <c r="N52" s="811">
        <f t="shared" si="17"/>
        <v>2118.1683908046134</v>
      </c>
      <c r="O52" s="806">
        <v>7</v>
      </c>
      <c r="P52" s="806">
        <v>7</v>
      </c>
      <c r="Q52" s="806">
        <v>14</v>
      </c>
      <c r="R52" s="806">
        <v>14</v>
      </c>
      <c r="S52" s="809">
        <f t="shared" si="18"/>
        <v>1878.1000000000001</v>
      </c>
      <c r="T52" s="809">
        <f t="shared" si="19"/>
        <v>3147.2000000000003</v>
      </c>
      <c r="U52" s="809">
        <f t="shared" si="20"/>
        <v>2625</v>
      </c>
      <c r="V52" s="809">
        <f t="shared" si="21"/>
        <v>3374</v>
      </c>
      <c r="W52" s="816">
        <f t="shared" si="39"/>
        <v>42305</v>
      </c>
      <c r="X52" s="817">
        <f t="shared" si="22"/>
        <v>895.37672222222329</v>
      </c>
      <c r="Y52" s="460">
        <v>3386.9927513678858</v>
      </c>
      <c r="Z52" s="818">
        <f t="shared" si="23"/>
        <v>895.37672222222329</v>
      </c>
      <c r="AA52" s="817">
        <f t="shared" si="4"/>
        <v>1500.415111111113</v>
      </c>
      <c r="AB52" s="460">
        <v>3430.7037563864501</v>
      </c>
      <c r="AC52" s="818">
        <f t="shared" si="24"/>
        <v>1500.415111111113</v>
      </c>
      <c r="AD52" s="817">
        <f t="shared" si="25"/>
        <v>2000.833333333333</v>
      </c>
      <c r="AE52" s="460">
        <v>1177.1531102869649</v>
      </c>
      <c r="AF52" s="818">
        <f t="shared" si="26"/>
        <v>1177.1531102869649</v>
      </c>
      <c r="AG52" s="817">
        <f t="shared" si="5"/>
        <v>1255.8316091953866</v>
      </c>
      <c r="AH52" s="460">
        <v>3937.0175216630014</v>
      </c>
      <c r="AI52" s="818">
        <f t="shared" si="27"/>
        <v>1255.8316091953866</v>
      </c>
      <c r="AJ52" s="824"/>
      <c r="AK52" s="826">
        <f t="shared" si="28"/>
        <v>3.3372222222222261</v>
      </c>
      <c r="AL52" s="458">
        <f t="shared" si="29"/>
        <v>12.623901421423355</v>
      </c>
      <c r="AM52" s="827">
        <f t="shared" si="30"/>
        <v>3.3372222222222261</v>
      </c>
      <c r="AN52" s="836">
        <f t="shared" si="31"/>
        <v>0</v>
      </c>
      <c r="AO52" s="826">
        <f t="shared" si="32"/>
        <v>3.3372222222222261</v>
      </c>
      <c r="AP52" s="458">
        <f t="shared" si="48"/>
        <v>7.6305688531727096</v>
      </c>
      <c r="AQ52" s="827">
        <f t="shared" si="49"/>
        <v>3.3372222222222261</v>
      </c>
      <c r="AR52" s="836">
        <f t="shared" si="35"/>
        <v>0</v>
      </c>
      <c r="AS52" s="826">
        <f t="shared" si="42"/>
        <v>10.671111111111109</v>
      </c>
      <c r="AT52" s="458">
        <f t="shared" si="43"/>
        <v>6.2781499215304795</v>
      </c>
      <c r="AU52" s="827">
        <f t="shared" si="44"/>
        <v>6.2781499215304795</v>
      </c>
      <c r="AV52" s="836">
        <f t="shared" si="36"/>
        <v>4.39296118958063</v>
      </c>
      <c r="AW52" s="826">
        <f t="shared" si="45"/>
        <v>5.2109195402298196</v>
      </c>
      <c r="AX52" s="458">
        <f t="shared" si="46"/>
        <v>16.336172289058098</v>
      </c>
      <c r="AY52" s="827">
        <f t="shared" si="47"/>
        <v>5.2109195402298196</v>
      </c>
      <c r="AZ52" s="836">
        <f t="shared" si="37"/>
        <v>0</v>
      </c>
    </row>
    <row r="53" spans="1:52">
      <c r="A53" s="787">
        <f t="shared" si="38"/>
        <v>42306</v>
      </c>
      <c r="B53" s="786">
        <v>0</v>
      </c>
      <c r="C53" s="802">
        <v>3.6627777777777744</v>
      </c>
      <c r="D53" s="802">
        <f t="shared" si="50"/>
        <v>3.6627777777777744</v>
      </c>
      <c r="E53" s="803">
        <f t="shared" si="51"/>
        <v>3.3288888888888906</v>
      </c>
      <c r="F53" s="800">
        <f t="shared" si="41"/>
        <v>8.7890804597701795</v>
      </c>
      <c r="G53" s="829">
        <f t="shared" si="13"/>
        <v>-3.6627777777777744</v>
      </c>
      <c r="H53" s="829">
        <f t="shared" si="1"/>
        <v>-3.6627777777777744</v>
      </c>
      <c r="I53" s="829">
        <f t="shared" si="2"/>
        <v>-3.3288888888888906</v>
      </c>
      <c r="J53" s="829">
        <f t="shared" si="3"/>
        <v>-8.7890804597701795</v>
      </c>
      <c r="K53" s="810">
        <f t="shared" si="14"/>
        <v>982.72327777777684</v>
      </c>
      <c r="L53" s="814">
        <f t="shared" si="15"/>
        <v>1646.7848888888873</v>
      </c>
      <c r="M53" s="810">
        <f t="shared" si="16"/>
        <v>624.16666666666697</v>
      </c>
      <c r="N53" s="811">
        <f t="shared" si="17"/>
        <v>2118.1683908046134</v>
      </c>
      <c r="O53" s="806">
        <v>7</v>
      </c>
      <c r="P53" s="806">
        <v>7</v>
      </c>
      <c r="Q53" s="806">
        <v>14</v>
      </c>
      <c r="R53" s="806">
        <v>14</v>
      </c>
      <c r="S53" s="809">
        <f t="shared" si="18"/>
        <v>1878.1000000000001</v>
      </c>
      <c r="T53" s="809">
        <f t="shared" si="19"/>
        <v>3147.2000000000003</v>
      </c>
      <c r="U53" s="809">
        <f t="shared" si="20"/>
        <v>2625</v>
      </c>
      <c r="V53" s="809">
        <f t="shared" si="21"/>
        <v>3374</v>
      </c>
      <c r="W53" s="816">
        <f t="shared" si="39"/>
        <v>42306</v>
      </c>
      <c r="X53" s="817">
        <f t="shared" si="22"/>
        <v>895.37672222222329</v>
      </c>
      <c r="Y53" s="460">
        <v>3320.9728493172547</v>
      </c>
      <c r="Z53" s="818">
        <f t="shared" si="23"/>
        <v>895.37672222222329</v>
      </c>
      <c r="AA53" s="817">
        <f t="shared" si="4"/>
        <v>1500.415111111113</v>
      </c>
      <c r="AB53" s="460">
        <v>3335.3213795494162</v>
      </c>
      <c r="AC53" s="818">
        <f t="shared" si="24"/>
        <v>1500.415111111113</v>
      </c>
      <c r="AD53" s="817">
        <f t="shared" si="25"/>
        <v>2000.833333333333</v>
      </c>
      <c r="AE53" s="460">
        <v>1147.3230745577475</v>
      </c>
      <c r="AF53" s="818">
        <f t="shared" si="26"/>
        <v>1147.3230745577475</v>
      </c>
      <c r="AG53" s="817">
        <f t="shared" si="5"/>
        <v>1255.8316091953866</v>
      </c>
      <c r="AH53" s="460">
        <v>3843.4825260192674</v>
      </c>
      <c r="AI53" s="818">
        <f t="shared" si="27"/>
        <v>1255.8316091953866</v>
      </c>
      <c r="AJ53" s="824"/>
      <c r="AK53" s="826">
        <f t="shared" si="28"/>
        <v>3.3372222222222261</v>
      </c>
      <c r="AL53" s="458">
        <f t="shared" si="29"/>
        <v>12.377833951983805</v>
      </c>
      <c r="AM53" s="827">
        <f t="shared" si="30"/>
        <v>3.3372222222222261</v>
      </c>
      <c r="AN53" s="836">
        <f t="shared" si="31"/>
        <v>0</v>
      </c>
      <c r="AO53" s="826">
        <f t="shared" si="32"/>
        <v>3.3372222222222261</v>
      </c>
      <c r="AP53" s="458">
        <f t="shared" si="48"/>
        <v>7.4184194384995914</v>
      </c>
      <c r="AQ53" s="827">
        <f t="shared" si="49"/>
        <v>3.3372222222222261</v>
      </c>
      <c r="AR53" s="836">
        <f t="shared" si="35"/>
        <v>0</v>
      </c>
      <c r="AS53" s="826">
        <f t="shared" si="42"/>
        <v>10.671111111111109</v>
      </c>
      <c r="AT53" s="458">
        <f t="shared" si="43"/>
        <v>6.1190563976413204</v>
      </c>
      <c r="AU53" s="827">
        <f t="shared" si="44"/>
        <v>6.1190563976413204</v>
      </c>
      <c r="AV53" s="836">
        <f t="shared" si="36"/>
        <v>4.5520547134697891</v>
      </c>
      <c r="AW53" s="826">
        <f t="shared" si="45"/>
        <v>5.2109195402298196</v>
      </c>
      <c r="AX53" s="458">
        <f t="shared" si="46"/>
        <v>15.948060273938868</v>
      </c>
      <c r="AY53" s="827">
        <f t="shared" si="47"/>
        <v>5.2109195402298196</v>
      </c>
      <c r="AZ53" s="836">
        <f t="shared" si="37"/>
        <v>0</v>
      </c>
    </row>
    <row r="54" spans="1:52">
      <c r="A54" s="787">
        <f t="shared" si="38"/>
        <v>42307</v>
      </c>
      <c r="B54" s="786">
        <v>0</v>
      </c>
      <c r="C54" s="802">
        <v>3.6627777777777744</v>
      </c>
      <c r="D54" s="802">
        <f t="shared" si="50"/>
        <v>3.6627777777777744</v>
      </c>
      <c r="E54" s="803">
        <f t="shared" si="51"/>
        <v>3.3288888888888906</v>
      </c>
      <c r="F54" s="800">
        <f t="shared" si="41"/>
        <v>8.7890804597701795</v>
      </c>
      <c r="G54" s="829">
        <f t="shared" si="13"/>
        <v>-3.6627777777777744</v>
      </c>
      <c r="H54" s="829">
        <f t="shared" si="1"/>
        <v>-3.6627777777777744</v>
      </c>
      <c r="I54" s="829">
        <f t="shared" si="2"/>
        <v>-3.3288888888888906</v>
      </c>
      <c r="J54" s="829">
        <f t="shared" si="3"/>
        <v>-8.7890804597701795</v>
      </c>
      <c r="K54" s="810">
        <f t="shared" si="14"/>
        <v>982.72327777777684</v>
      </c>
      <c r="L54" s="814">
        <f t="shared" si="15"/>
        <v>1646.7848888888873</v>
      </c>
      <c r="M54" s="810">
        <f t="shared" si="16"/>
        <v>624.16666666666697</v>
      </c>
      <c r="N54" s="811">
        <f t="shared" si="17"/>
        <v>2118.1683908046134</v>
      </c>
      <c r="O54" s="806">
        <v>7</v>
      </c>
      <c r="P54" s="806">
        <v>7</v>
      </c>
      <c r="Q54" s="806">
        <v>14</v>
      </c>
      <c r="R54" s="806">
        <v>14</v>
      </c>
      <c r="S54" s="809">
        <f t="shared" si="18"/>
        <v>1878.1000000000001</v>
      </c>
      <c r="T54" s="809">
        <f t="shared" si="19"/>
        <v>3147.2000000000003</v>
      </c>
      <c r="U54" s="809">
        <f t="shared" si="20"/>
        <v>2625</v>
      </c>
      <c r="V54" s="809">
        <f t="shared" si="21"/>
        <v>3374</v>
      </c>
      <c r="W54" s="816">
        <f t="shared" si="39"/>
        <v>42307</v>
      </c>
      <c r="X54" s="817">
        <f t="shared" si="22"/>
        <v>895.37672222222329</v>
      </c>
      <c r="Y54" s="460">
        <v>3251.5510868595784</v>
      </c>
      <c r="Z54" s="818">
        <f t="shared" si="23"/>
        <v>895.37672222222329</v>
      </c>
      <c r="AA54" s="817">
        <f t="shared" si="4"/>
        <v>1500.415111111113</v>
      </c>
      <c r="AB54" s="460">
        <v>3244.8636370307709</v>
      </c>
      <c r="AC54" s="818">
        <f t="shared" si="24"/>
        <v>1500.415111111113</v>
      </c>
      <c r="AD54" s="817">
        <f t="shared" si="25"/>
        <v>2000.833333333333</v>
      </c>
      <c r="AE54" s="460">
        <v>1121.1174283010139</v>
      </c>
      <c r="AF54" s="818">
        <f t="shared" si="26"/>
        <v>1121.1174283010139</v>
      </c>
      <c r="AG54" s="817">
        <f t="shared" si="5"/>
        <v>1255.8316091953866</v>
      </c>
      <c r="AH54" s="460">
        <v>3742.6911663351893</v>
      </c>
      <c r="AI54" s="818">
        <f t="shared" si="27"/>
        <v>1255.8316091953866</v>
      </c>
      <c r="AJ54" s="824"/>
      <c r="AK54" s="826">
        <f t="shared" si="28"/>
        <v>3.3372222222222261</v>
      </c>
      <c r="AL54" s="458">
        <f t="shared" si="29"/>
        <v>12.119087166826604</v>
      </c>
      <c r="AM54" s="827">
        <f t="shared" si="30"/>
        <v>3.3372222222222261</v>
      </c>
      <c r="AN54" s="836">
        <f t="shared" si="31"/>
        <v>0</v>
      </c>
      <c r="AO54" s="826">
        <f t="shared" si="32"/>
        <v>3.3372222222222261</v>
      </c>
      <c r="AP54" s="458">
        <f t="shared" si="48"/>
        <v>7.2172233919723547</v>
      </c>
      <c r="AQ54" s="827">
        <f t="shared" si="49"/>
        <v>3.3372222222222261</v>
      </c>
      <c r="AR54" s="836">
        <f t="shared" si="35"/>
        <v>0</v>
      </c>
      <c r="AS54" s="826">
        <f t="shared" si="42"/>
        <v>10.671111111111109</v>
      </c>
      <c r="AT54" s="458">
        <f t="shared" si="43"/>
        <v>5.9792929509387411</v>
      </c>
      <c r="AU54" s="827">
        <f t="shared" si="44"/>
        <v>5.9792929509387411</v>
      </c>
      <c r="AV54" s="836">
        <f t="shared" si="36"/>
        <v>4.6918181601723683</v>
      </c>
      <c r="AW54" s="826">
        <f t="shared" si="45"/>
        <v>5.2109195402298196</v>
      </c>
      <c r="AX54" s="458">
        <f t="shared" si="46"/>
        <v>15.529838864461366</v>
      </c>
      <c r="AY54" s="827">
        <f t="shared" si="47"/>
        <v>5.2109195402298196</v>
      </c>
      <c r="AZ54" s="836">
        <f t="shared" si="37"/>
        <v>0</v>
      </c>
    </row>
    <row r="55" spans="1:52">
      <c r="A55" s="787">
        <f t="shared" si="38"/>
        <v>42308</v>
      </c>
      <c r="B55" s="786">
        <v>0</v>
      </c>
      <c r="C55" s="802">
        <v>3.6627777777777744</v>
      </c>
      <c r="D55" s="802">
        <f t="shared" si="50"/>
        <v>3.6627777777777744</v>
      </c>
      <c r="E55" s="803">
        <f t="shared" si="51"/>
        <v>3.3288888888888906</v>
      </c>
      <c r="F55" s="800">
        <f t="shared" si="41"/>
        <v>8.7890804597701795</v>
      </c>
      <c r="G55" s="829">
        <f t="shared" si="13"/>
        <v>-3.6627777777777744</v>
      </c>
      <c r="H55" s="829">
        <f t="shared" si="1"/>
        <v>-3.6627777777777744</v>
      </c>
      <c r="I55" s="829">
        <f t="shared" si="2"/>
        <v>-3.3288888888888906</v>
      </c>
      <c r="J55" s="829">
        <f t="shared" si="3"/>
        <v>-8.7890804597701795</v>
      </c>
      <c r="K55" s="810">
        <f t="shared" si="14"/>
        <v>982.72327777777684</v>
      </c>
      <c r="L55" s="814">
        <f t="shared" si="15"/>
        <v>1646.7848888888873</v>
      </c>
      <c r="M55" s="810">
        <f t="shared" si="16"/>
        <v>624.16666666666697</v>
      </c>
      <c r="N55" s="811">
        <f t="shared" si="17"/>
        <v>2118.1683908046134</v>
      </c>
      <c r="O55" s="806">
        <v>7</v>
      </c>
      <c r="P55" s="806">
        <v>7</v>
      </c>
      <c r="Q55" s="806">
        <v>14</v>
      </c>
      <c r="R55" s="806">
        <v>14</v>
      </c>
      <c r="S55" s="809">
        <f t="shared" si="18"/>
        <v>1878.1000000000001</v>
      </c>
      <c r="T55" s="809">
        <f t="shared" si="19"/>
        <v>3147.2000000000003</v>
      </c>
      <c r="U55" s="809">
        <f t="shared" si="20"/>
        <v>2625</v>
      </c>
      <c r="V55" s="809">
        <f t="shared" si="21"/>
        <v>3374</v>
      </c>
      <c r="W55" s="816">
        <f t="shared" si="39"/>
        <v>42308</v>
      </c>
      <c r="X55" s="817">
        <f t="shared" si="22"/>
        <v>895.37672222222329</v>
      </c>
      <c r="Y55" s="460">
        <v>3186.0253841289164</v>
      </c>
      <c r="Z55" s="818">
        <f t="shared" si="23"/>
        <v>895.37672222222329</v>
      </c>
      <c r="AA55" s="817">
        <f t="shared" si="4"/>
        <v>1500.415111111113</v>
      </c>
      <c r="AB55" s="460">
        <v>3153.5087411369432</v>
      </c>
      <c r="AC55" s="818">
        <f t="shared" si="24"/>
        <v>1500.415111111113</v>
      </c>
      <c r="AD55" s="817">
        <f t="shared" si="25"/>
        <v>2000.833333333333</v>
      </c>
      <c r="AE55" s="460">
        <v>1105.0805961063866</v>
      </c>
      <c r="AF55" s="818">
        <f t="shared" si="26"/>
        <v>1105.0805961063866</v>
      </c>
      <c r="AG55" s="817">
        <f t="shared" si="5"/>
        <v>1255.8316091953866</v>
      </c>
      <c r="AH55" s="460">
        <v>3672.7564587843285</v>
      </c>
      <c r="AI55" s="818">
        <f t="shared" si="27"/>
        <v>1255.8316091953866</v>
      </c>
      <c r="AJ55" s="824"/>
      <c r="AK55" s="826">
        <f t="shared" si="28"/>
        <v>3.3372222222222261</v>
      </c>
      <c r="AL55" s="458">
        <f t="shared" si="29"/>
        <v>11.874861662798793</v>
      </c>
      <c r="AM55" s="827">
        <f t="shared" si="30"/>
        <v>3.3372222222222261</v>
      </c>
      <c r="AN55" s="836">
        <f t="shared" si="31"/>
        <v>0</v>
      </c>
      <c r="AO55" s="826">
        <f t="shared" si="32"/>
        <v>3.3372222222222261</v>
      </c>
      <c r="AP55" s="458">
        <f t="shared" si="48"/>
        <v>7.0140318975465821</v>
      </c>
      <c r="AQ55" s="827">
        <f t="shared" si="49"/>
        <v>3.3372222222222261</v>
      </c>
      <c r="AR55" s="836">
        <f t="shared" si="35"/>
        <v>0</v>
      </c>
      <c r="AS55" s="826">
        <f t="shared" si="42"/>
        <v>10.671111111111109</v>
      </c>
      <c r="AT55" s="458">
        <f t="shared" si="43"/>
        <v>5.8937631792340612</v>
      </c>
      <c r="AU55" s="827">
        <f t="shared" si="44"/>
        <v>5.8937631792340612</v>
      </c>
      <c r="AV55" s="836">
        <f t="shared" si="36"/>
        <v>4.7773479318770482</v>
      </c>
      <c r="AW55" s="826">
        <f t="shared" si="45"/>
        <v>5.2109195402298196</v>
      </c>
      <c r="AX55" s="458">
        <f t="shared" si="46"/>
        <v>15.239653355951571</v>
      </c>
      <c r="AY55" s="827">
        <f t="shared" si="47"/>
        <v>5.2109195402298196</v>
      </c>
      <c r="AZ55" s="836">
        <f t="shared" si="37"/>
        <v>0</v>
      </c>
    </row>
    <row r="56" spans="1:52">
      <c r="A56" s="787">
        <f t="shared" si="38"/>
        <v>42309</v>
      </c>
      <c r="B56" s="786">
        <v>2.0666666666666664</v>
      </c>
      <c r="C56" s="802">
        <v>3.6627777777777744</v>
      </c>
      <c r="D56" s="802">
        <f t="shared" si="50"/>
        <v>3.6627777777777744</v>
      </c>
      <c r="E56" s="803">
        <f t="shared" si="51"/>
        <v>3.3288888888888906</v>
      </c>
      <c r="F56" s="800">
        <f t="shared" si="41"/>
        <v>8.7890804597701795</v>
      </c>
      <c r="G56" s="829">
        <f t="shared" si="13"/>
        <v>-3.6627777777777744</v>
      </c>
      <c r="H56" s="829">
        <f t="shared" si="1"/>
        <v>-3.6627777777777744</v>
      </c>
      <c r="I56" s="829">
        <f t="shared" si="2"/>
        <v>-3.3288888888888906</v>
      </c>
      <c r="J56" s="829">
        <f t="shared" si="3"/>
        <v>-8.7890804597701795</v>
      </c>
      <c r="K56" s="810">
        <f t="shared" si="14"/>
        <v>982.72327777777684</v>
      </c>
      <c r="L56" s="814">
        <f t="shared" si="15"/>
        <v>1646.7848888888873</v>
      </c>
      <c r="M56" s="810">
        <f t="shared" si="16"/>
        <v>624.16666666666697</v>
      </c>
      <c r="N56" s="811">
        <f t="shared" si="17"/>
        <v>2118.1683908046134</v>
      </c>
      <c r="O56" s="806">
        <v>7</v>
      </c>
      <c r="P56" s="806">
        <v>7</v>
      </c>
      <c r="Q56" s="806">
        <v>14</v>
      </c>
      <c r="R56" s="806">
        <v>14</v>
      </c>
      <c r="S56" s="809">
        <f t="shared" si="18"/>
        <v>1878.1000000000001</v>
      </c>
      <c r="T56" s="809">
        <f t="shared" si="19"/>
        <v>3147.2000000000003</v>
      </c>
      <c r="U56" s="809">
        <f t="shared" si="20"/>
        <v>2625</v>
      </c>
      <c r="V56" s="809">
        <f t="shared" si="21"/>
        <v>3374</v>
      </c>
      <c r="W56" s="816">
        <f t="shared" si="39"/>
        <v>42309</v>
      </c>
      <c r="X56" s="817">
        <f t="shared" si="22"/>
        <v>895.37672222222329</v>
      </c>
      <c r="Y56" s="460">
        <v>3125.9866132991547</v>
      </c>
      <c r="Z56" s="818">
        <f t="shared" si="23"/>
        <v>895.37672222222329</v>
      </c>
      <c r="AA56" s="817">
        <f t="shared" si="4"/>
        <v>1500.415111111113</v>
      </c>
      <c r="AB56" s="460">
        <v>3060.8248319957715</v>
      </c>
      <c r="AC56" s="818">
        <f t="shared" si="24"/>
        <v>1500.415111111113</v>
      </c>
      <c r="AD56" s="817">
        <f t="shared" si="25"/>
        <v>2000.833333333333</v>
      </c>
      <c r="AE56" s="460">
        <v>1079.2660665235267</v>
      </c>
      <c r="AF56" s="818">
        <f t="shared" si="26"/>
        <v>1079.2660665235267</v>
      </c>
      <c r="AG56" s="817">
        <f t="shared" si="5"/>
        <v>1255.8316091953866</v>
      </c>
      <c r="AH56" s="460">
        <v>3599.8733507759857</v>
      </c>
      <c r="AI56" s="818">
        <f t="shared" si="27"/>
        <v>1255.8316091953866</v>
      </c>
      <c r="AJ56" s="824"/>
      <c r="AK56" s="826">
        <f t="shared" si="28"/>
        <v>3.3372222222222261</v>
      </c>
      <c r="AL56" s="458">
        <f t="shared" si="29"/>
        <v>11.651086892654321</v>
      </c>
      <c r="AM56" s="827">
        <f t="shared" si="30"/>
        <v>3.3372222222222261</v>
      </c>
      <c r="AN56" s="836">
        <f t="shared" si="31"/>
        <v>0</v>
      </c>
      <c r="AO56" s="826">
        <f t="shared" si="32"/>
        <v>3.3372222222222261</v>
      </c>
      <c r="AP56" s="458">
        <f t="shared" si="48"/>
        <v>6.8078844128019824</v>
      </c>
      <c r="AQ56" s="827">
        <f t="shared" si="49"/>
        <v>3.3372222222222261</v>
      </c>
      <c r="AR56" s="836">
        <f t="shared" si="35"/>
        <v>0</v>
      </c>
      <c r="AS56" s="826">
        <f t="shared" si="42"/>
        <v>10.671111111111109</v>
      </c>
      <c r="AT56" s="458">
        <f t="shared" si="43"/>
        <v>5.7560856881254754</v>
      </c>
      <c r="AU56" s="827">
        <f t="shared" si="44"/>
        <v>5.7560856881254754</v>
      </c>
      <c r="AV56" s="836">
        <f t="shared" si="36"/>
        <v>4.9150254229856341</v>
      </c>
      <c r="AW56" s="826">
        <f t="shared" si="45"/>
        <v>5.2109195402298196</v>
      </c>
      <c r="AX56" s="458">
        <f t="shared" si="46"/>
        <v>14.937233820647243</v>
      </c>
      <c r="AY56" s="827">
        <f t="shared" si="47"/>
        <v>5.2109195402298196</v>
      </c>
      <c r="AZ56" s="836">
        <f t="shared" si="37"/>
        <v>0</v>
      </c>
    </row>
    <row r="57" spans="1:52">
      <c r="A57" s="787">
        <f t="shared" si="38"/>
        <v>42310</v>
      </c>
      <c r="B57" s="786">
        <v>0.1</v>
      </c>
      <c r="C57" s="802">
        <v>3.6627777777777744</v>
      </c>
      <c r="D57" s="802">
        <f t="shared" si="50"/>
        <v>3.6627777777777744</v>
      </c>
      <c r="E57" s="803">
        <f t="shared" si="51"/>
        <v>3.3288888888888906</v>
      </c>
      <c r="F57" s="800">
        <f t="shared" si="41"/>
        <v>8.7890804597701795</v>
      </c>
      <c r="G57" s="829">
        <f t="shared" si="13"/>
        <v>-3.6627777777777744</v>
      </c>
      <c r="H57" s="829">
        <f t="shared" si="1"/>
        <v>-3.6627777777777744</v>
      </c>
      <c r="I57" s="829">
        <f t="shared" si="2"/>
        <v>-3.3288888888888906</v>
      </c>
      <c r="J57" s="829">
        <f t="shared" si="3"/>
        <v>-8.7890804597701795</v>
      </c>
      <c r="K57" s="810">
        <f t="shared" si="14"/>
        <v>982.72327777777684</v>
      </c>
      <c r="L57" s="814">
        <f t="shared" si="15"/>
        <v>1646.7848888888873</v>
      </c>
      <c r="M57" s="810">
        <f t="shared" si="16"/>
        <v>624.16666666666697</v>
      </c>
      <c r="N57" s="811">
        <f t="shared" si="17"/>
        <v>2118.1683908046134</v>
      </c>
      <c r="O57" s="806">
        <v>7</v>
      </c>
      <c r="P57" s="806">
        <v>7</v>
      </c>
      <c r="Q57" s="806">
        <v>14</v>
      </c>
      <c r="R57" s="806">
        <v>14</v>
      </c>
      <c r="S57" s="809">
        <f t="shared" si="18"/>
        <v>1878.1000000000001</v>
      </c>
      <c r="T57" s="809">
        <f t="shared" si="19"/>
        <v>3147.2000000000003</v>
      </c>
      <c r="U57" s="809">
        <f t="shared" si="20"/>
        <v>2625</v>
      </c>
      <c r="V57" s="809">
        <f t="shared" si="21"/>
        <v>3374</v>
      </c>
      <c r="W57" s="816">
        <f t="shared" si="39"/>
        <v>42310</v>
      </c>
      <c r="X57" s="817">
        <f t="shared" si="22"/>
        <v>895.37672222222329</v>
      </c>
      <c r="Y57" s="460">
        <v>3075.2126724334557</v>
      </c>
      <c r="Z57" s="818">
        <f t="shared" si="23"/>
        <v>895.37672222222329</v>
      </c>
      <c r="AA57" s="817">
        <f t="shared" si="4"/>
        <v>1500.415111111113</v>
      </c>
      <c r="AB57" s="460">
        <v>2969.967387466249</v>
      </c>
      <c r="AC57" s="818">
        <f t="shared" si="24"/>
        <v>1500.415111111113</v>
      </c>
      <c r="AD57" s="817">
        <f t="shared" si="25"/>
        <v>2000.833333333333</v>
      </c>
      <c r="AE57" s="460">
        <v>1050.261239496901</v>
      </c>
      <c r="AF57" s="818">
        <f t="shared" si="26"/>
        <v>1050.261239496901</v>
      </c>
      <c r="AG57" s="817">
        <f t="shared" si="5"/>
        <v>1255.8316091953866</v>
      </c>
      <c r="AH57" s="460">
        <v>3529.3769870181677</v>
      </c>
      <c r="AI57" s="818">
        <f t="shared" si="27"/>
        <v>1255.8316091953866</v>
      </c>
      <c r="AJ57" s="824"/>
      <c r="AK57" s="826">
        <f t="shared" si="28"/>
        <v>3.3372222222222261</v>
      </c>
      <c r="AL57" s="458">
        <f t="shared" si="29"/>
        <v>11.461843728786642</v>
      </c>
      <c r="AM57" s="827">
        <f t="shared" si="30"/>
        <v>3.3372222222222261</v>
      </c>
      <c r="AN57" s="836">
        <f t="shared" si="31"/>
        <v>0</v>
      </c>
      <c r="AO57" s="826">
        <f t="shared" si="32"/>
        <v>3.3372222222222261</v>
      </c>
      <c r="AP57" s="458">
        <f t="shared" si="48"/>
        <v>6.6057993493466389</v>
      </c>
      <c r="AQ57" s="827">
        <f t="shared" si="49"/>
        <v>3.3372222222222261</v>
      </c>
      <c r="AR57" s="836">
        <f t="shared" si="35"/>
        <v>0</v>
      </c>
      <c r="AS57" s="826">
        <f t="shared" si="42"/>
        <v>10.671111111111109</v>
      </c>
      <c r="AT57" s="458">
        <f t="shared" si="43"/>
        <v>5.6013932773168058</v>
      </c>
      <c r="AU57" s="827">
        <f t="shared" si="44"/>
        <v>5.6013932773168058</v>
      </c>
      <c r="AV57" s="836">
        <f t="shared" si="36"/>
        <v>5.0697178337943036</v>
      </c>
      <c r="AW57" s="826">
        <f t="shared" si="45"/>
        <v>5.2109195402298196</v>
      </c>
      <c r="AX57" s="458">
        <f t="shared" si="46"/>
        <v>14.644717788457127</v>
      </c>
      <c r="AY57" s="827">
        <f t="shared" si="47"/>
        <v>5.2109195402298196</v>
      </c>
      <c r="AZ57" s="836">
        <f t="shared" si="37"/>
        <v>0</v>
      </c>
    </row>
    <row r="58" spans="1:52">
      <c r="A58" s="787">
        <f t="shared" si="38"/>
        <v>42311</v>
      </c>
      <c r="B58" s="786">
        <v>2.1</v>
      </c>
      <c r="C58" s="802">
        <v>3.6627777777777744</v>
      </c>
      <c r="D58" s="802">
        <f t="shared" si="50"/>
        <v>3.6627777777777744</v>
      </c>
      <c r="E58" s="803">
        <f t="shared" si="51"/>
        <v>3.3288888888888906</v>
      </c>
      <c r="F58" s="800">
        <f t="shared" si="41"/>
        <v>8.7890804597701795</v>
      </c>
      <c r="G58" s="829">
        <f t="shared" si="13"/>
        <v>-3.6627777777777744</v>
      </c>
      <c r="H58" s="829">
        <f t="shared" si="1"/>
        <v>-3.6627777777777744</v>
      </c>
      <c r="I58" s="829">
        <f t="shared" si="2"/>
        <v>-3.3288888888888906</v>
      </c>
      <c r="J58" s="829">
        <f t="shared" si="3"/>
        <v>-8.7890804597701795</v>
      </c>
      <c r="K58" s="810">
        <f t="shared" si="14"/>
        <v>982.72327777777684</v>
      </c>
      <c r="L58" s="814">
        <f t="shared" si="15"/>
        <v>1646.7848888888873</v>
      </c>
      <c r="M58" s="810">
        <f t="shared" si="16"/>
        <v>624.16666666666697</v>
      </c>
      <c r="N58" s="811">
        <f t="shared" si="17"/>
        <v>2118.1683908046134</v>
      </c>
      <c r="O58" s="806">
        <v>7</v>
      </c>
      <c r="P58" s="806">
        <v>7</v>
      </c>
      <c r="Q58" s="806">
        <v>14</v>
      </c>
      <c r="R58" s="806">
        <v>14</v>
      </c>
      <c r="S58" s="809">
        <f t="shared" si="18"/>
        <v>1878.1000000000001</v>
      </c>
      <c r="T58" s="809">
        <f t="shared" si="19"/>
        <v>3147.2000000000003</v>
      </c>
      <c r="U58" s="809">
        <f t="shared" si="20"/>
        <v>2625</v>
      </c>
      <c r="V58" s="809">
        <f t="shared" si="21"/>
        <v>3374</v>
      </c>
      <c r="W58" s="816">
        <f t="shared" si="39"/>
        <v>42311</v>
      </c>
      <c r="X58" s="817">
        <f t="shared" si="22"/>
        <v>895.37672222222329</v>
      </c>
      <c r="Y58" s="460">
        <v>3012.732218672867</v>
      </c>
      <c r="Z58" s="818">
        <f t="shared" si="23"/>
        <v>895.37672222222329</v>
      </c>
      <c r="AA58" s="817">
        <f t="shared" si="4"/>
        <v>1500.415111111113</v>
      </c>
      <c r="AB58" s="460">
        <v>2885.2108671035076</v>
      </c>
      <c r="AC58" s="818">
        <f t="shared" si="24"/>
        <v>1500.415111111113</v>
      </c>
      <c r="AD58" s="817">
        <f t="shared" si="25"/>
        <v>2000.833333333333</v>
      </c>
      <c r="AE58" s="460">
        <v>1022.2897376215277</v>
      </c>
      <c r="AF58" s="818">
        <f t="shared" si="26"/>
        <v>1022.2897376215277</v>
      </c>
      <c r="AG58" s="817">
        <f t="shared" si="5"/>
        <v>1255.8316091953866</v>
      </c>
      <c r="AH58" s="460">
        <v>3450.1747325478345</v>
      </c>
      <c r="AI58" s="818">
        <f t="shared" si="27"/>
        <v>1255.8316091953866</v>
      </c>
      <c r="AJ58" s="824"/>
      <c r="AK58" s="826">
        <f t="shared" si="28"/>
        <v>3.3372222222222261</v>
      </c>
      <c r="AL58" s="458">
        <f t="shared" si="29"/>
        <v>11.228968388642814</v>
      </c>
      <c r="AM58" s="827">
        <f t="shared" si="30"/>
        <v>3.3372222222222261</v>
      </c>
      <c r="AN58" s="836">
        <f t="shared" si="31"/>
        <v>0</v>
      </c>
      <c r="AO58" s="826">
        <f t="shared" si="32"/>
        <v>3.3372222222222261</v>
      </c>
      <c r="AP58" s="458">
        <f t="shared" si="48"/>
        <v>6.4172839570807554</v>
      </c>
      <c r="AQ58" s="827">
        <f t="shared" si="49"/>
        <v>3.3372222222222261</v>
      </c>
      <c r="AR58" s="836">
        <f t="shared" si="35"/>
        <v>0</v>
      </c>
      <c r="AS58" s="826">
        <f t="shared" si="42"/>
        <v>10.671111111111109</v>
      </c>
      <c r="AT58" s="458">
        <f t="shared" si="43"/>
        <v>5.4522119339814807</v>
      </c>
      <c r="AU58" s="827">
        <f t="shared" si="44"/>
        <v>5.4522119339814807</v>
      </c>
      <c r="AV58" s="836">
        <f t="shared" si="36"/>
        <v>5.2188991771296287</v>
      </c>
      <c r="AW58" s="826">
        <f t="shared" si="45"/>
        <v>5.2109195402298196</v>
      </c>
      <c r="AX58" s="458">
        <f t="shared" si="46"/>
        <v>14.316077728414252</v>
      </c>
      <c r="AY58" s="827">
        <f t="shared" si="47"/>
        <v>5.2109195402298196</v>
      </c>
      <c r="AZ58" s="836">
        <f t="shared" si="37"/>
        <v>0</v>
      </c>
    </row>
    <row r="59" spans="1:52">
      <c r="A59" s="787">
        <f t="shared" si="38"/>
        <v>42312</v>
      </c>
      <c r="B59" s="786">
        <v>0.4</v>
      </c>
      <c r="C59" s="802">
        <v>3.6627777777777744</v>
      </c>
      <c r="D59" s="802">
        <f t="shared" si="50"/>
        <v>3.6627777777777744</v>
      </c>
      <c r="E59" s="803">
        <f t="shared" si="51"/>
        <v>3.3288888888888906</v>
      </c>
      <c r="F59" s="800">
        <f t="shared" si="41"/>
        <v>8.7890804597701795</v>
      </c>
      <c r="G59" s="829">
        <f t="shared" si="13"/>
        <v>-3.6627777777777744</v>
      </c>
      <c r="H59" s="829">
        <f t="shared" si="1"/>
        <v>-3.6627777777777744</v>
      </c>
      <c r="I59" s="829">
        <f t="shared" si="2"/>
        <v>-3.3288888888888906</v>
      </c>
      <c r="J59" s="829">
        <f t="shared" si="3"/>
        <v>-8.7890804597701795</v>
      </c>
      <c r="K59" s="810">
        <f t="shared" si="14"/>
        <v>982.72327777777684</v>
      </c>
      <c r="L59" s="814">
        <f t="shared" si="15"/>
        <v>1646.7848888888873</v>
      </c>
      <c r="M59" s="810">
        <f t="shared" si="16"/>
        <v>624.16666666666697</v>
      </c>
      <c r="N59" s="811">
        <f t="shared" si="17"/>
        <v>2118.1683908046134</v>
      </c>
      <c r="O59" s="806">
        <v>7</v>
      </c>
      <c r="P59" s="806">
        <v>7</v>
      </c>
      <c r="Q59" s="806">
        <v>14</v>
      </c>
      <c r="R59" s="806">
        <v>14</v>
      </c>
      <c r="S59" s="809">
        <f t="shared" si="18"/>
        <v>1878.1000000000001</v>
      </c>
      <c r="T59" s="809">
        <f t="shared" si="19"/>
        <v>3147.2000000000003</v>
      </c>
      <c r="U59" s="809">
        <f t="shared" si="20"/>
        <v>2625</v>
      </c>
      <c r="V59" s="809">
        <f t="shared" si="21"/>
        <v>3374</v>
      </c>
      <c r="W59" s="816">
        <f t="shared" si="39"/>
        <v>42312</v>
      </c>
      <c r="X59" s="817">
        <f t="shared" si="22"/>
        <v>895.37672222222329</v>
      </c>
      <c r="Y59" s="460">
        <v>2953.8920198335081</v>
      </c>
      <c r="Z59" s="818">
        <f t="shared" si="23"/>
        <v>895.37672222222329</v>
      </c>
      <c r="AA59" s="817">
        <f t="shared" si="4"/>
        <v>1500.415111111113</v>
      </c>
      <c r="AB59" s="460">
        <v>2804.1925729022287</v>
      </c>
      <c r="AC59" s="818">
        <f t="shared" si="24"/>
        <v>1500.415111111113</v>
      </c>
      <c r="AD59" s="817">
        <f t="shared" si="25"/>
        <v>2000.833333333333</v>
      </c>
      <c r="AE59" s="460">
        <v>1003.6699218554547</v>
      </c>
      <c r="AF59" s="818">
        <f t="shared" si="26"/>
        <v>1003.6699218554547</v>
      </c>
      <c r="AG59" s="817">
        <f t="shared" si="5"/>
        <v>1255.8316091953866</v>
      </c>
      <c r="AH59" s="460">
        <v>3380.5378188157074</v>
      </c>
      <c r="AI59" s="818">
        <f t="shared" si="27"/>
        <v>1255.8316091953866</v>
      </c>
      <c r="AJ59" s="824"/>
      <c r="AK59" s="826">
        <f t="shared" si="28"/>
        <v>3.3372222222222261</v>
      </c>
      <c r="AL59" s="458">
        <f t="shared" si="29"/>
        <v>11.009660901354856</v>
      </c>
      <c r="AM59" s="827">
        <f t="shared" si="30"/>
        <v>3.3372222222222261</v>
      </c>
      <c r="AN59" s="836">
        <f t="shared" si="31"/>
        <v>0</v>
      </c>
      <c r="AO59" s="826">
        <f t="shared" si="32"/>
        <v>3.3372222222222261</v>
      </c>
      <c r="AP59" s="458">
        <f t="shared" si="48"/>
        <v>6.2370831247825365</v>
      </c>
      <c r="AQ59" s="827">
        <f t="shared" si="49"/>
        <v>3.3372222222222261</v>
      </c>
      <c r="AR59" s="836">
        <f t="shared" si="35"/>
        <v>0</v>
      </c>
      <c r="AS59" s="826">
        <f t="shared" si="42"/>
        <v>10.671111111111109</v>
      </c>
      <c r="AT59" s="458">
        <f t="shared" si="43"/>
        <v>5.3529062498957591</v>
      </c>
      <c r="AU59" s="827">
        <f t="shared" si="44"/>
        <v>5.3529062498957591</v>
      </c>
      <c r="AV59" s="836">
        <f t="shared" si="36"/>
        <v>5.3182048612153503</v>
      </c>
      <c r="AW59" s="826">
        <f t="shared" si="45"/>
        <v>5.2109195402298196</v>
      </c>
      <c r="AX59" s="458">
        <f t="shared" si="46"/>
        <v>14.02712787890335</v>
      </c>
      <c r="AY59" s="827">
        <f t="shared" si="47"/>
        <v>5.2109195402298196</v>
      </c>
      <c r="AZ59" s="836">
        <f t="shared" si="37"/>
        <v>0</v>
      </c>
    </row>
    <row r="60" spans="1:52">
      <c r="A60" s="787">
        <f t="shared" si="38"/>
        <v>42313</v>
      </c>
      <c r="B60" s="786">
        <v>22.5</v>
      </c>
      <c r="C60" s="802">
        <v>3.6627777777777744</v>
      </c>
      <c r="D60" s="802">
        <f t="shared" si="50"/>
        <v>3.6627777777777744</v>
      </c>
      <c r="E60" s="803">
        <f t="shared" si="51"/>
        <v>3.3288888888888906</v>
      </c>
      <c r="F60" s="800">
        <f t="shared" si="41"/>
        <v>8.7890804597701795</v>
      </c>
      <c r="G60" s="829">
        <f t="shared" si="13"/>
        <v>-3.6627777777777744</v>
      </c>
      <c r="H60" s="829">
        <f t="shared" si="1"/>
        <v>-3.6627777777777744</v>
      </c>
      <c r="I60" s="829">
        <f t="shared" si="2"/>
        <v>-3.3288888888888906</v>
      </c>
      <c r="J60" s="829">
        <f t="shared" si="3"/>
        <v>-8.7890804597701795</v>
      </c>
      <c r="K60" s="810">
        <f t="shared" si="14"/>
        <v>982.72327777777684</v>
      </c>
      <c r="L60" s="814">
        <f t="shared" si="15"/>
        <v>1646.7848888888873</v>
      </c>
      <c r="M60" s="810">
        <f t="shared" si="16"/>
        <v>624.16666666666697</v>
      </c>
      <c r="N60" s="811">
        <f t="shared" si="17"/>
        <v>2118.1683908046134</v>
      </c>
      <c r="O60" s="806">
        <v>7</v>
      </c>
      <c r="P60" s="806">
        <v>7</v>
      </c>
      <c r="Q60" s="806">
        <v>14</v>
      </c>
      <c r="R60" s="806">
        <v>14</v>
      </c>
      <c r="S60" s="809">
        <f t="shared" si="18"/>
        <v>1878.1000000000001</v>
      </c>
      <c r="T60" s="809">
        <f t="shared" si="19"/>
        <v>3147.2000000000003</v>
      </c>
      <c r="U60" s="809">
        <f t="shared" si="20"/>
        <v>2625</v>
      </c>
      <c r="V60" s="809">
        <f t="shared" si="21"/>
        <v>3374</v>
      </c>
      <c r="W60" s="816">
        <f t="shared" si="39"/>
        <v>42313</v>
      </c>
      <c r="X60" s="817">
        <f t="shared" si="22"/>
        <v>895.37672222222329</v>
      </c>
      <c r="Y60" s="460">
        <v>2920.7210072600874</v>
      </c>
      <c r="Z60" s="818">
        <f t="shared" si="23"/>
        <v>895.37672222222329</v>
      </c>
      <c r="AA60" s="817">
        <f t="shared" si="4"/>
        <v>1500.415111111113</v>
      </c>
      <c r="AB60" s="460">
        <v>2775.8161661487411</v>
      </c>
      <c r="AC60" s="818">
        <f t="shared" si="24"/>
        <v>1500.415111111113</v>
      </c>
      <c r="AD60" s="817">
        <f t="shared" si="25"/>
        <v>2000.833333333333</v>
      </c>
      <c r="AE60" s="460">
        <v>985.92843304868461</v>
      </c>
      <c r="AF60" s="818">
        <f t="shared" si="26"/>
        <v>985.92843304868461</v>
      </c>
      <c r="AG60" s="817">
        <f t="shared" si="5"/>
        <v>1255.8316091953866</v>
      </c>
      <c r="AH60" s="460">
        <v>3315.0380180869524</v>
      </c>
      <c r="AI60" s="818">
        <f t="shared" si="27"/>
        <v>1255.8316091953866</v>
      </c>
      <c r="AJ60" s="824"/>
      <c r="AK60" s="826">
        <f t="shared" si="28"/>
        <v>3.3372222222222261</v>
      </c>
      <c r="AL60" s="458">
        <f t="shared" si="29"/>
        <v>10.886026862691343</v>
      </c>
      <c r="AM60" s="827">
        <f t="shared" si="30"/>
        <v>3.3372222222222261</v>
      </c>
      <c r="AN60" s="836">
        <f t="shared" si="31"/>
        <v>0</v>
      </c>
      <c r="AO60" s="826">
        <f t="shared" si="32"/>
        <v>3.3372222222222261</v>
      </c>
      <c r="AP60" s="458">
        <f t="shared" si="48"/>
        <v>6.1739683410781607</v>
      </c>
      <c r="AQ60" s="827">
        <f t="shared" si="49"/>
        <v>3.3372222222222261</v>
      </c>
      <c r="AR60" s="836">
        <f t="shared" si="35"/>
        <v>0</v>
      </c>
      <c r="AS60" s="826">
        <f t="shared" si="42"/>
        <v>10.671111111111109</v>
      </c>
      <c r="AT60" s="458">
        <f t="shared" si="43"/>
        <v>5.2582849762596515</v>
      </c>
      <c r="AU60" s="827">
        <f t="shared" si="44"/>
        <v>5.2582849762596515</v>
      </c>
      <c r="AV60" s="836">
        <f t="shared" si="36"/>
        <v>5.4128261348514579</v>
      </c>
      <c r="AW60" s="826">
        <f t="shared" si="45"/>
        <v>5.2109195402298196</v>
      </c>
      <c r="AX60" s="458">
        <f t="shared" si="46"/>
        <v>13.755344473389844</v>
      </c>
      <c r="AY60" s="827">
        <f t="shared" si="47"/>
        <v>5.2109195402298196</v>
      </c>
      <c r="AZ60" s="836">
        <f t="shared" si="37"/>
        <v>0</v>
      </c>
    </row>
    <row r="61" spans="1:52">
      <c r="A61" s="787">
        <f t="shared" si="38"/>
        <v>42314</v>
      </c>
      <c r="B61" s="786">
        <v>4.75</v>
      </c>
      <c r="C61" s="802">
        <v>3.6627777777777744</v>
      </c>
      <c r="D61" s="802">
        <f t="shared" si="50"/>
        <v>3.6627777777777744</v>
      </c>
      <c r="E61" s="803">
        <f t="shared" si="51"/>
        <v>3.3288888888888906</v>
      </c>
      <c r="F61" s="800">
        <f t="shared" si="41"/>
        <v>8.7890804597701795</v>
      </c>
      <c r="G61" s="829">
        <f t="shared" si="13"/>
        <v>-3.6627777777777744</v>
      </c>
      <c r="H61" s="829">
        <f t="shared" si="1"/>
        <v>-3.6627777777777744</v>
      </c>
      <c r="I61" s="829">
        <f t="shared" si="2"/>
        <v>-3.3288888888888906</v>
      </c>
      <c r="J61" s="829">
        <f t="shared" si="3"/>
        <v>-8.7890804597701795</v>
      </c>
      <c r="K61" s="810">
        <f t="shared" si="14"/>
        <v>982.72327777777684</v>
      </c>
      <c r="L61" s="814">
        <f t="shared" si="15"/>
        <v>1646.7848888888873</v>
      </c>
      <c r="M61" s="810">
        <f t="shared" si="16"/>
        <v>624.16666666666697</v>
      </c>
      <c r="N61" s="811">
        <f t="shared" si="17"/>
        <v>2118.1683908046134</v>
      </c>
      <c r="O61" s="806">
        <v>7</v>
      </c>
      <c r="P61" s="806">
        <v>7</v>
      </c>
      <c r="Q61" s="806">
        <v>14</v>
      </c>
      <c r="R61" s="806">
        <v>14</v>
      </c>
      <c r="S61" s="809">
        <f t="shared" si="18"/>
        <v>1878.1000000000001</v>
      </c>
      <c r="T61" s="809">
        <f t="shared" si="19"/>
        <v>3147.2000000000003</v>
      </c>
      <c r="U61" s="809">
        <f t="shared" si="20"/>
        <v>2625</v>
      </c>
      <c r="V61" s="809">
        <f t="shared" si="21"/>
        <v>3374</v>
      </c>
      <c r="W61" s="816">
        <f t="shared" si="39"/>
        <v>42314</v>
      </c>
      <c r="X61" s="817">
        <f t="shared" si="22"/>
        <v>895.37672222222329</v>
      </c>
      <c r="Y61" s="460">
        <v>2941.2617154181348</v>
      </c>
      <c r="Z61" s="818">
        <f t="shared" si="23"/>
        <v>895.37672222222329</v>
      </c>
      <c r="AA61" s="817">
        <f t="shared" si="4"/>
        <v>1500.415111111113</v>
      </c>
      <c r="AB61" s="460">
        <v>2799.277264394188</v>
      </c>
      <c r="AC61" s="818">
        <f t="shared" si="24"/>
        <v>1500.415111111113</v>
      </c>
      <c r="AD61" s="817">
        <f t="shared" si="25"/>
        <v>2000.833333333333</v>
      </c>
      <c r="AE61" s="460">
        <v>983.18826998085694</v>
      </c>
      <c r="AF61" s="818">
        <f t="shared" si="26"/>
        <v>983.18826998085694</v>
      </c>
      <c r="AG61" s="817">
        <f t="shared" si="5"/>
        <v>1255.8316091953866</v>
      </c>
      <c r="AH61" s="460">
        <v>3359.1555797002125</v>
      </c>
      <c r="AI61" s="818">
        <f t="shared" si="27"/>
        <v>1255.8316091953866</v>
      </c>
      <c r="AJ61" s="824"/>
      <c r="AK61" s="826">
        <f t="shared" si="28"/>
        <v>3.3372222222222261</v>
      </c>
      <c r="AL61" s="458">
        <f t="shared" si="29"/>
        <v>10.962585596042247</v>
      </c>
      <c r="AM61" s="827">
        <f t="shared" si="30"/>
        <v>3.3372222222222261</v>
      </c>
      <c r="AN61" s="836">
        <f t="shared" si="31"/>
        <v>0</v>
      </c>
      <c r="AO61" s="826">
        <f t="shared" si="32"/>
        <v>3.3372222222222261</v>
      </c>
      <c r="AP61" s="458">
        <f t="shared" si="48"/>
        <v>6.2261504990973933</v>
      </c>
      <c r="AQ61" s="827">
        <f t="shared" si="49"/>
        <v>3.3372222222222261</v>
      </c>
      <c r="AR61" s="836">
        <f t="shared" si="35"/>
        <v>0</v>
      </c>
      <c r="AS61" s="826">
        <f t="shared" si="42"/>
        <v>10.671111111111109</v>
      </c>
      <c r="AT61" s="458">
        <f t="shared" si="43"/>
        <v>5.2436707732312362</v>
      </c>
      <c r="AU61" s="827">
        <f t="shared" si="44"/>
        <v>5.2436707732312362</v>
      </c>
      <c r="AV61" s="836">
        <f t="shared" si="36"/>
        <v>5.4274403378798732</v>
      </c>
      <c r="AW61" s="826">
        <f t="shared" si="45"/>
        <v>5.2109195402298196</v>
      </c>
      <c r="AX61" s="458">
        <f t="shared" si="46"/>
        <v>13.938404895021627</v>
      </c>
      <c r="AY61" s="827">
        <f t="shared" si="47"/>
        <v>5.2109195402298196</v>
      </c>
      <c r="AZ61" s="836">
        <f t="shared" si="37"/>
        <v>0</v>
      </c>
    </row>
    <row r="62" spans="1:52">
      <c r="A62" s="787">
        <f t="shared" si="38"/>
        <v>42315</v>
      </c>
      <c r="B62" s="786">
        <v>0.3</v>
      </c>
      <c r="C62" s="802">
        <v>3.6627777777777744</v>
      </c>
      <c r="D62" s="802">
        <f t="shared" si="50"/>
        <v>3.6627777777777744</v>
      </c>
      <c r="E62" s="803">
        <f t="shared" si="51"/>
        <v>3.3288888888888906</v>
      </c>
      <c r="F62" s="800">
        <f t="shared" si="41"/>
        <v>8.7890804597701795</v>
      </c>
      <c r="G62" s="829">
        <f t="shared" si="13"/>
        <v>-3.6627777777777744</v>
      </c>
      <c r="H62" s="829">
        <f t="shared" si="1"/>
        <v>-3.6627777777777744</v>
      </c>
      <c r="I62" s="829">
        <f t="shared" si="2"/>
        <v>-3.3288888888888906</v>
      </c>
      <c r="J62" s="829">
        <f t="shared" si="3"/>
        <v>-8.7890804597701795</v>
      </c>
      <c r="K62" s="810">
        <f t="shared" si="14"/>
        <v>982.72327777777684</v>
      </c>
      <c r="L62" s="814">
        <f t="shared" si="15"/>
        <v>1646.7848888888873</v>
      </c>
      <c r="M62" s="810">
        <f t="shared" si="16"/>
        <v>624.16666666666697</v>
      </c>
      <c r="N62" s="811">
        <f t="shared" si="17"/>
        <v>2118.1683908046134</v>
      </c>
      <c r="O62" s="806">
        <v>7</v>
      </c>
      <c r="P62" s="806">
        <v>7</v>
      </c>
      <c r="Q62" s="806">
        <v>14</v>
      </c>
      <c r="R62" s="806">
        <v>14</v>
      </c>
      <c r="S62" s="809">
        <f t="shared" si="18"/>
        <v>1878.1000000000001</v>
      </c>
      <c r="T62" s="809">
        <f t="shared" si="19"/>
        <v>3147.2000000000003</v>
      </c>
      <c r="U62" s="809">
        <f t="shared" si="20"/>
        <v>2625</v>
      </c>
      <c r="V62" s="809">
        <f t="shared" si="21"/>
        <v>3374</v>
      </c>
      <c r="W62" s="816">
        <f t="shared" si="39"/>
        <v>42315</v>
      </c>
      <c r="X62" s="817">
        <f t="shared" si="22"/>
        <v>895.37672222222329</v>
      </c>
      <c r="Y62" s="460">
        <v>2913.2472645131029</v>
      </c>
      <c r="Z62" s="818">
        <f t="shared" si="23"/>
        <v>895.37672222222329</v>
      </c>
      <c r="AA62" s="817">
        <f t="shared" si="4"/>
        <v>1500.415111111113</v>
      </c>
      <c r="AB62" s="460">
        <v>2756.4075114624957</v>
      </c>
      <c r="AC62" s="818">
        <f t="shared" si="24"/>
        <v>1500.415111111113</v>
      </c>
      <c r="AD62" s="817">
        <f t="shared" si="25"/>
        <v>2000.833333333333</v>
      </c>
      <c r="AE62" s="460">
        <v>969.06266100821915</v>
      </c>
      <c r="AF62" s="818">
        <f t="shared" si="26"/>
        <v>969.06266100821915</v>
      </c>
      <c r="AG62" s="817">
        <f t="shared" si="5"/>
        <v>1255.8316091953866</v>
      </c>
      <c r="AH62" s="460">
        <v>3320.5689612282245</v>
      </c>
      <c r="AI62" s="818">
        <f t="shared" si="27"/>
        <v>1255.8316091953866</v>
      </c>
      <c r="AJ62" s="824"/>
      <c r="AK62" s="826">
        <f t="shared" si="28"/>
        <v>3.3372222222222261</v>
      </c>
      <c r="AL62" s="458">
        <f t="shared" si="29"/>
        <v>10.858170944886703</v>
      </c>
      <c r="AM62" s="827">
        <f t="shared" si="30"/>
        <v>3.3372222222222261</v>
      </c>
      <c r="AN62" s="836">
        <f t="shared" si="31"/>
        <v>0</v>
      </c>
      <c r="AO62" s="826">
        <f t="shared" si="32"/>
        <v>3.3372222222222261</v>
      </c>
      <c r="AP62" s="458">
        <f t="shared" si="48"/>
        <v>6.1307996251390033</v>
      </c>
      <c r="AQ62" s="827">
        <f t="shared" si="49"/>
        <v>3.3372222222222261</v>
      </c>
      <c r="AR62" s="836">
        <f t="shared" si="35"/>
        <v>0</v>
      </c>
      <c r="AS62" s="826">
        <f t="shared" si="42"/>
        <v>10.671111111111109</v>
      </c>
      <c r="AT62" s="458">
        <f t="shared" si="43"/>
        <v>5.1683341920438357</v>
      </c>
      <c r="AU62" s="827">
        <f t="shared" si="44"/>
        <v>5.1683341920438357</v>
      </c>
      <c r="AV62" s="836">
        <f t="shared" si="36"/>
        <v>5.5027769190672737</v>
      </c>
      <c r="AW62" s="826">
        <f t="shared" si="45"/>
        <v>5.2109195402298196</v>
      </c>
      <c r="AX62" s="458">
        <f t="shared" si="46"/>
        <v>13.778294444930392</v>
      </c>
      <c r="AY62" s="827">
        <f t="shared" si="47"/>
        <v>5.2109195402298196</v>
      </c>
      <c r="AZ62" s="836">
        <f t="shared" si="37"/>
        <v>0</v>
      </c>
    </row>
    <row r="63" spans="1:52">
      <c r="A63" s="787">
        <f t="shared" si="38"/>
        <v>42316</v>
      </c>
      <c r="B63" s="786">
        <v>0</v>
      </c>
      <c r="C63" s="802">
        <v>3.6627777777777744</v>
      </c>
      <c r="D63" s="802">
        <f t="shared" si="50"/>
        <v>3.6627777777777744</v>
      </c>
      <c r="E63" s="803">
        <f t="shared" si="51"/>
        <v>3.3288888888888906</v>
      </c>
      <c r="F63" s="800">
        <f t="shared" si="41"/>
        <v>8.7890804597701795</v>
      </c>
      <c r="G63" s="829">
        <f t="shared" si="13"/>
        <v>-3.6627777777777744</v>
      </c>
      <c r="H63" s="829">
        <f t="shared" si="1"/>
        <v>-3.6627777777777744</v>
      </c>
      <c r="I63" s="829">
        <f t="shared" si="2"/>
        <v>-3.3288888888888906</v>
      </c>
      <c r="J63" s="829">
        <f t="shared" si="3"/>
        <v>-8.7890804597701795</v>
      </c>
      <c r="K63" s="810">
        <f t="shared" si="14"/>
        <v>982.72327777777684</v>
      </c>
      <c r="L63" s="814">
        <f t="shared" si="15"/>
        <v>1646.7848888888873</v>
      </c>
      <c r="M63" s="810">
        <f t="shared" si="16"/>
        <v>624.16666666666697</v>
      </c>
      <c r="N63" s="811">
        <f t="shared" si="17"/>
        <v>2118.1683908046134</v>
      </c>
      <c r="O63" s="806">
        <v>7</v>
      </c>
      <c r="P63" s="806">
        <v>7</v>
      </c>
      <c r="Q63" s="806">
        <v>14</v>
      </c>
      <c r="R63" s="806">
        <v>14</v>
      </c>
      <c r="S63" s="809">
        <f t="shared" si="18"/>
        <v>1878.1000000000001</v>
      </c>
      <c r="T63" s="809">
        <f t="shared" si="19"/>
        <v>3147.2000000000003</v>
      </c>
      <c r="U63" s="809">
        <f t="shared" si="20"/>
        <v>2625</v>
      </c>
      <c r="V63" s="809">
        <f t="shared" si="21"/>
        <v>3374</v>
      </c>
      <c r="W63" s="816">
        <f t="shared" si="39"/>
        <v>42316</v>
      </c>
      <c r="X63" s="817">
        <f t="shared" si="22"/>
        <v>895.37672222222329</v>
      </c>
      <c r="Y63" s="460">
        <v>2853.0558526356094</v>
      </c>
      <c r="Z63" s="818">
        <f t="shared" si="23"/>
        <v>895.37672222222329</v>
      </c>
      <c r="AA63" s="817">
        <f t="shared" si="4"/>
        <v>1500.415111111113</v>
      </c>
      <c r="AB63" s="460">
        <v>2665.9296000034033</v>
      </c>
      <c r="AC63" s="818">
        <f t="shared" si="24"/>
        <v>1500.415111111113</v>
      </c>
      <c r="AD63" s="817">
        <f t="shared" si="25"/>
        <v>2000.833333333333</v>
      </c>
      <c r="AE63" s="460">
        <v>949.49871292308046</v>
      </c>
      <c r="AF63" s="818">
        <f t="shared" si="26"/>
        <v>949.49871292308046</v>
      </c>
      <c r="AG63" s="817">
        <f t="shared" si="5"/>
        <v>1255.8316091953866</v>
      </c>
      <c r="AH63" s="460">
        <v>3236.2674164880573</v>
      </c>
      <c r="AI63" s="818">
        <f t="shared" si="27"/>
        <v>1255.8316091953866</v>
      </c>
      <c r="AJ63" s="824"/>
      <c r="AK63" s="826">
        <f t="shared" si="28"/>
        <v>3.3372222222222261</v>
      </c>
      <c r="AL63" s="458">
        <f t="shared" si="29"/>
        <v>10.63382725544394</v>
      </c>
      <c r="AM63" s="827">
        <f t="shared" si="30"/>
        <v>3.3372222222222261</v>
      </c>
      <c r="AN63" s="836">
        <f t="shared" si="31"/>
        <v>0</v>
      </c>
      <c r="AO63" s="826">
        <f t="shared" si="32"/>
        <v>3.3372222222222261</v>
      </c>
      <c r="AP63" s="458">
        <f t="shared" si="48"/>
        <v>5.9295587188687797</v>
      </c>
      <c r="AQ63" s="827">
        <f t="shared" si="49"/>
        <v>3.3372222222222261</v>
      </c>
      <c r="AR63" s="836">
        <f t="shared" si="35"/>
        <v>0</v>
      </c>
      <c r="AS63" s="826">
        <f t="shared" si="42"/>
        <v>10.671111111111109</v>
      </c>
      <c r="AT63" s="458">
        <f t="shared" si="43"/>
        <v>5.0639931355897625</v>
      </c>
      <c r="AU63" s="827">
        <f t="shared" si="44"/>
        <v>5.0639931355897625</v>
      </c>
      <c r="AV63" s="836">
        <f t="shared" si="36"/>
        <v>5.6071179755213469</v>
      </c>
      <c r="AW63" s="826">
        <f t="shared" si="45"/>
        <v>5.2109195402298196</v>
      </c>
      <c r="AX63" s="458">
        <f t="shared" si="46"/>
        <v>13.428495504099823</v>
      </c>
      <c r="AY63" s="827">
        <f t="shared" si="47"/>
        <v>5.2109195402298196</v>
      </c>
      <c r="AZ63" s="836">
        <f t="shared" si="37"/>
        <v>0</v>
      </c>
    </row>
    <row r="64" spans="1:52">
      <c r="A64" s="787">
        <f t="shared" si="38"/>
        <v>42317</v>
      </c>
      <c r="B64" s="786">
        <v>0</v>
      </c>
      <c r="C64" s="802">
        <v>3.6627777777777744</v>
      </c>
      <c r="D64" s="802">
        <f t="shared" si="50"/>
        <v>3.6627777777777744</v>
      </c>
      <c r="E64" s="803">
        <f t="shared" si="51"/>
        <v>3.3288888888888906</v>
      </c>
      <c r="F64" s="800">
        <f t="shared" si="41"/>
        <v>8.7890804597701795</v>
      </c>
      <c r="G64" s="829">
        <f t="shared" si="13"/>
        <v>-3.6627777777777744</v>
      </c>
      <c r="H64" s="829">
        <f t="shared" si="1"/>
        <v>-3.6627777777777744</v>
      </c>
      <c r="I64" s="829">
        <f t="shared" si="2"/>
        <v>-3.3288888888888906</v>
      </c>
      <c r="J64" s="829">
        <f t="shared" si="3"/>
        <v>-8.7890804597701795</v>
      </c>
      <c r="K64" s="810">
        <f t="shared" si="14"/>
        <v>982.72327777777684</v>
      </c>
      <c r="L64" s="814">
        <f t="shared" si="15"/>
        <v>1646.7848888888873</v>
      </c>
      <c r="M64" s="810">
        <f t="shared" si="16"/>
        <v>624.16666666666697</v>
      </c>
      <c r="N64" s="811">
        <f t="shared" si="17"/>
        <v>2118.1683908046134</v>
      </c>
      <c r="O64" s="806">
        <v>7</v>
      </c>
      <c r="P64" s="806">
        <v>7</v>
      </c>
      <c r="Q64" s="806">
        <v>14</v>
      </c>
      <c r="R64" s="806">
        <v>14</v>
      </c>
      <c r="S64" s="809">
        <f t="shared" si="18"/>
        <v>1878.1000000000001</v>
      </c>
      <c r="T64" s="809">
        <f t="shared" si="19"/>
        <v>3147.2000000000003</v>
      </c>
      <c r="U64" s="809">
        <f t="shared" si="20"/>
        <v>2625</v>
      </c>
      <c r="V64" s="809">
        <f t="shared" si="21"/>
        <v>3374</v>
      </c>
      <c r="W64" s="816">
        <f t="shared" si="39"/>
        <v>42317</v>
      </c>
      <c r="X64" s="817">
        <f t="shared" si="22"/>
        <v>895.37672222222329</v>
      </c>
      <c r="Y64" s="460">
        <v>2795.473202043474</v>
      </c>
      <c r="Z64" s="818">
        <f t="shared" si="23"/>
        <v>895.37672222222329</v>
      </c>
      <c r="AA64" s="817">
        <f t="shared" si="4"/>
        <v>1500.415111111113</v>
      </c>
      <c r="AB64" s="460">
        <v>2578.8394324082365</v>
      </c>
      <c r="AC64" s="818">
        <f t="shared" si="24"/>
        <v>1500.415111111113</v>
      </c>
      <c r="AD64" s="817">
        <f t="shared" si="25"/>
        <v>2000.833333333333</v>
      </c>
      <c r="AE64" s="460">
        <v>927.61602090416545</v>
      </c>
      <c r="AF64" s="818">
        <f t="shared" si="26"/>
        <v>927.61602090416545</v>
      </c>
      <c r="AG64" s="817">
        <f t="shared" si="5"/>
        <v>1255.8316091953866</v>
      </c>
      <c r="AH64" s="460">
        <v>3148.6892586688869</v>
      </c>
      <c r="AI64" s="818">
        <f t="shared" si="27"/>
        <v>1255.8316091953866</v>
      </c>
      <c r="AJ64" s="824"/>
      <c r="AK64" s="826">
        <f t="shared" si="28"/>
        <v>3.3372222222222261</v>
      </c>
      <c r="AL64" s="458">
        <f t="shared" si="29"/>
        <v>10.419206865611159</v>
      </c>
      <c r="AM64" s="827">
        <f t="shared" si="30"/>
        <v>3.3372222222222261</v>
      </c>
      <c r="AN64" s="836">
        <f t="shared" si="31"/>
        <v>0</v>
      </c>
      <c r="AO64" s="826">
        <f t="shared" si="32"/>
        <v>3.3372222222222261</v>
      </c>
      <c r="AP64" s="458">
        <f t="shared" si="48"/>
        <v>5.7358528300894944</v>
      </c>
      <c r="AQ64" s="827">
        <f t="shared" si="49"/>
        <v>3.3372222222222261</v>
      </c>
      <c r="AR64" s="836">
        <f t="shared" si="35"/>
        <v>0</v>
      </c>
      <c r="AS64" s="826">
        <f t="shared" si="42"/>
        <v>10.671111111111109</v>
      </c>
      <c r="AT64" s="458">
        <f t="shared" si="43"/>
        <v>4.9472854448222154</v>
      </c>
      <c r="AU64" s="827">
        <f t="shared" si="44"/>
        <v>4.9472854448222154</v>
      </c>
      <c r="AV64" s="836">
        <f t="shared" si="36"/>
        <v>5.723825666288894</v>
      </c>
      <c r="AW64" s="826">
        <f t="shared" si="45"/>
        <v>5.2109195402298196</v>
      </c>
      <c r="AX64" s="458">
        <f t="shared" si="46"/>
        <v>13.065100658377123</v>
      </c>
      <c r="AY64" s="827">
        <f t="shared" si="47"/>
        <v>5.2109195402298196</v>
      </c>
      <c r="AZ64" s="836">
        <f t="shared" si="37"/>
        <v>0</v>
      </c>
    </row>
    <row r="65" spans="1:52">
      <c r="A65" s="787">
        <f t="shared" si="38"/>
        <v>42318</v>
      </c>
      <c r="B65" s="786">
        <v>0</v>
      </c>
      <c r="C65" s="802">
        <v>3.6627777777777744</v>
      </c>
      <c r="D65" s="802">
        <f t="shared" si="50"/>
        <v>3.6627777777777744</v>
      </c>
      <c r="E65" s="803">
        <f t="shared" si="51"/>
        <v>3.3288888888888906</v>
      </c>
      <c r="F65" s="800">
        <f t="shared" si="41"/>
        <v>8.7890804597701795</v>
      </c>
      <c r="G65" s="829">
        <f t="shared" si="13"/>
        <v>-3.6627777777777744</v>
      </c>
      <c r="H65" s="829">
        <f t="shared" si="1"/>
        <v>-3.6627777777777744</v>
      </c>
      <c r="I65" s="829">
        <f t="shared" si="2"/>
        <v>-3.3288888888888906</v>
      </c>
      <c r="J65" s="829">
        <f t="shared" si="3"/>
        <v>-8.7890804597701795</v>
      </c>
      <c r="K65" s="810">
        <f t="shared" si="14"/>
        <v>982.72327777777684</v>
      </c>
      <c r="L65" s="814">
        <f t="shared" si="15"/>
        <v>1646.7848888888873</v>
      </c>
      <c r="M65" s="810">
        <f t="shared" si="16"/>
        <v>624.16666666666697</v>
      </c>
      <c r="N65" s="811">
        <f t="shared" si="17"/>
        <v>2118.1683908046134</v>
      </c>
      <c r="O65" s="806">
        <v>7</v>
      </c>
      <c r="P65" s="806">
        <v>7</v>
      </c>
      <c r="Q65" s="806">
        <v>14</v>
      </c>
      <c r="R65" s="806">
        <v>14</v>
      </c>
      <c r="S65" s="809">
        <f t="shared" si="18"/>
        <v>1878.1000000000001</v>
      </c>
      <c r="T65" s="809">
        <f t="shared" si="19"/>
        <v>3147.2000000000003</v>
      </c>
      <c r="U65" s="809">
        <f t="shared" si="20"/>
        <v>2625</v>
      </c>
      <c r="V65" s="809">
        <f t="shared" si="21"/>
        <v>3374</v>
      </c>
      <c r="W65" s="816">
        <f t="shared" si="39"/>
        <v>42318</v>
      </c>
      <c r="X65" s="817">
        <f t="shared" si="22"/>
        <v>895.37672222222329</v>
      </c>
      <c r="Y65" s="460">
        <v>2737.6701783390349</v>
      </c>
      <c r="Z65" s="818">
        <f t="shared" si="23"/>
        <v>895.37672222222329</v>
      </c>
      <c r="AA65" s="817">
        <f t="shared" si="4"/>
        <v>1500.415111111113</v>
      </c>
      <c r="AB65" s="460">
        <v>2488.4105314270105</v>
      </c>
      <c r="AC65" s="818">
        <f t="shared" si="24"/>
        <v>1500.415111111113</v>
      </c>
      <c r="AD65" s="817">
        <f t="shared" si="25"/>
        <v>2000.833333333333</v>
      </c>
      <c r="AE65" s="460">
        <v>904.68401464500926</v>
      </c>
      <c r="AF65" s="818">
        <f t="shared" si="26"/>
        <v>904.68401464500926</v>
      </c>
      <c r="AG65" s="817">
        <f t="shared" si="5"/>
        <v>1255.8316091953866</v>
      </c>
      <c r="AH65" s="460">
        <v>3053.5743139600786</v>
      </c>
      <c r="AI65" s="818">
        <f t="shared" si="27"/>
        <v>1255.8316091953866</v>
      </c>
      <c r="AJ65" s="824"/>
      <c r="AK65" s="826">
        <f t="shared" si="28"/>
        <v>3.3372222222222261</v>
      </c>
      <c r="AL65" s="458">
        <f t="shared" si="29"/>
        <v>10.203765107488017</v>
      </c>
      <c r="AM65" s="827">
        <f t="shared" si="30"/>
        <v>3.3372222222222261</v>
      </c>
      <c r="AN65" s="836">
        <f t="shared" si="31"/>
        <v>0</v>
      </c>
      <c r="AO65" s="826">
        <f t="shared" si="32"/>
        <v>3.3372222222222261</v>
      </c>
      <c r="AP65" s="458">
        <f t="shared" si="48"/>
        <v>5.5347209328892584</v>
      </c>
      <c r="AQ65" s="827">
        <f t="shared" si="49"/>
        <v>3.3372222222222261</v>
      </c>
      <c r="AR65" s="836">
        <f t="shared" si="35"/>
        <v>0</v>
      </c>
      <c r="AS65" s="826">
        <f t="shared" si="42"/>
        <v>10.671111111111109</v>
      </c>
      <c r="AT65" s="458">
        <f t="shared" si="43"/>
        <v>4.8249814114400493</v>
      </c>
      <c r="AU65" s="827">
        <f t="shared" si="44"/>
        <v>4.8249814114400493</v>
      </c>
      <c r="AV65" s="836">
        <f t="shared" si="36"/>
        <v>5.8461296996710601</v>
      </c>
      <c r="AW65" s="826">
        <f t="shared" si="45"/>
        <v>5.2109195402298196</v>
      </c>
      <c r="AX65" s="458">
        <f t="shared" si="46"/>
        <v>12.670432838008624</v>
      </c>
      <c r="AY65" s="827">
        <f t="shared" si="47"/>
        <v>5.2109195402298196</v>
      </c>
      <c r="AZ65" s="836">
        <f t="shared" si="37"/>
        <v>0</v>
      </c>
    </row>
    <row r="66" spans="1:52">
      <c r="A66" s="787">
        <f t="shared" si="38"/>
        <v>42319</v>
      </c>
      <c r="B66" s="786">
        <v>0</v>
      </c>
      <c r="C66" s="802">
        <v>3.6627777777777744</v>
      </c>
      <c r="D66" s="802">
        <f t="shared" si="50"/>
        <v>3.6627777777777744</v>
      </c>
      <c r="E66" s="803">
        <f t="shared" si="51"/>
        <v>3.3288888888888906</v>
      </c>
      <c r="F66" s="800">
        <f t="shared" si="41"/>
        <v>8.7890804597701795</v>
      </c>
      <c r="G66" s="829">
        <f t="shared" si="13"/>
        <v>-3.6627777777777744</v>
      </c>
      <c r="H66" s="829">
        <f t="shared" si="1"/>
        <v>-3.6627777777777744</v>
      </c>
      <c r="I66" s="829">
        <f t="shared" si="2"/>
        <v>-3.3288888888888906</v>
      </c>
      <c r="J66" s="829">
        <f t="shared" si="3"/>
        <v>-8.7890804597701795</v>
      </c>
      <c r="K66" s="810">
        <f t="shared" si="14"/>
        <v>982.72327777777684</v>
      </c>
      <c r="L66" s="814">
        <f t="shared" si="15"/>
        <v>1646.7848888888873</v>
      </c>
      <c r="M66" s="810">
        <f t="shared" si="16"/>
        <v>624.16666666666697</v>
      </c>
      <c r="N66" s="811">
        <f t="shared" si="17"/>
        <v>2118.1683908046134</v>
      </c>
      <c r="O66" s="806">
        <v>7</v>
      </c>
      <c r="P66" s="806">
        <v>7</v>
      </c>
      <c r="Q66" s="806">
        <v>14</v>
      </c>
      <c r="R66" s="806">
        <v>14</v>
      </c>
      <c r="S66" s="809">
        <f t="shared" si="18"/>
        <v>1878.1000000000001</v>
      </c>
      <c r="T66" s="809">
        <f t="shared" si="19"/>
        <v>3147.2000000000003</v>
      </c>
      <c r="U66" s="809">
        <f t="shared" si="20"/>
        <v>2625</v>
      </c>
      <c r="V66" s="809">
        <f t="shared" si="21"/>
        <v>3374</v>
      </c>
      <c r="W66" s="816">
        <f t="shared" si="39"/>
        <v>42319</v>
      </c>
      <c r="X66" s="817">
        <f t="shared" si="22"/>
        <v>895.37672222222329</v>
      </c>
      <c r="Y66" s="460">
        <v>2674.27869508493</v>
      </c>
      <c r="Z66" s="818">
        <f t="shared" si="23"/>
        <v>895.37672222222329</v>
      </c>
      <c r="AA66" s="817">
        <f t="shared" si="4"/>
        <v>1500.415111111113</v>
      </c>
      <c r="AB66" s="460">
        <v>2396.9301605233682</v>
      </c>
      <c r="AC66" s="818">
        <f t="shared" si="24"/>
        <v>1500.415111111113</v>
      </c>
      <c r="AD66" s="817">
        <f t="shared" si="25"/>
        <v>2000.833333333333</v>
      </c>
      <c r="AE66" s="460">
        <v>882.46525304684178</v>
      </c>
      <c r="AF66" s="818">
        <f t="shared" si="26"/>
        <v>882.46525304684178</v>
      </c>
      <c r="AG66" s="817">
        <f t="shared" si="5"/>
        <v>1255.8316091953866</v>
      </c>
      <c r="AH66" s="460">
        <v>2959.420334439531</v>
      </c>
      <c r="AI66" s="818">
        <f t="shared" si="27"/>
        <v>1255.8316091953866</v>
      </c>
      <c r="AJ66" s="824"/>
      <c r="AK66" s="826">
        <f t="shared" si="28"/>
        <v>3.3372222222222261</v>
      </c>
      <c r="AL66" s="458">
        <f t="shared" si="29"/>
        <v>9.9674942045655222</v>
      </c>
      <c r="AM66" s="827">
        <f t="shared" si="30"/>
        <v>3.3372222222222261</v>
      </c>
      <c r="AN66" s="836">
        <f t="shared" si="31"/>
        <v>0</v>
      </c>
      <c r="AO66" s="826">
        <f t="shared" si="32"/>
        <v>3.3372222222222261</v>
      </c>
      <c r="AP66" s="458">
        <f t="shared" si="48"/>
        <v>5.3312503570359615</v>
      </c>
      <c r="AQ66" s="827">
        <f t="shared" si="49"/>
        <v>3.3372222222222261</v>
      </c>
      <c r="AR66" s="836">
        <f t="shared" si="35"/>
        <v>0</v>
      </c>
      <c r="AS66" s="826">
        <f t="shared" si="42"/>
        <v>10.671111111111109</v>
      </c>
      <c r="AT66" s="458">
        <f t="shared" si="43"/>
        <v>4.7064813495831563</v>
      </c>
      <c r="AU66" s="827">
        <f t="shared" si="44"/>
        <v>4.7064813495831563</v>
      </c>
      <c r="AV66" s="836">
        <f t="shared" si="36"/>
        <v>5.9646297615279531</v>
      </c>
      <c r="AW66" s="826">
        <f t="shared" si="45"/>
        <v>5.2109195402298196</v>
      </c>
      <c r="AX66" s="458">
        <f t="shared" si="46"/>
        <v>12.279752425060295</v>
      </c>
      <c r="AY66" s="827">
        <f t="shared" si="47"/>
        <v>5.2109195402298196</v>
      </c>
      <c r="AZ66" s="836">
        <f t="shared" si="37"/>
        <v>0</v>
      </c>
    </row>
    <row r="67" spans="1:52">
      <c r="A67" s="787">
        <f t="shared" si="38"/>
        <v>42320</v>
      </c>
      <c r="B67" s="786">
        <v>0</v>
      </c>
      <c r="C67" s="802">
        <v>3.6627777777777744</v>
      </c>
      <c r="D67" s="802">
        <f t="shared" si="50"/>
        <v>3.6627777777777744</v>
      </c>
      <c r="E67" s="803">
        <f t="shared" si="51"/>
        <v>3.3288888888888906</v>
      </c>
      <c r="F67" s="801">
        <f t="shared" ref="F67:F96" si="52">AVERAGE(B$67:B$96)</f>
        <v>3.013333333333335</v>
      </c>
      <c r="G67" s="829">
        <f t="shared" si="13"/>
        <v>-3.6627777777777744</v>
      </c>
      <c r="H67" s="829">
        <f t="shared" si="1"/>
        <v>-3.6627777777777744</v>
      </c>
      <c r="I67" s="829">
        <f t="shared" si="2"/>
        <v>-3.3288888888888906</v>
      </c>
      <c r="J67" s="829">
        <f t="shared" si="3"/>
        <v>-3.013333333333335</v>
      </c>
      <c r="K67" s="810">
        <f t="shared" si="14"/>
        <v>982.72327777777684</v>
      </c>
      <c r="L67" s="814">
        <f t="shared" si="15"/>
        <v>1646.7848888888873</v>
      </c>
      <c r="M67" s="810">
        <f t="shared" si="16"/>
        <v>624.16666666666697</v>
      </c>
      <c r="N67" s="812">
        <f t="shared" si="17"/>
        <v>726.21333333333371</v>
      </c>
      <c r="O67" s="806">
        <v>7</v>
      </c>
      <c r="P67" s="806">
        <v>7</v>
      </c>
      <c r="Q67" s="806">
        <v>14</v>
      </c>
      <c r="R67" s="806">
        <v>15</v>
      </c>
      <c r="S67" s="809">
        <f t="shared" si="18"/>
        <v>1878.1000000000001</v>
      </c>
      <c r="T67" s="809">
        <f t="shared" si="19"/>
        <v>3147.2000000000003</v>
      </c>
      <c r="U67" s="809">
        <f t="shared" si="20"/>
        <v>2625</v>
      </c>
      <c r="V67" s="809">
        <f t="shared" si="21"/>
        <v>3615</v>
      </c>
      <c r="W67" s="816">
        <f t="shared" si="39"/>
        <v>42320</v>
      </c>
      <c r="X67" s="817">
        <f t="shared" si="22"/>
        <v>895.37672222222329</v>
      </c>
      <c r="Y67" s="460">
        <v>2608.9466496960995</v>
      </c>
      <c r="Z67" s="818">
        <f t="shared" si="23"/>
        <v>895.37672222222329</v>
      </c>
      <c r="AA67" s="817">
        <f t="shared" si="4"/>
        <v>1500.415111111113</v>
      </c>
      <c r="AB67" s="460">
        <v>2299.2246345682497</v>
      </c>
      <c r="AC67" s="818">
        <f t="shared" si="24"/>
        <v>1500.415111111113</v>
      </c>
      <c r="AD67" s="817">
        <f t="shared" si="25"/>
        <v>2000.833333333333</v>
      </c>
      <c r="AE67" s="460">
        <v>859.2092254656917</v>
      </c>
      <c r="AF67" s="818">
        <f t="shared" si="26"/>
        <v>859.2092254656917</v>
      </c>
      <c r="AG67" s="817">
        <f t="shared" si="5"/>
        <v>2888.7866666666664</v>
      </c>
      <c r="AH67" s="460">
        <v>2843.134144698457</v>
      </c>
      <c r="AI67" s="818">
        <f t="shared" si="27"/>
        <v>2843.134144698457</v>
      </c>
      <c r="AJ67" s="824"/>
      <c r="AK67" s="826">
        <f t="shared" si="28"/>
        <v>3.3372222222222261</v>
      </c>
      <c r="AL67" s="458">
        <f t="shared" si="29"/>
        <v>9.7239904945810629</v>
      </c>
      <c r="AM67" s="827">
        <f t="shared" si="30"/>
        <v>3.3372222222222261</v>
      </c>
      <c r="AN67" s="836">
        <f t="shared" si="31"/>
        <v>0</v>
      </c>
      <c r="AO67" s="826">
        <f t="shared" si="32"/>
        <v>3.3372222222222261</v>
      </c>
      <c r="AP67" s="458">
        <f t="shared" si="48"/>
        <v>5.1139337957478865</v>
      </c>
      <c r="AQ67" s="827">
        <f t="shared" si="49"/>
        <v>3.3372222222222261</v>
      </c>
      <c r="AR67" s="836">
        <f t="shared" si="35"/>
        <v>0</v>
      </c>
      <c r="AS67" s="826">
        <f t="shared" si="42"/>
        <v>10.671111111111109</v>
      </c>
      <c r="AT67" s="458">
        <f t="shared" si="43"/>
        <v>4.5824492024836889</v>
      </c>
      <c r="AU67" s="827">
        <f t="shared" si="44"/>
        <v>4.5824492024836889</v>
      </c>
      <c r="AV67" s="836">
        <f t="shared" si="36"/>
        <v>6.0886619086274205</v>
      </c>
      <c r="AW67" s="826">
        <f t="shared" si="45"/>
        <v>11.986666666666666</v>
      </c>
      <c r="AX67" s="458">
        <f t="shared" si="46"/>
        <v>11.797237114931356</v>
      </c>
      <c r="AY67" s="827">
        <f t="shared" si="47"/>
        <v>11.797237114931356</v>
      </c>
      <c r="AZ67" s="836">
        <f t="shared" si="37"/>
        <v>0.1894295517353104</v>
      </c>
    </row>
    <row r="68" spans="1:52">
      <c r="A68" s="787">
        <f t="shared" si="38"/>
        <v>42321</v>
      </c>
      <c r="B68" s="786">
        <v>0</v>
      </c>
      <c r="C68" s="802">
        <v>3.6627777777777744</v>
      </c>
      <c r="D68" s="802">
        <f t="shared" si="50"/>
        <v>3.6627777777777744</v>
      </c>
      <c r="E68" s="803">
        <f t="shared" si="51"/>
        <v>3.3288888888888906</v>
      </c>
      <c r="F68" s="801">
        <f t="shared" si="52"/>
        <v>3.013333333333335</v>
      </c>
      <c r="G68" s="829">
        <f t="shared" si="13"/>
        <v>-3.6627777777777744</v>
      </c>
      <c r="H68" s="829">
        <f t="shared" si="1"/>
        <v>-3.6627777777777744</v>
      </c>
      <c r="I68" s="829">
        <f t="shared" si="2"/>
        <v>-3.3288888888888906</v>
      </c>
      <c r="J68" s="829">
        <f t="shared" si="3"/>
        <v>-3.013333333333335</v>
      </c>
      <c r="K68" s="810">
        <f t="shared" si="14"/>
        <v>982.72327777777684</v>
      </c>
      <c r="L68" s="814">
        <f t="shared" si="15"/>
        <v>1646.7848888888873</v>
      </c>
      <c r="M68" s="810">
        <f t="shared" si="16"/>
        <v>624.16666666666697</v>
      </c>
      <c r="N68" s="812">
        <f t="shared" si="17"/>
        <v>726.21333333333371</v>
      </c>
      <c r="O68" s="806">
        <v>7</v>
      </c>
      <c r="P68" s="806">
        <v>7</v>
      </c>
      <c r="Q68" s="806">
        <v>14</v>
      </c>
      <c r="R68" s="806">
        <v>15</v>
      </c>
      <c r="S68" s="809">
        <f t="shared" si="18"/>
        <v>1878.1000000000001</v>
      </c>
      <c r="T68" s="809">
        <f t="shared" si="19"/>
        <v>3147.2000000000003</v>
      </c>
      <c r="U68" s="809">
        <f t="shared" si="20"/>
        <v>2625</v>
      </c>
      <c r="V68" s="809">
        <f t="shared" si="21"/>
        <v>3615</v>
      </c>
      <c r="W68" s="816">
        <f t="shared" si="39"/>
        <v>42321</v>
      </c>
      <c r="X68" s="817">
        <f t="shared" si="22"/>
        <v>895.37672222222329</v>
      </c>
      <c r="Y68" s="460">
        <v>2546.4448576398609</v>
      </c>
      <c r="Z68" s="818">
        <f t="shared" si="23"/>
        <v>895.37672222222329</v>
      </c>
      <c r="AA68" s="817">
        <f t="shared" si="4"/>
        <v>1500.415111111113</v>
      </c>
      <c r="AB68" s="460">
        <v>2195.6772303859502</v>
      </c>
      <c r="AC68" s="818">
        <f t="shared" si="24"/>
        <v>1500.415111111113</v>
      </c>
      <c r="AD68" s="817">
        <f t="shared" si="25"/>
        <v>2000.833333333333</v>
      </c>
      <c r="AE68" s="460">
        <v>836.235002572045</v>
      </c>
      <c r="AF68" s="818">
        <f t="shared" si="26"/>
        <v>836.235002572045</v>
      </c>
      <c r="AG68" s="817">
        <f t="shared" si="5"/>
        <v>2888.7866666666664</v>
      </c>
      <c r="AH68" s="460">
        <v>2702.3350320258619</v>
      </c>
      <c r="AI68" s="818">
        <f t="shared" si="27"/>
        <v>2702.3350320258619</v>
      </c>
      <c r="AJ68" s="824"/>
      <c r="AK68" s="826">
        <f t="shared" si="28"/>
        <v>3.3372222222222261</v>
      </c>
      <c r="AL68" s="458">
        <f t="shared" si="29"/>
        <v>9.4910356229588544</v>
      </c>
      <c r="AM68" s="827">
        <f t="shared" si="30"/>
        <v>3.3372222222222261</v>
      </c>
      <c r="AN68" s="836">
        <f t="shared" si="31"/>
        <v>0</v>
      </c>
      <c r="AO68" s="826">
        <f t="shared" si="32"/>
        <v>3.3372222222222261</v>
      </c>
      <c r="AP68" s="458">
        <f t="shared" si="48"/>
        <v>4.8836237330648355</v>
      </c>
      <c r="AQ68" s="827">
        <f t="shared" si="49"/>
        <v>3.3372222222222261</v>
      </c>
      <c r="AR68" s="836">
        <f t="shared" si="35"/>
        <v>0</v>
      </c>
      <c r="AS68" s="826">
        <f t="shared" si="42"/>
        <v>10.671111111111109</v>
      </c>
      <c r="AT68" s="458">
        <f t="shared" si="43"/>
        <v>4.4599200137175732</v>
      </c>
      <c r="AU68" s="827">
        <f t="shared" si="44"/>
        <v>4.4599200137175732</v>
      </c>
      <c r="AV68" s="836">
        <f t="shared" si="36"/>
        <v>6.2111910973935363</v>
      </c>
      <c r="AW68" s="826">
        <f t="shared" si="45"/>
        <v>11.986666666666666</v>
      </c>
      <c r="AX68" s="458">
        <f t="shared" si="46"/>
        <v>11.213008431642582</v>
      </c>
      <c r="AY68" s="827">
        <f t="shared" si="47"/>
        <v>11.213008431642582</v>
      </c>
      <c r="AZ68" s="836">
        <f t="shared" si="37"/>
        <v>0.77365823502408482</v>
      </c>
    </row>
    <row r="69" spans="1:52">
      <c r="A69" s="787">
        <f t="shared" si="38"/>
        <v>42322</v>
      </c>
      <c r="B69" s="786">
        <v>4</v>
      </c>
      <c r="C69" s="802">
        <v>3.6627777777777744</v>
      </c>
      <c r="D69" s="802">
        <f t="shared" si="50"/>
        <v>3.6627777777777744</v>
      </c>
      <c r="E69" s="803">
        <f t="shared" si="51"/>
        <v>3.3288888888888906</v>
      </c>
      <c r="F69" s="801">
        <f t="shared" si="52"/>
        <v>3.013333333333335</v>
      </c>
      <c r="G69" s="829">
        <f t="shared" si="13"/>
        <v>-3.6627777777777744</v>
      </c>
      <c r="H69" s="829">
        <f t="shared" si="1"/>
        <v>-3.6627777777777744</v>
      </c>
      <c r="I69" s="829">
        <f t="shared" si="2"/>
        <v>-3.3288888888888906</v>
      </c>
      <c r="J69" s="829">
        <f t="shared" si="3"/>
        <v>-3.013333333333335</v>
      </c>
      <c r="K69" s="810">
        <f t="shared" si="14"/>
        <v>982.72327777777684</v>
      </c>
      <c r="L69" s="814">
        <f t="shared" si="15"/>
        <v>1646.7848888888873</v>
      </c>
      <c r="M69" s="810">
        <f t="shared" si="16"/>
        <v>624.16666666666697</v>
      </c>
      <c r="N69" s="812">
        <f t="shared" si="17"/>
        <v>726.21333333333371</v>
      </c>
      <c r="O69" s="806">
        <v>7</v>
      </c>
      <c r="P69" s="806">
        <v>7</v>
      </c>
      <c r="Q69" s="806">
        <v>14</v>
      </c>
      <c r="R69" s="806">
        <v>15</v>
      </c>
      <c r="S69" s="809">
        <f t="shared" si="18"/>
        <v>1878.1000000000001</v>
      </c>
      <c r="T69" s="809">
        <f t="shared" si="19"/>
        <v>3147.2000000000003</v>
      </c>
      <c r="U69" s="809">
        <f t="shared" si="20"/>
        <v>2625</v>
      </c>
      <c r="V69" s="809">
        <f t="shared" si="21"/>
        <v>3615</v>
      </c>
      <c r="W69" s="816">
        <f t="shared" si="39"/>
        <v>42322</v>
      </c>
      <c r="X69" s="817">
        <f t="shared" si="22"/>
        <v>895.37672222222329</v>
      </c>
      <c r="Y69" s="460">
        <v>2489.326053537367</v>
      </c>
      <c r="Z69" s="818">
        <f t="shared" si="23"/>
        <v>895.37672222222329</v>
      </c>
      <c r="AA69" s="817">
        <f t="shared" si="4"/>
        <v>1500.415111111113</v>
      </c>
      <c r="AB69" s="460">
        <v>2094.3697109267555</v>
      </c>
      <c r="AC69" s="818">
        <f t="shared" si="24"/>
        <v>1500.415111111113</v>
      </c>
      <c r="AD69" s="817">
        <f t="shared" si="25"/>
        <v>2000.833333333333</v>
      </c>
      <c r="AE69" s="460">
        <v>817.05545316792472</v>
      </c>
      <c r="AF69" s="818">
        <f t="shared" si="26"/>
        <v>817.05545316792472</v>
      </c>
      <c r="AG69" s="817">
        <f t="shared" si="5"/>
        <v>2888.7866666666664</v>
      </c>
      <c r="AH69" s="460">
        <v>2617.6146145096814</v>
      </c>
      <c r="AI69" s="818">
        <f t="shared" si="27"/>
        <v>2617.6146145096814</v>
      </c>
      <c r="AJ69" s="824"/>
      <c r="AK69" s="826">
        <f t="shared" si="28"/>
        <v>3.3372222222222261</v>
      </c>
      <c r="AL69" s="458">
        <f t="shared" si="29"/>
        <v>9.2781440683465046</v>
      </c>
      <c r="AM69" s="827">
        <f t="shared" si="30"/>
        <v>3.3372222222222261</v>
      </c>
      <c r="AN69" s="836">
        <f t="shared" si="31"/>
        <v>0</v>
      </c>
      <c r="AO69" s="826">
        <f t="shared" si="32"/>
        <v>3.3372222222222261</v>
      </c>
      <c r="AP69" s="458">
        <f t="shared" si="48"/>
        <v>4.6582956203886905</v>
      </c>
      <c r="AQ69" s="827">
        <f t="shared" si="49"/>
        <v>3.3372222222222261</v>
      </c>
      <c r="AR69" s="836">
        <f t="shared" si="35"/>
        <v>0</v>
      </c>
      <c r="AS69" s="826">
        <f t="shared" si="42"/>
        <v>10.671111111111109</v>
      </c>
      <c r="AT69" s="458">
        <f t="shared" si="43"/>
        <v>4.3576290835622657</v>
      </c>
      <c r="AU69" s="827">
        <f t="shared" si="44"/>
        <v>4.3576290835622657</v>
      </c>
      <c r="AV69" s="836">
        <f t="shared" si="36"/>
        <v>6.3134820275488437</v>
      </c>
      <c r="AW69" s="826">
        <f t="shared" si="45"/>
        <v>11.986666666666666</v>
      </c>
      <c r="AX69" s="458">
        <f t="shared" si="46"/>
        <v>10.861471429500751</v>
      </c>
      <c r="AY69" s="827">
        <f t="shared" si="47"/>
        <v>10.861471429500751</v>
      </c>
      <c r="AZ69" s="836">
        <f t="shared" si="37"/>
        <v>1.1251952371659151</v>
      </c>
    </row>
    <row r="70" spans="1:52">
      <c r="A70" s="787">
        <f t="shared" si="38"/>
        <v>42323</v>
      </c>
      <c r="B70" s="786">
        <v>0</v>
      </c>
      <c r="C70" s="802">
        <v>3.6627777777777744</v>
      </c>
      <c r="D70" s="802">
        <f t="shared" si="50"/>
        <v>3.6627777777777744</v>
      </c>
      <c r="E70" s="803">
        <f t="shared" si="51"/>
        <v>3.3288888888888906</v>
      </c>
      <c r="F70" s="801">
        <f t="shared" si="52"/>
        <v>3.013333333333335</v>
      </c>
      <c r="G70" s="829">
        <f t="shared" si="13"/>
        <v>-3.6627777777777744</v>
      </c>
      <c r="H70" s="829">
        <f t="shared" si="1"/>
        <v>-3.6627777777777744</v>
      </c>
      <c r="I70" s="829">
        <f t="shared" si="2"/>
        <v>-3.3288888888888906</v>
      </c>
      <c r="J70" s="829">
        <f t="shared" si="3"/>
        <v>-3.013333333333335</v>
      </c>
      <c r="K70" s="810">
        <f t="shared" si="14"/>
        <v>982.72327777777684</v>
      </c>
      <c r="L70" s="814">
        <f t="shared" si="15"/>
        <v>1646.7848888888873</v>
      </c>
      <c r="M70" s="810">
        <f t="shared" si="16"/>
        <v>624.16666666666697</v>
      </c>
      <c r="N70" s="812">
        <f t="shared" si="17"/>
        <v>726.21333333333371</v>
      </c>
      <c r="O70" s="806">
        <v>7</v>
      </c>
      <c r="P70" s="806">
        <v>7</v>
      </c>
      <c r="Q70" s="806">
        <v>14</v>
      </c>
      <c r="R70" s="806">
        <v>15</v>
      </c>
      <c r="S70" s="809">
        <f t="shared" si="18"/>
        <v>1878.1000000000001</v>
      </c>
      <c r="T70" s="809">
        <f t="shared" si="19"/>
        <v>3147.2000000000003</v>
      </c>
      <c r="U70" s="809">
        <f t="shared" si="20"/>
        <v>2625</v>
      </c>
      <c r="V70" s="809">
        <f t="shared" si="21"/>
        <v>3615</v>
      </c>
      <c r="W70" s="816">
        <f t="shared" si="39"/>
        <v>42323</v>
      </c>
      <c r="X70" s="817">
        <f t="shared" si="22"/>
        <v>895.37672222222329</v>
      </c>
      <c r="Y70" s="460">
        <v>2431.7823611774234</v>
      </c>
      <c r="Z70" s="818">
        <f t="shared" si="23"/>
        <v>895.37672222222329</v>
      </c>
      <c r="AA70" s="817">
        <f t="shared" si="4"/>
        <v>1500.415111111113</v>
      </c>
      <c r="AB70" s="460">
        <v>1983.6728270903791</v>
      </c>
      <c r="AC70" s="818">
        <f t="shared" si="24"/>
        <v>1500.415111111113</v>
      </c>
      <c r="AD70" s="817">
        <f t="shared" si="25"/>
        <v>2000.833333333333</v>
      </c>
      <c r="AE70" s="460">
        <v>798.7779194050097</v>
      </c>
      <c r="AF70" s="818">
        <f t="shared" si="26"/>
        <v>798.7779194050097</v>
      </c>
      <c r="AG70" s="817">
        <f t="shared" si="5"/>
        <v>2888.7866666666664</v>
      </c>
      <c r="AH70" s="460">
        <v>2538.04430625331</v>
      </c>
      <c r="AI70" s="818">
        <f t="shared" si="27"/>
        <v>2538.04430625331</v>
      </c>
      <c r="AJ70" s="824"/>
      <c r="AK70" s="826">
        <f t="shared" si="28"/>
        <v>3.3372222222222261</v>
      </c>
      <c r="AL70" s="458">
        <f t="shared" si="29"/>
        <v>9.0636688825099654</v>
      </c>
      <c r="AM70" s="827">
        <f t="shared" si="30"/>
        <v>3.3372222222222261</v>
      </c>
      <c r="AN70" s="836">
        <f t="shared" si="31"/>
        <v>0</v>
      </c>
      <c r="AO70" s="826">
        <f t="shared" si="32"/>
        <v>3.3372222222222261</v>
      </c>
      <c r="AP70" s="458">
        <f t="shared" si="48"/>
        <v>4.4120836901476403</v>
      </c>
      <c r="AQ70" s="827">
        <f t="shared" si="49"/>
        <v>3.3372222222222261</v>
      </c>
      <c r="AR70" s="836">
        <f t="shared" si="35"/>
        <v>0</v>
      </c>
      <c r="AS70" s="826">
        <f t="shared" si="42"/>
        <v>10.671111111111109</v>
      </c>
      <c r="AT70" s="458">
        <f t="shared" si="43"/>
        <v>4.260148903493385</v>
      </c>
      <c r="AU70" s="827">
        <f t="shared" si="44"/>
        <v>4.260148903493385</v>
      </c>
      <c r="AV70" s="836">
        <f t="shared" si="36"/>
        <v>6.4109622076177244</v>
      </c>
      <c r="AW70" s="826">
        <f t="shared" si="45"/>
        <v>11.986666666666666</v>
      </c>
      <c r="AX70" s="458">
        <f t="shared" si="46"/>
        <v>10.531304175324937</v>
      </c>
      <c r="AY70" s="827">
        <f t="shared" si="47"/>
        <v>10.531304175324937</v>
      </c>
      <c r="AZ70" s="836">
        <f t="shared" si="37"/>
        <v>1.4553624913417291</v>
      </c>
    </row>
    <row r="71" spans="1:52">
      <c r="A71" s="787">
        <f t="shared" si="38"/>
        <v>42324</v>
      </c>
      <c r="B71" s="786">
        <v>0</v>
      </c>
      <c r="C71" s="802">
        <v>3.6627777777777744</v>
      </c>
      <c r="D71" s="802">
        <f t="shared" si="50"/>
        <v>3.6627777777777744</v>
      </c>
      <c r="E71" s="803">
        <f t="shared" si="51"/>
        <v>3.3288888888888906</v>
      </c>
      <c r="F71" s="801">
        <f t="shared" si="52"/>
        <v>3.013333333333335</v>
      </c>
      <c r="G71" s="829">
        <f t="shared" si="13"/>
        <v>-3.6627777777777744</v>
      </c>
      <c r="H71" s="829">
        <f t="shared" ref="H71:H134" si="53">-D71</f>
        <v>-3.6627777777777744</v>
      </c>
      <c r="I71" s="829">
        <f t="shared" ref="I71:I134" si="54">-E71</f>
        <v>-3.3288888888888906</v>
      </c>
      <c r="J71" s="829">
        <f t="shared" ref="J71:J134" si="55">-F71</f>
        <v>-3.013333333333335</v>
      </c>
      <c r="K71" s="810">
        <f t="shared" si="14"/>
        <v>982.72327777777684</v>
      </c>
      <c r="L71" s="814">
        <f t="shared" si="15"/>
        <v>1646.7848888888873</v>
      </c>
      <c r="M71" s="810">
        <f t="shared" si="16"/>
        <v>624.16666666666697</v>
      </c>
      <c r="N71" s="812">
        <f t="shared" si="17"/>
        <v>726.21333333333371</v>
      </c>
      <c r="O71" s="806">
        <v>7</v>
      </c>
      <c r="P71" s="806">
        <v>7</v>
      </c>
      <c r="Q71" s="806">
        <v>14</v>
      </c>
      <c r="R71" s="806">
        <v>15</v>
      </c>
      <c r="S71" s="809">
        <f t="shared" si="18"/>
        <v>1878.1000000000001</v>
      </c>
      <c r="T71" s="809">
        <f t="shared" si="19"/>
        <v>3147.2000000000003</v>
      </c>
      <c r="U71" s="809">
        <f t="shared" si="20"/>
        <v>2625</v>
      </c>
      <c r="V71" s="809">
        <f t="shared" si="21"/>
        <v>3615</v>
      </c>
      <c r="W71" s="816">
        <f t="shared" si="39"/>
        <v>42324</v>
      </c>
      <c r="X71" s="817">
        <f t="shared" si="22"/>
        <v>895.37672222222329</v>
      </c>
      <c r="Y71" s="460">
        <v>2358.6658759200773</v>
      </c>
      <c r="Z71" s="818">
        <f t="shared" si="23"/>
        <v>895.37672222222329</v>
      </c>
      <c r="AA71" s="817">
        <f t="shared" ref="AA71:AA134" si="56">IF((T71-L71)&gt;0,(T71-L71),0)</f>
        <v>1500.415111111113</v>
      </c>
      <c r="AB71" s="460">
        <v>1865.8220276137465</v>
      </c>
      <c r="AC71" s="818">
        <f t="shared" si="24"/>
        <v>1500.415111111113</v>
      </c>
      <c r="AD71" s="817">
        <f t="shared" si="25"/>
        <v>2000.833333333333</v>
      </c>
      <c r="AE71" s="460">
        <v>777.17763739554493</v>
      </c>
      <c r="AF71" s="818">
        <f t="shared" si="26"/>
        <v>777.17763739554493</v>
      </c>
      <c r="AG71" s="817">
        <f t="shared" ref="AG71:AG134" si="57">IF((V71-N71)&gt;0,(V71-N71),0)</f>
        <v>2888.7866666666664</v>
      </c>
      <c r="AH71" s="460">
        <v>2429.4551841308639</v>
      </c>
      <c r="AI71" s="818">
        <f t="shared" si="27"/>
        <v>2429.4551841308639</v>
      </c>
      <c r="AJ71" s="824"/>
      <c r="AK71" s="826">
        <f t="shared" si="28"/>
        <v>3.3372222222222261</v>
      </c>
      <c r="AL71" s="458">
        <f t="shared" si="29"/>
        <v>8.7911512333957411</v>
      </c>
      <c r="AM71" s="827">
        <f t="shared" si="30"/>
        <v>3.3372222222222261</v>
      </c>
      <c r="AN71" s="836">
        <f t="shared" si="31"/>
        <v>0</v>
      </c>
      <c r="AO71" s="826">
        <f t="shared" si="32"/>
        <v>3.3372222222222261</v>
      </c>
      <c r="AP71" s="458">
        <f t="shared" si="48"/>
        <v>4.1499600258312874</v>
      </c>
      <c r="AQ71" s="827">
        <f t="shared" si="49"/>
        <v>3.3372222222222261</v>
      </c>
      <c r="AR71" s="836">
        <f t="shared" si="35"/>
        <v>0</v>
      </c>
      <c r="AS71" s="826">
        <f t="shared" ref="AS71:AS102" si="58">AD71/$C$3*1000</f>
        <v>10.671111111111109</v>
      </c>
      <c r="AT71" s="458">
        <f t="shared" ref="AT71:AT102" si="59">AE71/$C$3*1000</f>
        <v>4.1449473994429065</v>
      </c>
      <c r="AU71" s="827">
        <f t="shared" ref="AU71:AU102" si="60">AF71/$C$3*1000</f>
        <v>4.1449473994429065</v>
      </c>
      <c r="AV71" s="836">
        <f t="shared" si="36"/>
        <v>6.526163711668203</v>
      </c>
      <c r="AW71" s="826">
        <f t="shared" ref="AW71:AW107" si="61">AG71/$C$4*1000</f>
        <v>11.986666666666666</v>
      </c>
      <c r="AX71" s="458">
        <f t="shared" ref="AX71:AX107" si="62">AH71/$C$4*1000</f>
        <v>10.080726905107319</v>
      </c>
      <c r="AY71" s="827">
        <f t="shared" ref="AY71:AY107" si="63">AI71/$C$4*1000</f>
        <v>10.080726905107319</v>
      </c>
      <c r="AZ71" s="836">
        <f t="shared" si="37"/>
        <v>1.9059397615593472</v>
      </c>
    </row>
    <row r="72" spans="1:52">
      <c r="A72" s="787">
        <f t="shared" si="38"/>
        <v>42325</v>
      </c>
      <c r="B72" s="786">
        <v>0.05</v>
      </c>
      <c r="C72" s="803">
        <v>2.8966666666666683</v>
      </c>
      <c r="D72" s="803">
        <f t="shared" ref="D72:D101" si="64">AVERAGE(B$72:B$101)</f>
        <v>2.8966666666666683</v>
      </c>
      <c r="E72" s="803">
        <f t="shared" si="51"/>
        <v>3.3288888888888906</v>
      </c>
      <c r="F72" s="801">
        <f t="shared" si="52"/>
        <v>3.013333333333335</v>
      </c>
      <c r="G72" s="829">
        <f t="shared" ref="G72:G135" si="65">-C72</f>
        <v>-2.8966666666666683</v>
      </c>
      <c r="H72" s="829">
        <f t="shared" si="53"/>
        <v>-2.8966666666666683</v>
      </c>
      <c r="I72" s="829">
        <f t="shared" si="54"/>
        <v>-3.3288888888888906</v>
      </c>
      <c r="J72" s="829">
        <f t="shared" si="55"/>
        <v>-3.013333333333335</v>
      </c>
      <c r="K72" s="810">
        <f t="shared" ref="K72:K135" si="66">C72/1000*C$1</f>
        <v>777.1756666666671</v>
      </c>
      <c r="L72" s="814">
        <f t="shared" ref="L72:L135" si="67">D72/1000*C$2</f>
        <v>1302.3413333333342</v>
      </c>
      <c r="M72" s="810">
        <f t="shared" ref="M72:M135" si="68">E72/1000*C$3</f>
        <v>624.16666666666697</v>
      </c>
      <c r="N72" s="812">
        <f t="shared" ref="N72:N135" si="69">F72/1000*C$4</f>
        <v>726.21333333333371</v>
      </c>
      <c r="O72" s="806">
        <v>7</v>
      </c>
      <c r="P72" s="806">
        <v>7</v>
      </c>
      <c r="Q72" s="806">
        <v>14</v>
      </c>
      <c r="R72" s="806">
        <v>15</v>
      </c>
      <c r="S72" s="809">
        <f t="shared" ref="S72:S126" si="70">O72/1000*C$1</f>
        <v>1878.1000000000001</v>
      </c>
      <c r="T72" s="809">
        <f t="shared" ref="T72:T126" si="71">P72/1000*C$2</f>
        <v>3147.2000000000003</v>
      </c>
      <c r="U72" s="809">
        <f t="shared" ref="U72:U126" si="72">Q72/1000*C$3</f>
        <v>2625</v>
      </c>
      <c r="V72" s="809">
        <f t="shared" ref="V72:V126" si="73">R72/1000*C$4</f>
        <v>3615</v>
      </c>
      <c r="W72" s="816">
        <f t="shared" si="39"/>
        <v>42325</v>
      </c>
      <c r="X72" s="817">
        <f t="shared" ref="X72:X135" si="74">IF((S72-K72)&gt;0,(S72-K72),0)</f>
        <v>1100.9243333333329</v>
      </c>
      <c r="Y72" s="460">
        <v>2281.0333003745618</v>
      </c>
      <c r="Z72" s="818">
        <f t="shared" ref="Z72:Z135" si="75">IF(Y72&gt;X72,X72,Y72)</f>
        <v>1100.9243333333329</v>
      </c>
      <c r="AA72" s="817">
        <f t="shared" si="56"/>
        <v>1844.8586666666661</v>
      </c>
      <c r="AB72" s="460">
        <v>1742.9895402840298</v>
      </c>
      <c r="AC72" s="818">
        <f t="shared" ref="AC72:AC135" si="76">IF(AB72&gt;AA72,AA72,AB72)</f>
        <v>1742.9895402840298</v>
      </c>
      <c r="AD72" s="817">
        <f t="shared" ref="AD72:AD135" si="77">IF((U72-M72)&gt;0,(U72-M72),0)</f>
        <v>2000.833333333333</v>
      </c>
      <c r="AE72" s="460">
        <v>753.53289263946021</v>
      </c>
      <c r="AF72" s="818">
        <f t="shared" ref="AF72:AF135" si="78">IF(AE72&gt;AD72,AD72,AE72)</f>
        <v>753.53289263946021</v>
      </c>
      <c r="AG72" s="817">
        <f t="shared" si="57"/>
        <v>2888.7866666666664</v>
      </c>
      <c r="AH72" s="460">
        <v>2283.1265935479892</v>
      </c>
      <c r="AI72" s="818">
        <f t="shared" ref="AI72:AI135" si="79">IF(AH72&gt;AG72,AG72,AH72)</f>
        <v>2283.1265935479892</v>
      </c>
      <c r="AJ72" s="824"/>
      <c r="AK72" s="826">
        <f t="shared" ref="AK72:AK135" si="80">X72/$C$1*1000</f>
        <v>4.1033333333333317</v>
      </c>
      <c r="AL72" s="458">
        <f t="shared" ref="AL72:AL135" si="81">Y72/$C$1*1000</f>
        <v>8.5018013431776449</v>
      </c>
      <c r="AM72" s="827">
        <f t="shared" ref="AM72:AM135" si="82">Z72/$C$1*1000</f>
        <v>4.1033333333333317</v>
      </c>
      <c r="AN72" s="836">
        <f t="shared" ref="AN72:AN135" si="83">AK72-AM72</f>
        <v>0</v>
      </c>
      <c r="AO72" s="826">
        <f t="shared" ref="AO72:AO135" si="84">AA72/$C$2*1000</f>
        <v>4.1033333333333317</v>
      </c>
      <c r="AP72" s="458">
        <f t="shared" ref="AP72:AP103" si="85">AB72/$C$2*1000</f>
        <v>3.8767560949377886</v>
      </c>
      <c r="AQ72" s="827">
        <f t="shared" ref="AQ72:AQ103" si="86">AC72/$C$2*1000</f>
        <v>3.8767560949377886</v>
      </c>
      <c r="AR72" s="836">
        <f t="shared" ref="AR72:AR135" si="87">AO72-AQ72</f>
        <v>0.22657723839554311</v>
      </c>
      <c r="AS72" s="826">
        <f t="shared" si="58"/>
        <v>10.671111111111109</v>
      </c>
      <c r="AT72" s="458">
        <f t="shared" si="59"/>
        <v>4.0188420940771206</v>
      </c>
      <c r="AU72" s="827">
        <f t="shared" si="60"/>
        <v>4.0188420940771206</v>
      </c>
      <c r="AV72" s="836">
        <f t="shared" ref="AV72:AV135" si="88">AS72-AU72</f>
        <v>6.6522690170339889</v>
      </c>
      <c r="AW72" s="826">
        <f t="shared" si="61"/>
        <v>11.986666666666666</v>
      </c>
      <c r="AX72" s="458">
        <f t="shared" si="62"/>
        <v>9.4735543300746432</v>
      </c>
      <c r="AY72" s="827">
        <f t="shared" si="63"/>
        <v>9.4735543300746432</v>
      </c>
      <c r="AZ72" s="836">
        <f t="shared" ref="AZ72:AZ135" si="89">AW72-AY72</f>
        <v>2.5131123365920232</v>
      </c>
    </row>
    <row r="73" spans="1:52">
      <c r="A73" s="787">
        <f t="shared" ref="A73:A107" si="90">A72+1</f>
        <v>42326</v>
      </c>
      <c r="B73" s="786">
        <v>63.600000000000051</v>
      </c>
      <c r="C73" s="803">
        <v>2.8966666666666683</v>
      </c>
      <c r="D73" s="803">
        <f t="shared" si="64"/>
        <v>2.8966666666666683</v>
      </c>
      <c r="E73" s="803">
        <f t="shared" si="51"/>
        <v>3.3288888888888906</v>
      </c>
      <c r="F73" s="801">
        <f t="shared" si="52"/>
        <v>3.013333333333335</v>
      </c>
      <c r="G73" s="829">
        <f t="shared" si="65"/>
        <v>-2.8966666666666683</v>
      </c>
      <c r="H73" s="829">
        <f t="shared" si="53"/>
        <v>-2.8966666666666683</v>
      </c>
      <c r="I73" s="829">
        <f t="shared" si="54"/>
        <v>-3.3288888888888906</v>
      </c>
      <c r="J73" s="829">
        <f t="shared" si="55"/>
        <v>-3.013333333333335</v>
      </c>
      <c r="K73" s="810">
        <f t="shared" si="66"/>
        <v>777.1756666666671</v>
      </c>
      <c r="L73" s="814">
        <f t="shared" si="67"/>
        <v>1302.3413333333342</v>
      </c>
      <c r="M73" s="810">
        <f t="shared" si="68"/>
        <v>624.16666666666697</v>
      </c>
      <c r="N73" s="812">
        <f t="shared" si="69"/>
        <v>726.21333333333371</v>
      </c>
      <c r="O73" s="806">
        <v>14</v>
      </c>
      <c r="P73" s="806">
        <v>14</v>
      </c>
      <c r="Q73" s="806">
        <v>14</v>
      </c>
      <c r="R73" s="806">
        <v>15</v>
      </c>
      <c r="S73" s="809">
        <f t="shared" si="70"/>
        <v>3756.2000000000003</v>
      </c>
      <c r="T73" s="809">
        <f t="shared" si="71"/>
        <v>6294.4000000000005</v>
      </c>
      <c r="U73" s="809">
        <f t="shared" si="72"/>
        <v>2625</v>
      </c>
      <c r="V73" s="809">
        <f t="shared" si="73"/>
        <v>3615</v>
      </c>
      <c r="W73" s="816">
        <f t="shared" ref="W73:W107" si="91">W72+1</f>
        <v>42326</v>
      </c>
      <c r="X73" s="817">
        <f t="shared" si="74"/>
        <v>2979.0243333333333</v>
      </c>
      <c r="Y73" s="460">
        <v>2266.4727712439599</v>
      </c>
      <c r="Z73" s="818">
        <f t="shared" si="75"/>
        <v>2266.4727712439599</v>
      </c>
      <c r="AA73" s="817">
        <f t="shared" si="56"/>
        <v>4992.0586666666659</v>
      </c>
      <c r="AB73" s="460">
        <v>2325.4910710803488</v>
      </c>
      <c r="AC73" s="818">
        <f t="shared" si="76"/>
        <v>2325.4910710803488</v>
      </c>
      <c r="AD73" s="817">
        <f t="shared" si="77"/>
        <v>2000.833333333333</v>
      </c>
      <c r="AE73" s="460">
        <v>775.47859066175761</v>
      </c>
      <c r="AF73" s="818">
        <f t="shared" si="78"/>
        <v>775.47859066175761</v>
      </c>
      <c r="AG73" s="817">
        <f t="shared" si="57"/>
        <v>2888.7866666666664</v>
      </c>
      <c r="AH73" s="460">
        <v>2350.8597143819115</v>
      </c>
      <c r="AI73" s="818">
        <f t="shared" si="79"/>
        <v>2350.8597143819115</v>
      </c>
      <c r="AJ73" s="824"/>
      <c r="AK73" s="826">
        <f t="shared" si="80"/>
        <v>11.103333333333333</v>
      </c>
      <c r="AL73" s="458">
        <f t="shared" si="81"/>
        <v>8.4475317601340283</v>
      </c>
      <c r="AM73" s="827">
        <f t="shared" si="82"/>
        <v>8.4475317601340283</v>
      </c>
      <c r="AN73" s="836">
        <f t="shared" si="83"/>
        <v>2.6558015731993052</v>
      </c>
      <c r="AO73" s="826">
        <f t="shared" si="84"/>
        <v>11.103333333333332</v>
      </c>
      <c r="AP73" s="458">
        <f t="shared" si="85"/>
        <v>5.1723555851431238</v>
      </c>
      <c r="AQ73" s="827">
        <f t="shared" si="86"/>
        <v>5.1723555851431238</v>
      </c>
      <c r="AR73" s="836">
        <f t="shared" si="87"/>
        <v>5.930977748190208</v>
      </c>
      <c r="AS73" s="826">
        <f t="shared" si="58"/>
        <v>10.671111111111109</v>
      </c>
      <c r="AT73" s="458">
        <f t="shared" si="59"/>
        <v>4.1358858168627073</v>
      </c>
      <c r="AU73" s="827">
        <f t="shared" si="60"/>
        <v>4.1358858168627073</v>
      </c>
      <c r="AV73" s="836">
        <f t="shared" si="88"/>
        <v>6.5352252942484022</v>
      </c>
      <c r="AW73" s="826">
        <f t="shared" si="61"/>
        <v>11.986666666666666</v>
      </c>
      <c r="AX73" s="458">
        <f t="shared" si="62"/>
        <v>9.7546046239913338</v>
      </c>
      <c r="AY73" s="827">
        <f t="shared" si="63"/>
        <v>9.7546046239913338</v>
      </c>
      <c r="AZ73" s="836">
        <f t="shared" si="89"/>
        <v>2.2320620426753326</v>
      </c>
    </row>
    <row r="74" spans="1:52">
      <c r="A74" s="787">
        <f t="shared" si="90"/>
        <v>42327</v>
      </c>
      <c r="B74" s="786">
        <v>0</v>
      </c>
      <c r="C74" s="803">
        <v>2.8966666666666683</v>
      </c>
      <c r="D74" s="803">
        <f t="shared" si="64"/>
        <v>2.8966666666666683</v>
      </c>
      <c r="E74" s="803">
        <f t="shared" si="51"/>
        <v>3.3288888888888906</v>
      </c>
      <c r="F74" s="801">
        <f t="shared" si="52"/>
        <v>3.013333333333335</v>
      </c>
      <c r="G74" s="829">
        <f t="shared" si="65"/>
        <v>-2.8966666666666683</v>
      </c>
      <c r="H74" s="829">
        <f t="shared" si="53"/>
        <v>-2.8966666666666683</v>
      </c>
      <c r="I74" s="829">
        <f t="shared" si="54"/>
        <v>-3.3288888888888906</v>
      </c>
      <c r="J74" s="829">
        <f t="shared" si="55"/>
        <v>-3.013333333333335</v>
      </c>
      <c r="K74" s="810">
        <f t="shared" si="66"/>
        <v>777.1756666666671</v>
      </c>
      <c r="L74" s="814">
        <f t="shared" si="67"/>
        <v>1302.3413333333342</v>
      </c>
      <c r="M74" s="810">
        <f t="shared" si="68"/>
        <v>624.16666666666697</v>
      </c>
      <c r="N74" s="812">
        <f t="shared" si="69"/>
        <v>726.21333333333371</v>
      </c>
      <c r="O74" s="806">
        <v>14</v>
      </c>
      <c r="P74" s="806">
        <v>14</v>
      </c>
      <c r="Q74" s="806">
        <v>14</v>
      </c>
      <c r="R74" s="806">
        <v>15</v>
      </c>
      <c r="S74" s="809">
        <f t="shared" si="70"/>
        <v>3756.2000000000003</v>
      </c>
      <c r="T74" s="809">
        <f t="shared" si="71"/>
        <v>6294.4000000000005</v>
      </c>
      <c r="U74" s="809">
        <f t="shared" si="72"/>
        <v>2625</v>
      </c>
      <c r="V74" s="809">
        <f t="shared" si="73"/>
        <v>3615</v>
      </c>
      <c r="W74" s="816">
        <f t="shared" si="91"/>
        <v>42327</v>
      </c>
      <c r="X74" s="817">
        <f t="shared" si="74"/>
        <v>2979.0243333333333</v>
      </c>
      <c r="Y74" s="460">
        <v>2314.5110587744875</v>
      </c>
      <c r="Z74" s="818">
        <f t="shared" si="75"/>
        <v>2314.5110587744875</v>
      </c>
      <c r="AA74" s="817">
        <f t="shared" si="56"/>
        <v>4992.0586666666659</v>
      </c>
      <c r="AB74" s="460">
        <v>3049.8329255133167</v>
      </c>
      <c r="AC74" s="818">
        <f t="shared" si="76"/>
        <v>3049.8329255133167</v>
      </c>
      <c r="AD74" s="817">
        <f t="shared" si="77"/>
        <v>2000.833333333333</v>
      </c>
      <c r="AE74" s="460">
        <v>1175.7905485590015</v>
      </c>
      <c r="AF74" s="818">
        <f t="shared" si="78"/>
        <v>1175.7905485590015</v>
      </c>
      <c r="AG74" s="817">
        <f t="shared" si="57"/>
        <v>2888.7866666666664</v>
      </c>
      <c r="AH74" s="460">
        <v>4174.9653923123306</v>
      </c>
      <c r="AI74" s="818">
        <f t="shared" si="79"/>
        <v>2888.7866666666664</v>
      </c>
      <c r="AJ74" s="824"/>
      <c r="AK74" s="826">
        <f t="shared" si="80"/>
        <v>11.103333333333333</v>
      </c>
      <c r="AL74" s="458">
        <f t="shared" si="81"/>
        <v>8.6265786760137448</v>
      </c>
      <c r="AM74" s="827">
        <f t="shared" si="82"/>
        <v>8.6265786760137448</v>
      </c>
      <c r="AN74" s="836">
        <f t="shared" si="83"/>
        <v>2.4767546573195887</v>
      </c>
      <c r="AO74" s="826">
        <f t="shared" si="84"/>
        <v>11.103333333333332</v>
      </c>
      <c r="AP74" s="458">
        <f t="shared" si="85"/>
        <v>6.7834362222271274</v>
      </c>
      <c r="AQ74" s="827">
        <f t="shared" si="86"/>
        <v>6.7834362222271274</v>
      </c>
      <c r="AR74" s="836">
        <f t="shared" si="87"/>
        <v>4.3198971111062043</v>
      </c>
      <c r="AS74" s="826">
        <f t="shared" si="58"/>
        <v>10.671111111111109</v>
      </c>
      <c r="AT74" s="458">
        <f t="shared" si="59"/>
        <v>6.2708829256480083</v>
      </c>
      <c r="AU74" s="827">
        <f t="shared" si="60"/>
        <v>6.2708829256480083</v>
      </c>
      <c r="AV74" s="836">
        <f t="shared" si="88"/>
        <v>4.4002281854631011</v>
      </c>
      <c r="AW74" s="826">
        <f t="shared" si="61"/>
        <v>11.986666666666666</v>
      </c>
      <c r="AX74" s="458">
        <f t="shared" si="62"/>
        <v>17.323507851918386</v>
      </c>
      <c r="AY74" s="827">
        <f t="shared" si="63"/>
        <v>11.986666666666666</v>
      </c>
      <c r="AZ74" s="836">
        <f t="shared" si="89"/>
        <v>0</v>
      </c>
    </row>
    <row r="75" spans="1:52">
      <c r="A75" s="787">
        <f t="shared" si="90"/>
        <v>42328</v>
      </c>
      <c r="B75" s="786">
        <v>0</v>
      </c>
      <c r="C75" s="803">
        <v>2.8966666666666683</v>
      </c>
      <c r="D75" s="803">
        <f t="shared" si="64"/>
        <v>2.8966666666666683</v>
      </c>
      <c r="E75" s="803">
        <f t="shared" si="51"/>
        <v>3.3288888888888906</v>
      </c>
      <c r="F75" s="801">
        <f t="shared" si="52"/>
        <v>3.013333333333335</v>
      </c>
      <c r="G75" s="829">
        <f t="shared" si="65"/>
        <v>-2.8966666666666683</v>
      </c>
      <c r="H75" s="829">
        <f t="shared" si="53"/>
        <v>-2.8966666666666683</v>
      </c>
      <c r="I75" s="829">
        <f t="shared" si="54"/>
        <v>-3.3288888888888906</v>
      </c>
      <c r="J75" s="829">
        <f t="shared" si="55"/>
        <v>-3.013333333333335</v>
      </c>
      <c r="K75" s="810">
        <f t="shared" si="66"/>
        <v>777.1756666666671</v>
      </c>
      <c r="L75" s="814">
        <f t="shared" si="67"/>
        <v>1302.3413333333342</v>
      </c>
      <c r="M75" s="810">
        <f t="shared" si="68"/>
        <v>624.16666666666697</v>
      </c>
      <c r="N75" s="812">
        <f t="shared" si="69"/>
        <v>726.21333333333371</v>
      </c>
      <c r="O75" s="806">
        <v>14</v>
      </c>
      <c r="P75" s="806">
        <v>14</v>
      </c>
      <c r="Q75" s="806">
        <v>14</v>
      </c>
      <c r="R75" s="806">
        <v>15</v>
      </c>
      <c r="S75" s="809">
        <f t="shared" si="70"/>
        <v>3756.2000000000003</v>
      </c>
      <c r="T75" s="809">
        <f t="shared" si="71"/>
        <v>6294.4000000000005</v>
      </c>
      <c r="U75" s="809">
        <f t="shared" si="72"/>
        <v>2625</v>
      </c>
      <c r="V75" s="809">
        <f t="shared" si="73"/>
        <v>3615</v>
      </c>
      <c r="W75" s="816">
        <f t="shared" si="91"/>
        <v>42328</v>
      </c>
      <c r="X75" s="817">
        <f t="shared" si="74"/>
        <v>2979.0243333333333</v>
      </c>
      <c r="Y75" s="460">
        <v>2239.9360847602529</v>
      </c>
      <c r="Z75" s="818">
        <f t="shared" si="75"/>
        <v>2239.9360847602529</v>
      </c>
      <c r="AA75" s="817">
        <f t="shared" si="56"/>
        <v>4992.0586666666659</v>
      </c>
      <c r="AB75" s="460">
        <v>2960.7844050745202</v>
      </c>
      <c r="AC75" s="818">
        <f t="shared" si="76"/>
        <v>2960.7844050745202</v>
      </c>
      <c r="AD75" s="817">
        <f t="shared" si="77"/>
        <v>2000.833333333333</v>
      </c>
      <c r="AE75" s="460">
        <v>1171.611576978526</v>
      </c>
      <c r="AF75" s="818">
        <f t="shared" si="78"/>
        <v>1171.611576978526</v>
      </c>
      <c r="AG75" s="817">
        <f t="shared" si="57"/>
        <v>2888.7866666666664</v>
      </c>
      <c r="AH75" s="460">
        <v>4107.2020783738426</v>
      </c>
      <c r="AI75" s="818">
        <f t="shared" si="79"/>
        <v>2888.7866666666664</v>
      </c>
      <c r="AJ75" s="824"/>
      <c r="AK75" s="826">
        <f t="shared" si="80"/>
        <v>11.103333333333333</v>
      </c>
      <c r="AL75" s="458">
        <f t="shared" si="81"/>
        <v>8.3486249897884939</v>
      </c>
      <c r="AM75" s="827">
        <f t="shared" si="82"/>
        <v>8.3486249897884939</v>
      </c>
      <c r="AN75" s="836">
        <f t="shared" si="83"/>
        <v>2.7547083435448396</v>
      </c>
      <c r="AO75" s="826">
        <f t="shared" si="84"/>
        <v>11.103333333333332</v>
      </c>
      <c r="AP75" s="458">
        <f t="shared" si="85"/>
        <v>6.5853745664468866</v>
      </c>
      <c r="AQ75" s="827">
        <f t="shared" si="86"/>
        <v>6.5853745664468866</v>
      </c>
      <c r="AR75" s="836">
        <f t="shared" si="87"/>
        <v>4.5179587668864452</v>
      </c>
      <c r="AS75" s="826">
        <f t="shared" si="58"/>
        <v>10.671111111111109</v>
      </c>
      <c r="AT75" s="458">
        <f t="shared" si="59"/>
        <v>6.2485950772188055</v>
      </c>
      <c r="AU75" s="827">
        <f t="shared" si="60"/>
        <v>6.2485950772188055</v>
      </c>
      <c r="AV75" s="836">
        <f t="shared" si="88"/>
        <v>4.422516033892304</v>
      </c>
      <c r="AW75" s="826">
        <f t="shared" si="61"/>
        <v>11.986666666666666</v>
      </c>
      <c r="AX75" s="458">
        <f t="shared" si="62"/>
        <v>17.042332275410136</v>
      </c>
      <c r="AY75" s="827">
        <f t="shared" si="63"/>
        <v>11.986666666666666</v>
      </c>
      <c r="AZ75" s="836">
        <f t="shared" si="89"/>
        <v>0</v>
      </c>
    </row>
    <row r="76" spans="1:52">
      <c r="A76" s="787">
        <f t="shared" si="90"/>
        <v>42329</v>
      </c>
      <c r="B76" s="786">
        <v>0</v>
      </c>
      <c r="C76" s="803">
        <v>2.8966666666666683</v>
      </c>
      <c r="D76" s="803">
        <f t="shared" si="64"/>
        <v>2.8966666666666683</v>
      </c>
      <c r="E76" s="803">
        <f t="shared" si="51"/>
        <v>3.3288888888888906</v>
      </c>
      <c r="F76" s="801">
        <f t="shared" si="52"/>
        <v>3.013333333333335</v>
      </c>
      <c r="G76" s="829">
        <f t="shared" si="65"/>
        <v>-2.8966666666666683</v>
      </c>
      <c r="H76" s="829">
        <f t="shared" si="53"/>
        <v>-2.8966666666666683</v>
      </c>
      <c r="I76" s="829">
        <f t="shared" si="54"/>
        <v>-3.3288888888888906</v>
      </c>
      <c r="J76" s="829">
        <f t="shared" si="55"/>
        <v>-3.013333333333335</v>
      </c>
      <c r="K76" s="810">
        <f t="shared" si="66"/>
        <v>777.1756666666671</v>
      </c>
      <c r="L76" s="814">
        <f t="shared" si="67"/>
        <v>1302.3413333333342</v>
      </c>
      <c r="M76" s="810">
        <f t="shared" si="68"/>
        <v>624.16666666666697</v>
      </c>
      <c r="N76" s="812">
        <f t="shared" si="69"/>
        <v>726.21333333333371</v>
      </c>
      <c r="O76" s="806">
        <v>14</v>
      </c>
      <c r="P76" s="806">
        <v>14</v>
      </c>
      <c r="Q76" s="806">
        <v>14</v>
      </c>
      <c r="R76" s="806">
        <v>15</v>
      </c>
      <c r="S76" s="809">
        <f t="shared" si="70"/>
        <v>3756.2000000000003</v>
      </c>
      <c r="T76" s="809">
        <f t="shared" si="71"/>
        <v>6294.4000000000005</v>
      </c>
      <c r="U76" s="809">
        <f t="shared" si="72"/>
        <v>2625</v>
      </c>
      <c r="V76" s="809">
        <f t="shared" si="73"/>
        <v>3615</v>
      </c>
      <c r="W76" s="816">
        <f t="shared" si="91"/>
        <v>42329</v>
      </c>
      <c r="X76" s="817">
        <f t="shared" si="74"/>
        <v>2979.0243333333333</v>
      </c>
      <c r="Y76" s="460">
        <v>2163.5081299269918</v>
      </c>
      <c r="Z76" s="818">
        <f t="shared" si="75"/>
        <v>2163.5081299269918</v>
      </c>
      <c r="AA76" s="817">
        <f t="shared" si="56"/>
        <v>4992.0586666666659</v>
      </c>
      <c r="AB76" s="460">
        <v>2866.0503351632065</v>
      </c>
      <c r="AC76" s="818">
        <f t="shared" si="76"/>
        <v>2866.0503351632065</v>
      </c>
      <c r="AD76" s="817">
        <f t="shared" si="77"/>
        <v>2000.833333333333</v>
      </c>
      <c r="AE76" s="460">
        <v>1150.2812645337794</v>
      </c>
      <c r="AF76" s="818">
        <f t="shared" si="78"/>
        <v>1150.2812645337794</v>
      </c>
      <c r="AG76" s="817">
        <f t="shared" si="57"/>
        <v>2888.7866666666664</v>
      </c>
      <c r="AH76" s="460">
        <v>4017.0821246241862</v>
      </c>
      <c r="AI76" s="818">
        <f t="shared" si="79"/>
        <v>2888.7866666666664</v>
      </c>
      <c r="AJ76" s="824"/>
      <c r="AK76" s="826">
        <f t="shared" si="80"/>
        <v>11.103333333333333</v>
      </c>
      <c r="AL76" s="458">
        <f t="shared" si="81"/>
        <v>8.0637649270480498</v>
      </c>
      <c r="AM76" s="827">
        <f t="shared" si="82"/>
        <v>8.0637649270480498</v>
      </c>
      <c r="AN76" s="836">
        <f t="shared" si="83"/>
        <v>3.0395684062852837</v>
      </c>
      <c r="AO76" s="826">
        <f t="shared" si="84"/>
        <v>11.103333333333332</v>
      </c>
      <c r="AP76" s="458">
        <f t="shared" si="85"/>
        <v>6.3746671155765275</v>
      </c>
      <c r="AQ76" s="827">
        <f t="shared" si="86"/>
        <v>6.3746671155765275</v>
      </c>
      <c r="AR76" s="836">
        <f t="shared" si="87"/>
        <v>4.7286662177568042</v>
      </c>
      <c r="AS76" s="826">
        <f t="shared" si="58"/>
        <v>10.671111111111109</v>
      </c>
      <c r="AT76" s="458">
        <f t="shared" si="59"/>
        <v>6.1348334108468237</v>
      </c>
      <c r="AU76" s="827">
        <f t="shared" si="60"/>
        <v>6.1348334108468237</v>
      </c>
      <c r="AV76" s="836">
        <f t="shared" si="88"/>
        <v>4.5362777002642858</v>
      </c>
      <c r="AW76" s="826">
        <f t="shared" si="61"/>
        <v>11.986666666666666</v>
      </c>
      <c r="AX76" s="458">
        <f t="shared" si="62"/>
        <v>16.668390558606582</v>
      </c>
      <c r="AY76" s="827">
        <f t="shared" si="63"/>
        <v>11.986666666666666</v>
      </c>
      <c r="AZ76" s="836">
        <f t="shared" si="89"/>
        <v>0</v>
      </c>
    </row>
    <row r="77" spans="1:52">
      <c r="A77" s="787">
        <f t="shared" si="90"/>
        <v>42330</v>
      </c>
      <c r="B77" s="786">
        <v>0</v>
      </c>
      <c r="C77" s="803">
        <v>2.8966666666666683</v>
      </c>
      <c r="D77" s="803">
        <f t="shared" si="64"/>
        <v>2.8966666666666683</v>
      </c>
      <c r="E77" s="803">
        <f t="shared" si="51"/>
        <v>3.3288888888888906</v>
      </c>
      <c r="F77" s="801">
        <f t="shared" si="52"/>
        <v>3.013333333333335</v>
      </c>
      <c r="G77" s="829">
        <f t="shared" si="65"/>
        <v>-2.8966666666666683</v>
      </c>
      <c r="H77" s="829">
        <f t="shared" si="53"/>
        <v>-2.8966666666666683</v>
      </c>
      <c r="I77" s="829">
        <f t="shared" si="54"/>
        <v>-3.3288888888888906</v>
      </c>
      <c r="J77" s="829">
        <f t="shared" si="55"/>
        <v>-3.013333333333335</v>
      </c>
      <c r="K77" s="810">
        <f t="shared" si="66"/>
        <v>777.1756666666671</v>
      </c>
      <c r="L77" s="814">
        <f t="shared" si="67"/>
        <v>1302.3413333333342</v>
      </c>
      <c r="M77" s="810">
        <f t="shared" si="68"/>
        <v>624.16666666666697</v>
      </c>
      <c r="N77" s="812">
        <f t="shared" si="69"/>
        <v>726.21333333333371</v>
      </c>
      <c r="O77" s="806">
        <v>14</v>
      </c>
      <c r="P77" s="806">
        <v>14</v>
      </c>
      <c r="Q77" s="806">
        <v>14</v>
      </c>
      <c r="R77" s="806">
        <v>15</v>
      </c>
      <c r="S77" s="809">
        <f t="shared" si="70"/>
        <v>3756.2000000000003</v>
      </c>
      <c r="T77" s="809">
        <f t="shared" si="71"/>
        <v>6294.4000000000005</v>
      </c>
      <c r="U77" s="809">
        <f t="shared" si="72"/>
        <v>2625</v>
      </c>
      <c r="V77" s="809">
        <f t="shared" si="73"/>
        <v>3615</v>
      </c>
      <c r="W77" s="816">
        <f t="shared" si="91"/>
        <v>42330</v>
      </c>
      <c r="X77" s="817">
        <f t="shared" si="74"/>
        <v>2979.0243333333333</v>
      </c>
      <c r="Y77" s="460">
        <v>2080.775082817624</v>
      </c>
      <c r="Z77" s="818">
        <f t="shared" si="75"/>
        <v>2080.775082817624</v>
      </c>
      <c r="AA77" s="817">
        <f t="shared" si="56"/>
        <v>4992.0586666666659</v>
      </c>
      <c r="AB77" s="460">
        <v>2764.8384897572823</v>
      </c>
      <c r="AC77" s="818">
        <f t="shared" si="76"/>
        <v>2764.8384897572823</v>
      </c>
      <c r="AD77" s="817">
        <f t="shared" si="77"/>
        <v>2000.833333333333</v>
      </c>
      <c r="AE77" s="460">
        <v>1127.5532403641052</v>
      </c>
      <c r="AF77" s="818">
        <f t="shared" si="78"/>
        <v>1127.5532403641052</v>
      </c>
      <c r="AG77" s="817">
        <f t="shared" si="57"/>
        <v>2888.7866666666664</v>
      </c>
      <c r="AH77" s="460">
        <v>3919.5325349555887</v>
      </c>
      <c r="AI77" s="818">
        <f t="shared" si="79"/>
        <v>2888.7866666666664</v>
      </c>
      <c r="AJ77" s="824"/>
      <c r="AK77" s="826">
        <f t="shared" si="80"/>
        <v>11.103333333333333</v>
      </c>
      <c r="AL77" s="458">
        <f t="shared" si="81"/>
        <v>7.7554047067373233</v>
      </c>
      <c r="AM77" s="827">
        <f t="shared" si="82"/>
        <v>7.7554047067373233</v>
      </c>
      <c r="AN77" s="836">
        <f t="shared" si="83"/>
        <v>3.3479286265960102</v>
      </c>
      <c r="AO77" s="826">
        <f t="shared" si="84"/>
        <v>11.103333333333332</v>
      </c>
      <c r="AP77" s="458">
        <f t="shared" si="85"/>
        <v>6.1495518010615706</v>
      </c>
      <c r="AQ77" s="827">
        <f t="shared" si="86"/>
        <v>6.1495518010615706</v>
      </c>
      <c r="AR77" s="836">
        <f t="shared" si="87"/>
        <v>4.9537815322717611</v>
      </c>
      <c r="AS77" s="826">
        <f t="shared" si="58"/>
        <v>10.671111111111109</v>
      </c>
      <c r="AT77" s="458">
        <f t="shared" si="59"/>
        <v>6.0136172819418947</v>
      </c>
      <c r="AU77" s="827">
        <f t="shared" si="60"/>
        <v>6.0136172819418947</v>
      </c>
      <c r="AV77" s="836">
        <f t="shared" si="88"/>
        <v>4.6574938291692147</v>
      </c>
      <c r="AW77" s="826">
        <f t="shared" si="61"/>
        <v>11.986666666666666</v>
      </c>
      <c r="AX77" s="458">
        <f t="shared" si="62"/>
        <v>16.263620476994145</v>
      </c>
      <c r="AY77" s="827">
        <f t="shared" si="63"/>
        <v>11.986666666666666</v>
      </c>
      <c r="AZ77" s="836">
        <f t="shared" si="89"/>
        <v>0</v>
      </c>
    </row>
    <row r="78" spans="1:52">
      <c r="A78" s="787">
        <f t="shared" si="90"/>
        <v>42331</v>
      </c>
      <c r="B78" s="786">
        <v>0</v>
      </c>
      <c r="C78" s="803">
        <v>2.8966666666666683</v>
      </c>
      <c r="D78" s="803">
        <f t="shared" si="64"/>
        <v>2.8966666666666683</v>
      </c>
      <c r="E78" s="803">
        <f t="shared" si="51"/>
        <v>3.3288888888888906</v>
      </c>
      <c r="F78" s="801">
        <f t="shared" si="52"/>
        <v>3.013333333333335</v>
      </c>
      <c r="G78" s="829">
        <f t="shared" si="65"/>
        <v>-2.8966666666666683</v>
      </c>
      <c r="H78" s="829">
        <f t="shared" si="53"/>
        <v>-2.8966666666666683</v>
      </c>
      <c r="I78" s="829">
        <f t="shared" si="54"/>
        <v>-3.3288888888888906</v>
      </c>
      <c r="J78" s="829">
        <f t="shared" si="55"/>
        <v>-3.013333333333335</v>
      </c>
      <c r="K78" s="810">
        <f t="shared" si="66"/>
        <v>777.1756666666671</v>
      </c>
      <c r="L78" s="814">
        <f t="shared" si="67"/>
        <v>1302.3413333333342</v>
      </c>
      <c r="M78" s="810">
        <f t="shared" si="68"/>
        <v>624.16666666666697</v>
      </c>
      <c r="N78" s="812">
        <f t="shared" si="69"/>
        <v>726.21333333333371</v>
      </c>
      <c r="O78" s="806">
        <v>14</v>
      </c>
      <c r="P78" s="806">
        <v>14</v>
      </c>
      <c r="Q78" s="806">
        <v>14</v>
      </c>
      <c r="R78" s="806">
        <v>15</v>
      </c>
      <c r="S78" s="809">
        <f t="shared" si="70"/>
        <v>3756.2000000000003</v>
      </c>
      <c r="T78" s="809">
        <f t="shared" si="71"/>
        <v>6294.4000000000005</v>
      </c>
      <c r="U78" s="809">
        <f t="shared" si="72"/>
        <v>2625</v>
      </c>
      <c r="V78" s="809">
        <f t="shared" si="73"/>
        <v>3615</v>
      </c>
      <c r="W78" s="816">
        <f t="shared" si="91"/>
        <v>42331</v>
      </c>
      <c r="X78" s="817">
        <f t="shared" si="74"/>
        <v>2979.0243333333333</v>
      </c>
      <c r="Y78" s="460">
        <v>1986.0934368472736</v>
      </c>
      <c r="Z78" s="818">
        <f t="shared" si="75"/>
        <v>1986.0934368472736</v>
      </c>
      <c r="AA78" s="817">
        <f t="shared" si="56"/>
        <v>4992.0586666666659</v>
      </c>
      <c r="AB78" s="460">
        <v>2657.2943356291585</v>
      </c>
      <c r="AC78" s="818">
        <f t="shared" si="76"/>
        <v>2657.2943356291585</v>
      </c>
      <c r="AD78" s="817">
        <f t="shared" si="77"/>
        <v>2000.833333333333</v>
      </c>
      <c r="AE78" s="460">
        <v>1104.5270416330297</v>
      </c>
      <c r="AF78" s="818">
        <f t="shared" si="78"/>
        <v>1104.5270416330297</v>
      </c>
      <c r="AG78" s="817">
        <f t="shared" si="57"/>
        <v>2888.7866666666664</v>
      </c>
      <c r="AH78" s="460">
        <v>3819.6785123424115</v>
      </c>
      <c r="AI78" s="818">
        <f t="shared" si="79"/>
        <v>2888.7866666666664</v>
      </c>
      <c r="AJ78" s="824"/>
      <c r="AK78" s="826">
        <f t="shared" si="80"/>
        <v>11.103333333333333</v>
      </c>
      <c r="AL78" s="458">
        <f t="shared" si="81"/>
        <v>7.4025100143394464</v>
      </c>
      <c r="AM78" s="827">
        <f t="shared" si="82"/>
        <v>7.4025100143394464</v>
      </c>
      <c r="AN78" s="836">
        <f t="shared" si="83"/>
        <v>3.7008233189938871</v>
      </c>
      <c r="AO78" s="826">
        <f t="shared" si="84"/>
        <v>11.103333333333332</v>
      </c>
      <c r="AP78" s="458">
        <f t="shared" si="85"/>
        <v>5.9103521699936792</v>
      </c>
      <c r="AQ78" s="827">
        <f t="shared" si="86"/>
        <v>5.9103521699936792</v>
      </c>
      <c r="AR78" s="836">
        <f t="shared" si="87"/>
        <v>5.1929811633396525</v>
      </c>
      <c r="AS78" s="826">
        <f t="shared" si="58"/>
        <v>10.671111111111109</v>
      </c>
      <c r="AT78" s="458">
        <f t="shared" si="59"/>
        <v>5.8908108887094919</v>
      </c>
      <c r="AU78" s="827">
        <f t="shared" si="60"/>
        <v>5.8908108887094919</v>
      </c>
      <c r="AV78" s="836">
        <f t="shared" si="88"/>
        <v>4.7803002224016176</v>
      </c>
      <c r="AW78" s="826">
        <f t="shared" si="61"/>
        <v>11.986666666666666</v>
      </c>
      <c r="AX78" s="458">
        <f t="shared" si="62"/>
        <v>15.849288432956063</v>
      </c>
      <c r="AY78" s="827">
        <f t="shared" si="63"/>
        <v>11.986666666666666</v>
      </c>
      <c r="AZ78" s="836">
        <f t="shared" si="89"/>
        <v>0</v>
      </c>
    </row>
    <row r="79" spans="1:52">
      <c r="A79" s="787">
        <f t="shared" si="90"/>
        <v>42332</v>
      </c>
      <c r="B79" s="786">
        <v>0</v>
      </c>
      <c r="C79" s="803">
        <v>2.8966666666666683</v>
      </c>
      <c r="D79" s="803">
        <f t="shared" si="64"/>
        <v>2.8966666666666683</v>
      </c>
      <c r="E79" s="802">
        <f>AVERAGE(B$79:B$118)</f>
        <v>0.58875</v>
      </c>
      <c r="F79" s="801">
        <f t="shared" si="52"/>
        <v>3.013333333333335</v>
      </c>
      <c r="G79" s="829">
        <f t="shared" si="65"/>
        <v>-2.8966666666666683</v>
      </c>
      <c r="H79" s="829">
        <f t="shared" si="53"/>
        <v>-2.8966666666666683</v>
      </c>
      <c r="I79" s="829">
        <f t="shared" si="54"/>
        <v>-0.58875</v>
      </c>
      <c r="J79" s="829">
        <f t="shared" si="55"/>
        <v>-3.013333333333335</v>
      </c>
      <c r="K79" s="810">
        <f t="shared" si="66"/>
        <v>777.1756666666671</v>
      </c>
      <c r="L79" s="814">
        <f t="shared" si="67"/>
        <v>1302.3413333333342</v>
      </c>
      <c r="M79" s="810">
        <f t="shared" si="68"/>
        <v>110.390625</v>
      </c>
      <c r="N79" s="812">
        <f t="shared" si="69"/>
        <v>726.21333333333371</v>
      </c>
      <c r="O79" s="806">
        <v>14</v>
      </c>
      <c r="P79" s="806">
        <v>14</v>
      </c>
      <c r="Q79" s="806">
        <v>15</v>
      </c>
      <c r="R79" s="806">
        <v>15</v>
      </c>
      <c r="S79" s="809">
        <f t="shared" si="70"/>
        <v>3756.2000000000003</v>
      </c>
      <c r="T79" s="809">
        <f t="shared" si="71"/>
        <v>6294.4000000000005</v>
      </c>
      <c r="U79" s="809">
        <f t="shared" si="72"/>
        <v>2812.5</v>
      </c>
      <c r="V79" s="809">
        <f t="shared" si="73"/>
        <v>3615</v>
      </c>
      <c r="W79" s="816">
        <f t="shared" si="91"/>
        <v>42332</v>
      </c>
      <c r="X79" s="817">
        <f t="shared" si="74"/>
        <v>2979.0243333333333</v>
      </c>
      <c r="Y79" s="460">
        <v>1895.6950714152115</v>
      </c>
      <c r="Z79" s="818">
        <f t="shared" si="75"/>
        <v>1895.6950714152115</v>
      </c>
      <c r="AA79" s="817">
        <f t="shared" si="56"/>
        <v>4992.0586666666659</v>
      </c>
      <c r="AB79" s="460">
        <v>2553.7203079699834</v>
      </c>
      <c r="AC79" s="818">
        <f t="shared" si="76"/>
        <v>2553.7203079699834</v>
      </c>
      <c r="AD79" s="817">
        <f t="shared" si="77"/>
        <v>2702.109375</v>
      </c>
      <c r="AE79" s="460">
        <v>1082.9328951067107</v>
      </c>
      <c r="AF79" s="818">
        <f t="shared" si="78"/>
        <v>1082.9328951067107</v>
      </c>
      <c r="AG79" s="817">
        <f t="shared" si="57"/>
        <v>2888.7866666666664</v>
      </c>
      <c r="AH79" s="460">
        <v>3716.6737549081258</v>
      </c>
      <c r="AI79" s="818">
        <f t="shared" si="79"/>
        <v>2888.7866666666664</v>
      </c>
      <c r="AJ79" s="824"/>
      <c r="AK79" s="826">
        <f t="shared" si="80"/>
        <v>11.103333333333333</v>
      </c>
      <c r="AL79" s="458">
        <f t="shared" si="81"/>
        <v>7.0655798412792077</v>
      </c>
      <c r="AM79" s="827">
        <f t="shared" si="82"/>
        <v>7.0655798412792077</v>
      </c>
      <c r="AN79" s="836">
        <f t="shared" si="83"/>
        <v>4.0377534920541258</v>
      </c>
      <c r="AO79" s="826">
        <f t="shared" si="84"/>
        <v>11.103333333333332</v>
      </c>
      <c r="AP79" s="458">
        <f t="shared" si="85"/>
        <v>5.6799828913923118</v>
      </c>
      <c r="AQ79" s="827">
        <f t="shared" si="86"/>
        <v>5.6799828913923118</v>
      </c>
      <c r="AR79" s="836">
        <f t="shared" si="87"/>
        <v>5.4233504419410199</v>
      </c>
      <c r="AS79" s="826">
        <f t="shared" si="58"/>
        <v>14.411250000000001</v>
      </c>
      <c r="AT79" s="458">
        <f t="shared" si="59"/>
        <v>5.7756421072357904</v>
      </c>
      <c r="AU79" s="827">
        <f t="shared" si="60"/>
        <v>5.7756421072357904</v>
      </c>
      <c r="AV79" s="836">
        <f t="shared" si="88"/>
        <v>8.6356078927642095</v>
      </c>
      <c r="AW79" s="826">
        <f t="shared" si="61"/>
        <v>11.986666666666666</v>
      </c>
      <c r="AX79" s="458">
        <f t="shared" si="62"/>
        <v>15.421882800448655</v>
      </c>
      <c r="AY79" s="827">
        <f t="shared" si="63"/>
        <v>11.986666666666666</v>
      </c>
      <c r="AZ79" s="836">
        <f t="shared" si="89"/>
        <v>0</v>
      </c>
    </row>
    <row r="80" spans="1:52">
      <c r="A80" s="787">
        <f t="shared" si="90"/>
        <v>42333</v>
      </c>
      <c r="B80" s="786">
        <v>0</v>
      </c>
      <c r="C80" s="803">
        <v>2.8966666666666683</v>
      </c>
      <c r="D80" s="803">
        <f t="shared" si="64"/>
        <v>2.8966666666666683</v>
      </c>
      <c r="E80" s="802">
        <f t="shared" ref="E80:E108" si="92">AVERAGE(B$79:B$118)</f>
        <v>0.58875</v>
      </c>
      <c r="F80" s="801">
        <f t="shared" si="52"/>
        <v>3.013333333333335</v>
      </c>
      <c r="G80" s="829">
        <f t="shared" si="65"/>
        <v>-2.8966666666666683</v>
      </c>
      <c r="H80" s="829">
        <f t="shared" si="53"/>
        <v>-2.8966666666666683</v>
      </c>
      <c r="I80" s="829">
        <f t="shared" si="54"/>
        <v>-0.58875</v>
      </c>
      <c r="J80" s="829">
        <f t="shared" si="55"/>
        <v>-3.013333333333335</v>
      </c>
      <c r="K80" s="810">
        <f t="shared" si="66"/>
        <v>777.1756666666671</v>
      </c>
      <c r="L80" s="814">
        <f t="shared" si="67"/>
        <v>1302.3413333333342</v>
      </c>
      <c r="M80" s="810">
        <f t="shared" si="68"/>
        <v>110.390625</v>
      </c>
      <c r="N80" s="812">
        <f t="shared" si="69"/>
        <v>726.21333333333371</v>
      </c>
      <c r="O80" s="806">
        <v>14</v>
      </c>
      <c r="P80" s="806">
        <v>14</v>
      </c>
      <c r="Q80" s="806">
        <v>15</v>
      </c>
      <c r="R80" s="806">
        <v>15</v>
      </c>
      <c r="S80" s="809">
        <f t="shared" si="70"/>
        <v>3756.2000000000003</v>
      </c>
      <c r="T80" s="809">
        <f t="shared" si="71"/>
        <v>6294.4000000000005</v>
      </c>
      <c r="U80" s="809">
        <f t="shared" si="72"/>
        <v>2812.5</v>
      </c>
      <c r="V80" s="809">
        <f t="shared" si="73"/>
        <v>3615</v>
      </c>
      <c r="W80" s="816">
        <f t="shared" si="91"/>
        <v>42333</v>
      </c>
      <c r="X80" s="817">
        <f t="shared" si="74"/>
        <v>2979.0243333333333</v>
      </c>
      <c r="Y80" s="460">
        <v>1812.6559702307413</v>
      </c>
      <c r="Z80" s="818">
        <f t="shared" si="75"/>
        <v>1812.6559702307413</v>
      </c>
      <c r="AA80" s="817">
        <f t="shared" si="56"/>
        <v>4992.0586666666659</v>
      </c>
      <c r="AB80" s="460">
        <v>2451.5433044848096</v>
      </c>
      <c r="AC80" s="818">
        <f t="shared" si="76"/>
        <v>2451.5433044848096</v>
      </c>
      <c r="AD80" s="817">
        <f t="shared" si="77"/>
        <v>2702.109375</v>
      </c>
      <c r="AE80" s="460">
        <v>1059.4166478280213</v>
      </c>
      <c r="AF80" s="818">
        <f t="shared" si="78"/>
        <v>1059.4166478280213</v>
      </c>
      <c r="AG80" s="817">
        <f t="shared" si="57"/>
        <v>2888.7866666666664</v>
      </c>
      <c r="AH80" s="460">
        <v>3615.7374560719768</v>
      </c>
      <c r="AI80" s="818">
        <f t="shared" si="79"/>
        <v>2888.7866666666664</v>
      </c>
      <c r="AJ80" s="824"/>
      <c r="AK80" s="826">
        <f t="shared" si="80"/>
        <v>11.103333333333333</v>
      </c>
      <c r="AL80" s="458">
        <f t="shared" si="81"/>
        <v>6.7560789050717158</v>
      </c>
      <c r="AM80" s="827">
        <f t="shared" si="82"/>
        <v>6.7560789050717158</v>
      </c>
      <c r="AN80" s="836">
        <f t="shared" si="83"/>
        <v>4.3472544282616177</v>
      </c>
      <c r="AO80" s="826">
        <f t="shared" si="84"/>
        <v>11.103333333333332</v>
      </c>
      <c r="AP80" s="458">
        <f t="shared" si="85"/>
        <v>5.4527208729644343</v>
      </c>
      <c r="AQ80" s="827">
        <f t="shared" si="86"/>
        <v>5.4527208729644343</v>
      </c>
      <c r="AR80" s="836">
        <f t="shared" si="87"/>
        <v>5.6506124603688974</v>
      </c>
      <c r="AS80" s="826">
        <f t="shared" si="58"/>
        <v>14.411250000000001</v>
      </c>
      <c r="AT80" s="458">
        <f t="shared" si="59"/>
        <v>5.6502221217494464</v>
      </c>
      <c r="AU80" s="827">
        <f t="shared" si="60"/>
        <v>5.6502221217494464</v>
      </c>
      <c r="AV80" s="836">
        <f t="shared" si="88"/>
        <v>8.7610278782505553</v>
      </c>
      <c r="AW80" s="826">
        <f t="shared" si="61"/>
        <v>11.986666666666666</v>
      </c>
      <c r="AX80" s="458">
        <f t="shared" si="62"/>
        <v>15.003059983701149</v>
      </c>
      <c r="AY80" s="827">
        <f t="shared" si="63"/>
        <v>11.986666666666666</v>
      </c>
      <c r="AZ80" s="836">
        <f t="shared" si="89"/>
        <v>0</v>
      </c>
    </row>
    <row r="81" spans="1:52">
      <c r="A81" s="787">
        <f t="shared" si="90"/>
        <v>42334</v>
      </c>
      <c r="B81" s="786">
        <v>0</v>
      </c>
      <c r="C81" s="803">
        <v>2.8966666666666683</v>
      </c>
      <c r="D81" s="803">
        <f t="shared" si="64"/>
        <v>2.8966666666666683</v>
      </c>
      <c r="E81" s="802">
        <f t="shared" si="92"/>
        <v>0.58875</v>
      </c>
      <c r="F81" s="801">
        <f t="shared" si="52"/>
        <v>3.013333333333335</v>
      </c>
      <c r="G81" s="829">
        <f t="shared" si="65"/>
        <v>-2.8966666666666683</v>
      </c>
      <c r="H81" s="829">
        <f t="shared" si="53"/>
        <v>-2.8966666666666683</v>
      </c>
      <c r="I81" s="829">
        <f t="shared" si="54"/>
        <v>-0.58875</v>
      </c>
      <c r="J81" s="829">
        <f t="shared" si="55"/>
        <v>-3.013333333333335</v>
      </c>
      <c r="K81" s="810">
        <f t="shared" si="66"/>
        <v>777.1756666666671</v>
      </c>
      <c r="L81" s="814">
        <f t="shared" si="67"/>
        <v>1302.3413333333342</v>
      </c>
      <c r="M81" s="810">
        <f t="shared" si="68"/>
        <v>110.390625</v>
      </c>
      <c r="N81" s="812">
        <f t="shared" si="69"/>
        <v>726.21333333333371</v>
      </c>
      <c r="O81" s="806">
        <v>14</v>
      </c>
      <c r="P81" s="806">
        <v>14</v>
      </c>
      <c r="Q81" s="806">
        <v>15</v>
      </c>
      <c r="R81" s="806">
        <v>15</v>
      </c>
      <c r="S81" s="809">
        <f t="shared" si="70"/>
        <v>3756.2000000000003</v>
      </c>
      <c r="T81" s="809">
        <f t="shared" si="71"/>
        <v>6294.4000000000005</v>
      </c>
      <c r="U81" s="809">
        <f t="shared" si="72"/>
        <v>2812.5</v>
      </c>
      <c r="V81" s="809">
        <f t="shared" si="73"/>
        <v>3615</v>
      </c>
      <c r="W81" s="816">
        <f t="shared" si="91"/>
        <v>42334</v>
      </c>
      <c r="X81" s="817">
        <f t="shared" si="74"/>
        <v>2979.0243333333333</v>
      </c>
      <c r="Y81" s="460">
        <v>1731.4040933727717</v>
      </c>
      <c r="Z81" s="818">
        <f t="shared" si="75"/>
        <v>1731.4040933727717</v>
      </c>
      <c r="AA81" s="817">
        <f t="shared" si="56"/>
        <v>4992.0586666666659</v>
      </c>
      <c r="AB81" s="460">
        <v>2331.7195861137616</v>
      </c>
      <c r="AC81" s="818">
        <f t="shared" si="76"/>
        <v>2331.7195861137616</v>
      </c>
      <c r="AD81" s="817">
        <f t="shared" si="77"/>
        <v>2702.109375</v>
      </c>
      <c r="AE81" s="460">
        <v>1036.3531236422546</v>
      </c>
      <c r="AF81" s="818">
        <f t="shared" si="78"/>
        <v>1036.3531236422546</v>
      </c>
      <c r="AG81" s="817">
        <f t="shared" si="57"/>
        <v>2888.7866666666664</v>
      </c>
      <c r="AH81" s="460">
        <v>3518.8564007464333</v>
      </c>
      <c r="AI81" s="818">
        <f t="shared" si="79"/>
        <v>2888.7866666666664</v>
      </c>
      <c r="AJ81" s="824"/>
      <c r="AK81" s="826">
        <f t="shared" si="80"/>
        <v>11.103333333333333</v>
      </c>
      <c r="AL81" s="458">
        <f t="shared" si="81"/>
        <v>6.4532392596823396</v>
      </c>
      <c r="AM81" s="827">
        <f t="shared" si="82"/>
        <v>6.4532392596823396</v>
      </c>
      <c r="AN81" s="836">
        <f t="shared" si="83"/>
        <v>4.6500940736509939</v>
      </c>
      <c r="AO81" s="826">
        <f t="shared" si="84"/>
        <v>11.103333333333332</v>
      </c>
      <c r="AP81" s="458">
        <f t="shared" si="85"/>
        <v>5.1862090438473345</v>
      </c>
      <c r="AQ81" s="827">
        <f t="shared" si="86"/>
        <v>5.1862090438473345</v>
      </c>
      <c r="AR81" s="836">
        <f t="shared" si="87"/>
        <v>5.9171242894859972</v>
      </c>
      <c r="AS81" s="826">
        <f t="shared" si="58"/>
        <v>14.411250000000001</v>
      </c>
      <c r="AT81" s="458">
        <f t="shared" si="59"/>
        <v>5.527216659425358</v>
      </c>
      <c r="AU81" s="827">
        <f t="shared" si="60"/>
        <v>5.527216659425358</v>
      </c>
      <c r="AV81" s="836">
        <f t="shared" si="88"/>
        <v>8.8840333405746428</v>
      </c>
      <c r="AW81" s="826">
        <f t="shared" si="61"/>
        <v>11.986666666666666</v>
      </c>
      <c r="AX81" s="458">
        <f t="shared" si="62"/>
        <v>14.601063903512172</v>
      </c>
      <c r="AY81" s="827">
        <f t="shared" si="63"/>
        <v>11.986666666666666</v>
      </c>
      <c r="AZ81" s="836">
        <f t="shared" si="89"/>
        <v>0</v>
      </c>
    </row>
    <row r="82" spans="1:52">
      <c r="A82" s="787">
        <f t="shared" si="90"/>
        <v>42335</v>
      </c>
      <c r="B82" s="786">
        <v>0</v>
      </c>
      <c r="C82" s="803">
        <v>2.8966666666666683</v>
      </c>
      <c r="D82" s="803">
        <f t="shared" si="64"/>
        <v>2.8966666666666683</v>
      </c>
      <c r="E82" s="802">
        <f t="shared" si="92"/>
        <v>0.58875</v>
      </c>
      <c r="F82" s="801">
        <f t="shared" si="52"/>
        <v>3.013333333333335</v>
      </c>
      <c r="G82" s="829">
        <f t="shared" si="65"/>
        <v>-2.8966666666666683</v>
      </c>
      <c r="H82" s="829">
        <f t="shared" si="53"/>
        <v>-2.8966666666666683</v>
      </c>
      <c r="I82" s="829">
        <f t="shared" si="54"/>
        <v>-0.58875</v>
      </c>
      <c r="J82" s="829">
        <f t="shared" si="55"/>
        <v>-3.013333333333335</v>
      </c>
      <c r="K82" s="810">
        <f t="shared" si="66"/>
        <v>777.1756666666671</v>
      </c>
      <c r="L82" s="814">
        <f t="shared" si="67"/>
        <v>1302.3413333333342</v>
      </c>
      <c r="M82" s="810">
        <f t="shared" si="68"/>
        <v>110.390625</v>
      </c>
      <c r="N82" s="812">
        <f t="shared" si="69"/>
        <v>726.21333333333371</v>
      </c>
      <c r="O82" s="806">
        <v>14</v>
      </c>
      <c r="P82" s="806">
        <v>14</v>
      </c>
      <c r="Q82" s="806">
        <v>15</v>
      </c>
      <c r="R82" s="806">
        <v>15</v>
      </c>
      <c r="S82" s="809">
        <f t="shared" si="70"/>
        <v>3756.2000000000003</v>
      </c>
      <c r="T82" s="809">
        <f t="shared" si="71"/>
        <v>6294.4000000000005</v>
      </c>
      <c r="U82" s="809">
        <f t="shared" si="72"/>
        <v>2812.5</v>
      </c>
      <c r="V82" s="809">
        <f t="shared" si="73"/>
        <v>3615</v>
      </c>
      <c r="W82" s="816">
        <f t="shared" si="91"/>
        <v>42335</v>
      </c>
      <c r="X82" s="817">
        <f t="shared" si="74"/>
        <v>2979.0243333333333</v>
      </c>
      <c r="Y82" s="460">
        <v>1659.3514494884046</v>
      </c>
      <c r="Z82" s="818">
        <f t="shared" si="75"/>
        <v>1659.3514494884046</v>
      </c>
      <c r="AA82" s="817">
        <f t="shared" si="56"/>
        <v>4992.0586666666659</v>
      </c>
      <c r="AB82" s="460">
        <v>2198.659399082901</v>
      </c>
      <c r="AC82" s="818">
        <f t="shared" si="76"/>
        <v>2198.659399082901</v>
      </c>
      <c r="AD82" s="817">
        <f t="shared" si="77"/>
        <v>2702.109375</v>
      </c>
      <c r="AE82" s="460">
        <v>1014.2153747600345</v>
      </c>
      <c r="AF82" s="818">
        <f t="shared" si="78"/>
        <v>1014.2153747600345</v>
      </c>
      <c r="AG82" s="817">
        <f t="shared" si="57"/>
        <v>2888.7866666666664</v>
      </c>
      <c r="AH82" s="460">
        <v>3422.05555585312</v>
      </c>
      <c r="AI82" s="818">
        <f t="shared" si="79"/>
        <v>2888.7866666666664</v>
      </c>
      <c r="AJ82" s="824"/>
      <c r="AK82" s="826">
        <f t="shared" si="80"/>
        <v>11.103333333333333</v>
      </c>
      <c r="AL82" s="458">
        <f t="shared" si="81"/>
        <v>6.1846867293641621</v>
      </c>
      <c r="AM82" s="827">
        <f t="shared" si="82"/>
        <v>6.1846867293641621</v>
      </c>
      <c r="AN82" s="836">
        <f t="shared" si="83"/>
        <v>4.9186466039691714</v>
      </c>
      <c r="AO82" s="826">
        <f t="shared" si="84"/>
        <v>11.103333333333332</v>
      </c>
      <c r="AP82" s="458">
        <f t="shared" si="85"/>
        <v>4.8902566705580535</v>
      </c>
      <c r="AQ82" s="827">
        <f t="shared" si="86"/>
        <v>4.8902566705580535</v>
      </c>
      <c r="AR82" s="836">
        <f t="shared" si="87"/>
        <v>6.2130766627752783</v>
      </c>
      <c r="AS82" s="826">
        <f t="shared" si="58"/>
        <v>14.411250000000001</v>
      </c>
      <c r="AT82" s="458">
        <f t="shared" si="59"/>
        <v>5.4091486653868506</v>
      </c>
      <c r="AU82" s="827">
        <f t="shared" si="60"/>
        <v>5.4091486653868506</v>
      </c>
      <c r="AV82" s="836">
        <f t="shared" si="88"/>
        <v>9.0021013346131511</v>
      </c>
      <c r="AW82" s="826">
        <f t="shared" si="61"/>
        <v>11.986666666666666</v>
      </c>
      <c r="AX82" s="458">
        <f t="shared" si="62"/>
        <v>14.199400646693444</v>
      </c>
      <c r="AY82" s="827">
        <f t="shared" si="63"/>
        <v>11.986666666666666</v>
      </c>
      <c r="AZ82" s="836">
        <f t="shared" si="89"/>
        <v>0</v>
      </c>
    </row>
    <row r="83" spans="1:52">
      <c r="A83" s="787">
        <f t="shared" si="90"/>
        <v>42336</v>
      </c>
      <c r="B83" s="786">
        <v>0</v>
      </c>
      <c r="C83" s="803">
        <v>2.8966666666666683</v>
      </c>
      <c r="D83" s="803">
        <f t="shared" si="64"/>
        <v>2.8966666666666683</v>
      </c>
      <c r="E83" s="802">
        <f t="shared" si="92"/>
        <v>0.58875</v>
      </c>
      <c r="F83" s="801">
        <f t="shared" si="52"/>
        <v>3.013333333333335</v>
      </c>
      <c r="G83" s="829">
        <f t="shared" si="65"/>
        <v>-2.8966666666666683</v>
      </c>
      <c r="H83" s="829">
        <f t="shared" si="53"/>
        <v>-2.8966666666666683</v>
      </c>
      <c r="I83" s="829">
        <f t="shared" si="54"/>
        <v>-0.58875</v>
      </c>
      <c r="J83" s="829">
        <f t="shared" si="55"/>
        <v>-3.013333333333335</v>
      </c>
      <c r="K83" s="810">
        <f t="shared" si="66"/>
        <v>777.1756666666671</v>
      </c>
      <c r="L83" s="814">
        <f t="shared" si="67"/>
        <v>1302.3413333333342</v>
      </c>
      <c r="M83" s="810">
        <f t="shared" si="68"/>
        <v>110.390625</v>
      </c>
      <c r="N83" s="812">
        <f t="shared" si="69"/>
        <v>726.21333333333371</v>
      </c>
      <c r="O83" s="806">
        <v>14</v>
      </c>
      <c r="P83" s="806">
        <v>14</v>
      </c>
      <c r="Q83" s="806">
        <v>15</v>
      </c>
      <c r="R83" s="806">
        <v>15</v>
      </c>
      <c r="S83" s="809">
        <f t="shared" si="70"/>
        <v>3756.2000000000003</v>
      </c>
      <c r="T83" s="809">
        <f t="shared" si="71"/>
        <v>6294.4000000000005</v>
      </c>
      <c r="U83" s="809">
        <f t="shared" si="72"/>
        <v>2812.5</v>
      </c>
      <c r="V83" s="809">
        <f t="shared" si="73"/>
        <v>3615</v>
      </c>
      <c r="W83" s="816">
        <f t="shared" si="91"/>
        <v>42336</v>
      </c>
      <c r="X83" s="817">
        <f t="shared" si="74"/>
        <v>2979.0243333333333</v>
      </c>
      <c r="Y83" s="460">
        <v>1594.9703939483481</v>
      </c>
      <c r="Z83" s="818">
        <f t="shared" si="75"/>
        <v>1594.9703939483481</v>
      </c>
      <c r="AA83" s="817">
        <f t="shared" si="56"/>
        <v>4992.0586666666659</v>
      </c>
      <c r="AB83" s="460">
        <v>2064.128714678187</v>
      </c>
      <c r="AC83" s="818">
        <f t="shared" si="76"/>
        <v>2064.128714678187</v>
      </c>
      <c r="AD83" s="817">
        <f t="shared" si="77"/>
        <v>2702.109375</v>
      </c>
      <c r="AE83" s="460">
        <v>993.22456822779861</v>
      </c>
      <c r="AF83" s="818">
        <f t="shared" si="78"/>
        <v>993.22456822779861</v>
      </c>
      <c r="AG83" s="817">
        <f t="shared" si="57"/>
        <v>2888.7866666666664</v>
      </c>
      <c r="AH83" s="460">
        <v>3321.9881650537286</v>
      </c>
      <c r="AI83" s="818">
        <f t="shared" si="79"/>
        <v>2888.7866666666664</v>
      </c>
      <c r="AJ83" s="824"/>
      <c r="AK83" s="826">
        <f t="shared" si="80"/>
        <v>11.103333333333333</v>
      </c>
      <c r="AL83" s="458">
        <f t="shared" si="81"/>
        <v>5.9447275212387183</v>
      </c>
      <c r="AM83" s="827">
        <f t="shared" si="82"/>
        <v>5.9447275212387183</v>
      </c>
      <c r="AN83" s="836">
        <f t="shared" si="83"/>
        <v>5.1586058120946152</v>
      </c>
      <c r="AO83" s="826">
        <f t="shared" si="84"/>
        <v>11.103333333333332</v>
      </c>
      <c r="AP83" s="458">
        <f t="shared" si="85"/>
        <v>4.5910336180564659</v>
      </c>
      <c r="AQ83" s="827">
        <f t="shared" si="86"/>
        <v>4.5910336180564659</v>
      </c>
      <c r="AR83" s="836">
        <f t="shared" si="87"/>
        <v>6.5122997152768658</v>
      </c>
      <c r="AS83" s="826">
        <f t="shared" si="58"/>
        <v>14.411250000000001</v>
      </c>
      <c r="AT83" s="458">
        <f t="shared" si="59"/>
        <v>5.2971976972149255</v>
      </c>
      <c r="AU83" s="827">
        <f t="shared" si="60"/>
        <v>5.2971976972149255</v>
      </c>
      <c r="AV83" s="836">
        <f t="shared" si="88"/>
        <v>9.1140523027850762</v>
      </c>
      <c r="AW83" s="826">
        <f t="shared" si="61"/>
        <v>11.986666666666666</v>
      </c>
      <c r="AX83" s="458">
        <f t="shared" si="62"/>
        <v>13.784183257484353</v>
      </c>
      <c r="AY83" s="827">
        <f t="shared" si="63"/>
        <v>11.986666666666666</v>
      </c>
      <c r="AZ83" s="836">
        <f t="shared" si="89"/>
        <v>0</v>
      </c>
    </row>
    <row r="84" spans="1:52">
      <c r="A84" s="787">
        <f t="shared" si="90"/>
        <v>42337</v>
      </c>
      <c r="B84" s="786">
        <v>0</v>
      </c>
      <c r="C84" s="803">
        <v>2.8966666666666683</v>
      </c>
      <c r="D84" s="803">
        <f t="shared" si="64"/>
        <v>2.8966666666666683</v>
      </c>
      <c r="E84" s="802">
        <f t="shared" si="92"/>
        <v>0.58875</v>
      </c>
      <c r="F84" s="801">
        <f t="shared" si="52"/>
        <v>3.013333333333335</v>
      </c>
      <c r="G84" s="829">
        <f t="shared" si="65"/>
        <v>-2.8966666666666683</v>
      </c>
      <c r="H84" s="829">
        <f t="shared" si="53"/>
        <v>-2.8966666666666683</v>
      </c>
      <c r="I84" s="829">
        <f t="shared" si="54"/>
        <v>-0.58875</v>
      </c>
      <c r="J84" s="829">
        <f t="shared" si="55"/>
        <v>-3.013333333333335</v>
      </c>
      <c r="K84" s="810">
        <f t="shared" si="66"/>
        <v>777.1756666666671</v>
      </c>
      <c r="L84" s="814">
        <f t="shared" si="67"/>
        <v>1302.3413333333342</v>
      </c>
      <c r="M84" s="810">
        <f t="shared" si="68"/>
        <v>110.390625</v>
      </c>
      <c r="N84" s="812">
        <f t="shared" si="69"/>
        <v>726.21333333333371</v>
      </c>
      <c r="O84" s="806">
        <v>14</v>
      </c>
      <c r="P84" s="806">
        <v>14</v>
      </c>
      <c r="Q84" s="806">
        <v>15</v>
      </c>
      <c r="R84" s="806">
        <v>15</v>
      </c>
      <c r="S84" s="809">
        <f t="shared" si="70"/>
        <v>3756.2000000000003</v>
      </c>
      <c r="T84" s="809">
        <f t="shared" si="71"/>
        <v>6294.4000000000005</v>
      </c>
      <c r="U84" s="809">
        <f t="shared" si="72"/>
        <v>2812.5</v>
      </c>
      <c r="V84" s="809">
        <f t="shared" si="73"/>
        <v>3615</v>
      </c>
      <c r="W84" s="816">
        <f t="shared" si="91"/>
        <v>42337</v>
      </c>
      <c r="X84" s="817">
        <f t="shared" si="74"/>
        <v>2979.0243333333333</v>
      </c>
      <c r="Y84" s="460">
        <v>1531.3570111855474</v>
      </c>
      <c r="Z84" s="818">
        <f t="shared" si="75"/>
        <v>1531.3570111855474</v>
      </c>
      <c r="AA84" s="817">
        <f t="shared" si="56"/>
        <v>4992.0586666666659</v>
      </c>
      <c r="AB84" s="460">
        <v>1941.4950550294113</v>
      </c>
      <c r="AC84" s="818">
        <f t="shared" si="76"/>
        <v>1941.4950550294113</v>
      </c>
      <c r="AD84" s="817">
        <f t="shared" si="77"/>
        <v>2702.109375</v>
      </c>
      <c r="AE84" s="460">
        <v>967.06793297848651</v>
      </c>
      <c r="AF84" s="818">
        <f t="shared" si="78"/>
        <v>967.06793297848651</v>
      </c>
      <c r="AG84" s="817">
        <f t="shared" si="57"/>
        <v>2888.7866666666664</v>
      </c>
      <c r="AH84" s="460">
        <v>3213.8200555576591</v>
      </c>
      <c r="AI84" s="818">
        <f t="shared" si="79"/>
        <v>2888.7866666666664</v>
      </c>
      <c r="AJ84" s="824"/>
      <c r="AK84" s="826">
        <f t="shared" si="80"/>
        <v>11.103333333333333</v>
      </c>
      <c r="AL84" s="458">
        <f t="shared" si="81"/>
        <v>5.7076295608853806</v>
      </c>
      <c r="AM84" s="827">
        <f t="shared" si="82"/>
        <v>5.7076295608853806</v>
      </c>
      <c r="AN84" s="836">
        <f t="shared" si="83"/>
        <v>5.3957037724479529</v>
      </c>
      <c r="AO84" s="826">
        <f t="shared" si="84"/>
        <v>11.103333333333332</v>
      </c>
      <c r="AP84" s="458">
        <f t="shared" si="85"/>
        <v>4.3182719195494021</v>
      </c>
      <c r="AQ84" s="827">
        <f t="shared" si="86"/>
        <v>4.3182719195494021</v>
      </c>
      <c r="AR84" s="836">
        <f t="shared" si="87"/>
        <v>6.7850614137839296</v>
      </c>
      <c r="AS84" s="826">
        <f t="shared" si="58"/>
        <v>14.411250000000001</v>
      </c>
      <c r="AT84" s="458">
        <f t="shared" si="59"/>
        <v>5.1576956425519276</v>
      </c>
      <c r="AU84" s="827">
        <f t="shared" si="60"/>
        <v>5.1576956425519276</v>
      </c>
      <c r="AV84" s="836">
        <f t="shared" si="88"/>
        <v>9.2535543574480741</v>
      </c>
      <c r="AW84" s="826">
        <f t="shared" si="61"/>
        <v>11.986666666666666</v>
      </c>
      <c r="AX84" s="458">
        <f t="shared" si="62"/>
        <v>13.335352927625141</v>
      </c>
      <c r="AY84" s="827">
        <f t="shared" si="63"/>
        <v>11.986666666666666</v>
      </c>
      <c r="AZ84" s="836">
        <f t="shared" si="89"/>
        <v>0</v>
      </c>
    </row>
    <row r="85" spans="1:52">
      <c r="A85" s="787">
        <f t="shared" si="90"/>
        <v>42338</v>
      </c>
      <c r="B85" s="786">
        <v>0</v>
      </c>
      <c r="C85" s="803">
        <v>2.8966666666666683</v>
      </c>
      <c r="D85" s="803">
        <f t="shared" si="64"/>
        <v>2.8966666666666683</v>
      </c>
      <c r="E85" s="802">
        <f t="shared" si="92"/>
        <v>0.58875</v>
      </c>
      <c r="F85" s="801">
        <f t="shared" si="52"/>
        <v>3.013333333333335</v>
      </c>
      <c r="G85" s="829">
        <f t="shared" si="65"/>
        <v>-2.8966666666666683</v>
      </c>
      <c r="H85" s="829">
        <f t="shared" si="53"/>
        <v>-2.8966666666666683</v>
      </c>
      <c r="I85" s="829">
        <f t="shared" si="54"/>
        <v>-0.58875</v>
      </c>
      <c r="J85" s="829">
        <f t="shared" si="55"/>
        <v>-3.013333333333335</v>
      </c>
      <c r="K85" s="810">
        <f t="shared" si="66"/>
        <v>777.1756666666671</v>
      </c>
      <c r="L85" s="814">
        <f t="shared" si="67"/>
        <v>1302.3413333333342</v>
      </c>
      <c r="M85" s="810">
        <f t="shared" si="68"/>
        <v>110.390625</v>
      </c>
      <c r="N85" s="812">
        <f t="shared" si="69"/>
        <v>726.21333333333371</v>
      </c>
      <c r="O85" s="806">
        <v>14</v>
      </c>
      <c r="P85" s="806">
        <v>14</v>
      </c>
      <c r="Q85" s="806">
        <v>15</v>
      </c>
      <c r="R85" s="806">
        <v>15</v>
      </c>
      <c r="S85" s="809">
        <f t="shared" si="70"/>
        <v>3756.2000000000003</v>
      </c>
      <c r="T85" s="809">
        <f t="shared" si="71"/>
        <v>6294.4000000000005</v>
      </c>
      <c r="U85" s="809">
        <f t="shared" si="72"/>
        <v>2812.5</v>
      </c>
      <c r="V85" s="809">
        <f t="shared" si="73"/>
        <v>3615</v>
      </c>
      <c r="W85" s="816">
        <f t="shared" si="91"/>
        <v>42338</v>
      </c>
      <c r="X85" s="817">
        <f t="shared" si="74"/>
        <v>2979.0243333333333</v>
      </c>
      <c r="Y85" s="460">
        <v>1458.8076268787408</v>
      </c>
      <c r="Z85" s="818">
        <f t="shared" si="75"/>
        <v>1458.8076268787408</v>
      </c>
      <c r="AA85" s="817">
        <f t="shared" si="56"/>
        <v>4992.0586666666659</v>
      </c>
      <c r="AB85" s="460">
        <v>1833.6789417887212</v>
      </c>
      <c r="AC85" s="818">
        <f t="shared" si="76"/>
        <v>1833.6789417887212</v>
      </c>
      <c r="AD85" s="817">
        <f t="shared" si="77"/>
        <v>2702.109375</v>
      </c>
      <c r="AE85" s="460">
        <v>942.69295543441831</v>
      </c>
      <c r="AF85" s="818">
        <f t="shared" si="78"/>
        <v>942.69295543441831</v>
      </c>
      <c r="AG85" s="817">
        <f t="shared" si="57"/>
        <v>2888.7866666666664</v>
      </c>
      <c r="AH85" s="460">
        <v>3109.1847722617513</v>
      </c>
      <c r="AI85" s="818">
        <f t="shared" si="79"/>
        <v>2888.7866666666664</v>
      </c>
      <c r="AJ85" s="824"/>
      <c r="AK85" s="826">
        <f t="shared" si="80"/>
        <v>11.103333333333333</v>
      </c>
      <c r="AL85" s="458">
        <f t="shared" si="81"/>
        <v>5.4372255940318324</v>
      </c>
      <c r="AM85" s="827">
        <f t="shared" si="82"/>
        <v>5.4372255940318324</v>
      </c>
      <c r="AN85" s="836">
        <f t="shared" si="83"/>
        <v>5.6661077393015011</v>
      </c>
      <c r="AO85" s="826">
        <f t="shared" si="84"/>
        <v>11.103333333333332</v>
      </c>
      <c r="AP85" s="458">
        <f t="shared" si="85"/>
        <v>4.0784673972169063</v>
      </c>
      <c r="AQ85" s="827">
        <f t="shared" si="86"/>
        <v>4.0784673972169063</v>
      </c>
      <c r="AR85" s="836">
        <f t="shared" si="87"/>
        <v>7.0248659361164254</v>
      </c>
      <c r="AS85" s="826">
        <f t="shared" si="58"/>
        <v>14.411250000000001</v>
      </c>
      <c r="AT85" s="458">
        <f t="shared" si="59"/>
        <v>5.0276957623168972</v>
      </c>
      <c r="AU85" s="827">
        <f t="shared" si="60"/>
        <v>5.0276957623168972</v>
      </c>
      <c r="AV85" s="836">
        <f t="shared" si="88"/>
        <v>9.3835542376831036</v>
      </c>
      <c r="AW85" s="826">
        <f t="shared" si="61"/>
        <v>11.986666666666666</v>
      </c>
      <c r="AX85" s="458">
        <f t="shared" si="62"/>
        <v>12.901181627642123</v>
      </c>
      <c r="AY85" s="827">
        <f t="shared" si="63"/>
        <v>11.986666666666666</v>
      </c>
      <c r="AZ85" s="836">
        <f t="shared" si="89"/>
        <v>0</v>
      </c>
    </row>
    <row r="86" spans="1:52">
      <c r="A86" s="787">
        <f t="shared" si="90"/>
        <v>42339</v>
      </c>
      <c r="B86" s="786">
        <v>0.55000000000000004</v>
      </c>
      <c r="C86" s="803">
        <v>2.8966666666666683</v>
      </c>
      <c r="D86" s="803">
        <f t="shared" si="64"/>
        <v>2.8966666666666683</v>
      </c>
      <c r="E86" s="802">
        <f t="shared" si="92"/>
        <v>0.58875</v>
      </c>
      <c r="F86" s="801">
        <f t="shared" si="52"/>
        <v>3.013333333333335</v>
      </c>
      <c r="G86" s="829">
        <f t="shared" si="65"/>
        <v>-2.8966666666666683</v>
      </c>
      <c r="H86" s="829">
        <f t="shared" si="53"/>
        <v>-2.8966666666666683</v>
      </c>
      <c r="I86" s="829">
        <f t="shared" si="54"/>
        <v>-0.58875</v>
      </c>
      <c r="J86" s="829">
        <f t="shared" si="55"/>
        <v>-3.013333333333335</v>
      </c>
      <c r="K86" s="810">
        <f t="shared" si="66"/>
        <v>777.1756666666671</v>
      </c>
      <c r="L86" s="814">
        <f t="shared" si="67"/>
        <v>1302.3413333333342</v>
      </c>
      <c r="M86" s="810">
        <f t="shared" si="68"/>
        <v>110.390625</v>
      </c>
      <c r="N86" s="812">
        <f t="shared" si="69"/>
        <v>726.21333333333371</v>
      </c>
      <c r="O86" s="806">
        <v>14</v>
      </c>
      <c r="P86" s="806">
        <v>14</v>
      </c>
      <c r="Q86" s="806">
        <v>15</v>
      </c>
      <c r="R86" s="806">
        <v>15</v>
      </c>
      <c r="S86" s="809">
        <f t="shared" si="70"/>
        <v>3756.2000000000003</v>
      </c>
      <c r="T86" s="809">
        <f t="shared" si="71"/>
        <v>6294.4000000000005</v>
      </c>
      <c r="U86" s="809">
        <f t="shared" si="72"/>
        <v>2812.5</v>
      </c>
      <c r="V86" s="809">
        <f t="shared" si="73"/>
        <v>3615</v>
      </c>
      <c r="W86" s="816">
        <f t="shared" si="91"/>
        <v>42339</v>
      </c>
      <c r="X86" s="817">
        <f t="shared" si="74"/>
        <v>2979.0243333333333</v>
      </c>
      <c r="Y86" s="460">
        <v>1379.4008787104569</v>
      </c>
      <c r="Z86" s="818">
        <f t="shared" si="75"/>
        <v>1379.4008787104569</v>
      </c>
      <c r="AA86" s="817">
        <f t="shared" si="56"/>
        <v>4992.0586666666659</v>
      </c>
      <c r="AB86" s="460">
        <v>1718.8636460064611</v>
      </c>
      <c r="AC86" s="818">
        <f t="shared" si="76"/>
        <v>1718.8636460064611</v>
      </c>
      <c r="AD86" s="817">
        <f t="shared" si="77"/>
        <v>2702.109375</v>
      </c>
      <c r="AE86" s="460">
        <v>923.78421390581934</v>
      </c>
      <c r="AF86" s="818">
        <f t="shared" si="78"/>
        <v>923.78421390581934</v>
      </c>
      <c r="AG86" s="817">
        <f t="shared" si="57"/>
        <v>2888.7866666666664</v>
      </c>
      <c r="AH86" s="460">
        <v>3004.5064107636726</v>
      </c>
      <c r="AI86" s="818">
        <f t="shared" si="79"/>
        <v>2888.7866666666664</v>
      </c>
      <c r="AJ86" s="824"/>
      <c r="AK86" s="826">
        <f t="shared" si="80"/>
        <v>11.103333333333333</v>
      </c>
      <c r="AL86" s="458">
        <f t="shared" si="81"/>
        <v>5.1412630589282777</v>
      </c>
      <c r="AM86" s="827">
        <f t="shared" si="82"/>
        <v>5.1412630589282777</v>
      </c>
      <c r="AN86" s="836">
        <f t="shared" si="83"/>
        <v>5.9620702744050558</v>
      </c>
      <c r="AO86" s="826">
        <f t="shared" si="84"/>
        <v>11.103333333333332</v>
      </c>
      <c r="AP86" s="458">
        <f t="shared" si="85"/>
        <v>3.8230952980570754</v>
      </c>
      <c r="AQ86" s="827">
        <f t="shared" si="86"/>
        <v>3.8230952980570754</v>
      </c>
      <c r="AR86" s="836">
        <f t="shared" si="87"/>
        <v>7.2802380352762563</v>
      </c>
      <c r="AS86" s="826">
        <f t="shared" si="58"/>
        <v>14.411250000000001</v>
      </c>
      <c r="AT86" s="458">
        <f t="shared" si="59"/>
        <v>4.9268491408310364</v>
      </c>
      <c r="AU86" s="827">
        <f t="shared" si="60"/>
        <v>4.9268491408310364</v>
      </c>
      <c r="AV86" s="836">
        <f t="shared" si="88"/>
        <v>9.4844008591689644</v>
      </c>
      <c r="AW86" s="826">
        <f t="shared" si="61"/>
        <v>11.986666666666666</v>
      </c>
      <c r="AX86" s="458">
        <f t="shared" si="62"/>
        <v>12.466831579932251</v>
      </c>
      <c r="AY86" s="827">
        <f t="shared" si="63"/>
        <v>11.986666666666666</v>
      </c>
      <c r="AZ86" s="836">
        <f t="shared" si="89"/>
        <v>0</v>
      </c>
    </row>
    <row r="87" spans="1:52">
      <c r="A87" s="787">
        <f t="shared" si="90"/>
        <v>42340</v>
      </c>
      <c r="B87" s="786">
        <v>2.4500000000000002</v>
      </c>
      <c r="C87" s="803">
        <v>2.8966666666666683</v>
      </c>
      <c r="D87" s="803">
        <f t="shared" si="64"/>
        <v>2.8966666666666683</v>
      </c>
      <c r="E87" s="802">
        <f t="shared" si="92"/>
        <v>0.58875</v>
      </c>
      <c r="F87" s="801">
        <f t="shared" si="52"/>
        <v>3.013333333333335</v>
      </c>
      <c r="G87" s="829">
        <f t="shared" si="65"/>
        <v>-2.8966666666666683</v>
      </c>
      <c r="H87" s="829">
        <f t="shared" si="53"/>
        <v>-2.8966666666666683</v>
      </c>
      <c r="I87" s="829">
        <f t="shared" si="54"/>
        <v>-0.58875</v>
      </c>
      <c r="J87" s="829">
        <f t="shared" si="55"/>
        <v>-3.013333333333335</v>
      </c>
      <c r="K87" s="810">
        <f t="shared" si="66"/>
        <v>777.1756666666671</v>
      </c>
      <c r="L87" s="814">
        <f t="shared" si="67"/>
        <v>1302.3413333333342</v>
      </c>
      <c r="M87" s="810">
        <f t="shared" si="68"/>
        <v>110.390625</v>
      </c>
      <c r="N87" s="812">
        <f t="shared" si="69"/>
        <v>726.21333333333371</v>
      </c>
      <c r="O87" s="806">
        <v>14</v>
      </c>
      <c r="P87" s="806">
        <v>14</v>
      </c>
      <c r="Q87" s="806">
        <v>15</v>
      </c>
      <c r="R87" s="806">
        <v>15</v>
      </c>
      <c r="S87" s="809">
        <f t="shared" si="70"/>
        <v>3756.2000000000003</v>
      </c>
      <c r="T87" s="809">
        <f t="shared" si="71"/>
        <v>6294.4000000000005</v>
      </c>
      <c r="U87" s="809">
        <f t="shared" si="72"/>
        <v>2812.5</v>
      </c>
      <c r="V87" s="809">
        <f t="shared" si="73"/>
        <v>3615</v>
      </c>
      <c r="W87" s="816">
        <f t="shared" si="91"/>
        <v>42340</v>
      </c>
      <c r="X87" s="817">
        <f t="shared" si="74"/>
        <v>2979.0243333333333</v>
      </c>
      <c r="Y87" s="460">
        <v>1313.2280037189425</v>
      </c>
      <c r="Z87" s="818">
        <f t="shared" si="75"/>
        <v>1313.2280037189425</v>
      </c>
      <c r="AA87" s="817">
        <f t="shared" si="56"/>
        <v>4992.0586666666659</v>
      </c>
      <c r="AB87" s="460">
        <v>1606.0392690988967</v>
      </c>
      <c r="AC87" s="818">
        <f t="shared" si="76"/>
        <v>1606.0392690988967</v>
      </c>
      <c r="AD87" s="817">
        <f t="shared" si="77"/>
        <v>2702.109375</v>
      </c>
      <c r="AE87" s="460">
        <v>907.55891607385763</v>
      </c>
      <c r="AF87" s="818">
        <f t="shared" si="78"/>
        <v>907.55891607385763</v>
      </c>
      <c r="AG87" s="817">
        <f t="shared" si="57"/>
        <v>2888.7866666666664</v>
      </c>
      <c r="AH87" s="460">
        <v>2902.5180120837294</v>
      </c>
      <c r="AI87" s="818">
        <f t="shared" si="79"/>
        <v>2888.7866666666664</v>
      </c>
      <c r="AJ87" s="824"/>
      <c r="AK87" s="826">
        <f t="shared" si="80"/>
        <v>11.103333333333333</v>
      </c>
      <c r="AL87" s="458">
        <f t="shared" si="81"/>
        <v>4.8946254331678816</v>
      </c>
      <c r="AM87" s="827">
        <f t="shared" si="82"/>
        <v>4.8946254331678816</v>
      </c>
      <c r="AN87" s="836">
        <f t="shared" si="83"/>
        <v>6.2087079001654519</v>
      </c>
      <c r="AO87" s="826">
        <f t="shared" si="84"/>
        <v>11.103333333333332</v>
      </c>
      <c r="AP87" s="458">
        <f t="shared" si="85"/>
        <v>3.5721513992413185</v>
      </c>
      <c r="AQ87" s="827">
        <f t="shared" si="86"/>
        <v>3.5721513992413185</v>
      </c>
      <c r="AR87" s="836">
        <f t="shared" si="87"/>
        <v>7.5311819340920128</v>
      </c>
      <c r="AS87" s="826">
        <f t="shared" si="58"/>
        <v>14.411250000000001</v>
      </c>
      <c r="AT87" s="458">
        <f t="shared" si="59"/>
        <v>4.8403142190605744</v>
      </c>
      <c r="AU87" s="827">
        <f t="shared" si="60"/>
        <v>4.8403142190605744</v>
      </c>
      <c r="AV87" s="836">
        <f t="shared" si="88"/>
        <v>9.5709357809394255</v>
      </c>
      <c r="AW87" s="826">
        <f t="shared" si="61"/>
        <v>11.986666666666666</v>
      </c>
      <c r="AX87" s="458">
        <f t="shared" si="62"/>
        <v>12.043643203666926</v>
      </c>
      <c r="AY87" s="827">
        <f t="shared" si="63"/>
        <v>11.986666666666666</v>
      </c>
      <c r="AZ87" s="836">
        <f t="shared" si="89"/>
        <v>0</v>
      </c>
    </row>
    <row r="88" spans="1:52">
      <c r="A88" s="787">
        <f t="shared" si="90"/>
        <v>42341</v>
      </c>
      <c r="B88" s="786">
        <v>15.1</v>
      </c>
      <c r="C88" s="803">
        <v>2.8966666666666683</v>
      </c>
      <c r="D88" s="803">
        <f t="shared" si="64"/>
        <v>2.8966666666666683</v>
      </c>
      <c r="E88" s="802">
        <f t="shared" si="92"/>
        <v>0.58875</v>
      </c>
      <c r="F88" s="801">
        <f t="shared" si="52"/>
        <v>3.013333333333335</v>
      </c>
      <c r="G88" s="829">
        <f t="shared" si="65"/>
        <v>-2.8966666666666683</v>
      </c>
      <c r="H88" s="829">
        <f t="shared" si="53"/>
        <v>-2.8966666666666683</v>
      </c>
      <c r="I88" s="829">
        <f t="shared" si="54"/>
        <v>-0.58875</v>
      </c>
      <c r="J88" s="829">
        <f t="shared" si="55"/>
        <v>-3.013333333333335</v>
      </c>
      <c r="K88" s="810">
        <f t="shared" si="66"/>
        <v>777.1756666666671</v>
      </c>
      <c r="L88" s="814">
        <f t="shared" si="67"/>
        <v>1302.3413333333342</v>
      </c>
      <c r="M88" s="810">
        <f t="shared" si="68"/>
        <v>110.390625</v>
      </c>
      <c r="N88" s="812">
        <f t="shared" si="69"/>
        <v>726.21333333333371</v>
      </c>
      <c r="O88" s="806">
        <v>14</v>
      </c>
      <c r="P88" s="806">
        <v>14</v>
      </c>
      <c r="Q88" s="806">
        <v>15</v>
      </c>
      <c r="R88" s="806">
        <v>15</v>
      </c>
      <c r="S88" s="809">
        <f t="shared" si="70"/>
        <v>3756.2000000000003</v>
      </c>
      <c r="T88" s="809">
        <f t="shared" si="71"/>
        <v>6294.4000000000005</v>
      </c>
      <c r="U88" s="809">
        <f t="shared" si="72"/>
        <v>2812.5</v>
      </c>
      <c r="V88" s="809">
        <f t="shared" si="73"/>
        <v>3615</v>
      </c>
      <c r="W88" s="816">
        <f t="shared" si="91"/>
        <v>42341</v>
      </c>
      <c r="X88" s="817">
        <f t="shared" si="74"/>
        <v>2979.0243333333333</v>
      </c>
      <c r="Y88" s="460">
        <v>1277.0124070347661</v>
      </c>
      <c r="Z88" s="818">
        <f t="shared" si="75"/>
        <v>1277.0124070347661</v>
      </c>
      <c r="AA88" s="817">
        <f t="shared" si="56"/>
        <v>4992.0586666666659</v>
      </c>
      <c r="AB88" s="460">
        <v>1555.3034361030429</v>
      </c>
      <c r="AC88" s="818">
        <f t="shared" si="76"/>
        <v>1555.3034361030429</v>
      </c>
      <c r="AD88" s="817">
        <f t="shared" si="77"/>
        <v>2702.109375</v>
      </c>
      <c r="AE88" s="460">
        <v>888.55074737384814</v>
      </c>
      <c r="AF88" s="818">
        <f t="shared" si="78"/>
        <v>888.55074737384814</v>
      </c>
      <c r="AG88" s="817">
        <f t="shared" si="57"/>
        <v>2888.7866666666664</v>
      </c>
      <c r="AH88" s="460">
        <v>2810.5544958734536</v>
      </c>
      <c r="AI88" s="818">
        <f t="shared" si="79"/>
        <v>2810.5544958734536</v>
      </c>
      <c r="AJ88" s="824"/>
      <c r="AK88" s="826">
        <f t="shared" si="80"/>
        <v>11.103333333333333</v>
      </c>
      <c r="AL88" s="458">
        <f t="shared" si="81"/>
        <v>4.7596437086648002</v>
      </c>
      <c r="AM88" s="827">
        <f t="shared" si="82"/>
        <v>4.7596437086648002</v>
      </c>
      <c r="AN88" s="836">
        <f t="shared" si="83"/>
        <v>6.3436896246685333</v>
      </c>
      <c r="AO88" s="826">
        <f t="shared" si="84"/>
        <v>11.103333333333332</v>
      </c>
      <c r="AP88" s="458">
        <f t="shared" si="85"/>
        <v>3.4593047956028533</v>
      </c>
      <c r="AQ88" s="827">
        <f t="shared" si="86"/>
        <v>3.4593047956028533</v>
      </c>
      <c r="AR88" s="836">
        <f t="shared" si="87"/>
        <v>7.6440285377304784</v>
      </c>
      <c r="AS88" s="826">
        <f t="shared" si="58"/>
        <v>14.411250000000001</v>
      </c>
      <c r="AT88" s="458">
        <f t="shared" si="59"/>
        <v>4.7389373193271904</v>
      </c>
      <c r="AU88" s="827">
        <f t="shared" si="60"/>
        <v>4.7389373193271904</v>
      </c>
      <c r="AV88" s="836">
        <f t="shared" si="88"/>
        <v>9.6723126806728104</v>
      </c>
      <c r="AW88" s="826">
        <f t="shared" si="61"/>
        <v>11.986666666666666</v>
      </c>
      <c r="AX88" s="458">
        <f t="shared" si="62"/>
        <v>11.662051850097317</v>
      </c>
      <c r="AY88" s="827">
        <f t="shared" si="63"/>
        <v>11.662051850097317</v>
      </c>
      <c r="AZ88" s="836">
        <f t="shared" si="89"/>
        <v>0.32461481656934943</v>
      </c>
    </row>
    <row r="89" spans="1:52">
      <c r="A89" s="787">
        <f t="shared" si="90"/>
        <v>42342</v>
      </c>
      <c r="B89" s="786">
        <v>1.9500000000000002</v>
      </c>
      <c r="C89" s="803">
        <v>2.8966666666666683</v>
      </c>
      <c r="D89" s="803">
        <f t="shared" si="64"/>
        <v>2.8966666666666683</v>
      </c>
      <c r="E89" s="802">
        <f t="shared" si="92"/>
        <v>0.58875</v>
      </c>
      <c r="F89" s="801">
        <f t="shared" si="52"/>
        <v>3.013333333333335</v>
      </c>
      <c r="G89" s="829">
        <f t="shared" si="65"/>
        <v>-2.8966666666666683</v>
      </c>
      <c r="H89" s="829">
        <f t="shared" si="53"/>
        <v>-2.8966666666666683</v>
      </c>
      <c r="I89" s="829">
        <f t="shared" si="54"/>
        <v>-0.58875</v>
      </c>
      <c r="J89" s="829">
        <f t="shared" si="55"/>
        <v>-3.013333333333335</v>
      </c>
      <c r="K89" s="810">
        <f t="shared" si="66"/>
        <v>777.1756666666671</v>
      </c>
      <c r="L89" s="814">
        <f t="shared" si="67"/>
        <v>1302.3413333333342</v>
      </c>
      <c r="M89" s="810">
        <f t="shared" si="68"/>
        <v>110.390625</v>
      </c>
      <c r="N89" s="812">
        <f t="shared" si="69"/>
        <v>726.21333333333371</v>
      </c>
      <c r="O89" s="806">
        <v>14</v>
      </c>
      <c r="P89" s="806">
        <v>14</v>
      </c>
      <c r="Q89" s="806">
        <v>15</v>
      </c>
      <c r="R89" s="806">
        <v>15</v>
      </c>
      <c r="S89" s="809">
        <f t="shared" si="70"/>
        <v>3756.2000000000003</v>
      </c>
      <c r="T89" s="809">
        <f t="shared" si="71"/>
        <v>6294.4000000000005</v>
      </c>
      <c r="U89" s="809">
        <f t="shared" si="72"/>
        <v>2812.5</v>
      </c>
      <c r="V89" s="809">
        <f t="shared" si="73"/>
        <v>3615</v>
      </c>
      <c r="W89" s="816">
        <f t="shared" si="91"/>
        <v>42342</v>
      </c>
      <c r="X89" s="817">
        <f t="shared" si="74"/>
        <v>2979.0243333333333</v>
      </c>
      <c r="Y89" s="460">
        <v>1241.6412617841786</v>
      </c>
      <c r="Z89" s="818">
        <f t="shared" si="75"/>
        <v>1241.6412617841786</v>
      </c>
      <c r="AA89" s="817">
        <f t="shared" si="56"/>
        <v>4992.0586666666659</v>
      </c>
      <c r="AB89" s="460">
        <v>1482.6902384214984</v>
      </c>
      <c r="AC89" s="818">
        <f t="shared" si="76"/>
        <v>1482.6902384214984</v>
      </c>
      <c r="AD89" s="817">
        <f t="shared" si="77"/>
        <v>2702.109375</v>
      </c>
      <c r="AE89" s="460">
        <v>879.56498604449257</v>
      </c>
      <c r="AF89" s="818">
        <f t="shared" si="78"/>
        <v>879.56498604449257</v>
      </c>
      <c r="AG89" s="817">
        <f t="shared" si="57"/>
        <v>2888.7866666666664</v>
      </c>
      <c r="AH89" s="460">
        <v>2762.2700163736563</v>
      </c>
      <c r="AI89" s="818">
        <f t="shared" si="79"/>
        <v>2762.2700163736563</v>
      </c>
      <c r="AJ89" s="824"/>
      <c r="AK89" s="826">
        <f t="shared" si="80"/>
        <v>11.103333333333333</v>
      </c>
      <c r="AL89" s="458">
        <f t="shared" si="81"/>
        <v>4.6278093991210527</v>
      </c>
      <c r="AM89" s="827">
        <f t="shared" si="82"/>
        <v>4.6278093991210527</v>
      </c>
      <c r="AN89" s="836">
        <f t="shared" si="83"/>
        <v>6.4755239342122808</v>
      </c>
      <c r="AO89" s="826">
        <f t="shared" si="84"/>
        <v>11.103333333333332</v>
      </c>
      <c r="AP89" s="458">
        <f t="shared" si="85"/>
        <v>3.2977985730015535</v>
      </c>
      <c r="AQ89" s="827">
        <f t="shared" si="86"/>
        <v>3.2977985730015535</v>
      </c>
      <c r="AR89" s="836">
        <f t="shared" si="87"/>
        <v>7.8055347603317777</v>
      </c>
      <c r="AS89" s="826">
        <f t="shared" si="58"/>
        <v>14.411250000000001</v>
      </c>
      <c r="AT89" s="458">
        <f t="shared" si="59"/>
        <v>4.6910132589039604</v>
      </c>
      <c r="AU89" s="827">
        <f t="shared" si="60"/>
        <v>4.6910132589039604</v>
      </c>
      <c r="AV89" s="836">
        <f t="shared" si="88"/>
        <v>9.7202367410960413</v>
      </c>
      <c r="AW89" s="826">
        <f t="shared" si="61"/>
        <v>11.986666666666666</v>
      </c>
      <c r="AX89" s="458">
        <f t="shared" si="62"/>
        <v>11.46170131275376</v>
      </c>
      <c r="AY89" s="827">
        <f t="shared" si="63"/>
        <v>11.46170131275376</v>
      </c>
      <c r="AZ89" s="836">
        <f t="shared" si="89"/>
        <v>0.524965353912906</v>
      </c>
    </row>
    <row r="90" spans="1:52">
      <c r="A90" s="787">
        <f t="shared" si="90"/>
        <v>42343</v>
      </c>
      <c r="B90" s="786">
        <v>0</v>
      </c>
      <c r="C90" s="803">
        <v>2.8966666666666683</v>
      </c>
      <c r="D90" s="803">
        <f t="shared" si="64"/>
        <v>2.8966666666666683</v>
      </c>
      <c r="E90" s="802">
        <f t="shared" si="92"/>
        <v>0.58875</v>
      </c>
      <c r="F90" s="801">
        <f t="shared" si="52"/>
        <v>3.013333333333335</v>
      </c>
      <c r="G90" s="829">
        <f t="shared" si="65"/>
        <v>-2.8966666666666683</v>
      </c>
      <c r="H90" s="829">
        <f t="shared" si="53"/>
        <v>-2.8966666666666683</v>
      </c>
      <c r="I90" s="829">
        <f t="shared" si="54"/>
        <v>-0.58875</v>
      </c>
      <c r="J90" s="829">
        <f t="shared" si="55"/>
        <v>-3.013333333333335</v>
      </c>
      <c r="K90" s="810">
        <f t="shared" si="66"/>
        <v>777.1756666666671</v>
      </c>
      <c r="L90" s="814">
        <f t="shared" si="67"/>
        <v>1302.3413333333342</v>
      </c>
      <c r="M90" s="810">
        <f t="shared" si="68"/>
        <v>110.390625</v>
      </c>
      <c r="N90" s="812">
        <f t="shared" si="69"/>
        <v>726.21333333333371</v>
      </c>
      <c r="O90" s="806">
        <v>14</v>
      </c>
      <c r="P90" s="806">
        <v>14</v>
      </c>
      <c r="Q90" s="806">
        <v>15</v>
      </c>
      <c r="R90" s="806">
        <v>15</v>
      </c>
      <c r="S90" s="809">
        <f t="shared" si="70"/>
        <v>3756.2000000000003</v>
      </c>
      <c r="T90" s="809">
        <f t="shared" si="71"/>
        <v>6294.4000000000005</v>
      </c>
      <c r="U90" s="809">
        <f t="shared" si="72"/>
        <v>2812.5</v>
      </c>
      <c r="V90" s="809">
        <f t="shared" si="73"/>
        <v>3615</v>
      </c>
      <c r="W90" s="816">
        <f t="shared" si="91"/>
        <v>42343</v>
      </c>
      <c r="X90" s="817">
        <f t="shared" si="74"/>
        <v>2979.0243333333333</v>
      </c>
      <c r="Y90" s="460">
        <v>1187.4143878874183</v>
      </c>
      <c r="Z90" s="818">
        <f t="shared" si="75"/>
        <v>1187.4143878874183</v>
      </c>
      <c r="AA90" s="817">
        <f t="shared" si="56"/>
        <v>4992.0586666666659</v>
      </c>
      <c r="AB90" s="460">
        <v>1362.9104831848367</v>
      </c>
      <c r="AC90" s="818">
        <f t="shared" si="76"/>
        <v>1362.9104831848367</v>
      </c>
      <c r="AD90" s="817">
        <f t="shared" si="77"/>
        <v>2702.109375</v>
      </c>
      <c r="AE90" s="460">
        <v>863.54839148812835</v>
      </c>
      <c r="AF90" s="818">
        <f t="shared" si="78"/>
        <v>863.54839148812835</v>
      </c>
      <c r="AG90" s="817">
        <f t="shared" si="57"/>
        <v>2888.7866666666664</v>
      </c>
      <c r="AH90" s="460">
        <v>2673.4819722117718</v>
      </c>
      <c r="AI90" s="818">
        <f t="shared" si="79"/>
        <v>2673.4819722117718</v>
      </c>
      <c r="AJ90" s="824"/>
      <c r="AK90" s="826">
        <f t="shared" si="80"/>
        <v>11.103333333333333</v>
      </c>
      <c r="AL90" s="458">
        <f t="shared" si="81"/>
        <v>4.4256965631286551</v>
      </c>
      <c r="AM90" s="827">
        <f t="shared" si="82"/>
        <v>4.4256965631286551</v>
      </c>
      <c r="AN90" s="836">
        <f t="shared" si="83"/>
        <v>6.6776367702046784</v>
      </c>
      <c r="AO90" s="826">
        <f t="shared" si="84"/>
        <v>11.103333333333332</v>
      </c>
      <c r="AP90" s="458">
        <f t="shared" si="85"/>
        <v>3.031384526656665</v>
      </c>
      <c r="AQ90" s="827">
        <f t="shared" si="86"/>
        <v>3.031384526656665</v>
      </c>
      <c r="AR90" s="836">
        <f t="shared" si="87"/>
        <v>8.0719488066766658</v>
      </c>
      <c r="AS90" s="826">
        <f t="shared" si="58"/>
        <v>14.411250000000001</v>
      </c>
      <c r="AT90" s="458">
        <f t="shared" si="59"/>
        <v>4.6055914212700184</v>
      </c>
      <c r="AU90" s="827">
        <f t="shared" si="60"/>
        <v>4.6055914212700184</v>
      </c>
      <c r="AV90" s="836">
        <f t="shared" si="88"/>
        <v>9.8056585787299824</v>
      </c>
      <c r="AW90" s="826">
        <f t="shared" si="61"/>
        <v>11.986666666666666</v>
      </c>
      <c r="AX90" s="458">
        <f t="shared" si="62"/>
        <v>11.09328619175009</v>
      </c>
      <c r="AY90" s="827">
        <f t="shared" si="63"/>
        <v>11.09328619175009</v>
      </c>
      <c r="AZ90" s="836">
        <f t="shared" si="89"/>
        <v>0.89338047491657591</v>
      </c>
    </row>
    <row r="91" spans="1:52">
      <c r="A91" s="787">
        <f t="shared" si="90"/>
        <v>42344</v>
      </c>
      <c r="B91" s="786">
        <v>0</v>
      </c>
      <c r="C91" s="803">
        <v>2.8966666666666683</v>
      </c>
      <c r="D91" s="803">
        <f t="shared" si="64"/>
        <v>2.8966666666666683</v>
      </c>
      <c r="E91" s="802">
        <f t="shared" si="92"/>
        <v>0.58875</v>
      </c>
      <c r="F91" s="801">
        <f t="shared" si="52"/>
        <v>3.013333333333335</v>
      </c>
      <c r="G91" s="829">
        <f t="shared" si="65"/>
        <v>-2.8966666666666683</v>
      </c>
      <c r="H91" s="829">
        <f t="shared" si="53"/>
        <v>-2.8966666666666683</v>
      </c>
      <c r="I91" s="829">
        <f t="shared" si="54"/>
        <v>-0.58875</v>
      </c>
      <c r="J91" s="829">
        <f t="shared" si="55"/>
        <v>-3.013333333333335</v>
      </c>
      <c r="K91" s="810">
        <f t="shared" si="66"/>
        <v>777.1756666666671</v>
      </c>
      <c r="L91" s="814">
        <f t="shared" si="67"/>
        <v>1302.3413333333342</v>
      </c>
      <c r="M91" s="810">
        <f t="shared" si="68"/>
        <v>110.390625</v>
      </c>
      <c r="N91" s="812">
        <f t="shared" si="69"/>
        <v>726.21333333333371</v>
      </c>
      <c r="O91" s="806">
        <v>14</v>
      </c>
      <c r="P91" s="806">
        <v>14</v>
      </c>
      <c r="Q91" s="806">
        <v>15</v>
      </c>
      <c r="R91" s="806">
        <v>15</v>
      </c>
      <c r="S91" s="809">
        <f t="shared" si="70"/>
        <v>3756.2000000000003</v>
      </c>
      <c r="T91" s="809">
        <f t="shared" si="71"/>
        <v>6294.4000000000005</v>
      </c>
      <c r="U91" s="809">
        <f t="shared" si="72"/>
        <v>2812.5</v>
      </c>
      <c r="V91" s="809">
        <f t="shared" si="73"/>
        <v>3615</v>
      </c>
      <c r="W91" s="816">
        <f t="shared" si="91"/>
        <v>42344</v>
      </c>
      <c r="X91" s="817">
        <f t="shared" si="74"/>
        <v>2979.0243333333333</v>
      </c>
      <c r="Y91" s="460">
        <v>1132.8737831347403</v>
      </c>
      <c r="Z91" s="818">
        <f t="shared" si="75"/>
        <v>1132.8737831347403</v>
      </c>
      <c r="AA91" s="817">
        <f t="shared" si="56"/>
        <v>4992.0586666666659</v>
      </c>
      <c r="AB91" s="460">
        <v>1223.3933105147364</v>
      </c>
      <c r="AC91" s="818">
        <f t="shared" si="76"/>
        <v>1223.3933105147364</v>
      </c>
      <c r="AD91" s="817">
        <f t="shared" si="77"/>
        <v>2702.109375</v>
      </c>
      <c r="AE91" s="460">
        <v>845.44158946504399</v>
      </c>
      <c r="AF91" s="818">
        <f t="shared" si="78"/>
        <v>845.44158946504399</v>
      </c>
      <c r="AG91" s="817">
        <f t="shared" si="57"/>
        <v>2888.7866666666664</v>
      </c>
      <c r="AH91" s="460">
        <v>2568.2155192763039</v>
      </c>
      <c r="AI91" s="818">
        <f t="shared" si="79"/>
        <v>2568.2155192763039</v>
      </c>
      <c r="AJ91" s="824"/>
      <c r="AK91" s="826">
        <f t="shared" si="80"/>
        <v>11.103333333333333</v>
      </c>
      <c r="AL91" s="458">
        <f t="shared" si="81"/>
        <v>4.2224143985640712</v>
      </c>
      <c r="AM91" s="827">
        <f t="shared" si="82"/>
        <v>4.2224143985640712</v>
      </c>
      <c r="AN91" s="836">
        <f t="shared" si="83"/>
        <v>6.8809189347692623</v>
      </c>
      <c r="AO91" s="826">
        <f t="shared" si="84"/>
        <v>11.103333333333332</v>
      </c>
      <c r="AP91" s="458">
        <f t="shared" si="85"/>
        <v>2.7210705305043072</v>
      </c>
      <c r="AQ91" s="827">
        <f t="shared" si="86"/>
        <v>2.7210705305043072</v>
      </c>
      <c r="AR91" s="836">
        <f t="shared" si="87"/>
        <v>8.3822628028290254</v>
      </c>
      <c r="AS91" s="826">
        <f t="shared" si="58"/>
        <v>14.411250000000001</v>
      </c>
      <c r="AT91" s="458">
        <f t="shared" si="59"/>
        <v>4.5090218104802346</v>
      </c>
      <c r="AU91" s="827">
        <f t="shared" si="60"/>
        <v>4.5090218104802346</v>
      </c>
      <c r="AV91" s="836">
        <f t="shared" si="88"/>
        <v>9.9022281895197661</v>
      </c>
      <c r="AW91" s="826">
        <f t="shared" si="61"/>
        <v>11.986666666666666</v>
      </c>
      <c r="AX91" s="458">
        <f t="shared" si="62"/>
        <v>10.65649593060707</v>
      </c>
      <c r="AY91" s="827">
        <f t="shared" si="63"/>
        <v>10.65649593060707</v>
      </c>
      <c r="AZ91" s="836">
        <f t="shared" si="89"/>
        <v>1.3301707360595962</v>
      </c>
    </row>
    <row r="92" spans="1:52">
      <c r="A92" s="787">
        <f t="shared" si="90"/>
        <v>42345</v>
      </c>
      <c r="B92" s="786">
        <v>0</v>
      </c>
      <c r="C92" s="803">
        <v>2.8966666666666683</v>
      </c>
      <c r="D92" s="803">
        <f t="shared" si="64"/>
        <v>2.8966666666666683</v>
      </c>
      <c r="E92" s="802">
        <f t="shared" si="92"/>
        <v>0.58875</v>
      </c>
      <c r="F92" s="801">
        <f t="shared" si="52"/>
        <v>3.013333333333335</v>
      </c>
      <c r="G92" s="829">
        <f t="shared" si="65"/>
        <v>-2.8966666666666683</v>
      </c>
      <c r="H92" s="829">
        <f t="shared" si="53"/>
        <v>-2.8966666666666683</v>
      </c>
      <c r="I92" s="829">
        <f t="shared" si="54"/>
        <v>-0.58875</v>
      </c>
      <c r="J92" s="829">
        <f t="shared" si="55"/>
        <v>-3.013333333333335</v>
      </c>
      <c r="K92" s="810">
        <f t="shared" si="66"/>
        <v>777.1756666666671</v>
      </c>
      <c r="L92" s="814">
        <f t="shared" si="67"/>
        <v>1302.3413333333342</v>
      </c>
      <c r="M92" s="810">
        <f t="shared" si="68"/>
        <v>110.390625</v>
      </c>
      <c r="N92" s="812">
        <f t="shared" si="69"/>
        <v>726.21333333333371</v>
      </c>
      <c r="O92" s="806">
        <v>14</v>
      </c>
      <c r="P92" s="806">
        <v>14</v>
      </c>
      <c r="Q92" s="806">
        <v>15</v>
      </c>
      <c r="R92" s="806">
        <v>15</v>
      </c>
      <c r="S92" s="809">
        <f t="shared" si="70"/>
        <v>3756.2000000000003</v>
      </c>
      <c r="T92" s="809">
        <f t="shared" si="71"/>
        <v>6294.4000000000005</v>
      </c>
      <c r="U92" s="809">
        <f t="shared" si="72"/>
        <v>2812.5</v>
      </c>
      <c r="V92" s="809">
        <f t="shared" si="73"/>
        <v>3615</v>
      </c>
      <c r="W92" s="816">
        <f t="shared" si="91"/>
        <v>42345</v>
      </c>
      <c r="X92" s="817">
        <f t="shared" si="74"/>
        <v>2979.0243333333333</v>
      </c>
      <c r="Y92" s="460">
        <v>1077.981093374992</v>
      </c>
      <c r="Z92" s="818">
        <f t="shared" si="75"/>
        <v>1077.981093374992</v>
      </c>
      <c r="AA92" s="817">
        <f t="shared" si="56"/>
        <v>4992.0586666666659</v>
      </c>
      <c r="AB92" s="460">
        <v>1051.3244830317165</v>
      </c>
      <c r="AC92" s="818">
        <f t="shared" si="76"/>
        <v>1051.3244830317165</v>
      </c>
      <c r="AD92" s="817">
        <f t="shared" si="77"/>
        <v>2702.109375</v>
      </c>
      <c r="AE92" s="460">
        <v>824.20109357422655</v>
      </c>
      <c r="AF92" s="818">
        <f t="shared" si="78"/>
        <v>824.20109357422655</v>
      </c>
      <c r="AG92" s="817">
        <f t="shared" si="57"/>
        <v>2888.7866666666664</v>
      </c>
      <c r="AH92" s="460">
        <v>2440.312088437674</v>
      </c>
      <c r="AI92" s="818">
        <f t="shared" si="79"/>
        <v>2440.312088437674</v>
      </c>
      <c r="AJ92" s="824"/>
      <c r="AK92" s="826">
        <f t="shared" si="80"/>
        <v>11.103333333333333</v>
      </c>
      <c r="AL92" s="458">
        <f t="shared" si="81"/>
        <v>4.0178199529444356</v>
      </c>
      <c r="AM92" s="827">
        <f t="shared" si="82"/>
        <v>4.0178199529444356</v>
      </c>
      <c r="AN92" s="836">
        <f t="shared" si="83"/>
        <v>7.0855133803888979</v>
      </c>
      <c r="AO92" s="826">
        <f t="shared" si="84"/>
        <v>11.103333333333332</v>
      </c>
      <c r="AP92" s="458">
        <f t="shared" si="85"/>
        <v>2.3383551668854907</v>
      </c>
      <c r="AQ92" s="827">
        <f t="shared" si="86"/>
        <v>2.3383551668854907</v>
      </c>
      <c r="AR92" s="836">
        <f t="shared" si="87"/>
        <v>8.7649781664478414</v>
      </c>
      <c r="AS92" s="826">
        <f t="shared" si="58"/>
        <v>14.411250000000001</v>
      </c>
      <c r="AT92" s="458">
        <f t="shared" si="59"/>
        <v>4.395739165729208</v>
      </c>
      <c r="AU92" s="827">
        <f t="shared" si="60"/>
        <v>4.395739165729208</v>
      </c>
      <c r="AV92" s="836">
        <f t="shared" si="88"/>
        <v>10.015510834270792</v>
      </c>
      <c r="AW92" s="826">
        <f t="shared" si="61"/>
        <v>11.986666666666666</v>
      </c>
      <c r="AX92" s="458">
        <f t="shared" si="62"/>
        <v>10.125776300571262</v>
      </c>
      <c r="AY92" s="827">
        <f t="shared" si="63"/>
        <v>10.125776300571262</v>
      </c>
      <c r="AZ92" s="836">
        <f t="shared" si="89"/>
        <v>1.8608903660954041</v>
      </c>
    </row>
    <row r="93" spans="1:52">
      <c r="A93" s="787">
        <f t="shared" si="90"/>
        <v>42346</v>
      </c>
      <c r="B93" s="786">
        <v>0</v>
      </c>
      <c r="C93" s="803">
        <v>2.8966666666666683</v>
      </c>
      <c r="D93" s="803">
        <f t="shared" si="64"/>
        <v>2.8966666666666683</v>
      </c>
      <c r="E93" s="802">
        <f t="shared" si="92"/>
        <v>0.58875</v>
      </c>
      <c r="F93" s="801">
        <f t="shared" si="52"/>
        <v>3.013333333333335</v>
      </c>
      <c r="G93" s="829">
        <f t="shared" si="65"/>
        <v>-2.8966666666666683</v>
      </c>
      <c r="H93" s="829">
        <f t="shared" si="53"/>
        <v>-2.8966666666666683</v>
      </c>
      <c r="I93" s="829">
        <f t="shared" si="54"/>
        <v>-0.58875</v>
      </c>
      <c r="J93" s="829">
        <f t="shared" si="55"/>
        <v>-3.013333333333335</v>
      </c>
      <c r="K93" s="810">
        <f t="shared" si="66"/>
        <v>777.1756666666671</v>
      </c>
      <c r="L93" s="814">
        <f t="shared" si="67"/>
        <v>1302.3413333333342</v>
      </c>
      <c r="M93" s="810">
        <f t="shared" si="68"/>
        <v>110.390625</v>
      </c>
      <c r="N93" s="812">
        <f t="shared" si="69"/>
        <v>726.21333333333371</v>
      </c>
      <c r="O93" s="806">
        <v>14</v>
      </c>
      <c r="P93" s="806">
        <v>14</v>
      </c>
      <c r="Q93" s="806">
        <v>15</v>
      </c>
      <c r="R93" s="806">
        <v>15</v>
      </c>
      <c r="S93" s="809">
        <f t="shared" si="70"/>
        <v>3756.2000000000003</v>
      </c>
      <c r="T93" s="809">
        <f t="shared" si="71"/>
        <v>6294.4000000000005</v>
      </c>
      <c r="U93" s="809">
        <f t="shared" si="72"/>
        <v>2812.5</v>
      </c>
      <c r="V93" s="809">
        <f t="shared" si="73"/>
        <v>3615</v>
      </c>
      <c r="W93" s="816">
        <f t="shared" si="91"/>
        <v>42346</v>
      </c>
      <c r="X93" s="817">
        <f t="shared" si="74"/>
        <v>2979.0243333333333</v>
      </c>
      <c r="Y93" s="460">
        <v>1027.3549772598574</v>
      </c>
      <c r="Z93" s="818">
        <f t="shared" si="75"/>
        <v>1027.3549772598574</v>
      </c>
      <c r="AA93" s="817">
        <f t="shared" si="56"/>
        <v>4992.0586666666659</v>
      </c>
      <c r="AB93" s="460">
        <v>883.40396133764955</v>
      </c>
      <c r="AC93" s="818">
        <f t="shared" si="76"/>
        <v>883.40396133764955</v>
      </c>
      <c r="AD93" s="817">
        <f t="shared" si="77"/>
        <v>2702.109375</v>
      </c>
      <c r="AE93" s="460">
        <v>802.67508610903872</v>
      </c>
      <c r="AF93" s="818">
        <f t="shared" si="78"/>
        <v>802.67508610903872</v>
      </c>
      <c r="AG93" s="817">
        <f t="shared" si="57"/>
        <v>2888.7866666666664</v>
      </c>
      <c r="AH93" s="460">
        <v>2293.0681461570912</v>
      </c>
      <c r="AI93" s="818">
        <f t="shared" si="79"/>
        <v>2293.0681461570912</v>
      </c>
      <c r="AJ93" s="824"/>
      <c r="AK93" s="826">
        <f t="shared" si="80"/>
        <v>11.103333333333333</v>
      </c>
      <c r="AL93" s="458">
        <f t="shared" si="81"/>
        <v>3.8291277572115447</v>
      </c>
      <c r="AM93" s="827">
        <f t="shared" si="82"/>
        <v>3.8291277572115447</v>
      </c>
      <c r="AN93" s="836">
        <f t="shared" si="83"/>
        <v>7.2742055761217888</v>
      </c>
      <c r="AO93" s="826">
        <f t="shared" si="84"/>
        <v>11.103333333333332</v>
      </c>
      <c r="AP93" s="458">
        <f t="shared" si="85"/>
        <v>1.9648664620499321</v>
      </c>
      <c r="AQ93" s="827">
        <f t="shared" si="86"/>
        <v>1.9648664620499321</v>
      </c>
      <c r="AR93" s="836">
        <f t="shared" si="87"/>
        <v>9.1384668712834003</v>
      </c>
      <c r="AS93" s="826">
        <f t="shared" si="58"/>
        <v>14.411250000000001</v>
      </c>
      <c r="AT93" s="458">
        <f t="shared" si="59"/>
        <v>4.2809337925815401</v>
      </c>
      <c r="AU93" s="827">
        <f t="shared" si="60"/>
        <v>4.2809337925815401</v>
      </c>
      <c r="AV93" s="836">
        <f t="shared" si="88"/>
        <v>10.13031620741846</v>
      </c>
      <c r="AW93" s="826">
        <f t="shared" si="61"/>
        <v>11.986666666666666</v>
      </c>
      <c r="AX93" s="458">
        <f t="shared" si="62"/>
        <v>9.5148055857140701</v>
      </c>
      <c r="AY93" s="827">
        <f t="shared" si="63"/>
        <v>9.5148055857140701</v>
      </c>
      <c r="AZ93" s="836">
        <f t="shared" si="89"/>
        <v>2.4718610809525963</v>
      </c>
    </row>
    <row r="94" spans="1:52">
      <c r="A94" s="787">
        <f t="shared" si="90"/>
        <v>42347</v>
      </c>
      <c r="B94" s="786">
        <v>1.6500000000000001</v>
      </c>
      <c r="C94" s="803">
        <v>2.8966666666666683</v>
      </c>
      <c r="D94" s="803">
        <f t="shared" si="64"/>
        <v>2.8966666666666683</v>
      </c>
      <c r="E94" s="802">
        <f t="shared" si="92"/>
        <v>0.58875</v>
      </c>
      <c r="F94" s="801">
        <f t="shared" si="52"/>
        <v>3.013333333333335</v>
      </c>
      <c r="G94" s="829">
        <f t="shared" si="65"/>
        <v>-2.8966666666666683</v>
      </c>
      <c r="H94" s="829">
        <f t="shared" si="53"/>
        <v>-2.8966666666666683</v>
      </c>
      <c r="I94" s="829">
        <f t="shared" si="54"/>
        <v>-0.58875</v>
      </c>
      <c r="J94" s="829">
        <f t="shared" si="55"/>
        <v>-3.013333333333335</v>
      </c>
      <c r="K94" s="810">
        <f t="shared" si="66"/>
        <v>777.1756666666671</v>
      </c>
      <c r="L94" s="814">
        <f t="shared" si="67"/>
        <v>1302.3413333333342</v>
      </c>
      <c r="M94" s="810">
        <f t="shared" si="68"/>
        <v>110.390625</v>
      </c>
      <c r="N94" s="812">
        <f t="shared" si="69"/>
        <v>726.21333333333371</v>
      </c>
      <c r="O94" s="806">
        <v>14</v>
      </c>
      <c r="P94" s="806">
        <v>14</v>
      </c>
      <c r="Q94" s="806">
        <v>15</v>
      </c>
      <c r="R94" s="806">
        <v>15</v>
      </c>
      <c r="S94" s="809">
        <f t="shared" si="70"/>
        <v>3756.2000000000003</v>
      </c>
      <c r="T94" s="809">
        <f t="shared" si="71"/>
        <v>6294.4000000000005</v>
      </c>
      <c r="U94" s="809">
        <f t="shared" si="72"/>
        <v>2812.5</v>
      </c>
      <c r="V94" s="809">
        <f t="shared" si="73"/>
        <v>3615</v>
      </c>
      <c r="W94" s="816">
        <f t="shared" si="91"/>
        <v>42347</v>
      </c>
      <c r="X94" s="817">
        <f t="shared" si="74"/>
        <v>2979.0243333333333</v>
      </c>
      <c r="Y94" s="460">
        <v>979.41849723562041</v>
      </c>
      <c r="Z94" s="818">
        <f t="shared" si="75"/>
        <v>979.41849723562041</v>
      </c>
      <c r="AA94" s="817">
        <f t="shared" si="56"/>
        <v>4992.0586666666659</v>
      </c>
      <c r="AB94" s="460">
        <v>719.36004060062578</v>
      </c>
      <c r="AC94" s="818">
        <f t="shared" si="76"/>
        <v>719.36004060062578</v>
      </c>
      <c r="AD94" s="817">
        <f t="shared" si="77"/>
        <v>2702.109375</v>
      </c>
      <c r="AE94" s="460">
        <v>786.23032703289482</v>
      </c>
      <c r="AF94" s="818">
        <f t="shared" si="78"/>
        <v>786.23032703289482</v>
      </c>
      <c r="AG94" s="817">
        <f t="shared" si="57"/>
        <v>2888.7866666666664</v>
      </c>
      <c r="AH94" s="460">
        <v>2151.621198652464</v>
      </c>
      <c r="AI94" s="818">
        <f t="shared" si="79"/>
        <v>2151.621198652464</v>
      </c>
      <c r="AJ94" s="824"/>
      <c r="AK94" s="826">
        <f t="shared" si="80"/>
        <v>11.103333333333333</v>
      </c>
      <c r="AL94" s="458">
        <f t="shared" si="81"/>
        <v>3.6504602953247125</v>
      </c>
      <c r="AM94" s="827">
        <f t="shared" si="82"/>
        <v>3.6504602953247125</v>
      </c>
      <c r="AN94" s="836">
        <f t="shared" si="83"/>
        <v>7.4528730380086206</v>
      </c>
      <c r="AO94" s="826">
        <f t="shared" si="84"/>
        <v>11.103333333333332</v>
      </c>
      <c r="AP94" s="458">
        <f t="shared" si="85"/>
        <v>1.6000000903038829</v>
      </c>
      <c r="AQ94" s="827">
        <f t="shared" si="86"/>
        <v>1.6000000903038829</v>
      </c>
      <c r="AR94" s="836">
        <f t="shared" si="87"/>
        <v>9.5033332430294486</v>
      </c>
      <c r="AS94" s="826">
        <f t="shared" si="58"/>
        <v>14.411250000000001</v>
      </c>
      <c r="AT94" s="458">
        <f t="shared" si="59"/>
        <v>4.1932284108421056</v>
      </c>
      <c r="AU94" s="827">
        <f t="shared" si="60"/>
        <v>4.1932284108421056</v>
      </c>
      <c r="AV94" s="836">
        <f t="shared" si="88"/>
        <v>10.218021589157896</v>
      </c>
      <c r="AW94" s="826">
        <f t="shared" si="61"/>
        <v>11.986666666666666</v>
      </c>
      <c r="AX94" s="458">
        <f t="shared" si="62"/>
        <v>8.9278887910890621</v>
      </c>
      <c r="AY94" s="827">
        <f t="shared" si="63"/>
        <v>8.9278887910890621</v>
      </c>
      <c r="AZ94" s="836">
        <f t="shared" si="89"/>
        <v>3.0587778755776043</v>
      </c>
    </row>
    <row r="95" spans="1:52">
      <c r="A95" s="787">
        <f t="shared" si="90"/>
        <v>42348</v>
      </c>
      <c r="B95" s="786">
        <v>0.1</v>
      </c>
      <c r="C95" s="803">
        <v>2.8966666666666683</v>
      </c>
      <c r="D95" s="803">
        <f t="shared" si="64"/>
        <v>2.8966666666666683</v>
      </c>
      <c r="E95" s="802">
        <f t="shared" si="92"/>
        <v>0.58875</v>
      </c>
      <c r="F95" s="801">
        <f t="shared" si="52"/>
        <v>3.013333333333335</v>
      </c>
      <c r="G95" s="829">
        <f t="shared" si="65"/>
        <v>-2.8966666666666683</v>
      </c>
      <c r="H95" s="829">
        <f t="shared" si="53"/>
        <v>-2.8966666666666683</v>
      </c>
      <c r="I95" s="829">
        <f t="shared" si="54"/>
        <v>-0.58875</v>
      </c>
      <c r="J95" s="829">
        <f t="shared" si="55"/>
        <v>-3.013333333333335</v>
      </c>
      <c r="K95" s="810">
        <f t="shared" si="66"/>
        <v>777.1756666666671</v>
      </c>
      <c r="L95" s="814">
        <f t="shared" si="67"/>
        <v>1302.3413333333342</v>
      </c>
      <c r="M95" s="810">
        <f t="shared" si="68"/>
        <v>110.390625</v>
      </c>
      <c r="N95" s="812">
        <f t="shared" si="69"/>
        <v>726.21333333333371</v>
      </c>
      <c r="O95" s="806">
        <v>14</v>
      </c>
      <c r="P95" s="806">
        <v>14</v>
      </c>
      <c r="Q95" s="806">
        <v>15</v>
      </c>
      <c r="R95" s="806">
        <v>15</v>
      </c>
      <c r="S95" s="809">
        <f t="shared" si="70"/>
        <v>3756.2000000000003</v>
      </c>
      <c r="T95" s="809">
        <f t="shared" si="71"/>
        <v>6294.4000000000005</v>
      </c>
      <c r="U95" s="809">
        <f t="shared" si="72"/>
        <v>2812.5</v>
      </c>
      <c r="V95" s="809">
        <f t="shared" si="73"/>
        <v>3615</v>
      </c>
      <c r="W95" s="816">
        <f t="shared" si="91"/>
        <v>42348</v>
      </c>
      <c r="X95" s="817">
        <f t="shared" si="74"/>
        <v>2979.0243333333333</v>
      </c>
      <c r="Y95" s="460">
        <v>932.28113652194656</v>
      </c>
      <c r="Z95" s="818">
        <f t="shared" si="75"/>
        <v>932.28113652194656</v>
      </c>
      <c r="AA95" s="817">
        <f t="shared" si="56"/>
        <v>4992.0586666666659</v>
      </c>
      <c r="AB95" s="460">
        <v>548.63145132064733</v>
      </c>
      <c r="AC95" s="818">
        <f t="shared" si="76"/>
        <v>548.63145132064733</v>
      </c>
      <c r="AD95" s="817">
        <f t="shared" si="77"/>
        <v>2702.109375</v>
      </c>
      <c r="AE95" s="460">
        <v>769.68899629312682</v>
      </c>
      <c r="AF95" s="818">
        <f t="shared" si="78"/>
        <v>769.68899629312682</v>
      </c>
      <c r="AG95" s="817">
        <f t="shared" si="57"/>
        <v>2888.7866666666664</v>
      </c>
      <c r="AH95" s="460">
        <v>2009.9706469066653</v>
      </c>
      <c r="AI95" s="818">
        <f t="shared" si="79"/>
        <v>2009.9706469066653</v>
      </c>
      <c r="AJ95" s="824"/>
      <c r="AK95" s="826">
        <f t="shared" si="80"/>
        <v>11.103333333333333</v>
      </c>
      <c r="AL95" s="458">
        <f t="shared" si="81"/>
        <v>3.4747712878194057</v>
      </c>
      <c r="AM95" s="827">
        <f t="shared" si="82"/>
        <v>3.4747712878194057</v>
      </c>
      <c r="AN95" s="836">
        <f t="shared" si="83"/>
        <v>7.6285620455139274</v>
      </c>
      <c r="AO95" s="826">
        <f t="shared" si="84"/>
        <v>11.103333333333332</v>
      </c>
      <c r="AP95" s="458">
        <f t="shared" si="85"/>
        <v>1.2202656835423649</v>
      </c>
      <c r="AQ95" s="827">
        <f t="shared" si="86"/>
        <v>1.2202656835423649</v>
      </c>
      <c r="AR95" s="836">
        <f t="shared" si="87"/>
        <v>9.8830676497909664</v>
      </c>
      <c r="AS95" s="826">
        <f t="shared" si="58"/>
        <v>14.411250000000001</v>
      </c>
      <c r="AT95" s="458">
        <f t="shared" si="59"/>
        <v>4.1050079802300097</v>
      </c>
      <c r="AU95" s="827">
        <f t="shared" si="60"/>
        <v>4.1050079802300097</v>
      </c>
      <c r="AV95" s="836">
        <f t="shared" si="88"/>
        <v>10.306242019769991</v>
      </c>
      <c r="AW95" s="826">
        <f t="shared" si="61"/>
        <v>11.986666666666666</v>
      </c>
      <c r="AX95" s="458">
        <f t="shared" si="62"/>
        <v>8.3401271655878215</v>
      </c>
      <c r="AY95" s="827">
        <f t="shared" si="63"/>
        <v>8.3401271655878215</v>
      </c>
      <c r="AZ95" s="836">
        <f t="shared" si="89"/>
        <v>3.6465395010788448</v>
      </c>
    </row>
    <row r="96" spans="1:52">
      <c r="A96" s="787">
        <f t="shared" si="90"/>
        <v>42349</v>
      </c>
      <c r="B96" s="786">
        <v>0.95</v>
      </c>
      <c r="C96" s="803">
        <v>2.8966666666666683</v>
      </c>
      <c r="D96" s="803">
        <f t="shared" si="64"/>
        <v>2.8966666666666683</v>
      </c>
      <c r="E96" s="802">
        <f t="shared" si="92"/>
        <v>0.58875</v>
      </c>
      <c r="F96" s="801">
        <f t="shared" si="52"/>
        <v>3.013333333333335</v>
      </c>
      <c r="G96" s="829">
        <f t="shared" si="65"/>
        <v>-2.8966666666666683</v>
      </c>
      <c r="H96" s="829">
        <f t="shared" si="53"/>
        <v>-2.8966666666666683</v>
      </c>
      <c r="I96" s="829">
        <f t="shared" si="54"/>
        <v>-0.58875</v>
      </c>
      <c r="J96" s="829">
        <f t="shared" si="55"/>
        <v>-3.013333333333335</v>
      </c>
      <c r="K96" s="810">
        <f t="shared" si="66"/>
        <v>777.1756666666671</v>
      </c>
      <c r="L96" s="814">
        <f t="shared" si="67"/>
        <v>1302.3413333333342</v>
      </c>
      <c r="M96" s="810">
        <f t="shared" si="68"/>
        <v>110.390625</v>
      </c>
      <c r="N96" s="812">
        <f t="shared" si="69"/>
        <v>726.21333333333371</v>
      </c>
      <c r="O96" s="806">
        <v>14</v>
      </c>
      <c r="P96" s="806">
        <v>14</v>
      </c>
      <c r="Q96" s="806">
        <v>15</v>
      </c>
      <c r="R96" s="806">
        <v>15</v>
      </c>
      <c r="S96" s="809">
        <f t="shared" si="70"/>
        <v>3756.2000000000003</v>
      </c>
      <c r="T96" s="809">
        <f t="shared" si="71"/>
        <v>6294.4000000000005</v>
      </c>
      <c r="U96" s="809">
        <f t="shared" si="72"/>
        <v>2812.5</v>
      </c>
      <c r="V96" s="809">
        <f t="shared" si="73"/>
        <v>3615</v>
      </c>
      <c r="W96" s="816">
        <f t="shared" si="91"/>
        <v>42349</v>
      </c>
      <c r="X96" s="817">
        <f t="shared" si="74"/>
        <v>2979.0243333333333</v>
      </c>
      <c r="Y96" s="460">
        <v>885.58839910450149</v>
      </c>
      <c r="Z96" s="818">
        <f t="shared" si="75"/>
        <v>885.58839910450149</v>
      </c>
      <c r="AA96" s="817">
        <f t="shared" si="56"/>
        <v>4992.0586666666659</v>
      </c>
      <c r="AB96" s="460">
        <v>362.05701599821708</v>
      </c>
      <c r="AC96" s="818">
        <f t="shared" si="76"/>
        <v>362.05701599821708</v>
      </c>
      <c r="AD96" s="817">
        <f t="shared" si="77"/>
        <v>2702.109375</v>
      </c>
      <c r="AE96" s="460">
        <v>748.19797470494802</v>
      </c>
      <c r="AF96" s="818">
        <f t="shared" si="78"/>
        <v>748.19797470494802</v>
      </c>
      <c r="AG96" s="817">
        <f t="shared" si="57"/>
        <v>2888.7866666666664</v>
      </c>
      <c r="AH96" s="460">
        <v>1867.3264961794678</v>
      </c>
      <c r="AI96" s="818">
        <f t="shared" si="79"/>
        <v>1867.3264961794678</v>
      </c>
      <c r="AJ96" s="824"/>
      <c r="AK96" s="826">
        <f t="shared" si="80"/>
        <v>11.103333333333333</v>
      </c>
      <c r="AL96" s="458">
        <f t="shared" si="81"/>
        <v>3.3007394674040307</v>
      </c>
      <c r="AM96" s="827">
        <f t="shared" si="82"/>
        <v>3.3007394674040307</v>
      </c>
      <c r="AN96" s="836">
        <f t="shared" si="83"/>
        <v>7.8025938659293033</v>
      </c>
      <c r="AO96" s="826">
        <f t="shared" si="84"/>
        <v>11.103333333333332</v>
      </c>
      <c r="AP96" s="458">
        <f t="shared" si="85"/>
        <v>0.80528695729140809</v>
      </c>
      <c r="AQ96" s="827">
        <f t="shared" si="86"/>
        <v>0.80528695729140809</v>
      </c>
      <c r="AR96" s="836">
        <f t="shared" si="87"/>
        <v>10.298046376041924</v>
      </c>
      <c r="AS96" s="826">
        <f t="shared" si="58"/>
        <v>14.411250000000001</v>
      </c>
      <c r="AT96" s="458">
        <f t="shared" si="59"/>
        <v>3.9903891984263895</v>
      </c>
      <c r="AU96" s="827">
        <f t="shared" si="60"/>
        <v>3.9903891984263895</v>
      </c>
      <c r="AV96" s="836">
        <f t="shared" si="88"/>
        <v>10.42086080157361</v>
      </c>
      <c r="AW96" s="826">
        <f t="shared" si="61"/>
        <v>11.986666666666666</v>
      </c>
      <c r="AX96" s="458">
        <f t="shared" si="62"/>
        <v>7.7482427227363813</v>
      </c>
      <c r="AY96" s="827">
        <f t="shared" si="63"/>
        <v>7.7482427227363813</v>
      </c>
      <c r="AZ96" s="836">
        <f t="shared" si="89"/>
        <v>4.2384239439302851</v>
      </c>
    </row>
    <row r="97" spans="1:52">
      <c r="A97" s="787">
        <f t="shared" si="90"/>
        <v>42350</v>
      </c>
      <c r="B97" s="786">
        <v>0</v>
      </c>
      <c r="C97" s="803">
        <v>2.8966666666666683</v>
      </c>
      <c r="D97" s="803">
        <f t="shared" si="64"/>
        <v>2.8966666666666683</v>
      </c>
      <c r="E97" s="802">
        <f t="shared" si="92"/>
        <v>0.58875</v>
      </c>
      <c r="F97" s="800">
        <f t="shared" ref="F97:F126" si="93">AVERAGE(B$97:B$126)</f>
        <v>2.6666666666666668E-2</v>
      </c>
      <c r="G97" s="829">
        <f t="shared" si="65"/>
        <v>-2.8966666666666683</v>
      </c>
      <c r="H97" s="829">
        <f t="shared" si="53"/>
        <v>-2.8966666666666683</v>
      </c>
      <c r="I97" s="829">
        <f t="shared" si="54"/>
        <v>-0.58875</v>
      </c>
      <c r="J97" s="829">
        <f t="shared" si="55"/>
        <v>-2.6666666666666668E-2</v>
      </c>
      <c r="K97" s="810">
        <f t="shared" si="66"/>
        <v>777.1756666666671</v>
      </c>
      <c r="L97" s="814">
        <f t="shared" si="67"/>
        <v>1302.3413333333342</v>
      </c>
      <c r="M97" s="810">
        <f t="shared" si="68"/>
        <v>110.390625</v>
      </c>
      <c r="N97" s="811">
        <f t="shared" si="69"/>
        <v>6.4266666666666676</v>
      </c>
      <c r="O97" s="806">
        <v>14</v>
      </c>
      <c r="P97" s="806">
        <v>14</v>
      </c>
      <c r="Q97" s="806">
        <v>15</v>
      </c>
      <c r="R97" s="806">
        <v>4</v>
      </c>
      <c r="S97" s="809">
        <f t="shared" si="70"/>
        <v>3756.2000000000003</v>
      </c>
      <c r="T97" s="809">
        <f t="shared" si="71"/>
        <v>6294.4000000000005</v>
      </c>
      <c r="U97" s="809">
        <f t="shared" si="72"/>
        <v>2812.5</v>
      </c>
      <c r="V97" s="809">
        <f t="shared" si="73"/>
        <v>964</v>
      </c>
      <c r="W97" s="816">
        <f t="shared" si="91"/>
        <v>42350</v>
      </c>
      <c r="X97" s="817">
        <f t="shared" si="74"/>
        <v>2979.0243333333333</v>
      </c>
      <c r="Y97" s="460">
        <v>842.31892711079547</v>
      </c>
      <c r="Z97" s="818">
        <f t="shared" si="75"/>
        <v>842.31892711079547</v>
      </c>
      <c r="AA97" s="817">
        <f t="shared" si="56"/>
        <v>4992.0586666666659</v>
      </c>
      <c r="AB97" s="460">
        <v>182.16945316114902</v>
      </c>
      <c r="AC97" s="818">
        <f t="shared" si="76"/>
        <v>182.16945316114902</v>
      </c>
      <c r="AD97" s="817">
        <f t="shared" si="77"/>
        <v>2702.109375</v>
      </c>
      <c r="AE97" s="460">
        <v>727.34304174103215</v>
      </c>
      <c r="AF97" s="818">
        <f t="shared" si="78"/>
        <v>727.34304174103215</v>
      </c>
      <c r="AG97" s="817">
        <f t="shared" si="57"/>
        <v>957.57333333333338</v>
      </c>
      <c r="AH97" s="460">
        <v>1718.7199611044221</v>
      </c>
      <c r="AI97" s="818">
        <f t="shared" si="79"/>
        <v>957.57333333333338</v>
      </c>
      <c r="AJ97" s="824"/>
      <c r="AK97" s="826">
        <f t="shared" si="80"/>
        <v>11.103333333333333</v>
      </c>
      <c r="AL97" s="458">
        <f t="shared" si="81"/>
        <v>3.1394667428654324</v>
      </c>
      <c r="AM97" s="827">
        <f t="shared" si="82"/>
        <v>3.1394667428654324</v>
      </c>
      <c r="AN97" s="836">
        <f t="shared" si="83"/>
        <v>7.9638665904679016</v>
      </c>
      <c r="AO97" s="826">
        <f t="shared" si="84"/>
        <v>11.103333333333332</v>
      </c>
      <c r="AP97" s="458">
        <f t="shared" si="85"/>
        <v>0.40518116806305388</v>
      </c>
      <c r="AQ97" s="827">
        <f t="shared" si="86"/>
        <v>0.40518116806305388</v>
      </c>
      <c r="AR97" s="836">
        <f t="shared" si="87"/>
        <v>10.698152165270278</v>
      </c>
      <c r="AS97" s="826">
        <f t="shared" si="58"/>
        <v>14.411250000000001</v>
      </c>
      <c r="AT97" s="458">
        <f t="shared" si="59"/>
        <v>3.8791628892855048</v>
      </c>
      <c r="AU97" s="827">
        <f t="shared" si="60"/>
        <v>3.8791628892855048</v>
      </c>
      <c r="AV97" s="836">
        <f t="shared" si="88"/>
        <v>10.532087110714496</v>
      </c>
      <c r="AW97" s="826">
        <f t="shared" si="61"/>
        <v>3.973333333333334</v>
      </c>
      <c r="AX97" s="458">
        <f t="shared" si="62"/>
        <v>7.131618095868971</v>
      </c>
      <c r="AY97" s="827">
        <f t="shared" si="63"/>
        <v>3.973333333333334</v>
      </c>
      <c r="AZ97" s="836">
        <f t="shared" si="89"/>
        <v>0</v>
      </c>
    </row>
    <row r="98" spans="1:52">
      <c r="A98" s="787">
        <f t="shared" si="90"/>
        <v>42351</v>
      </c>
      <c r="B98" s="786">
        <v>0</v>
      </c>
      <c r="C98" s="803">
        <v>2.8966666666666683</v>
      </c>
      <c r="D98" s="803">
        <f t="shared" si="64"/>
        <v>2.8966666666666683</v>
      </c>
      <c r="E98" s="802">
        <f t="shared" si="92"/>
        <v>0.58875</v>
      </c>
      <c r="F98" s="800">
        <f t="shared" si="93"/>
        <v>2.6666666666666668E-2</v>
      </c>
      <c r="G98" s="829">
        <f t="shared" si="65"/>
        <v>-2.8966666666666683</v>
      </c>
      <c r="H98" s="829">
        <f t="shared" si="53"/>
        <v>-2.8966666666666683</v>
      </c>
      <c r="I98" s="829">
        <f t="shared" si="54"/>
        <v>-0.58875</v>
      </c>
      <c r="J98" s="829">
        <f t="shared" si="55"/>
        <v>-2.6666666666666668E-2</v>
      </c>
      <c r="K98" s="810">
        <f t="shared" si="66"/>
        <v>777.1756666666671</v>
      </c>
      <c r="L98" s="814">
        <f t="shared" si="67"/>
        <v>1302.3413333333342</v>
      </c>
      <c r="M98" s="810">
        <f t="shared" si="68"/>
        <v>110.390625</v>
      </c>
      <c r="N98" s="811">
        <f t="shared" si="69"/>
        <v>6.4266666666666676</v>
      </c>
      <c r="O98" s="806">
        <v>14</v>
      </c>
      <c r="P98" s="806">
        <v>14</v>
      </c>
      <c r="Q98" s="806">
        <v>15</v>
      </c>
      <c r="R98" s="806">
        <v>4</v>
      </c>
      <c r="S98" s="809">
        <f t="shared" si="70"/>
        <v>3756.2000000000003</v>
      </c>
      <c r="T98" s="809">
        <f t="shared" si="71"/>
        <v>6294.4000000000005</v>
      </c>
      <c r="U98" s="809">
        <f t="shared" si="72"/>
        <v>2812.5</v>
      </c>
      <c r="V98" s="809">
        <f t="shared" si="73"/>
        <v>964</v>
      </c>
      <c r="W98" s="816">
        <f t="shared" si="91"/>
        <v>42351</v>
      </c>
      <c r="X98" s="817">
        <f t="shared" si="74"/>
        <v>2979.0243333333333</v>
      </c>
      <c r="Y98" s="460">
        <v>822.65798672248707</v>
      </c>
      <c r="Z98" s="818">
        <f t="shared" si="75"/>
        <v>822.65798672248707</v>
      </c>
      <c r="AA98" s="817">
        <f t="shared" si="56"/>
        <v>4992.0586666666659</v>
      </c>
      <c r="AB98" s="460">
        <v>173.58589741151874</v>
      </c>
      <c r="AC98" s="818">
        <f t="shared" si="76"/>
        <v>173.58589741151874</v>
      </c>
      <c r="AD98" s="817">
        <f t="shared" si="77"/>
        <v>2702.109375</v>
      </c>
      <c r="AE98" s="460">
        <v>707.92831876944297</v>
      </c>
      <c r="AF98" s="818">
        <f t="shared" si="78"/>
        <v>707.92831876944297</v>
      </c>
      <c r="AG98" s="817">
        <f t="shared" si="57"/>
        <v>957.57333333333338</v>
      </c>
      <c r="AH98" s="460">
        <v>1632.2855758539042</v>
      </c>
      <c r="AI98" s="818">
        <f t="shared" si="79"/>
        <v>957.57333333333338</v>
      </c>
      <c r="AJ98" s="824"/>
      <c r="AK98" s="826">
        <f t="shared" si="80"/>
        <v>11.103333333333333</v>
      </c>
      <c r="AL98" s="458">
        <f t="shared" si="81"/>
        <v>3.066187054500511</v>
      </c>
      <c r="AM98" s="827">
        <f t="shared" si="82"/>
        <v>3.066187054500511</v>
      </c>
      <c r="AN98" s="836">
        <f t="shared" si="83"/>
        <v>8.0371462788328216</v>
      </c>
      <c r="AO98" s="826">
        <f t="shared" si="84"/>
        <v>11.103333333333332</v>
      </c>
      <c r="AP98" s="458">
        <f t="shared" si="85"/>
        <v>0.38608962947401854</v>
      </c>
      <c r="AQ98" s="827">
        <f t="shared" si="86"/>
        <v>0.38608962947401854</v>
      </c>
      <c r="AR98" s="836">
        <f t="shared" si="87"/>
        <v>10.717243703859314</v>
      </c>
      <c r="AS98" s="826">
        <f t="shared" si="58"/>
        <v>14.411250000000001</v>
      </c>
      <c r="AT98" s="458">
        <f t="shared" si="59"/>
        <v>3.7756177001036959</v>
      </c>
      <c r="AU98" s="827">
        <f t="shared" si="60"/>
        <v>3.7756177001036959</v>
      </c>
      <c r="AV98" s="836">
        <f t="shared" si="88"/>
        <v>10.635632299896304</v>
      </c>
      <c r="AW98" s="826">
        <f t="shared" si="61"/>
        <v>3.973333333333334</v>
      </c>
      <c r="AX98" s="458">
        <f t="shared" si="62"/>
        <v>6.7729691944145403</v>
      </c>
      <c r="AY98" s="827">
        <f t="shared" si="63"/>
        <v>3.973333333333334</v>
      </c>
      <c r="AZ98" s="836">
        <f t="shared" si="89"/>
        <v>0</v>
      </c>
    </row>
    <row r="99" spans="1:52">
      <c r="A99" s="787">
        <f t="shared" si="90"/>
        <v>42352</v>
      </c>
      <c r="B99" s="786">
        <v>0</v>
      </c>
      <c r="C99" s="803">
        <v>2.8966666666666683</v>
      </c>
      <c r="D99" s="803">
        <f t="shared" si="64"/>
        <v>2.8966666666666683</v>
      </c>
      <c r="E99" s="802">
        <f t="shared" si="92"/>
        <v>0.58875</v>
      </c>
      <c r="F99" s="800">
        <f t="shared" si="93"/>
        <v>2.6666666666666668E-2</v>
      </c>
      <c r="G99" s="829">
        <f t="shared" si="65"/>
        <v>-2.8966666666666683</v>
      </c>
      <c r="H99" s="829">
        <f t="shared" si="53"/>
        <v>-2.8966666666666683</v>
      </c>
      <c r="I99" s="829">
        <f t="shared" si="54"/>
        <v>-0.58875</v>
      </c>
      <c r="J99" s="829">
        <f t="shared" si="55"/>
        <v>-2.6666666666666668E-2</v>
      </c>
      <c r="K99" s="810">
        <f t="shared" si="66"/>
        <v>777.1756666666671</v>
      </c>
      <c r="L99" s="814">
        <f t="shared" si="67"/>
        <v>1302.3413333333342</v>
      </c>
      <c r="M99" s="810">
        <f t="shared" si="68"/>
        <v>110.390625</v>
      </c>
      <c r="N99" s="811">
        <f t="shared" si="69"/>
        <v>6.4266666666666676</v>
      </c>
      <c r="O99" s="806">
        <v>14</v>
      </c>
      <c r="P99" s="806">
        <v>14</v>
      </c>
      <c r="Q99" s="806">
        <v>15</v>
      </c>
      <c r="R99" s="806">
        <v>4</v>
      </c>
      <c r="S99" s="809">
        <f t="shared" si="70"/>
        <v>3756.2000000000003</v>
      </c>
      <c r="T99" s="809">
        <f t="shared" si="71"/>
        <v>6294.4000000000005</v>
      </c>
      <c r="U99" s="809">
        <f t="shared" si="72"/>
        <v>2812.5</v>
      </c>
      <c r="V99" s="809">
        <f t="shared" si="73"/>
        <v>964</v>
      </c>
      <c r="W99" s="816">
        <f t="shared" si="91"/>
        <v>42352</v>
      </c>
      <c r="X99" s="817">
        <f t="shared" si="74"/>
        <v>2979.0243333333333</v>
      </c>
      <c r="Y99" s="460">
        <v>827.99727545446592</v>
      </c>
      <c r="Z99" s="818">
        <f t="shared" si="75"/>
        <v>827.99727545446592</v>
      </c>
      <c r="AA99" s="817">
        <f t="shared" si="56"/>
        <v>4992.0586666666659</v>
      </c>
      <c r="AB99" s="460">
        <v>274.77341195170089</v>
      </c>
      <c r="AC99" s="818">
        <f t="shared" si="76"/>
        <v>274.77341195170089</v>
      </c>
      <c r="AD99" s="817">
        <f t="shared" si="77"/>
        <v>2702.109375</v>
      </c>
      <c r="AE99" s="460">
        <v>706.38221953899586</v>
      </c>
      <c r="AF99" s="818">
        <f t="shared" si="78"/>
        <v>706.38221953899586</v>
      </c>
      <c r="AG99" s="817">
        <f t="shared" si="57"/>
        <v>957.57333333333338</v>
      </c>
      <c r="AH99" s="460">
        <v>1665.6306940500435</v>
      </c>
      <c r="AI99" s="818">
        <f t="shared" si="79"/>
        <v>957.57333333333338</v>
      </c>
      <c r="AJ99" s="824"/>
      <c r="AK99" s="826">
        <f t="shared" si="80"/>
        <v>11.103333333333333</v>
      </c>
      <c r="AL99" s="458">
        <f t="shared" si="81"/>
        <v>3.0860874970349084</v>
      </c>
      <c r="AM99" s="827">
        <f t="shared" si="82"/>
        <v>3.0860874970349084</v>
      </c>
      <c r="AN99" s="836">
        <f t="shared" si="83"/>
        <v>8.0172458362984251</v>
      </c>
      <c r="AO99" s="826">
        <f t="shared" si="84"/>
        <v>11.103333333333332</v>
      </c>
      <c r="AP99" s="458">
        <f t="shared" si="85"/>
        <v>0.61115082729470838</v>
      </c>
      <c r="AQ99" s="827">
        <f t="shared" si="86"/>
        <v>0.61115082729470838</v>
      </c>
      <c r="AR99" s="836">
        <f t="shared" si="87"/>
        <v>10.492182506038624</v>
      </c>
      <c r="AS99" s="826">
        <f t="shared" si="58"/>
        <v>14.411250000000001</v>
      </c>
      <c r="AT99" s="458">
        <f t="shared" si="59"/>
        <v>3.7673718375413112</v>
      </c>
      <c r="AU99" s="827">
        <f t="shared" si="60"/>
        <v>3.7673718375413112</v>
      </c>
      <c r="AV99" s="836">
        <f t="shared" si="88"/>
        <v>10.643878162458689</v>
      </c>
      <c r="AW99" s="826">
        <f t="shared" si="61"/>
        <v>3.973333333333334</v>
      </c>
      <c r="AX99" s="458">
        <f t="shared" si="62"/>
        <v>6.911330680705575</v>
      </c>
      <c r="AY99" s="827">
        <f t="shared" si="63"/>
        <v>3.973333333333334</v>
      </c>
      <c r="AZ99" s="836">
        <f t="shared" si="89"/>
        <v>0</v>
      </c>
    </row>
    <row r="100" spans="1:52">
      <c r="A100" s="787">
        <f t="shared" si="90"/>
        <v>42353</v>
      </c>
      <c r="B100" s="786">
        <v>0.5</v>
      </c>
      <c r="C100" s="803">
        <v>2.8966666666666683</v>
      </c>
      <c r="D100" s="803">
        <f t="shared" si="64"/>
        <v>2.8966666666666683</v>
      </c>
      <c r="E100" s="802">
        <f t="shared" si="92"/>
        <v>0.58875</v>
      </c>
      <c r="F100" s="800">
        <f t="shared" si="93"/>
        <v>2.6666666666666668E-2</v>
      </c>
      <c r="G100" s="829">
        <f t="shared" si="65"/>
        <v>-2.8966666666666683</v>
      </c>
      <c r="H100" s="829">
        <f t="shared" si="53"/>
        <v>-2.8966666666666683</v>
      </c>
      <c r="I100" s="829">
        <f t="shared" si="54"/>
        <v>-0.58875</v>
      </c>
      <c r="J100" s="829">
        <f t="shared" si="55"/>
        <v>-2.6666666666666668E-2</v>
      </c>
      <c r="K100" s="810">
        <f t="shared" si="66"/>
        <v>777.1756666666671</v>
      </c>
      <c r="L100" s="814">
        <f t="shared" si="67"/>
        <v>1302.3413333333342</v>
      </c>
      <c r="M100" s="810">
        <f t="shared" si="68"/>
        <v>110.390625</v>
      </c>
      <c r="N100" s="811">
        <f t="shared" si="69"/>
        <v>6.4266666666666676</v>
      </c>
      <c r="O100" s="806">
        <v>14</v>
      </c>
      <c r="P100" s="806">
        <v>14</v>
      </c>
      <c r="Q100" s="806">
        <v>15</v>
      </c>
      <c r="R100" s="806">
        <v>4</v>
      </c>
      <c r="S100" s="809">
        <f t="shared" si="70"/>
        <v>3756.2000000000003</v>
      </c>
      <c r="T100" s="809">
        <f t="shared" si="71"/>
        <v>6294.4000000000005</v>
      </c>
      <c r="U100" s="809">
        <f t="shared" si="72"/>
        <v>2812.5</v>
      </c>
      <c r="V100" s="809">
        <f t="shared" si="73"/>
        <v>964</v>
      </c>
      <c r="W100" s="816">
        <f t="shared" si="91"/>
        <v>42353</v>
      </c>
      <c r="X100" s="817">
        <f t="shared" si="74"/>
        <v>2979.0243333333333</v>
      </c>
      <c r="Y100" s="460">
        <v>802.60942654238954</v>
      </c>
      <c r="Z100" s="818">
        <f t="shared" si="75"/>
        <v>802.60942654238954</v>
      </c>
      <c r="AA100" s="817">
        <f t="shared" si="56"/>
        <v>4992.0586666666659</v>
      </c>
      <c r="AB100" s="460">
        <v>179.55732791232967</v>
      </c>
      <c r="AC100" s="818">
        <f t="shared" si="76"/>
        <v>179.55732791232967</v>
      </c>
      <c r="AD100" s="817">
        <f t="shared" si="77"/>
        <v>2702.109375</v>
      </c>
      <c r="AE100" s="460">
        <v>709.50500587755505</v>
      </c>
      <c r="AF100" s="818">
        <f t="shared" si="78"/>
        <v>709.50500587755505</v>
      </c>
      <c r="AG100" s="817">
        <f t="shared" si="57"/>
        <v>957.57333333333338</v>
      </c>
      <c r="AH100" s="460">
        <v>1678.4804246385236</v>
      </c>
      <c r="AI100" s="818">
        <f t="shared" si="79"/>
        <v>957.57333333333338</v>
      </c>
      <c r="AJ100" s="824"/>
      <c r="AK100" s="826">
        <f t="shared" si="80"/>
        <v>11.103333333333333</v>
      </c>
      <c r="AL100" s="458">
        <f t="shared" si="81"/>
        <v>2.9914626408587011</v>
      </c>
      <c r="AM100" s="827">
        <f t="shared" si="82"/>
        <v>2.9914626408587011</v>
      </c>
      <c r="AN100" s="836">
        <f t="shared" si="83"/>
        <v>8.111870692474632</v>
      </c>
      <c r="AO100" s="826">
        <f t="shared" si="84"/>
        <v>11.103333333333332</v>
      </c>
      <c r="AP100" s="458">
        <f t="shared" si="85"/>
        <v>0.39937128094379376</v>
      </c>
      <c r="AQ100" s="827">
        <f t="shared" si="86"/>
        <v>0.39937128094379376</v>
      </c>
      <c r="AR100" s="836">
        <f t="shared" si="87"/>
        <v>10.703962052389539</v>
      </c>
      <c r="AS100" s="826">
        <f t="shared" si="58"/>
        <v>14.411250000000001</v>
      </c>
      <c r="AT100" s="458">
        <f t="shared" si="59"/>
        <v>3.7840266980136268</v>
      </c>
      <c r="AU100" s="827">
        <f t="shared" si="60"/>
        <v>3.7840266980136268</v>
      </c>
      <c r="AV100" s="836">
        <f t="shared" si="88"/>
        <v>10.627223301986374</v>
      </c>
      <c r="AW100" s="826">
        <f t="shared" si="61"/>
        <v>3.973333333333334</v>
      </c>
      <c r="AX100" s="458">
        <f t="shared" si="62"/>
        <v>6.9646490648901391</v>
      </c>
      <c r="AY100" s="827">
        <f t="shared" si="63"/>
        <v>3.973333333333334</v>
      </c>
      <c r="AZ100" s="836">
        <f t="shared" si="89"/>
        <v>0</v>
      </c>
    </row>
    <row r="101" spans="1:52">
      <c r="A101" s="787">
        <f t="shared" si="90"/>
        <v>42354</v>
      </c>
      <c r="B101" s="786">
        <v>0</v>
      </c>
      <c r="C101" s="803">
        <v>2.8966666666666683</v>
      </c>
      <c r="D101" s="803">
        <f t="shared" si="64"/>
        <v>2.8966666666666683</v>
      </c>
      <c r="E101" s="802">
        <f t="shared" si="92"/>
        <v>0.58875</v>
      </c>
      <c r="F101" s="800">
        <f t="shared" si="93"/>
        <v>2.6666666666666668E-2</v>
      </c>
      <c r="G101" s="829">
        <f t="shared" si="65"/>
        <v>-2.8966666666666683</v>
      </c>
      <c r="H101" s="829">
        <f t="shared" si="53"/>
        <v>-2.8966666666666683</v>
      </c>
      <c r="I101" s="829">
        <f t="shared" si="54"/>
        <v>-0.58875</v>
      </c>
      <c r="J101" s="829">
        <f t="shared" si="55"/>
        <v>-2.6666666666666668E-2</v>
      </c>
      <c r="K101" s="810">
        <f t="shared" si="66"/>
        <v>777.1756666666671</v>
      </c>
      <c r="L101" s="814">
        <f t="shared" si="67"/>
        <v>1302.3413333333342</v>
      </c>
      <c r="M101" s="810">
        <f t="shared" si="68"/>
        <v>110.390625</v>
      </c>
      <c r="N101" s="811">
        <f t="shared" si="69"/>
        <v>6.4266666666666676</v>
      </c>
      <c r="O101" s="806">
        <v>14</v>
      </c>
      <c r="P101" s="806">
        <v>14</v>
      </c>
      <c r="Q101" s="806">
        <v>15</v>
      </c>
      <c r="R101" s="806">
        <v>4</v>
      </c>
      <c r="S101" s="809">
        <f t="shared" si="70"/>
        <v>3756.2000000000003</v>
      </c>
      <c r="T101" s="809">
        <f t="shared" si="71"/>
        <v>6294.4000000000005</v>
      </c>
      <c r="U101" s="809">
        <f t="shared" si="72"/>
        <v>2812.5</v>
      </c>
      <c r="V101" s="809">
        <f t="shared" si="73"/>
        <v>964</v>
      </c>
      <c r="W101" s="816">
        <f t="shared" si="91"/>
        <v>42354</v>
      </c>
      <c r="X101" s="817">
        <f t="shared" si="74"/>
        <v>2979.0243333333333</v>
      </c>
      <c r="Y101" s="460">
        <v>752.29818996304562</v>
      </c>
      <c r="Z101" s="818">
        <f t="shared" si="75"/>
        <v>752.29818996304562</v>
      </c>
      <c r="AA101" s="817">
        <f t="shared" si="56"/>
        <v>4992.0586666666659</v>
      </c>
      <c r="AB101" s="460">
        <v>174.48749410150222</v>
      </c>
      <c r="AC101" s="818">
        <f t="shared" si="76"/>
        <v>174.48749410150222</v>
      </c>
      <c r="AD101" s="817">
        <f t="shared" si="77"/>
        <v>2702.109375</v>
      </c>
      <c r="AE101" s="460">
        <v>697.24539640340129</v>
      </c>
      <c r="AF101" s="818">
        <f t="shared" si="78"/>
        <v>697.24539640340129</v>
      </c>
      <c r="AG101" s="817">
        <f t="shared" si="57"/>
        <v>957.57333333333338</v>
      </c>
      <c r="AH101" s="460">
        <v>1585.4027458684479</v>
      </c>
      <c r="AI101" s="818">
        <f t="shared" si="79"/>
        <v>957.57333333333338</v>
      </c>
      <c r="AJ101" s="824"/>
      <c r="AK101" s="826">
        <f t="shared" si="80"/>
        <v>11.103333333333333</v>
      </c>
      <c r="AL101" s="458">
        <f t="shared" si="81"/>
        <v>2.8039440550243966</v>
      </c>
      <c r="AM101" s="827">
        <f t="shared" si="82"/>
        <v>2.8039440550243966</v>
      </c>
      <c r="AN101" s="836">
        <f t="shared" si="83"/>
        <v>8.2993892783089365</v>
      </c>
      <c r="AO101" s="826">
        <f t="shared" si="84"/>
        <v>11.103333333333332</v>
      </c>
      <c r="AP101" s="458">
        <f t="shared" si="85"/>
        <v>0.38809496019017398</v>
      </c>
      <c r="AQ101" s="827">
        <f t="shared" si="86"/>
        <v>0.38809496019017398</v>
      </c>
      <c r="AR101" s="836">
        <f t="shared" si="87"/>
        <v>10.715238373143158</v>
      </c>
      <c r="AS101" s="826">
        <f t="shared" si="58"/>
        <v>14.411250000000001</v>
      </c>
      <c r="AT101" s="458">
        <f t="shared" si="59"/>
        <v>3.7186421141514736</v>
      </c>
      <c r="AU101" s="827">
        <f t="shared" si="60"/>
        <v>3.7186421141514736</v>
      </c>
      <c r="AV101" s="836">
        <f t="shared" si="88"/>
        <v>10.692607885848528</v>
      </c>
      <c r="AW101" s="826">
        <f t="shared" si="61"/>
        <v>3.973333333333334</v>
      </c>
      <c r="AX101" s="458">
        <f t="shared" si="62"/>
        <v>6.5784346301595349</v>
      </c>
      <c r="AY101" s="827">
        <f t="shared" si="63"/>
        <v>3.973333333333334</v>
      </c>
      <c r="AZ101" s="836">
        <f t="shared" si="89"/>
        <v>0</v>
      </c>
    </row>
    <row r="102" spans="1:52">
      <c r="A102" s="787">
        <f t="shared" si="90"/>
        <v>42355</v>
      </c>
      <c r="B102" s="786">
        <v>0</v>
      </c>
      <c r="C102" s="804">
        <v>0.01</v>
      </c>
      <c r="D102" s="804">
        <f t="shared" ref="D102:D131" si="94">AVERAGE(B$102:B$131)</f>
        <v>0.01</v>
      </c>
      <c r="E102" s="802">
        <f t="shared" si="92"/>
        <v>0.58875</v>
      </c>
      <c r="F102" s="800">
        <f t="shared" si="93"/>
        <v>2.6666666666666668E-2</v>
      </c>
      <c r="G102" s="829">
        <f t="shared" si="65"/>
        <v>-0.01</v>
      </c>
      <c r="H102" s="829">
        <f t="shared" si="53"/>
        <v>-0.01</v>
      </c>
      <c r="I102" s="829">
        <f t="shared" si="54"/>
        <v>-0.58875</v>
      </c>
      <c r="J102" s="829">
        <f t="shared" si="55"/>
        <v>-2.6666666666666668E-2</v>
      </c>
      <c r="K102" s="813">
        <f t="shared" si="66"/>
        <v>2.6830000000000003</v>
      </c>
      <c r="L102" s="814">
        <f t="shared" si="67"/>
        <v>4.4960000000000004</v>
      </c>
      <c r="M102" s="810">
        <f t="shared" si="68"/>
        <v>110.390625</v>
      </c>
      <c r="N102" s="811">
        <f t="shared" si="69"/>
        <v>6.4266666666666676</v>
      </c>
      <c r="O102" s="806">
        <v>15</v>
      </c>
      <c r="P102" s="806">
        <v>15</v>
      </c>
      <c r="Q102" s="806">
        <v>15</v>
      </c>
      <c r="R102" s="806">
        <v>4</v>
      </c>
      <c r="S102" s="809">
        <f t="shared" si="70"/>
        <v>4024.5</v>
      </c>
      <c r="T102" s="809">
        <f t="shared" si="71"/>
        <v>6744</v>
      </c>
      <c r="U102" s="809">
        <f t="shared" si="72"/>
        <v>2812.5</v>
      </c>
      <c r="V102" s="809">
        <f t="shared" si="73"/>
        <v>964</v>
      </c>
      <c r="W102" s="816">
        <f t="shared" si="91"/>
        <v>42355</v>
      </c>
      <c r="X102" s="817">
        <f t="shared" si="74"/>
        <v>4021.817</v>
      </c>
      <c r="Y102" s="460">
        <v>701.62464835917456</v>
      </c>
      <c r="Z102" s="818">
        <f t="shared" si="75"/>
        <v>701.62464835917456</v>
      </c>
      <c r="AA102" s="817">
        <f t="shared" si="56"/>
        <v>6739.5039999999999</v>
      </c>
      <c r="AB102" s="460">
        <v>169.9123032170456</v>
      </c>
      <c r="AC102" s="818">
        <f t="shared" si="76"/>
        <v>169.9123032170456</v>
      </c>
      <c r="AD102" s="817">
        <f t="shared" si="77"/>
        <v>2702.109375</v>
      </c>
      <c r="AE102" s="460">
        <v>680.16059013594656</v>
      </c>
      <c r="AF102" s="818">
        <f t="shared" si="78"/>
        <v>680.16059013594656</v>
      </c>
      <c r="AG102" s="817">
        <f t="shared" si="57"/>
        <v>957.57333333333338</v>
      </c>
      <c r="AH102" s="460">
        <v>1475.3100330463458</v>
      </c>
      <c r="AI102" s="818">
        <f t="shared" si="79"/>
        <v>957.57333333333338</v>
      </c>
      <c r="AJ102" s="824"/>
      <c r="AK102" s="826">
        <f t="shared" si="80"/>
        <v>14.99</v>
      </c>
      <c r="AL102" s="458">
        <f t="shared" si="81"/>
        <v>2.6150750963815672</v>
      </c>
      <c r="AM102" s="827">
        <f t="shared" si="82"/>
        <v>2.6150750963815672</v>
      </c>
      <c r="AN102" s="836">
        <f t="shared" si="83"/>
        <v>12.374924903618433</v>
      </c>
      <c r="AO102" s="826">
        <f t="shared" si="84"/>
        <v>14.99</v>
      </c>
      <c r="AP102" s="458">
        <f t="shared" si="85"/>
        <v>0.37791882388132919</v>
      </c>
      <c r="AQ102" s="827">
        <f t="shared" si="86"/>
        <v>0.37791882388132919</v>
      </c>
      <c r="AR102" s="836">
        <f t="shared" si="87"/>
        <v>14.612081176118672</v>
      </c>
      <c r="AS102" s="826">
        <f t="shared" si="58"/>
        <v>14.411250000000001</v>
      </c>
      <c r="AT102" s="458">
        <f t="shared" si="59"/>
        <v>3.6275231473917149</v>
      </c>
      <c r="AU102" s="827">
        <f t="shared" si="60"/>
        <v>3.6275231473917149</v>
      </c>
      <c r="AV102" s="836">
        <f t="shared" si="88"/>
        <v>10.783726852608286</v>
      </c>
      <c r="AW102" s="826">
        <f t="shared" si="61"/>
        <v>3.973333333333334</v>
      </c>
      <c r="AX102" s="458">
        <f t="shared" si="62"/>
        <v>6.1216183943831775</v>
      </c>
      <c r="AY102" s="827">
        <f t="shared" si="63"/>
        <v>3.973333333333334</v>
      </c>
      <c r="AZ102" s="836">
        <f t="shared" si="89"/>
        <v>0</v>
      </c>
    </row>
    <row r="103" spans="1:52">
      <c r="A103" s="787">
        <f t="shared" si="90"/>
        <v>42356</v>
      </c>
      <c r="B103" s="786">
        <v>0</v>
      </c>
      <c r="C103" s="804">
        <v>0.01</v>
      </c>
      <c r="D103" s="804">
        <f t="shared" si="94"/>
        <v>0.01</v>
      </c>
      <c r="E103" s="802">
        <f t="shared" si="92"/>
        <v>0.58875</v>
      </c>
      <c r="F103" s="800">
        <f t="shared" si="93"/>
        <v>2.6666666666666668E-2</v>
      </c>
      <c r="G103" s="829">
        <f t="shared" si="65"/>
        <v>-0.01</v>
      </c>
      <c r="H103" s="829">
        <f t="shared" si="53"/>
        <v>-0.01</v>
      </c>
      <c r="I103" s="829">
        <f t="shared" si="54"/>
        <v>-0.58875</v>
      </c>
      <c r="J103" s="829">
        <f t="shared" si="55"/>
        <v>-2.6666666666666668E-2</v>
      </c>
      <c r="K103" s="813">
        <f t="shared" si="66"/>
        <v>2.6830000000000003</v>
      </c>
      <c r="L103" s="814">
        <f t="shared" si="67"/>
        <v>4.4960000000000004</v>
      </c>
      <c r="M103" s="810">
        <f t="shared" si="68"/>
        <v>110.390625</v>
      </c>
      <c r="N103" s="811">
        <f t="shared" si="69"/>
        <v>6.4266666666666676</v>
      </c>
      <c r="O103" s="806">
        <v>15</v>
      </c>
      <c r="P103" s="806">
        <v>15</v>
      </c>
      <c r="Q103" s="806">
        <v>15</v>
      </c>
      <c r="R103" s="806">
        <v>4</v>
      </c>
      <c r="S103" s="809">
        <f t="shared" si="70"/>
        <v>4024.5</v>
      </c>
      <c r="T103" s="809">
        <f t="shared" si="71"/>
        <v>6744</v>
      </c>
      <c r="U103" s="809">
        <f t="shared" si="72"/>
        <v>2812.5</v>
      </c>
      <c r="V103" s="809">
        <f t="shared" si="73"/>
        <v>964</v>
      </c>
      <c r="W103" s="816">
        <f t="shared" si="91"/>
        <v>42356</v>
      </c>
      <c r="X103" s="817">
        <f t="shared" si="74"/>
        <v>4021.817</v>
      </c>
      <c r="Y103" s="460">
        <v>652.55008562160197</v>
      </c>
      <c r="Z103" s="818">
        <f t="shared" si="75"/>
        <v>652.55008562160197</v>
      </c>
      <c r="AA103" s="817">
        <f t="shared" si="56"/>
        <v>6739.5039999999999</v>
      </c>
      <c r="AB103" s="460">
        <v>165.34211031202943</v>
      </c>
      <c r="AC103" s="818">
        <f t="shared" si="76"/>
        <v>165.34211031202943</v>
      </c>
      <c r="AD103" s="817">
        <f t="shared" si="77"/>
        <v>2702.109375</v>
      </c>
      <c r="AE103" s="460">
        <v>663.02209346341817</v>
      </c>
      <c r="AF103" s="818">
        <f t="shared" si="78"/>
        <v>663.02209346341817</v>
      </c>
      <c r="AG103" s="817">
        <f t="shared" si="57"/>
        <v>957.57333333333338</v>
      </c>
      <c r="AH103" s="460">
        <v>1337.4799161977746</v>
      </c>
      <c r="AI103" s="818">
        <f t="shared" si="79"/>
        <v>957.57333333333338</v>
      </c>
      <c r="AJ103" s="824"/>
      <c r="AK103" s="826">
        <f t="shared" si="80"/>
        <v>14.99</v>
      </c>
      <c r="AL103" s="458">
        <f t="shared" si="81"/>
        <v>2.432165805522184</v>
      </c>
      <c r="AM103" s="827">
        <f t="shared" si="82"/>
        <v>2.432165805522184</v>
      </c>
      <c r="AN103" s="836">
        <f t="shared" si="83"/>
        <v>12.557834194477817</v>
      </c>
      <c r="AO103" s="826">
        <f t="shared" si="84"/>
        <v>14.99</v>
      </c>
      <c r="AP103" s="458">
        <f t="shared" si="85"/>
        <v>0.36775380407479857</v>
      </c>
      <c r="AQ103" s="827">
        <f t="shared" si="86"/>
        <v>0.36775380407479857</v>
      </c>
      <c r="AR103" s="836">
        <f t="shared" si="87"/>
        <v>14.622246195925202</v>
      </c>
      <c r="AS103" s="826">
        <f t="shared" ref="AS103:AS134" si="95">AD103/$C$3*1000</f>
        <v>14.411250000000001</v>
      </c>
      <c r="AT103" s="458">
        <f t="shared" ref="AT103:AT134" si="96">AE103/$C$3*1000</f>
        <v>3.5361178318048969</v>
      </c>
      <c r="AU103" s="827">
        <f t="shared" ref="AU103:AU134" si="97">AF103/$C$3*1000</f>
        <v>3.5361178318048969</v>
      </c>
      <c r="AV103" s="836">
        <f t="shared" si="88"/>
        <v>10.875132168195105</v>
      </c>
      <c r="AW103" s="826">
        <f t="shared" si="61"/>
        <v>3.973333333333334</v>
      </c>
      <c r="AX103" s="458">
        <f t="shared" si="62"/>
        <v>5.5497091958413884</v>
      </c>
      <c r="AY103" s="827">
        <f t="shared" si="63"/>
        <v>3.973333333333334</v>
      </c>
      <c r="AZ103" s="836">
        <f t="shared" si="89"/>
        <v>0</v>
      </c>
    </row>
    <row r="104" spans="1:52">
      <c r="A104" s="787">
        <f t="shared" si="90"/>
        <v>42357</v>
      </c>
      <c r="B104" s="786">
        <v>0</v>
      </c>
      <c r="C104" s="804">
        <v>0.01</v>
      </c>
      <c r="D104" s="804">
        <f t="shared" si="94"/>
        <v>0.01</v>
      </c>
      <c r="E104" s="802">
        <f t="shared" si="92"/>
        <v>0.58875</v>
      </c>
      <c r="F104" s="800">
        <f t="shared" si="93"/>
        <v>2.6666666666666668E-2</v>
      </c>
      <c r="G104" s="829">
        <f t="shared" si="65"/>
        <v>-0.01</v>
      </c>
      <c r="H104" s="829">
        <f t="shared" si="53"/>
        <v>-0.01</v>
      </c>
      <c r="I104" s="829">
        <f t="shared" si="54"/>
        <v>-0.58875</v>
      </c>
      <c r="J104" s="829">
        <f t="shared" si="55"/>
        <v>-2.6666666666666668E-2</v>
      </c>
      <c r="K104" s="813">
        <f t="shared" si="66"/>
        <v>2.6830000000000003</v>
      </c>
      <c r="L104" s="814">
        <f t="shared" si="67"/>
        <v>4.4960000000000004</v>
      </c>
      <c r="M104" s="810">
        <f t="shared" si="68"/>
        <v>110.390625</v>
      </c>
      <c r="N104" s="811">
        <f t="shared" si="69"/>
        <v>6.4266666666666676</v>
      </c>
      <c r="O104" s="806">
        <v>15</v>
      </c>
      <c r="P104" s="806">
        <v>15</v>
      </c>
      <c r="Q104" s="806">
        <v>15</v>
      </c>
      <c r="R104" s="806">
        <v>4</v>
      </c>
      <c r="S104" s="809">
        <f t="shared" si="70"/>
        <v>4024.5</v>
      </c>
      <c r="T104" s="809">
        <f t="shared" si="71"/>
        <v>6744</v>
      </c>
      <c r="U104" s="809">
        <f t="shared" si="72"/>
        <v>2812.5</v>
      </c>
      <c r="V104" s="809">
        <f t="shared" si="73"/>
        <v>964</v>
      </c>
      <c r="W104" s="816">
        <f t="shared" si="91"/>
        <v>42357</v>
      </c>
      <c r="X104" s="817">
        <f t="shared" si="74"/>
        <v>4021.817</v>
      </c>
      <c r="Y104" s="460">
        <v>602.79828704111571</v>
      </c>
      <c r="Z104" s="818">
        <f t="shared" si="75"/>
        <v>602.79828704111571</v>
      </c>
      <c r="AA104" s="817">
        <f t="shared" si="56"/>
        <v>6739.5039999999999</v>
      </c>
      <c r="AB104" s="460">
        <v>159.63744479140561</v>
      </c>
      <c r="AC104" s="818">
        <f t="shared" si="76"/>
        <v>159.63744479140561</v>
      </c>
      <c r="AD104" s="817">
        <f t="shared" si="77"/>
        <v>2702.109375</v>
      </c>
      <c r="AE104" s="460">
        <v>641.78150493198791</v>
      </c>
      <c r="AF104" s="818">
        <f t="shared" si="78"/>
        <v>641.78150493198791</v>
      </c>
      <c r="AG104" s="817">
        <f t="shared" si="57"/>
        <v>957.57333333333338</v>
      </c>
      <c r="AH104" s="460">
        <v>1187.8375980649782</v>
      </c>
      <c r="AI104" s="818">
        <f t="shared" si="79"/>
        <v>957.57333333333338</v>
      </c>
      <c r="AJ104" s="824"/>
      <c r="AK104" s="826">
        <f t="shared" si="80"/>
        <v>14.99</v>
      </c>
      <c r="AL104" s="458">
        <f t="shared" si="81"/>
        <v>2.2467323408166817</v>
      </c>
      <c r="AM104" s="827">
        <f t="shared" si="82"/>
        <v>2.2467323408166817</v>
      </c>
      <c r="AN104" s="836">
        <f t="shared" si="83"/>
        <v>12.743267659183319</v>
      </c>
      <c r="AO104" s="826">
        <f t="shared" si="84"/>
        <v>14.99</v>
      </c>
      <c r="AP104" s="458">
        <f t="shared" ref="AP104:AP127" si="98">AB104/$C$2*1000</f>
        <v>0.35506549108408725</v>
      </c>
      <c r="AQ104" s="827">
        <f t="shared" ref="AQ104:AQ127" si="99">AC104/$C$2*1000</f>
        <v>0.35506549108408725</v>
      </c>
      <c r="AR104" s="836">
        <f t="shared" si="87"/>
        <v>14.634934508915913</v>
      </c>
      <c r="AS104" s="826">
        <f t="shared" si="95"/>
        <v>14.411250000000001</v>
      </c>
      <c r="AT104" s="458">
        <f t="shared" si="96"/>
        <v>3.4228346929706022</v>
      </c>
      <c r="AU104" s="827">
        <f t="shared" si="97"/>
        <v>3.4228346929706022</v>
      </c>
      <c r="AV104" s="836">
        <f t="shared" si="88"/>
        <v>10.988415307029399</v>
      </c>
      <c r="AW104" s="826">
        <f t="shared" si="61"/>
        <v>3.973333333333334</v>
      </c>
      <c r="AX104" s="458">
        <f t="shared" si="62"/>
        <v>4.9287867139625652</v>
      </c>
      <c r="AY104" s="827">
        <f t="shared" si="63"/>
        <v>3.973333333333334</v>
      </c>
      <c r="AZ104" s="836">
        <f t="shared" si="89"/>
        <v>0</v>
      </c>
    </row>
    <row r="105" spans="1:52">
      <c r="A105" s="787">
        <f t="shared" si="90"/>
        <v>42358</v>
      </c>
      <c r="B105" s="786">
        <v>0</v>
      </c>
      <c r="C105" s="804">
        <v>0.01</v>
      </c>
      <c r="D105" s="804">
        <f t="shared" si="94"/>
        <v>0.01</v>
      </c>
      <c r="E105" s="802">
        <f t="shared" si="92"/>
        <v>0.58875</v>
      </c>
      <c r="F105" s="800">
        <f t="shared" si="93"/>
        <v>2.6666666666666668E-2</v>
      </c>
      <c r="G105" s="829">
        <f t="shared" si="65"/>
        <v>-0.01</v>
      </c>
      <c r="H105" s="829">
        <f t="shared" si="53"/>
        <v>-0.01</v>
      </c>
      <c r="I105" s="829">
        <f t="shared" si="54"/>
        <v>-0.58875</v>
      </c>
      <c r="J105" s="829">
        <f t="shared" si="55"/>
        <v>-2.6666666666666668E-2</v>
      </c>
      <c r="K105" s="813">
        <f t="shared" si="66"/>
        <v>2.6830000000000003</v>
      </c>
      <c r="L105" s="814">
        <f t="shared" si="67"/>
        <v>4.4960000000000004</v>
      </c>
      <c r="M105" s="810">
        <f t="shared" si="68"/>
        <v>110.390625</v>
      </c>
      <c r="N105" s="811">
        <f t="shared" si="69"/>
        <v>6.4266666666666676</v>
      </c>
      <c r="O105" s="806">
        <v>15</v>
      </c>
      <c r="P105" s="806">
        <v>15</v>
      </c>
      <c r="Q105" s="806">
        <v>15</v>
      </c>
      <c r="R105" s="806">
        <v>4</v>
      </c>
      <c r="S105" s="809">
        <f t="shared" si="70"/>
        <v>4024.5</v>
      </c>
      <c r="T105" s="809">
        <f t="shared" si="71"/>
        <v>6744</v>
      </c>
      <c r="U105" s="809">
        <f t="shared" si="72"/>
        <v>2812.5</v>
      </c>
      <c r="V105" s="809">
        <f t="shared" si="73"/>
        <v>964</v>
      </c>
      <c r="W105" s="816">
        <f t="shared" si="91"/>
        <v>42358</v>
      </c>
      <c r="X105" s="817">
        <f t="shared" si="74"/>
        <v>4021.817</v>
      </c>
      <c r="Y105" s="460">
        <v>557.00601558523499</v>
      </c>
      <c r="Z105" s="818">
        <f t="shared" si="75"/>
        <v>557.00601558523499</v>
      </c>
      <c r="AA105" s="817">
        <f t="shared" si="56"/>
        <v>6739.5039999999999</v>
      </c>
      <c r="AB105" s="460">
        <v>152.74246233152755</v>
      </c>
      <c r="AC105" s="818">
        <f t="shared" si="76"/>
        <v>152.74246233152755</v>
      </c>
      <c r="AD105" s="817">
        <f t="shared" si="77"/>
        <v>2702.109375</v>
      </c>
      <c r="AE105" s="460">
        <v>619.59290774496026</v>
      </c>
      <c r="AF105" s="818">
        <f t="shared" si="78"/>
        <v>619.59290774496026</v>
      </c>
      <c r="AG105" s="817">
        <f t="shared" si="57"/>
        <v>957.57333333333338</v>
      </c>
      <c r="AH105" s="460">
        <v>990.46376752173194</v>
      </c>
      <c r="AI105" s="818">
        <f t="shared" si="79"/>
        <v>957.57333333333338</v>
      </c>
      <c r="AJ105" s="824"/>
      <c r="AK105" s="826">
        <f t="shared" si="80"/>
        <v>14.99</v>
      </c>
      <c r="AL105" s="458">
        <f t="shared" si="81"/>
        <v>2.0760567110892096</v>
      </c>
      <c r="AM105" s="827">
        <f t="shared" si="82"/>
        <v>2.0760567110892096</v>
      </c>
      <c r="AN105" s="836">
        <f t="shared" si="83"/>
        <v>12.91394328891079</v>
      </c>
      <c r="AO105" s="826">
        <f t="shared" si="84"/>
        <v>14.99</v>
      </c>
      <c r="AP105" s="458">
        <f t="shared" si="98"/>
        <v>0.33972967600428727</v>
      </c>
      <c r="AQ105" s="827">
        <f t="shared" si="99"/>
        <v>0.33972967600428727</v>
      </c>
      <c r="AR105" s="836">
        <f t="shared" si="87"/>
        <v>14.650270323995713</v>
      </c>
      <c r="AS105" s="826">
        <f t="shared" si="95"/>
        <v>14.411250000000001</v>
      </c>
      <c r="AT105" s="458">
        <f t="shared" si="96"/>
        <v>3.3044955079731211</v>
      </c>
      <c r="AU105" s="827">
        <f t="shared" si="97"/>
        <v>3.3044955079731211</v>
      </c>
      <c r="AV105" s="836">
        <f t="shared" si="88"/>
        <v>11.10675449202688</v>
      </c>
      <c r="AW105" s="826">
        <f t="shared" si="61"/>
        <v>3.973333333333334</v>
      </c>
      <c r="AX105" s="458">
        <f t="shared" si="62"/>
        <v>4.1098081639905892</v>
      </c>
      <c r="AY105" s="827">
        <f t="shared" si="63"/>
        <v>3.973333333333334</v>
      </c>
      <c r="AZ105" s="836">
        <f t="shared" si="89"/>
        <v>0</v>
      </c>
    </row>
    <row r="106" spans="1:52">
      <c r="A106" s="787">
        <f t="shared" si="90"/>
        <v>42359</v>
      </c>
      <c r="B106" s="786">
        <v>0</v>
      </c>
      <c r="C106" s="804">
        <v>0.01</v>
      </c>
      <c r="D106" s="804">
        <f t="shared" si="94"/>
        <v>0.01</v>
      </c>
      <c r="E106" s="802">
        <f t="shared" si="92"/>
        <v>0.58875</v>
      </c>
      <c r="F106" s="800">
        <f t="shared" si="93"/>
        <v>2.6666666666666668E-2</v>
      </c>
      <c r="G106" s="829">
        <f t="shared" si="65"/>
        <v>-0.01</v>
      </c>
      <c r="H106" s="829">
        <f t="shared" si="53"/>
        <v>-0.01</v>
      </c>
      <c r="I106" s="829">
        <f t="shared" si="54"/>
        <v>-0.58875</v>
      </c>
      <c r="J106" s="829">
        <f t="shared" si="55"/>
        <v>-2.6666666666666668E-2</v>
      </c>
      <c r="K106" s="813">
        <f t="shared" si="66"/>
        <v>2.6830000000000003</v>
      </c>
      <c r="L106" s="814">
        <f t="shared" si="67"/>
        <v>4.4960000000000004</v>
      </c>
      <c r="M106" s="810">
        <f t="shared" si="68"/>
        <v>110.390625</v>
      </c>
      <c r="N106" s="811">
        <f t="shared" si="69"/>
        <v>6.4266666666666676</v>
      </c>
      <c r="O106" s="806">
        <v>15</v>
      </c>
      <c r="P106" s="806">
        <v>15</v>
      </c>
      <c r="Q106" s="806">
        <v>15</v>
      </c>
      <c r="R106" s="806">
        <v>4</v>
      </c>
      <c r="S106" s="809">
        <f t="shared" si="70"/>
        <v>4024.5</v>
      </c>
      <c r="T106" s="809">
        <f t="shared" si="71"/>
        <v>6744</v>
      </c>
      <c r="U106" s="809">
        <f t="shared" si="72"/>
        <v>2812.5</v>
      </c>
      <c r="V106" s="809">
        <f t="shared" si="73"/>
        <v>964</v>
      </c>
      <c r="W106" s="816">
        <f t="shared" si="91"/>
        <v>42359</v>
      </c>
      <c r="X106" s="817">
        <f t="shared" si="74"/>
        <v>4021.817</v>
      </c>
      <c r="Y106" s="460">
        <v>514.11237300859887</v>
      </c>
      <c r="Z106" s="818">
        <f t="shared" si="75"/>
        <v>514.11237300859887</v>
      </c>
      <c r="AA106" s="817">
        <f t="shared" si="56"/>
        <v>6739.5039999999999</v>
      </c>
      <c r="AB106" s="460">
        <v>145.08919798566018</v>
      </c>
      <c r="AC106" s="818">
        <f t="shared" si="76"/>
        <v>145.08919798566018</v>
      </c>
      <c r="AD106" s="817">
        <f t="shared" si="77"/>
        <v>2702.109375</v>
      </c>
      <c r="AE106" s="460">
        <v>595.8260964440758</v>
      </c>
      <c r="AF106" s="818">
        <f t="shared" si="78"/>
        <v>595.8260964440758</v>
      </c>
      <c r="AG106" s="817">
        <f t="shared" si="57"/>
        <v>957.57333333333338</v>
      </c>
      <c r="AH106" s="460">
        <v>665.41544182256689</v>
      </c>
      <c r="AI106" s="818">
        <f t="shared" si="79"/>
        <v>665.41544182256689</v>
      </c>
      <c r="AJ106" s="824"/>
      <c r="AK106" s="826">
        <f t="shared" si="80"/>
        <v>14.99</v>
      </c>
      <c r="AL106" s="458">
        <f t="shared" si="81"/>
        <v>1.9161847670838572</v>
      </c>
      <c r="AM106" s="827">
        <f t="shared" si="82"/>
        <v>1.9161847670838572</v>
      </c>
      <c r="AN106" s="836">
        <f t="shared" si="83"/>
        <v>13.073815232916143</v>
      </c>
      <c r="AO106" s="826">
        <f t="shared" si="84"/>
        <v>14.99</v>
      </c>
      <c r="AP106" s="458">
        <f t="shared" si="98"/>
        <v>0.32270729089337225</v>
      </c>
      <c r="AQ106" s="827">
        <f t="shared" si="99"/>
        <v>0.32270729089337225</v>
      </c>
      <c r="AR106" s="836">
        <f t="shared" si="87"/>
        <v>14.667292709106627</v>
      </c>
      <c r="AS106" s="826">
        <f t="shared" si="95"/>
        <v>14.411250000000001</v>
      </c>
      <c r="AT106" s="458">
        <f t="shared" si="96"/>
        <v>3.1777391810350708</v>
      </c>
      <c r="AU106" s="827">
        <f t="shared" si="97"/>
        <v>3.1777391810350708</v>
      </c>
      <c r="AV106" s="836">
        <f t="shared" si="88"/>
        <v>11.23351081896493</v>
      </c>
      <c r="AW106" s="826">
        <f t="shared" si="61"/>
        <v>3.973333333333334</v>
      </c>
      <c r="AX106" s="458">
        <f t="shared" si="62"/>
        <v>2.7610599245749663</v>
      </c>
      <c r="AY106" s="827">
        <f t="shared" si="63"/>
        <v>2.7610599245749663</v>
      </c>
      <c r="AZ106" s="836">
        <f t="shared" si="89"/>
        <v>1.2122734087583678</v>
      </c>
    </row>
    <row r="107" spans="1:52">
      <c r="A107" s="787">
        <f t="shared" si="90"/>
        <v>42360</v>
      </c>
      <c r="B107" s="786">
        <v>0</v>
      </c>
      <c r="C107" s="804">
        <v>0.01</v>
      </c>
      <c r="D107" s="804">
        <f t="shared" si="94"/>
        <v>0.01</v>
      </c>
      <c r="E107" s="802">
        <f t="shared" si="92"/>
        <v>0.58875</v>
      </c>
      <c r="F107" s="800">
        <f t="shared" si="93"/>
        <v>2.6666666666666668E-2</v>
      </c>
      <c r="G107" s="829">
        <f t="shared" si="65"/>
        <v>-0.01</v>
      </c>
      <c r="H107" s="829">
        <f t="shared" si="53"/>
        <v>-0.01</v>
      </c>
      <c r="I107" s="829">
        <f t="shared" si="54"/>
        <v>-0.58875</v>
      </c>
      <c r="J107" s="829">
        <f t="shared" si="55"/>
        <v>-2.6666666666666668E-2</v>
      </c>
      <c r="K107" s="813">
        <f t="shared" si="66"/>
        <v>2.6830000000000003</v>
      </c>
      <c r="L107" s="814">
        <f t="shared" si="67"/>
        <v>4.4960000000000004</v>
      </c>
      <c r="M107" s="810">
        <f t="shared" si="68"/>
        <v>110.390625</v>
      </c>
      <c r="N107" s="811">
        <f t="shared" si="69"/>
        <v>6.4266666666666676</v>
      </c>
      <c r="O107" s="806">
        <v>15</v>
      </c>
      <c r="P107" s="806">
        <v>15</v>
      </c>
      <c r="Q107" s="806">
        <v>15</v>
      </c>
      <c r="R107" s="806">
        <v>4</v>
      </c>
      <c r="S107" s="809">
        <f t="shared" si="70"/>
        <v>4024.5</v>
      </c>
      <c r="T107" s="809">
        <f t="shared" si="71"/>
        <v>6744</v>
      </c>
      <c r="U107" s="809">
        <f t="shared" si="72"/>
        <v>2812.5</v>
      </c>
      <c r="V107" s="809">
        <f t="shared" si="73"/>
        <v>964</v>
      </c>
      <c r="W107" s="816">
        <f t="shared" si="91"/>
        <v>42360</v>
      </c>
      <c r="X107" s="817">
        <f t="shared" si="74"/>
        <v>4021.817</v>
      </c>
      <c r="Y107" s="460">
        <v>479.07142128349881</v>
      </c>
      <c r="Z107" s="818">
        <f t="shared" si="75"/>
        <v>479.07142128349881</v>
      </c>
      <c r="AA107" s="817">
        <f t="shared" si="56"/>
        <v>6739.5039999999999</v>
      </c>
      <c r="AB107" s="460">
        <v>138.61859617582357</v>
      </c>
      <c r="AC107" s="818">
        <f t="shared" si="76"/>
        <v>138.61859617582357</v>
      </c>
      <c r="AD107" s="817">
        <f t="shared" si="77"/>
        <v>2702.109375</v>
      </c>
      <c r="AE107" s="460">
        <v>570.79063746923305</v>
      </c>
      <c r="AF107" s="818">
        <f t="shared" si="78"/>
        <v>570.79063746923305</v>
      </c>
      <c r="AG107" s="817">
        <f t="shared" si="57"/>
        <v>957.57333333333338</v>
      </c>
      <c r="AH107" s="460">
        <v>298.1740142125397</v>
      </c>
      <c r="AI107" s="818">
        <f t="shared" si="79"/>
        <v>298.1740142125397</v>
      </c>
      <c r="AJ107" s="824"/>
      <c r="AK107" s="826">
        <f t="shared" si="80"/>
        <v>14.99</v>
      </c>
      <c r="AL107" s="458">
        <f t="shared" si="81"/>
        <v>1.7855811452981691</v>
      </c>
      <c r="AM107" s="827">
        <f t="shared" si="82"/>
        <v>1.7855811452981691</v>
      </c>
      <c r="AN107" s="836">
        <f t="shared" si="83"/>
        <v>13.204418854701832</v>
      </c>
      <c r="AO107" s="826">
        <f t="shared" si="84"/>
        <v>14.99</v>
      </c>
      <c r="AP107" s="458">
        <f t="shared" si="98"/>
        <v>0.30831538295334426</v>
      </c>
      <c r="AQ107" s="827">
        <f t="shared" si="99"/>
        <v>0.30831538295334426</v>
      </c>
      <c r="AR107" s="836">
        <f t="shared" si="87"/>
        <v>14.681684617046656</v>
      </c>
      <c r="AS107" s="826">
        <f t="shared" si="95"/>
        <v>14.411250000000001</v>
      </c>
      <c r="AT107" s="458">
        <f t="shared" si="96"/>
        <v>3.0442167331692431</v>
      </c>
      <c r="AU107" s="827">
        <f t="shared" si="97"/>
        <v>3.0442167331692431</v>
      </c>
      <c r="AV107" s="836">
        <f t="shared" si="88"/>
        <v>11.367033266830758</v>
      </c>
      <c r="AW107" s="826">
        <f t="shared" si="61"/>
        <v>3.973333333333334</v>
      </c>
      <c r="AX107" s="458">
        <f t="shared" si="62"/>
        <v>1.2372365734960153</v>
      </c>
      <c r="AY107" s="827">
        <f t="shared" si="63"/>
        <v>1.2372365734960153</v>
      </c>
      <c r="AZ107" s="836">
        <f t="shared" si="89"/>
        <v>2.7360967598373187</v>
      </c>
    </row>
    <row r="108" spans="1:52">
      <c r="A108" s="787">
        <f>A107+1</f>
        <v>42361</v>
      </c>
      <c r="B108" s="786">
        <v>0</v>
      </c>
      <c r="C108" s="804">
        <v>0.01</v>
      </c>
      <c r="D108" s="804">
        <f t="shared" si="94"/>
        <v>0.01</v>
      </c>
      <c r="E108" s="802">
        <f t="shared" si="92"/>
        <v>0.58875</v>
      </c>
      <c r="F108" s="800">
        <f t="shared" si="93"/>
        <v>2.6666666666666668E-2</v>
      </c>
      <c r="G108" s="829">
        <f t="shared" si="65"/>
        <v>-0.01</v>
      </c>
      <c r="H108" s="829">
        <f t="shared" si="53"/>
        <v>-0.01</v>
      </c>
      <c r="I108" s="829">
        <f t="shared" si="54"/>
        <v>-0.58875</v>
      </c>
      <c r="J108" s="829">
        <f t="shared" si="55"/>
        <v>-2.6666666666666668E-2</v>
      </c>
      <c r="K108" s="813">
        <f t="shared" si="66"/>
        <v>2.6830000000000003</v>
      </c>
      <c r="L108" s="814">
        <f t="shared" si="67"/>
        <v>4.4960000000000004</v>
      </c>
      <c r="M108" s="810">
        <f t="shared" si="68"/>
        <v>110.390625</v>
      </c>
      <c r="N108" s="811">
        <f t="shared" si="69"/>
        <v>6.4266666666666676</v>
      </c>
      <c r="O108" s="806">
        <v>15</v>
      </c>
      <c r="P108" s="806">
        <v>15</v>
      </c>
      <c r="Q108" s="806">
        <v>15</v>
      </c>
      <c r="R108" s="806">
        <v>4</v>
      </c>
      <c r="S108" s="809">
        <f t="shared" si="70"/>
        <v>4024.5</v>
      </c>
      <c r="T108" s="809">
        <f t="shared" si="71"/>
        <v>6744</v>
      </c>
      <c r="U108" s="809">
        <f t="shared" si="72"/>
        <v>2812.5</v>
      </c>
      <c r="V108" s="809">
        <f t="shared" si="73"/>
        <v>964</v>
      </c>
      <c r="W108" s="816">
        <f>W107+1</f>
        <v>42361</v>
      </c>
      <c r="X108" s="817">
        <f t="shared" si="74"/>
        <v>4021.817</v>
      </c>
      <c r="Y108" s="460">
        <v>445.60954539998596</v>
      </c>
      <c r="Z108" s="818">
        <f t="shared" si="75"/>
        <v>445.60954539998596</v>
      </c>
      <c r="AA108" s="817">
        <f t="shared" si="56"/>
        <v>6739.5039999999999</v>
      </c>
      <c r="AB108" s="460">
        <v>131.24965887248084</v>
      </c>
      <c r="AC108" s="818">
        <f t="shared" si="76"/>
        <v>131.24965887248084</v>
      </c>
      <c r="AD108" s="817">
        <f t="shared" si="77"/>
        <v>2702.109375</v>
      </c>
      <c r="AE108" s="460">
        <v>547.66281838858981</v>
      </c>
      <c r="AF108" s="818">
        <f t="shared" si="78"/>
        <v>547.66281838858981</v>
      </c>
      <c r="AG108" s="817">
        <f t="shared" si="57"/>
        <v>957.57333333333338</v>
      </c>
      <c r="AH108" s="460"/>
      <c r="AI108" s="818">
        <f t="shared" si="79"/>
        <v>0</v>
      </c>
      <c r="AJ108" s="824"/>
      <c r="AK108" s="826">
        <f t="shared" si="80"/>
        <v>14.99</v>
      </c>
      <c r="AL108" s="458">
        <f t="shared" si="81"/>
        <v>1.6608630093178753</v>
      </c>
      <c r="AM108" s="827">
        <f t="shared" si="82"/>
        <v>1.6608630093178753</v>
      </c>
      <c r="AN108" s="836">
        <f t="shared" si="83"/>
        <v>13.329136990682125</v>
      </c>
      <c r="AO108" s="826">
        <f t="shared" si="84"/>
        <v>14.99</v>
      </c>
      <c r="AP108" s="458">
        <f t="shared" si="98"/>
        <v>0.29192539784804455</v>
      </c>
      <c r="AQ108" s="827">
        <f t="shared" si="99"/>
        <v>0.29192539784804455</v>
      </c>
      <c r="AR108" s="836">
        <f t="shared" si="87"/>
        <v>14.698074602151955</v>
      </c>
      <c r="AS108" s="826">
        <f t="shared" si="95"/>
        <v>14.411250000000001</v>
      </c>
      <c r="AT108" s="458">
        <f t="shared" si="96"/>
        <v>2.9208683647391456</v>
      </c>
      <c r="AU108" s="827">
        <f t="shared" si="97"/>
        <v>2.9208683647391456</v>
      </c>
      <c r="AV108" s="836">
        <f t="shared" si="88"/>
        <v>11.490381635260855</v>
      </c>
      <c r="AW108" s="817">
        <f t="shared" ref="AW108:AW139" si="100">IF((AH108-Z108)&gt;0,(AH108-Z108),0)</f>
        <v>0</v>
      </c>
      <c r="AX108" s="460"/>
      <c r="AY108" s="818">
        <f t="shared" ref="AY108:AY135" si="101">IF(AX108&gt;AW108,AW108,AX108)</f>
        <v>0</v>
      </c>
      <c r="AZ108" s="836">
        <f t="shared" si="89"/>
        <v>0</v>
      </c>
    </row>
    <row r="109" spans="1:52">
      <c r="A109" s="787">
        <f t="shared" ref="A109:A172" si="102">A108+1</f>
        <v>42362</v>
      </c>
      <c r="B109" s="786">
        <v>0</v>
      </c>
      <c r="C109" s="804">
        <v>0.01</v>
      </c>
      <c r="D109" s="804">
        <f t="shared" si="94"/>
        <v>0.01</v>
      </c>
      <c r="E109" s="803">
        <f>AVERAGE(B$109:B$138)</f>
        <v>0.01</v>
      </c>
      <c r="F109" s="800">
        <f t="shared" si="93"/>
        <v>2.6666666666666668E-2</v>
      </c>
      <c r="G109" s="829">
        <f t="shared" si="65"/>
        <v>-0.01</v>
      </c>
      <c r="H109" s="829">
        <f t="shared" si="53"/>
        <v>-0.01</v>
      </c>
      <c r="I109" s="829">
        <f t="shared" si="54"/>
        <v>-0.01</v>
      </c>
      <c r="J109" s="829">
        <f t="shared" si="55"/>
        <v>-2.6666666666666668E-2</v>
      </c>
      <c r="K109" s="813">
        <f t="shared" si="66"/>
        <v>2.6830000000000003</v>
      </c>
      <c r="L109" s="814">
        <f t="shared" si="67"/>
        <v>4.4960000000000004</v>
      </c>
      <c r="M109" s="810">
        <f t="shared" si="68"/>
        <v>1.8750000000000002</v>
      </c>
      <c r="N109" s="811">
        <f t="shared" si="69"/>
        <v>6.4266666666666676</v>
      </c>
      <c r="O109" s="806">
        <v>15</v>
      </c>
      <c r="P109" s="806">
        <v>15</v>
      </c>
      <c r="Q109" s="806">
        <v>4</v>
      </c>
      <c r="R109" s="806">
        <v>4</v>
      </c>
      <c r="S109" s="809">
        <f t="shared" si="70"/>
        <v>4024.5</v>
      </c>
      <c r="T109" s="809">
        <f t="shared" si="71"/>
        <v>6744</v>
      </c>
      <c r="U109" s="809">
        <f t="shared" si="72"/>
        <v>750</v>
      </c>
      <c r="V109" s="809">
        <f t="shared" si="73"/>
        <v>964</v>
      </c>
      <c r="W109" s="816">
        <f t="shared" ref="W109:W172" si="103">W108+1</f>
        <v>42362</v>
      </c>
      <c r="X109" s="817">
        <f t="shared" si="74"/>
        <v>4021.817</v>
      </c>
      <c r="Y109" s="460">
        <v>411.46990403786106</v>
      </c>
      <c r="Z109" s="818">
        <f t="shared" si="75"/>
        <v>411.46990403786106</v>
      </c>
      <c r="AA109" s="817">
        <f t="shared" si="56"/>
        <v>6739.5039999999999</v>
      </c>
      <c r="AB109" s="460">
        <v>122.411222251504</v>
      </c>
      <c r="AC109" s="818">
        <f t="shared" si="76"/>
        <v>122.411222251504</v>
      </c>
      <c r="AD109" s="817">
        <f t="shared" si="77"/>
        <v>748.125</v>
      </c>
      <c r="AE109" s="460">
        <v>529.05478755220349</v>
      </c>
      <c r="AF109" s="818">
        <f t="shared" si="78"/>
        <v>529.05478755220349</v>
      </c>
      <c r="AG109" s="817">
        <f t="shared" si="57"/>
        <v>957.57333333333338</v>
      </c>
      <c r="AH109" s="460"/>
      <c r="AI109" s="818">
        <f t="shared" si="79"/>
        <v>0</v>
      </c>
      <c r="AJ109" s="824"/>
      <c r="AK109" s="826">
        <f t="shared" si="80"/>
        <v>14.99</v>
      </c>
      <c r="AL109" s="458">
        <f t="shared" si="81"/>
        <v>1.5336187254486062</v>
      </c>
      <c r="AM109" s="827">
        <f t="shared" si="82"/>
        <v>1.5336187254486062</v>
      </c>
      <c r="AN109" s="836">
        <f t="shared" si="83"/>
        <v>13.456381274551394</v>
      </c>
      <c r="AO109" s="826">
        <f t="shared" si="84"/>
        <v>14.99</v>
      </c>
      <c r="AP109" s="458">
        <f t="shared" si="98"/>
        <v>0.27226695340637008</v>
      </c>
      <c r="AQ109" s="827">
        <f t="shared" si="99"/>
        <v>0.27226695340637008</v>
      </c>
      <c r="AR109" s="836">
        <f t="shared" si="87"/>
        <v>14.717733046593629</v>
      </c>
      <c r="AS109" s="826">
        <f t="shared" si="95"/>
        <v>3.9899999999999998</v>
      </c>
      <c r="AT109" s="458">
        <f t="shared" si="96"/>
        <v>2.8216255336117517</v>
      </c>
      <c r="AU109" s="827">
        <f t="shared" si="97"/>
        <v>2.8216255336117517</v>
      </c>
      <c r="AV109" s="836">
        <f t="shared" si="88"/>
        <v>1.168374466388248</v>
      </c>
      <c r="AW109" s="817">
        <f t="shared" si="100"/>
        <v>0</v>
      </c>
      <c r="AX109" s="460"/>
      <c r="AY109" s="818">
        <f t="shared" si="101"/>
        <v>0</v>
      </c>
      <c r="AZ109" s="836">
        <f t="shared" si="89"/>
        <v>0</v>
      </c>
    </row>
    <row r="110" spans="1:52">
      <c r="A110" s="787">
        <f t="shared" si="102"/>
        <v>42363</v>
      </c>
      <c r="B110" s="786">
        <v>0</v>
      </c>
      <c r="C110" s="804">
        <v>0.01</v>
      </c>
      <c r="D110" s="804">
        <f t="shared" si="94"/>
        <v>0.01</v>
      </c>
      <c r="E110" s="803">
        <f t="shared" ref="E110:E138" si="104">AVERAGE(B$109:B$138)</f>
        <v>0.01</v>
      </c>
      <c r="F110" s="800">
        <f t="shared" si="93"/>
        <v>2.6666666666666668E-2</v>
      </c>
      <c r="G110" s="829">
        <f t="shared" si="65"/>
        <v>-0.01</v>
      </c>
      <c r="H110" s="829">
        <f t="shared" si="53"/>
        <v>-0.01</v>
      </c>
      <c r="I110" s="829">
        <f t="shared" si="54"/>
        <v>-0.01</v>
      </c>
      <c r="J110" s="829">
        <f t="shared" si="55"/>
        <v>-2.6666666666666668E-2</v>
      </c>
      <c r="K110" s="813">
        <f t="shared" si="66"/>
        <v>2.6830000000000003</v>
      </c>
      <c r="L110" s="814">
        <f t="shared" si="67"/>
        <v>4.4960000000000004</v>
      </c>
      <c r="M110" s="810">
        <f t="shared" si="68"/>
        <v>1.8750000000000002</v>
      </c>
      <c r="N110" s="811">
        <f t="shared" si="69"/>
        <v>6.4266666666666676</v>
      </c>
      <c r="O110" s="806">
        <v>15</v>
      </c>
      <c r="P110" s="806">
        <v>15</v>
      </c>
      <c r="Q110" s="806">
        <v>4</v>
      </c>
      <c r="R110" s="806">
        <v>4</v>
      </c>
      <c r="S110" s="809">
        <f t="shared" si="70"/>
        <v>4024.5</v>
      </c>
      <c r="T110" s="809">
        <f t="shared" si="71"/>
        <v>6744</v>
      </c>
      <c r="U110" s="809">
        <f t="shared" si="72"/>
        <v>750</v>
      </c>
      <c r="V110" s="809">
        <f t="shared" si="73"/>
        <v>964</v>
      </c>
      <c r="W110" s="816">
        <f t="shared" si="103"/>
        <v>42363</v>
      </c>
      <c r="X110" s="817">
        <f t="shared" si="74"/>
        <v>4021.817</v>
      </c>
      <c r="Y110" s="460">
        <v>379.27408757416896</v>
      </c>
      <c r="Z110" s="818">
        <f t="shared" si="75"/>
        <v>379.27408757416896</v>
      </c>
      <c r="AA110" s="817">
        <f t="shared" si="56"/>
        <v>6739.5039999999999</v>
      </c>
      <c r="AB110" s="460">
        <v>114.4863662576041</v>
      </c>
      <c r="AC110" s="818">
        <f t="shared" si="76"/>
        <v>114.4863662576041</v>
      </c>
      <c r="AD110" s="817">
        <f t="shared" si="77"/>
        <v>748.125</v>
      </c>
      <c r="AE110" s="460">
        <v>510.29233160193144</v>
      </c>
      <c r="AF110" s="818">
        <f t="shared" si="78"/>
        <v>510.29233160193144</v>
      </c>
      <c r="AG110" s="817">
        <f t="shared" si="57"/>
        <v>957.57333333333338</v>
      </c>
      <c r="AH110" s="460"/>
      <c r="AI110" s="818">
        <f t="shared" si="79"/>
        <v>0</v>
      </c>
      <c r="AJ110" s="824"/>
      <c r="AK110" s="826">
        <f t="shared" si="80"/>
        <v>14.99</v>
      </c>
      <c r="AL110" s="458">
        <f t="shared" si="81"/>
        <v>1.4136194095198247</v>
      </c>
      <c r="AM110" s="827">
        <f t="shared" si="82"/>
        <v>1.4136194095198247</v>
      </c>
      <c r="AN110" s="836">
        <f t="shared" si="83"/>
        <v>13.576380590480175</v>
      </c>
      <c r="AO110" s="826">
        <f t="shared" si="84"/>
        <v>14.99</v>
      </c>
      <c r="AP110" s="458">
        <f t="shared" si="98"/>
        <v>0.25464049434520486</v>
      </c>
      <c r="AQ110" s="827">
        <f t="shared" si="99"/>
        <v>0.25464049434520486</v>
      </c>
      <c r="AR110" s="836">
        <f t="shared" si="87"/>
        <v>14.735359505654795</v>
      </c>
      <c r="AS110" s="826">
        <f t="shared" si="95"/>
        <v>3.9899999999999998</v>
      </c>
      <c r="AT110" s="458">
        <f t="shared" si="96"/>
        <v>2.7215591018769674</v>
      </c>
      <c r="AU110" s="827">
        <f t="shared" si="97"/>
        <v>2.7215591018769674</v>
      </c>
      <c r="AV110" s="836">
        <f t="shared" si="88"/>
        <v>1.2684408981230324</v>
      </c>
      <c r="AW110" s="817">
        <f t="shared" si="100"/>
        <v>0</v>
      </c>
      <c r="AX110" s="460"/>
      <c r="AY110" s="818">
        <f t="shared" si="101"/>
        <v>0</v>
      </c>
      <c r="AZ110" s="836">
        <f t="shared" si="89"/>
        <v>0</v>
      </c>
    </row>
    <row r="111" spans="1:52">
      <c r="A111" s="787">
        <f t="shared" si="102"/>
        <v>42364</v>
      </c>
      <c r="B111" s="786">
        <v>0</v>
      </c>
      <c r="C111" s="804">
        <v>0.01</v>
      </c>
      <c r="D111" s="804">
        <f t="shared" si="94"/>
        <v>0.01</v>
      </c>
      <c r="E111" s="803">
        <f t="shared" si="104"/>
        <v>0.01</v>
      </c>
      <c r="F111" s="800">
        <f t="shared" si="93"/>
        <v>2.6666666666666668E-2</v>
      </c>
      <c r="G111" s="829">
        <f t="shared" si="65"/>
        <v>-0.01</v>
      </c>
      <c r="H111" s="829">
        <f t="shared" si="53"/>
        <v>-0.01</v>
      </c>
      <c r="I111" s="829">
        <f t="shared" si="54"/>
        <v>-0.01</v>
      </c>
      <c r="J111" s="829">
        <f t="shared" si="55"/>
        <v>-2.6666666666666668E-2</v>
      </c>
      <c r="K111" s="813">
        <f t="shared" si="66"/>
        <v>2.6830000000000003</v>
      </c>
      <c r="L111" s="814">
        <f t="shared" si="67"/>
        <v>4.4960000000000004</v>
      </c>
      <c r="M111" s="810">
        <f t="shared" si="68"/>
        <v>1.8750000000000002</v>
      </c>
      <c r="N111" s="811">
        <f t="shared" si="69"/>
        <v>6.4266666666666676</v>
      </c>
      <c r="O111" s="806">
        <v>15</v>
      </c>
      <c r="P111" s="806">
        <v>15</v>
      </c>
      <c r="Q111" s="806">
        <v>4</v>
      </c>
      <c r="R111" s="806">
        <v>4</v>
      </c>
      <c r="S111" s="809">
        <f t="shared" si="70"/>
        <v>4024.5</v>
      </c>
      <c r="T111" s="809">
        <f t="shared" si="71"/>
        <v>6744</v>
      </c>
      <c r="U111" s="809">
        <f t="shared" si="72"/>
        <v>750</v>
      </c>
      <c r="V111" s="809">
        <f t="shared" si="73"/>
        <v>964</v>
      </c>
      <c r="W111" s="816">
        <f t="shared" si="103"/>
        <v>42364</v>
      </c>
      <c r="X111" s="817">
        <f t="shared" si="74"/>
        <v>4021.817</v>
      </c>
      <c r="Y111" s="460">
        <v>345.47737660759964</v>
      </c>
      <c r="Z111" s="818">
        <f t="shared" si="75"/>
        <v>345.47737660759964</v>
      </c>
      <c r="AA111" s="817">
        <f t="shared" si="56"/>
        <v>6739.5039999999999</v>
      </c>
      <c r="AB111" s="460">
        <v>107.13873663351893</v>
      </c>
      <c r="AC111" s="818">
        <f t="shared" si="76"/>
        <v>107.13873663351893</v>
      </c>
      <c r="AD111" s="817">
        <f t="shared" si="77"/>
        <v>748.125</v>
      </c>
      <c r="AE111" s="460">
        <v>491.00306857507383</v>
      </c>
      <c r="AF111" s="818">
        <f t="shared" si="78"/>
        <v>491.00306857507383</v>
      </c>
      <c r="AG111" s="817">
        <f t="shared" si="57"/>
        <v>957.57333333333338</v>
      </c>
      <c r="AH111" s="460"/>
      <c r="AI111" s="818">
        <f t="shared" si="79"/>
        <v>0</v>
      </c>
      <c r="AJ111" s="824"/>
      <c r="AK111" s="826">
        <f t="shared" si="80"/>
        <v>14.99</v>
      </c>
      <c r="AL111" s="458">
        <f t="shared" si="81"/>
        <v>1.2876532859023468</v>
      </c>
      <c r="AM111" s="827">
        <f t="shared" si="82"/>
        <v>1.2876532859023468</v>
      </c>
      <c r="AN111" s="836">
        <f t="shared" si="83"/>
        <v>13.702346714097654</v>
      </c>
      <c r="AO111" s="826">
        <f t="shared" si="84"/>
        <v>14.99</v>
      </c>
      <c r="AP111" s="458">
        <f t="shared" si="98"/>
        <v>0.23829790176494423</v>
      </c>
      <c r="AQ111" s="827">
        <f t="shared" si="99"/>
        <v>0.23829790176494423</v>
      </c>
      <c r="AR111" s="836">
        <f t="shared" si="87"/>
        <v>14.751702098235056</v>
      </c>
      <c r="AS111" s="826">
        <f t="shared" si="95"/>
        <v>3.9899999999999998</v>
      </c>
      <c r="AT111" s="458">
        <f t="shared" si="96"/>
        <v>2.6186830324003938</v>
      </c>
      <c r="AU111" s="827">
        <f t="shared" si="97"/>
        <v>2.6186830324003938</v>
      </c>
      <c r="AV111" s="836">
        <f t="shared" si="88"/>
        <v>1.371316967599606</v>
      </c>
      <c r="AW111" s="817">
        <f t="shared" si="100"/>
        <v>0</v>
      </c>
      <c r="AX111" s="460"/>
      <c r="AY111" s="818">
        <f t="shared" si="101"/>
        <v>0</v>
      </c>
      <c r="AZ111" s="836">
        <f t="shared" si="89"/>
        <v>0</v>
      </c>
    </row>
    <row r="112" spans="1:52">
      <c r="A112" s="787">
        <f t="shared" si="102"/>
        <v>42365</v>
      </c>
      <c r="B112" s="786">
        <v>0</v>
      </c>
      <c r="C112" s="804">
        <v>0.01</v>
      </c>
      <c r="D112" s="804">
        <f t="shared" si="94"/>
        <v>0.01</v>
      </c>
      <c r="E112" s="803">
        <f t="shared" si="104"/>
        <v>0.01</v>
      </c>
      <c r="F112" s="800">
        <f t="shared" si="93"/>
        <v>2.6666666666666668E-2</v>
      </c>
      <c r="G112" s="829">
        <f t="shared" si="65"/>
        <v>-0.01</v>
      </c>
      <c r="H112" s="829">
        <f t="shared" si="53"/>
        <v>-0.01</v>
      </c>
      <c r="I112" s="829">
        <f t="shared" si="54"/>
        <v>-0.01</v>
      </c>
      <c r="J112" s="829">
        <f t="shared" si="55"/>
        <v>-2.6666666666666668E-2</v>
      </c>
      <c r="K112" s="813">
        <f t="shared" si="66"/>
        <v>2.6830000000000003</v>
      </c>
      <c r="L112" s="814">
        <f t="shared" si="67"/>
        <v>4.4960000000000004</v>
      </c>
      <c r="M112" s="810">
        <f t="shared" si="68"/>
        <v>1.8750000000000002</v>
      </c>
      <c r="N112" s="811">
        <f t="shared" si="69"/>
        <v>6.4266666666666676</v>
      </c>
      <c r="O112" s="806">
        <v>15</v>
      </c>
      <c r="P112" s="806">
        <v>15</v>
      </c>
      <c r="Q112" s="806">
        <v>4</v>
      </c>
      <c r="R112" s="806">
        <v>4</v>
      </c>
      <c r="S112" s="809">
        <f t="shared" si="70"/>
        <v>4024.5</v>
      </c>
      <c r="T112" s="809">
        <f t="shared" si="71"/>
        <v>6744</v>
      </c>
      <c r="U112" s="809">
        <f t="shared" si="72"/>
        <v>750</v>
      </c>
      <c r="V112" s="809">
        <f t="shared" si="73"/>
        <v>964</v>
      </c>
      <c r="W112" s="816">
        <f t="shared" si="103"/>
        <v>42365</v>
      </c>
      <c r="X112" s="817">
        <f t="shared" si="74"/>
        <v>4021.817</v>
      </c>
      <c r="Y112" s="460">
        <v>307.37945989493761</v>
      </c>
      <c r="Z112" s="818">
        <f t="shared" si="75"/>
        <v>307.37945989493761</v>
      </c>
      <c r="AA112" s="817">
        <f t="shared" si="56"/>
        <v>6739.5039999999999</v>
      </c>
      <c r="AB112" s="460">
        <v>99.71587061565819</v>
      </c>
      <c r="AC112" s="818">
        <f t="shared" si="76"/>
        <v>99.71587061565819</v>
      </c>
      <c r="AD112" s="817">
        <f t="shared" si="77"/>
        <v>748.125</v>
      </c>
      <c r="AE112" s="460">
        <v>471.3068284910604</v>
      </c>
      <c r="AF112" s="818">
        <f t="shared" si="78"/>
        <v>471.3068284910604</v>
      </c>
      <c r="AG112" s="817">
        <f t="shared" si="57"/>
        <v>957.57333333333338</v>
      </c>
      <c r="AH112" s="460"/>
      <c r="AI112" s="818">
        <f t="shared" si="79"/>
        <v>0</v>
      </c>
      <c r="AJ112" s="824"/>
      <c r="AK112" s="826">
        <f t="shared" si="80"/>
        <v>14.99</v>
      </c>
      <c r="AL112" s="458">
        <f t="shared" si="81"/>
        <v>1.1456558326311501</v>
      </c>
      <c r="AM112" s="827">
        <f t="shared" si="82"/>
        <v>1.1456558326311501</v>
      </c>
      <c r="AN112" s="836">
        <f t="shared" si="83"/>
        <v>13.844344167368851</v>
      </c>
      <c r="AO112" s="826">
        <f t="shared" si="84"/>
        <v>14.99</v>
      </c>
      <c r="AP112" s="458">
        <f t="shared" si="98"/>
        <v>0.22178796845119703</v>
      </c>
      <c r="AQ112" s="827">
        <f t="shared" si="99"/>
        <v>0.22178796845119703</v>
      </c>
      <c r="AR112" s="836">
        <f t="shared" si="87"/>
        <v>14.768212031548803</v>
      </c>
      <c r="AS112" s="826">
        <f t="shared" si="95"/>
        <v>3.9899999999999998</v>
      </c>
      <c r="AT112" s="458">
        <f t="shared" si="96"/>
        <v>2.5136364186189888</v>
      </c>
      <c r="AU112" s="827">
        <f t="shared" si="97"/>
        <v>2.5136364186189888</v>
      </c>
      <c r="AV112" s="836">
        <f t="shared" si="88"/>
        <v>1.476363581381011</v>
      </c>
      <c r="AW112" s="817">
        <f t="shared" si="100"/>
        <v>0</v>
      </c>
      <c r="AX112" s="460"/>
      <c r="AY112" s="818">
        <f t="shared" si="101"/>
        <v>0</v>
      </c>
      <c r="AZ112" s="836">
        <f t="shared" si="89"/>
        <v>0</v>
      </c>
    </row>
    <row r="113" spans="1:52">
      <c r="A113" s="787">
        <f t="shared" si="102"/>
        <v>42366</v>
      </c>
      <c r="B113" s="786">
        <v>0</v>
      </c>
      <c r="C113" s="804">
        <v>0.01</v>
      </c>
      <c r="D113" s="804">
        <f t="shared" si="94"/>
        <v>0.01</v>
      </c>
      <c r="E113" s="803">
        <f t="shared" si="104"/>
        <v>0.01</v>
      </c>
      <c r="F113" s="800">
        <f t="shared" si="93"/>
        <v>2.6666666666666668E-2</v>
      </c>
      <c r="G113" s="829">
        <f t="shared" si="65"/>
        <v>-0.01</v>
      </c>
      <c r="H113" s="829">
        <f t="shared" si="53"/>
        <v>-0.01</v>
      </c>
      <c r="I113" s="829">
        <f t="shared" si="54"/>
        <v>-0.01</v>
      </c>
      <c r="J113" s="829">
        <f t="shared" si="55"/>
        <v>-2.6666666666666668E-2</v>
      </c>
      <c r="K113" s="813">
        <f t="shared" si="66"/>
        <v>2.6830000000000003</v>
      </c>
      <c r="L113" s="814">
        <f t="shared" si="67"/>
        <v>4.4960000000000004</v>
      </c>
      <c r="M113" s="810">
        <f t="shared" si="68"/>
        <v>1.8750000000000002</v>
      </c>
      <c r="N113" s="811">
        <f t="shared" si="69"/>
        <v>6.4266666666666676</v>
      </c>
      <c r="O113" s="806">
        <v>15</v>
      </c>
      <c r="P113" s="806">
        <v>15</v>
      </c>
      <c r="Q113" s="806">
        <v>4</v>
      </c>
      <c r="R113" s="806">
        <v>4</v>
      </c>
      <c r="S113" s="809">
        <f t="shared" si="70"/>
        <v>4024.5</v>
      </c>
      <c r="T113" s="809">
        <f t="shared" si="71"/>
        <v>6744</v>
      </c>
      <c r="U113" s="809">
        <f t="shared" si="72"/>
        <v>750</v>
      </c>
      <c r="V113" s="809">
        <f t="shared" si="73"/>
        <v>964</v>
      </c>
      <c r="W113" s="816">
        <f t="shared" si="103"/>
        <v>42366</v>
      </c>
      <c r="X113" s="817">
        <f t="shared" si="74"/>
        <v>4021.817</v>
      </c>
      <c r="Y113" s="460">
        <v>269.7417712223475</v>
      </c>
      <c r="Z113" s="818">
        <f t="shared" si="75"/>
        <v>269.7417712223475</v>
      </c>
      <c r="AA113" s="817">
        <f t="shared" si="56"/>
        <v>6739.5039999999999</v>
      </c>
      <c r="AB113" s="460">
        <v>92.071154911264415</v>
      </c>
      <c r="AC113" s="818">
        <f t="shared" si="76"/>
        <v>92.071154911264415</v>
      </c>
      <c r="AD113" s="817">
        <f t="shared" si="77"/>
        <v>748.125</v>
      </c>
      <c r="AE113" s="460">
        <v>449.60787988775769</v>
      </c>
      <c r="AF113" s="818">
        <f t="shared" si="78"/>
        <v>449.60787988775769</v>
      </c>
      <c r="AG113" s="817">
        <f t="shared" si="57"/>
        <v>957.57333333333338</v>
      </c>
      <c r="AH113" s="460"/>
      <c r="AI113" s="818">
        <f t="shared" si="79"/>
        <v>0</v>
      </c>
      <c r="AJ113" s="824"/>
      <c r="AK113" s="826">
        <f t="shared" si="80"/>
        <v>14.99</v>
      </c>
      <c r="AL113" s="458">
        <f t="shared" si="81"/>
        <v>1.0053737279998043</v>
      </c>
      <c r="AM113" s="827">
        <f t="shared" si="82"/>
        <v>1.0053737279998043</v>
      </c>
      <c r="AN113" s="836">
        <f t="shared" si="83"/>
        <v>13.984626272000195</v>
      </c>
      <c r="AO113" s="826">
        <f t="shared" si="84"/>
        <v>14.99</v>
      </c>
      <c r="AP113" s="458">
        <f t="shared" si="98"/>
        <v>0.20478459722256317</v>
      </c>
      <c r="AQ113" s="827">
        <f t="shared" si="99"/>
        <v>0.20478459722256317</v>
      </c>
      <c r="AR113" s="836">
        <f t="shared" si="87"/>
        <v>14.785215402777437</v>
      </c>
      <c r="AS113" s="826">
        <f t="shared" si="95"/>
        <v>3.9899999999999998</v>
      </c>
      <c r="AT113" s="458">
        <f t="shared" si="96"/>
        <v>2.3979086927347075</v>
      </c>
      <c r="AU113" s="827">
        <f t="shared" si="97"/>
        <v>2.3979086927347075</v>
      </c>
      <c r="AV113" s="836">
        <f t="shared" si="88"/>
        <v>1.5920913072652922</v>
      </c>
      <c r="AW113" s="817">
        <f t="shared" si="100"/>
        <v>0</v>
      </c>
      <c r="AX113" s="460"/>
      <c r="AY113" s="818">
        <f t="shared" si="101"/>
        <v>0</v>
      </c>
      <c r="AZ113" s="836">
        <f t="shared" si="89"/>
        <v>0</v>
      </c>
    </row>
    <row r="114" spans="1:52">
      <c r="A114" s="787">
        <f t="shared" si="102"/>
        <v>42367</v>
      </c>
      <c r="B114" s="786">
        <v>0</v>
      </c>
      <c r="C114" s="804">
        <v>0.01</v>
      </c>
      <c r="D114" s="804">
        <f t="shared" si="94"/>
        <v>0.01</v>
      </c>
      <c r="E114" s="803">
        <f t="shared" si="104"/>
        <v>0.01</v>
      </c>
      <c r="F114" s="800">
        <f t="shared" si="93"/>
        <v>2.6666666666666668E-2</v>
      </c>
      <c r="G114" s="829">
        <f t="shared" si="65"/>
        <v>-0.01</v>
      </c>
      <c r="H114" s="829">
        <f t="shared" si="53"/>
        <v>-0.01</v>
      </c>
      <c r="I114" s="829">
        <f t="shared" si="54"/>
        <v>-0.01</v>
      </c>
      <c r="J114" s="829">
        <f t="shared" si="55"/>
        <v>-2.6666666666666668E-2</v>
      </c>
      <c r="K114" s="813">
        <f t="shared" si="66"/>
        <v>2.6830000000000003</v>
      </c>
      <c r="L114" s="814">
        <f t="shared" si="67"/>
        <v>4.4960000000000004</v>
      </c>
      <c r="M114" s="810">
        <f t="shared" si="68"/>
        <v>1.8750000000000002</v>
      </c>
      <c r="N114" s="811">
        <f t="shared" si="69"/>
        <v>6.4266666666666676</v>
      </c>
      <c r="O114" s="806">
        <v>15</v>
      </c>
      <c r="P114" s="806">
        <v>15</v>
      </c>
      <c r="Q114" s="806">
        <v>4</v>
      </c>
      <c r="R114" s="806">
        <v>4</v>
      </c>
      <c r="S114" s="809">
        <f t="shared" si="70"/>
        <v>4024.5</v>
      </c>
      <c r="T114" s="809">
        <f t="shared" si="71"/>
        <v>6744</v>
      </c>
      <c r="U114" s="809">
        <f t="shared" si="72"/>
        <v>750</v>
      </c>
      <c r="V114" s="809">
        <f t="shared" si="73"/>
        <v>964</v>
      </c>
      <c r="W114" s="816">
        <f t="shared" si="103"/>
        <v>42367</v>
      </c>
      <c r="X114" s="817">
        <f t="shared" si="74"/>
        <v>4021.817</v>
      </c>
      <c r="Y114" s="460">
        <v>234.95126363547482</v>
      </c>
      <c r="Z114" s="818">
        <f t="shared" si="75"/>
        <v>234.95126363547482</v>
      </c>
      <c r="AA114" s="817">
        <f t="shared" si="56"/>
        <v>6739.5039999999999</v>
      </c>
      <c r="AB114" s="460">
        <v>83.881869074811405</v>
      </c>
      <c r="AC114" s="818">
        <f t="shared" si="76"/>
        <v>83.881869074811405</v>
      </c>
      <c r="AD114" s="817">
        <f t="shared" si="77"/>
        <v>748.125</v>
      </c>
      <c r="AE114" s="460">
        <v>427.1975484418985</v>
      </c>
      <c r="AF114" s="818">
        <f t="shared" si="78"/>
        <v>427.1975484418985</v>
      </c>
      <c r="AG114" s="817">
        <f t="shared" si="57"/>
        <v>957.57333333333338</v>
      </c>
      <c r="AH114" s="460"/>
      <c r="AI114" s="818">
        <f t="shared" si="79"/>
        <v>0</v>
      </c>
      <c r="AJ114" s="824"/>
      <c r="AK114" s="826">
        <f t="shared" si="80"/>
        <v>14.99</v>
      </c>
      <c r="AL114" s="458">
        <f t="shared" si="81"/>
        <v>0.87570355436255987</v>
      </c>
      <c r="AM114" s="827">
        <f t="shared" si="82"/>
        <v>0.87570355436255987</v>
      </c>
      <c r="AN114" s="836">
        <f t="shared" si="83"/>
        <v>14.114296445637441</v>
      </c>
      <c r="AO114" s="826">
        <f t="shared" si="84"/>
        <v>14.99</v>
      </c>
      <c r="AP114" s="458">
        <f t="shared" si="98"/>
        <v>0.1865699934937976</v>
      </c>
      <c r="AQ114" s="827">
        <f t="shared" si="99"/>
        <v>0.1865699934937976</v>
      </c>
      <c r="AR114" s="836">
        <f t="shared" si="87"/>
        <v>14.803430006506202</v>
      </c>
      <c r="AS114" s="826">
        <f t="shared" si="95"/>
        <v>3.9899999999999998</v>
      </c>
      <c r="AT114" s="458">
        <f t="shared" si="96"/>
        <v>2.2783869250234585</v>
      </c>
      <c r="AU114" s="827">
        <f t="shared" si="97"/>
        <v>2.2783869250234585</v>
      </c>
      <c r="AV114" s="836">
        <f t="shared" si="88"/>
        <v>1.7116130749765412</v>
      </c>
      <c r="AW114" s="817">
        <f t="shared" si="100"/>
        <v>0</v>
      </c>
      <c r="AX114" s="460"/>
      <c r="AY114" s="818">
        <f t="shared" si="101"/>
        <v>0</v>
      </c>
      <c r="AZ114" s="836">
        <f t="shared" si="89"/>
        <v>0</v>
      </c>
    </row>
    <row r="115" spans="1:52">
      <c r="A115" s="787">
        <f t="shared" si="102"/>
        <v>42368</v>
      </c>
      <c r="B115" s="786">
        <v>0</v>
      </c>
      <c r="C115" s="804">
        <v>0.01</v>
      </c>
      <c r="D115" s="804">
        <f t="shared" si="94"/>
        <v>0.01</v>
      </c>
      <c r="E115" s="803">
        <f t="shared" si="104"/>
        <v>0.01</v>
      </c>
      <c r="F115" s="800">
        <f t="shared" si="93"/>
        <v>2.6666666666666668E-2</v>
      </c>
      <c r="G115" s="829">
        <f t="shared" si="65"/>
        <v>-0.01</v>
      </c>
      <c r="H115" s="829">
        <f t="shared" si="53"/>
        <v>-0.01</v>
      </c>
      <c r="I115" s="829">
        <f t="shared" si="54"/>
        <v>-0.01</v>
      </c>
      <c r="J115" s="829">
        <f t="shared" si="55"/>
        <v>-2.6666666666666668E-2</v>
      </c>
      <c r="K115" s="813">
        <f t="shared" si="66"/>
        <v>2.6830000000000003</v>
      </c>
      <c r="L115" s="814">
        <f t="shared" si="67"/>
        <v>4.4960000000000004</v>
      </c>
      <c r="M115" s="810">
        <f t="shared" si="68"/>
        <v>1.8750000000000002</v>
      </c>
      <c r="N115" s="811">
        <f t="shared" si="69"/>
        <v>6.4266666666666676</v>
      </c>
      <c r="O115" s="806">
        <v>15</v>
      </c>
      <c r="P115" s="806">
        <v>15</v>
      </c>
      <c r="Q115" s="806">
        <v>4</v>
      </c>
      <c r="R115" s="806">
        <v>4</v>
      </c>
      <c r="S115" s="809">
        <f t="shared" si="70"/>
        <v>4024.5</v>
      </c>
      <c r="T115" s="809">
        <f t="shared" si="71"/>
        <v>6744</v>
      </c>
      <c r="U115" s="809">
        <f t="shared" si="72"/>
        <v>750</v>
      </c>
      <c r="V115" s="809">
        <f t="shared" si="73"/>
        <v>964</v>
      </c>
      <c r="W115" s="816">
        <f t="shared" si="103"/>
        <v>42368</v>
      </c>
      <c r="X115" s="817">
        <f t="shared" si="74"/>
        <v>4021.817</v>
      </c>
      <c r="Y115" s="460">
        <v>208.63322894378615</v>
      </c>
      <c r="Z115" s="818">
        <f t="shared" si="75"/>
        <v>208.63322894378615</v>
      </c>
      <c r="AA115" s="817">
        <f t="shared" si="56"/>
        <v>6739.5039999999999</v>
      </c>
      <c r="AB115" s="460">
        <v>75.294719094595351</v>
      </c>
      <c r="AC115" s="818">
        <f t="shared" si="76"/>
        <v>75.294719094595351</v>
      </c>
      <c r="AD115" s="817">
        <f t="shared" si="77"/>
        <v>748.125</v>
      </c>
      <c r="AE115" s="460">
        <v>405.42838611791086</v>
      </c>
      <c r="AF115" s="818">
        <f t="shared" si="78"/>
        <v>405.42838611791086</v>
      </c>
      <c r="AG115" s="817">
        <f t="shared" si="57"/>
        <v>957.57333333333338</v>
      </c>
      <c r="AH115" s="460"/>
      <c r="AI115" s="818">
        <f t="shared" si="79"/>
        <v>0</v>
      </c>
      <c r="AJ115" s="824"/>
      <c r="AK115" s="826">
        <f t="shared" si="80"/>
        <v>14.99</v>
      </c>
      <c r="AL115" s="458">
        <f t="shared" si="81"/>
        <v>0.77761173665220329</v>
      </c>
      <c r="AM115" s="827">
        <f t="shared" si="82"/>
        <v>0.77761173665220329</v>
      </c>
      <c r="AN115" s="836">
        <f t="shared" si="83"/>
        <v>14.212388263347798</v>
      </c>
      <c r="AO115" s="826">
        <f t="shared" si="84"/>
        <v>14.99</v>
      </c>
      <c r="AP115" s="458">
        <f t="shared" si="98"/>
        <v>0.16747046061965157</v>
      </c>
      <c r="AQ115" s="827">
        <f t="shared" si="99"/>
        <v>0.16747046061965157</v>
      </c>
      <c r="AR115" s="836">
        <f t="shared" si="87"/>
        <v>14.822529539380348</v>
      </c>
      <c r="AS115" s="826">
        <f t="shared" si="95"/>
        <v>3.9899999999999998</v>
      </c>
      <c r="AT115" s="458">
        <f t="shared" si="96"/>
        <v>2.1622847259621913</v>
      </c>
      <c r="AU115" s="827">
        <f t="shared" si="97"/>
        <v>2.1622847259621913</v>
      </c>
      <c r="AV115" s="836">
        <f t="shared" si="88"/>
        <v>1.8277152740378084</v>
      </c>
      <c r="AW115" s="817">
        <f t="shared" si="100"/>
        <v>0</v>
      </c>
      <c r="AX115" s="460"/>
      <c r="AY115" s="818">
        <f t="shared" si="101"/>
        <v>0</v>
      </c>
      <c r="AZ115" s="836">
        <f t="shared" si="89"/>
        <v>0</v>
      </c>
    </row>
    <row r="116" spans="1:52">
      <c r="A116" s="787">
        <f t="shared" si="102"/>
        <v>42369</v>
      </c>
      <c r="B116" s="786">
        <v>0</v>
      </c>
      <c r="C116" s="804">
        <v>0.01</v>
      </c>
      <c r="D116" s="804">
        <f t="shared" si="94"/>
        <v>0.01</v>
      </c>
      <c r="E116" s="803">
        <f t="shared" si="104"/>
        <v>0.01</v>
      </c>
      <c r="F116" s="800">
        <f t="shared" si="93"/>
        <v>2.6666666666666668E-2</v>
      </c>
      <c r="G116" s="829">
        <f t="shared" si="65"/>
        <v>-0.01</v>
      </c>
      <c r="H116" s="829">
        <f t="shared" si="53"/>
        <v>-0.01</v>
      </c>
      <c r="I116" s="829">
        <f t="shared" si="54"/>
        <v>-0.01</v>
      </c>
      <c r="J116" s="829">
        <f t="shared" si="55"/>
        <v>-2.6666666666666668E-2</v>
      </c>
      <c r="K116" s="813">
        <f t="shared" si="66"/>
        <v>2.6830000000000003</v>
      </c>
      <c r="L116" s="814">
        <f t="shared" si="67"/>
        <v>4.4960000000000004</v>
      </c>
      <c r="M116" s="810">
        <f t="shared" si="68"/>
        <v>1.8750000000000002</v>
      </c>
      <c r="N116" s="811">
        <f t="shared" si="69"/>
        <v>6.4266666666666676</v>
      </c>
      <c r="O116" s="806">
        <v>15</v>
      </c>
      <c r="P116" s="806">
        <v>15</v>
      </c>
      <c r="Q116" s="806">
        <v>4</v>
      </c>
      <c r="R116" s="806">
        <v>4</v>
      </c>
      <c r="S116" s="809">
        <f t="shared" si="70"/>
        <v>4024.5</v>
      </c>
      <c r="T116" s="809">
        <f t="shared" si="71"/>
        <v>6744</v>
      </c>
      <c r="U116" s="809">
        <f t="shared" si="72"/>
        <v>750</v>
      </c>
      <c r="V116" s="809">
        <f t="shared" si="73"/>
        <v>964</v>
      </c>
      <c r="W116" s="816">
        <f t="shared" si="103"/>
        <v>42369</v>
      </c>
      <c r="X116" s="817">
        <f t="shared" si="74"/>
        <v>4021.817</v>
      </c>
      <c r="Y116" s="460">
        <v>183.57147028892345</v>
      </c>
      <c r="Z116" s="818">
        <f t="shared" si="75"/>
        <v>183.57147028892345</v>
      </c>
      <c r="AA116" s="817">
        <f t="shared" si="56"/>
        <v>6739.5039999999999</v>
      </c>
      <c r="AB116" s="460">
        <v>66.807136877129238</v>
      </c>
      <c r="AC116" s="818">
        <f t="shared" si="76"/>
        <v>66.807136877129238</v>
      </c>
      <c r="AD116" s="817">
        <f t="shared" si="77"/>
        <v>748.125</v>
      </c>
      <c r="AE116" s="460">
        <v>382.65452627123932</v>
      </c>
      <c r="AF116" s="818">
        <f t="shared" si="78"/>
        <v>382.65452627123932</v>
      </c>
      <c r="AG116" s="817">
        <f t="shared" si="57"/>
        <v>957.57333333333338</v>
      </c>
      <c r="AH116" s="460"/>
      <c r="AI116" s="818">
        <f t="shared" si="79"/>
        <v>0</v>
      </c>
      <c r="AJ116" s="824"/>
      <c r="AK116" s="826">
        <f t="shared" si="80"/>
        <v>14.99</v>
      </c>
      <c r="AL116" s="458">
        <f t="shared" si="81"/>
        <v>0.68420227465122418</v>
      </c>
      <c r="AM116" s="827">
        <f t="shared" si="82"/>
        <v>0.68420227465122418</v>
      </c>
      <c r="AN116" s="836">
        <f t="shared" si="83"/>
        <v>14.305797725348777</v>
      </c>
      <c r="AO116" s="826">
        <f t="shared" si="84"/>
        <v>14.99</v>
      </c>
      <c r="AP116" s="458">
        <f t="shared" si="98"/>
        <v>0.14859238629254723</v>
      </c>
      <c r="AQ116" s="827">
        <f t="shared" si="99"/>
        <v>0.14859238629254723</v>
      </c>
      <c r="AR116" s="836">
        <f t="shared" si="87"/>
        <v>14.841407613707453</v>
      </c>
      <c r="AS116" s="826">
        <f t="shared" si="95"/>
        <v>3.9899999999999998</v>
      </c>
      <c r="AT116" s="458">
        <f t="shared" si="96"/>
        <v>2.0408241401132767</v>
      </c>
      <c r="AU116" s="827">
        <f t="shared" si="97"/>
        <v>2.0408241401132767</v>
      </c>
      <c r="AV116" s="836">
        <f t="shared" si="88"/>
        <v>1.949175859886723</v>
      </c>
      <c r="AW116" s="817">
        <f t="shared" si="100"/>
        <v>0</v>
      </c>
      <c r="AX116" s="460"/>
      <c r="AY116" s="818">
        <f t="shared" si="101"/>
        <v>0</v>
      </c>
      <c r="AZ116" s="836">
        <f t="shared" si="89"/>
        <v>0</v>
      </c>
    </row>
    <row r="117" spans="1:52">
      <c r="A117" s="787">
        <f t="shared" si="102"/>
        <v>42370</v>
      </c>
      <c r="B117" s="786">
        <v>0</v>
      </c>
      <c r="C117" s="804">
        <v>0.01</v>
      </c>
      <c r="D117" s="804">
        <f t="shared" si="94"/>
        <v>0.01</v>
      </c>
      <c r="E117" s="803">
        <f t="shared" si="104"/>
        <v>0.01</v>
      </c>
      <c r="F117" s="800">
        <f t="shared" si="93"/>
        <v>2.6666666666666668E-2</v>
      </c>
      <c r="G117" s="829">
        <f t="shared" si="65"/>
        <v>-0.01</v>
      </c>
      <c r="H117" s="829">
        <f t="shared" si="53"/>
        <v>-0.01</v>
      </c>
      <c r="I117" s="829">
        <f t="shared" si="54"/>
        <v>-0.01</v>
      </c>
      <c r="J117" s="829">
        <f t="shared" si="55"/>
        <v>-2.6666666666666668E-2</v>
      </c>
      <c r="K117" s="813">
        <f t="shared" si="66"/>
        <v>2.6830000000000003</v>
      </c>
      <c r="L117" s="814">
        <f t="shared" si="67"/>
        <v>4.4960000000000004</v>
      </c>
      <c r="M117" s="810">
        <f t="shared" si="68"/>
        <v>1.8750000000000002</v>
      </c>
      <c r="N117" s="811">
        <f t="shared" si="69"/>
        <v>6.4266666666666676</v>
      </c>
      <c r="O117" s="806">
        <v>15</v>
      </c>
      <c r="P117" s="806">
        <v>15</v>
      </c>
      <c r="Q117" s="806">
        <v>4</v>
      </c>
      <c r="R117" s="806">
        <v>4</v>
      </c>
      <c r="S117" s="809">
        <f t="shared" si="70"/>
        <v>4024.5</v>
      </c>
      <c r="T117" s="809">
        <f t="shared" si="71"/>
        <v>6744</v>
      </c>
      <c r="U117" s="809">
        <f t="shared" si="72"/>
        <v>750</v>
      </c>
      <c r="V117" s="809">
        <f t="shared" si="73"/>
        <v>964</v>
      </c>
      <c r="W117" s="816">
        <f t="shared" si="103"/>
        <v>42370</v>
      </c>
      <c r="X117" s="817">
        <f t="shared" si="74"/>
        <v>4021.817</v>
      </c>
      <c r="Y117" s="460">
        <v>157.4544742142547</v>
      </c>
      <c r="Z117" s="818">
        <f t="shared" si="75"/>
        <v>157.4544742142547</v>
      </c>
      <c r="AA117" s="817">
        <f t="shared" si="56"/>
        <v>6739.5039999999999</v>
      </c>
      <c r="AB117" s="460">
        <v>57.700630262765223</v>
      </c>
      <c r="AC117" s="818">
        <f t="shared" si="76"/>
        <v>57.700630262765223</v>
      </c>
      <c r="AD117" s="817">
        <f t="shared" si="77"/>
        <v>748.125</v>
      </c>
      <c r="AE117" s="460">
        <v>356.48041321214595</v>
      </c>
      <c r="AF117" s="818">
        <f t="shared" si="78"/>
        <v>356.48041321214595</v>
      </c>
      <c r="AG117" s="817">
        <f t="shared" si="57"/>
        <v>957.57333333333338</v>
      </c>
      <c r="AH117" s="460"/>
      <c r="AI117" s="818">
        <f t="shared" si="79"/>
        <v>0</v>
      </c>
      <c r="AJ117" s="824"/>
      <c r="AK117" s="826">
        <f t="shared" si="80"/>
        <v>14.99</v>
      </c>
      <c r="AL117" s="458">
        <f t="shared" si="81"/>
        <v>0.586859762259615</v>
      </c>
      <c r="AM117" s="827">
        <f t="shared" si="82"/>
        <v>0.586859762259615</v>
      </c>
      <c r="AN117" s="836">
        <f t="shared" si="83"/>
        <v>14.403140237740384</v>
      </c>
      <c r="AO117" s="826">
        <f t="shared" si="84"/>
        <v>14.99</v>
      </c>
      <c r="AP117" s="458">
        <f t="shared" si="98"/>
        <v>0.12833770076237816</v>
      </c>
      <c r="AQ117" s="827">
        <f t="shared" si="99"/>
        <v>0.12833770076237816</v>
      </c>
      <c r="AR117" s="836">
        <f t="shared" si="87"/>
        <v>14.861662299237622</v>
      </c>
      <c r="AS117" s="826">
        <f t="shared" si="95"/>
        <v>3.9899999999999998</v>
      </c>
      <c r="AT117" s="458">
        <f t="shared" si="96"/>
        <v>1.9012288704647784</v>
      </c>
      <c r="AU117" s="827">
        <f t="shared" si="97"/>
        <v>1.9012288704647784</v>
      </c>
      <c r="AV117" s="836">
        <f t="shared" si="88"/>
        <v>2.0887711295352211</v>
      </c>
      <c r="AW117" s="817">
        <f t="shared" si="100"/>
        <v>0</v>
      </c>
      <c r="AX117" s="460"/>
      <c r="AY117" s="818">
        <f t="shared" si="101"/>
        <v>0</v>
      </c>
      <c r="AZ117" s="836">
        <f t="shared" si="89"/>
        <v>0</v>
      </c>
    </row>
    <row r="118" spans="1:52">
      <c r="A118" s="787">
        <f t="shared" si="102"/>
        <v>42371</v>
      </c>
      <c r="B118" s="786">
        <v>0.3</v>
      </c>
      <c r="C118" s="804">
        <v>0.01</v>
      </c>
      <c r="D118" s="804">
        <f t="shared" si="94"/>
        <v>0.01</v>
      </c>
      <c r="E118" s="803">
        <f t="shared" si="104"/>
        <v>0.01</v>
      </c>
      <c r="F118" s="800">
        <f t="shared" si="93"/>
        <v>2.6666666666666668E-2</v>
      </c>
      <c r="G118" s="829">
        <f t="shared" si="65"/>
        <v>-0.01</v>
      </c>
      <c r="H118" s="829">
        <f t="shared" si="53"/>
        <v>-0.01</v>
      </c>
      <c r="I118" s="829">
        <f t="shared" si="54"/>
        <v>-0.01</v>
      </c>
      <c r="J118" s="829">
        <f t="shared" si="55"/>
        <v>-2.6666666666666668E-2</v>
      </c>
      <c r="K118" s="813">
        <f t="shared" si="66"/>
        <v>2.6830000000000003</v>
      </c>
      <c r="L118" s="814">
        <f t="shared" si="67"/>
        <v>4.4960000000000004</v>
      </c>
      <c r="M118" s="810">
        <f t="shared" si="68"/>
        <v>1.8750000000000002</v>
      </c>
      <c r="N118" s="811">
        <f t="shared" si="69"/>
        <v>6.4266666666666676</v>
      </c>
      <c r="O118" s="806">
        <v>15</v>
      </c>
      <c r="P118" s="806">
        <v>15</v>
      </c>
      <c r="Q118" s="806">
        <v>4</v>
      </c>
      <c r="R118" s="806">
        <v>4</v>
      </c>
      <c r="S118" s="809">
        <f t="shared" si="70"/>
        <v>4024.5</v>
      </c>
      <c r="T118" s="809">
        <f t="shared" si="71"/>
        <v>6744</v>
      </c>
      <c r="U118" s="809">
        <f t="shared" si="72"/>
        <v>750</v>
      </c>
      <c r="V118" s="809">
        <f t="shared" si="73"/>
        <v>964</v>
      </c>
      <c r="W118" s="816">
        <f t="shared" si="103"/>
        <v>42371</v>
      </c>
      <c r="X118" s="817">
        <f t="shared" si="74"/>
        <v>4021.817</v>
      </c>
      <c r="Y118" s="460">
        <v>130.64744460923214</v>
      </c>
      <c r="Z118" s="818">
        <f t="shared" si="75"/>
        <v>130.64744460923214</v>
      </c>
      <c r="AA118" s="817">
        <f t="shared" si="56"/>
        <v>6739.5039999999999</v>
      </c>
      <c r="AB118" s="460">
        <v>51.107444386361095</v>
      </c>
      <c r="AC118" s="818">
        <f t="shared" si="76"/>
        <v>51.107444386361095</v>
      </c>
      <c r="AD118" s="817">
        <f t="shared" si="77"/>
        <v>748.125</v>
      </c>
      <c r="AE118" s="460">
        <v>333.64285192943038</v>
      </c>
      <c r="AF118" s="818">
        <f t="shared" si="78"/>
        <v>333.64285192943038</v>
      </c>
      <c r="AG118" s="817">
        <f t="shared" si="57"/>
        <v>957.57333333333338</v>
      </c>
      <c r="AH118" s="460"/>
      <c r="AI118" s="818">
        <f t="shared" si="79"/>
        <v>0</v>
      </c>
      <c r="AJ118" s="824"/>
      <c r="AK118" s="826">
        <f t="shared" si="80"/>
        <v>14.99</v>
      </c>
      <c r="AL118" s="458">
        <f t="shared" si="81"/>
        <v>0.48694537685140565</v>
      </c>
      <c r="AM118" s="827">
        <f t="shared" si="82"/>
        <v>0.48694537685140565</v>
      </c>
      <c r="AN118" s="836">
        <f t="shared" si="83"/>
        <v>14.503054623148595</v>
      </c>
      <c r="AO118" s="826">
        <f t="shared" si="84"/>
        <v>14.99</v>
      </c>
      <c r="AP118" s="458">
        <f t="shared" si="98"/>
        <v>0.11367314142873909</v>
      </c>
      <c r="AQ118" s="827">
        <f t="shared" si="99"/>
        <v>0.11367314142873909</v>
      </c>
      <c r="AR118" s="836">
        <f t="shared" si="87"/>
        <v>14.876326858571261</v>
      </c>
      <c r="AS118" s="826">
        <f t="shared" si="95"/>
        <v>3.9899999999999998</v>
      </c>
      <c r="AT118" s="458">
        <f t="shared" si="96"/>
        <v>1.7794285436236288</v>
      </c>
      <c r="AU118" s="827">
        <f t="shared" si="97"/>
        <v>1.7794285436236288</v>
      </c>
      <c r="AV118" s="836">
        <f t="shared" si="88"/>
        <v>2.2105714563763712</v>
      </c>
      <c r="AW118" s="817">
        <f t="shared" si="100"/>
        <v>0</v>
      </c>
      <c r="AX118" s="460"/>
      <c r="AY118" s="818">
        <f t="shared" si="101"/>
        <v>0</v>
      </c>
      <c r="AZ118" s="836">
        <f t="shared" si="89"/>
        <v>0</v>
      </c>
    </row>
    <row r="119" spans="1:52">
      <c r="A119" s="787">
        <f t="shared" si="102"/>
        <v>42372</v>
      </c>
      <c r="B119" s="786">
        <v>0</v>
      </c>
      <c r="C119" s="804">
        <v>0.01</v>
      </c>
      <c r="D119" s="804">
        <f t="shared" si="94"/>
        <v>0.01</v>
      </c>
      <c r="E119" s="803">
        <f t="shared" si="104"/>
        <v>0.01</v>
      </c>
      <c r="F119" s="800">
        <f t="shared" si="93"/>
        <v>2.6666666666666668E-2</v>
      </c>
      <c r="G119" s="829">
        <f t="shared" si="65"/>
        <v>-0.01</v>
      </c>
      <c r="H119" s="829">
        <f t="shared" si="53"/>
        <v>-0.01</v>
      </c>
      <c r="I119" s="829">
        <f t="shared" si="54"/>
        <v>-0.01</v>
      </c>
      <c r="J119" s="829">
        <f t="shared" si="55"/>
        <v>-2.6666666666666668E-2</v>
      </c>
      <c r="K119" s="813">
        <f t="shared" si="66"/>
        <v>2.6830000000000003</v>
      </c>
      <c r="L119" s="814">
        <f t="shared" si="67"/>
        <v>4.4960000000000004</v>
      </c>
      <c r="M119" s="810">
        <f t="shared" si="68"/>
        <v>1.8750000000000002</v>
      </c>
      <c r="N119" s="811">
        <f t="shared" si="69"/>
        <v>6.4266666666666676</v>
      </c>
      <c r="O119" s="806">
        <v>15</v>
      </c>
      <c r="P119" s="806">
        <v>15</v>
      </c>
      <c r="Q119" s="806">
        <v>4</v>
      </c>
      <c r="R119" s="806">
        <v>4</v>
      </c>
      <c r="S119" s="809">
        <f t="shared" si="70"/>
        <v>4024.5</v>
      </c>
      <c r="T119" s="809">
        <f t="shared" si="71"/>
        <v>6744</v>
      </c>
      <c r="U119" s="809">
        <f t="shared" si="72"/>
        <v>750</v>
      </c>
      <c r="V119" s="809">
        <f t="shared" si="73"/>
        <v>964</v>
      </c>
      <c r="W119" s="816">
        <f t="shared" si="103"/>
        <v>42372</v>
      </c>
      <c r="X119" s="817">
        <f t="shared" si="74"/>
        <v>4021.817</v>
      </c>
      <c r="Y119" s="460">
        <v>93.295527599989555</v>
      </c>
      <c r="Z119" s="818">
        <f t="shared" si="75"/>
        <v>93.295527599989555</v>
      </c>
      <c r="AA119" s="817">
        <f t="shared" si="56"/>
        <v>6739.5039999999999</v>
      </c>
      <c r="AB119" s="460">
        <v>46.238528747807457</v>
      </c>
      <c r="AC119" s="818">
        <f t="shared" si="76"/>
        <v>46.238528747807457</v>
      </c>
      <c r="AD119" s="817">
        <f t="shared" si="77"/>
        <v>748.125</v>
      </c>
      <c r="AE119" s="460">
        <v>315.85025491995009</v>
      </c>
      <c r="AF119" s="818">
        <f t="shared" si="78"/>
        <v>315.85025491995009</v>
      </c>
      <c r="AG119" s="817">
        <f t="shared" si="57"/>
        <v>957.57333333333338</v>
      </c>
      <c r="AH119" s="460"/>
      <c r="AI119" s="818">
        <f t="shared" si="79"/>
        <v>0</v>
      </c>
      <c r="AJ119" s="824"/>
      <c r="AK119" s="826">
        <f t="shared" si="80"/>
        <v>14.99</v>
      </c>
      <c r="AL119" s="458">
        <f t="shared" si="81"/>
        <v>0.34772839209835837</v>
      </c>
      <c r="AM119" s="827">
        <f t="shared" si="82"/>
        <v>0.34772839209835837</v>
      </c>
      <c r="AN119" s="836">
        <f t="shared" si="83"/>
        <v>14.642271607901641</v>
      </c>
      <c r="AO119" s="826">
        <f t="shared" si="84"/>
        <v>14.99</v>
      </c>
      <c r="AP119" s="458">
        <f t="shared" si="98"/>
        <v>0.10284370273088847</v>
      </c>
      <c r="AQ119" s="827">
        <f t="shared" si="99"/>
        <v>0.10284370273088847</v>
      </c>
      <c r="AR119" s="836">
        <f t="shared" si="87"/>
        <v>14.887156297269112</v>
      </c>
      <c r="AS119" s="826">
        <f t="shared" si="95"/>
        <v>3.9899999999999998</v>
      </c>
      <c r="AT119" s="458">
        <f t="shared" si="96"/>
        <v>1.6845346929064005</v>
      </c>
      <c r="AU119" s="827">
        <f t="shared" si="97"/>
        <v>1.6845346929064005</v>
      </c>
      <c r="AV119" s="836">
        <f t="shared" si="88"/>
        <v>2.3054653070935993</v>
      </c>
      <c r="AW119" s="817">
        <f t="shared" si="100"/>
        <v>0</v>
      </c>
      <c r="AX119" s="460"/>
      <c r="AY119" s="818">
        <f t="shared" si="101"/>
        <v>0</v>
      </c>
      <c r="AZ119" s="836">
        <f t="shared" si="89"/>
        <v>0</v>
      </c>
    </row>
    <row r="120" spans="1:52">
      <c r="A120" s="787">
        <f t="shared" si="102"/>
        <v>42373</v>
      </c>
      <c r="B120" s="786">
        <v>0</v>
      </c>
      <c r="C120" s="804">
        <v>0.01</v>
      </c>
      <c r="D120" s="804">
        <f t="shared" si="94"/>
        <v>0.01</v>
      </c>
      <c r="E120" s="803">
        <f t="shared" si="104"/>
        <v>0.01</v>
      </c>
      <c r="F120" s="800">
        <f t="shared" si="93"/>
        <v>2.6666666666666668E-2</v>
      </c>
      <c r="G120" s="829">
        <f t="shared" si="65"/>
        <v>-0.01</v>
      </c>
      <c r="H120" s="829">
        <f t="shared" si="53"/>
        <v>-0.01</v>
      </c>
      <c r="I120" s="829">
        <f t="shared" si="54"/>
        <v>-0.01</v>
      </c>
      <c r="J120" s="829">
        <f t="shared" si="55"/>
        <v>-2.6666666666666668E-2</v>
      </c>
      <c r="K120" s="813">
        <f t="shared" si="66"/>
        <v>2.6830000000000003</v>
      </c>
      <c r="L120" s="814">
        <f t="shared" si="67"/>
        <v>4.4960000000000004</v>
      </c>
      <c r="M120" s="810">
        <f t="shared" si="68"/>
        <v>1.8750000000000002</v>
      </c>
      <c r="N120" s="811">
        <f t="shared" si="69"/>
        <v>6.4266666666666676</v>
      </c>
      <c r="O120" s="806">
        <v>15</v>
      </c>
      <c r="P120" s="806">
        <v>15</v>
      </c>
      <c r="Q120" s="806">
        <v>4</v>
      </c>
      <c r="R120" s="806">
        <v>4</v>
      </c>
      <c r="S120" s="809">
        <f t="shared" si="70"/>
        <v>4024.5</v>
      </c>
      <c r="T120" s="809">
        <f t="shared" si="71"/>
        <v>6744</v>
      </c>
      <c r="U120" s="809">
        <f t="shared" si="72"/>
        <v>750</v>
      </c>
      <c r="V120" s="809">
        <f t="shared" si="73"/>
        <v>964</v>
      </c>
      <c r="W120" s="816">
        <f t="shared" si="103"/>
        <v>42373</v>
      </c>
      <c r="X120" s="817">
        <f t="shared" si="74"/>
        <v>4021.817</v>
      </c>
      <c r="Y120" s="460">
        <v>56.51038870146261</v>
      </c>
      <c r="Z120" s="818">
        <f t="shared" si="75"/>
        <v>56.51038870146261</v>
      </c>
      <c r="AA120" s="817">
        <f t="shared" si="56"/>
        <v>6739.5039999999999</v>
      </c>
      <c r="AB120" s="460">
        <v>41.600780408308133</v>
      </c>
      <c r="AC120" s="818">
        <f t="shared" si="76"/>
        <v>41.600780408308133</v>
      </c>
      <c r="AD120" s="817">
        <f t="shared" si="77"/>
        <v>748.125</v>
      </c>
      <c r="AE120" s="460">
        <v>299.36363451151925</v>
      </c>
      <c r="AF120" s="818">
        <f t="shared" si="78"/>
        <v>299.36363451151925</v>
      </c>
      <c r="AG120" s="817">
        <f t="shared" si="57"/>
        <v>957.57333333333338</v>
      </c>
      <c r="AH120" s="460"/>
      <c r="AI120" s="818">
        <f t="shared" si="79"/>
        <v>0</v>
      </c>
      <c r="AJ120" s="824"/>
      <c r="AK120" s="826">
        <f t="shared" si="80"/>
        <v>14.99</v>
      </c>
      <c r="AL120" s="458">
        <f t="shared" si="81"/>
        <v>0.21062388632673354</v>
      </c>
      <c r="AM120" s="827">
        <f t="shared" si="82"/>
        <v>0.21062388632673354</v>
      </c>
      <c r="AN120" s="836">
        <f t="shared" si="83"/>
        <v>14.779376113673267</v>
      </c>
      <c r="AO120" s="826">
        <f t="shared" si="84"/>
        <v>14.99</v>
      </c>
      <c r="AP120" s="458">
        <f t="shared" si="98"/>
        <v>9.2528426175062573E-2</v>
      </c>
      <c r="AQ120" s="827">
        <f t="shared" si="99"/>
        <v>9.2528426175062573E-2</v>
      </c>
      <c r="AR120" s="836">
        <f t="shared" si="87"/>
        <v>14.897471573824937</v>
      </c>
      <c r="AS120" s="826">
        <f t="shared" si="95"/>
        <v>3.9899999999999998</v>
      </c>
      <c r="AT120" s="458">
        <f t="shared" si="96"/>
        <v>1.5966060507281026</v>
      </c>
      <c r="AU120" s="827">
        <f t="shared" si="97"/>
        <v>1.5966060507281026</v>
      </c>
      <c r="AV120" s="836">
        <f t="shared" si="88"/>
        <v>2.3933939492718972</v>
      </c>
      <c r="AW120" s="817">
        <f t="shared" si="100"/>
        <v>0</v>
      </c>
      <c r="AX120" s="460"/>
      <c r="AY120" s="818">
        <f t="shared" si="101"/>
        <v>0</v>
      </c>
      <c r="AZ120" s="836">
        <f t="shared" si="89"/>
        <v>0</v>
      </c>
    </row>
    <row r="121" spans="1:52">
      <c r="A121" s="787">
        <f t="shared" si="102"/>
        <v>42374</v>
      </c>
      <c r="B121" s="786">
        <v>0</v>
      </c>
      <c r="C121" s="804">
        <v>0.01</v>
      </c>
      <c r="D121" s="804">
        <f t="shared" si="94"/>
        <v>0.01</v>
      </c>
      <c r="E121" s="803">
        <f t="shared" si="104"/>
        <v>0.01</v>
      </c>
      <c r="F121" s="800">
        <f t="shared" si="93"/>
        <v>2.6666666666666668E-2</v>
      </c>
      <c r="G121" s="829">
        <f t="shared" si="65"/>
        <v>-0.01</v>
      </c>
      <c r="H121" s="829">
        <f t="shared" si="53"/>
        <v>-0.01</v>
      </c>
      <c r="I121" s="829">
        <f t="shared" si="54"/>
        <v>-0.01</v>
      </c>
      <c r="J121" s="829">
        <f t="shared" si="55"/>
        <v>-2.6666666666666668E-2</v>
      </c>
      <c r="K121" s="813">
        <f t="shared" si="66"/>
        <v>2.6830000000000003</v>
      </c>
      <c r="L121" s="814">
        <f t="shared" si="67"/>
        <v>4.4960000000000004</v>
      </c>
      <c r="M121" s="810">
        <f t="shared" si="68"/>
        <v>1.8750000000000002</v>
      </c>
      <c r="N121" s="811">
        <f t="shared" si="69"/>
        <v>6.4266666666666676</v>
      </c>
      <c r="O121" s="806">
        <v>15</v>
      </c>
      <c r="P121" s="806">
        <v>15</v>
      </c>
      <c r="Q121" s="806">
        <v>4</v>
      </c>
      <c r="R121" s="806">
        <v>4</v>
      </c>
      <c r="S121" s="809">
        <f t="shared" si="70"/>
        <v>4024.5</v>
      </c>
      <c r="T121" s="809">
        <f t="shared" si="71"/>
        <v>6744</v>
      </c>
      <c r="U121" s="809">
        <f t="shared" si="72"/>
        <v>750</v>
      </c>
      <c r="V121" s="809">
        <f t="shared" si="73"/>
        <v>964</v>
      </c>
      <c r="W121" s="816">
        <f t="shared" si="103"/>
        <v>42374</v>
      </c>
      <c r="X121" s="817">
        <f t="shared" si="74"/>
        <v>4021.817</v>
      </c>
      <c r="Y121" s="460">
        <v>12.521381564379903</v>
      </c>
      <c r="Z121" s="818">
        <f t="shared" si="75"/>
        <v>12.521381564379903</v>
      </c>
      <c r="AA121" s="817">
        <f t="shared" si="56"/>
        <v>6739.5039999999999</v>
      </c>
      <c r="AB121" s="460">
        <v>36.587066770863316</v>
      </c>
      <c r="AC121" s="818">
        <f t="shared" si="76"/>
        <v>36.587066770863316</v>
      </c>
      <c r="AD121" s="817">
        <f t="shared" si="77"/>
        <v>748.125</v>
      </c>
      <c r="AE121" s="460">
        <v>283.19848925070005</v>
      </c>
      <c r="AF121" s="818">
        <f t="shared" si="78"/>
        <v>283.19848925070005</v>
      </c>
      <c r="AG121" s="817">
        <f t="shared" si="57"/>
        <v>957.57333333333338</v>
      </c>
      <c r="AH121" s="460"/>
      <c r="AI121" s="818">
        <f t="shared" si="79"/>
        <v>0</v>
      </c>
      <c r="AJ121" s="824"/>
      <c r="AK121" s="826">
        <f t="shared" si="80"/>
        <v>14.99</v>
      </c>
      <c r="AL121" s="458">
        <f t="shared" si="81"/>
        <v>4.6669331212746565E-2</v>
      </c>
      <c r="AM121" s="827">
        <f t="shared" si="82"/>
        <v>4.6669331212746565E-2</v>
      </c>
      <c r="AN121" s="836">
        <f t="shared" si="83"/>
        <v>14.943330668787254</v>
      </c>
      <c r="AO121" s="826">
        <f t="shared" si="84"/>
        <v>14.99</v>
      </c>
      <c r="AP121" s="458">
        <f t="shared" si="98"/>
        <v>8.1376927871137261E-2</v>
      </c>
      <c r="AQ121" s="827">
        <f t="shared" si="99"/>
        <v>8.1376927871137261E-2</v>
      </c>
      <c r="AR121" s="836">
        <f t="shared" si="87"/>
        <v>14.908623072128863</v>
      </c>
      <c r="AS121" s="826">
        <f t="shared" si="95"/>
        <v>3.9899999999999998</v>
      </c>
      <c r="AT121" s="458">
        <f t="shared" si="96"/>
        <v>1.5103919426704002</v>
      </c>
      <c r="AU121" s="827">
        <f t="shared" si="97"/>
        <v>1.5103919426704002</v>
      </c>
      <c r="AV121" s="836">
        <f t="shared" si="88"/>
        <v>2.4796080573295995</v>
      </c>
      <c r="AW121" s="817">
        <f t="shared" si="100"/>
        <v>0</v>
      </c>
      <c r="AX121" s="460"/>
      <c r="AY121" s="818">
        <f t="shared" si="101"/>
        <v>0</v>
      </c>
      <c r="AZ121" s="836">
        <f t="shared" si="89"/>
        <v>0</v>
      </c>
    </row>
    <row r="122" spans="1:52">
      <c r="A122" s="787">
        <f t="shared" si="102"/>
        <v>42375</v>
      </c>
      <c r="B122" s="786">
        <v>0</v>
      </c>
      <c r="C122" s="804">
        <v>0.01</v>
      </c>
      <c r="D122" s="804">
        <f t="shared" si="94"/>
        <v>0.01</v>
      </c>
      <c r="E122" s="803">
        <f t="shared" si="104"/>
        <v>0.01</v>
      </c>
      <c r="F122" s="800">
        <f t="shared" si="93"/>
        <v>2.6666666666666668E-2</v>
      </c>
      <c r="G122" s="829">
        <f t="shared" si="65"/>
        <v>-0.01</v>
      </c>
      <c r="H122" s="829">
        <f t="shared" si="53"/>
        <v>-0.01</v>
      </c>
      <c r="I122" s="829">
        <f t="shared" si="54"/>
        <v>-0.01</v>
      </c>
      <c r="J122" s="829">
        <f t="shared" si="55"/>
        <v>-2.6666666666666668E-2</v>
      </c>
      <c r="K122" s="813">
        <f t="shared" si="66"/>
        <v>2.6830000000000003</v>
      </c>
      <c r="L122" s="814">
        <f t="shared" si="67"/>
        <v>4.4960000000000004</v>
      </c>
      <c r="M122" s="810">
        <f t="shared" si="68"/>
        <v>1.8750000000000002</v>
      </c>
      <c r="N122" s="811">
        <f t="shared" si="69"/>
        <v>6.4266666666666676</v>
      </c>
      <c r="O122" s="806">
        <v>15</v>
      </c>
      <c r="P122" s="806">
        <v>15</v>
      </c>
      <c r="Q122" s="806">
        <v>4</v>
      </c>
      <c r="R122" s="806">
        <v>4</v>
      </c>
      <c r="S122" s="809">
        <f t="shared" si="70"/>
        <v>4024.5</v>
      </c>
      <c r="T122" s="809">
        <f t="shared" si="71"/>
        <v>6744</v>
      </c>
      <c r="U122" s="809">
        <f t="shared" si="72"/>
        <v>750</v>
      </c>
      <c r="V122" s="809">
        <f t="shared" si="73"/>
        <v>964</v>
      </c>
      <c r="W122" s="816">
        <f t="shared" si="103"/>
        <v>42375</v>
      </c>
      <c r="X122" s="817">
        <f t="shared" si="74"/>
        <v>4021.817</v>
      </c>
      <c r="Y122" s="460">
        <v>0</v>
      </c>
      <c r="Z122" s="818">
        <f t="shared" si="75"/>
        <v>0</v>
      </c>
      <c r="AA122" s="817">
        <f t="shared" si="56"/>
        <v>6739.5039999999999</v>
      </c>
      <c r="AB122" s="460">
        <v>31.561235099952107</v>
      </c>
      <c r="AC122" s="818">
        <f t="shared" si="76"/>
        <v>31.561235099952107</v>
      </c>
      <c r="AD122" s="817">
        <f t="shared" si="77"/>
        <v>748.125</v>
      </c>
      <c r="AE122" s="460">
        <v>266.17575970019834</v>
      </c>
      <c r="AF122" s="818">
        <f t="shared" si="78"/>
        <v>266.17575970019834</v>
      </c>
      <c r="AG122" s="817">
        <f t="shared" si="57"/>
        <v>957.57333333333338</v>
      </c>
      <c r="AH122" s="460"/>
      <c r="AI122" s="818">
        <f t="shared" si="79"/>
        <v>0</v>
      </c>
      <c r="AJ122" s="824"/>
      <c r="AK122" s="826">
        <f t="shared" si="80"/>
        <v>14.99</v>
      </c>
      <c r="AL122" s="458">
        <f t="shared" si="81"/>
        <v>0</v>
      </c>
      <c r="AM122" s="827">
        <f t="shared" si="82"/>
        <v>0</v>
      </c>
      <c r="AN122" s="836">
        <f t="shared" si="83"/>
        <v>14.99</v>
      </c>
      <c r="AO122" s="826">
        <f t="shared" si="84"/>
        <v>14.99</v>
      </c>
      <c r="AP122" s="458">
        <f t="shared" si="98"/>
        <v>7.019847664580095E-2</v>
      </c>
      <c r="AQ122" s="827">
        <f t="shared" si="99"/>
        <v>7.019847664580095E-2</v>
      </c>
      <c r="AR122" s="836">
        <f t="shared" si="87"/>
        <v>14.919801523354199</v>
      </c>
      <c r="AS122" s="826">
        <f t="shared" si="95"/>
        <v>3.9899999999999998</v>
      </c>
      <c r="AT122" s="458">
        <f t="shared" si="96"/>
        <v>1.4196040517343911</v>
      </c>
      <c r="AU122" s="827">
        <f t="shared" si="97"/>
        <v>1.4196040517343911</v>
      </c>
      <c r="AV122" s="836">
        <f t="shared" si="88"/>
        <v>2.5703959482656087</v>
      </c>
      <c r="AW122" s="817">
        <f t="shared" si="100"/>
        <v>0</v>
      </c>
      <c r="AX122" s="460"/>
      <c r="AY122" s="818">
        <f t="shared" si="101"/>
        <v>0</v>
      </c>
      <c r="AZ122" s="836">
        <f t="shared" si="89"/>
        <v>0</v>
      </c>
    </row>
    <row r="123" spans="1:52">
      <c r="A123" s="787">
        <f t="shared" si="102"/>
        <v>42376</v>
      </c>
      <c r="B123" s="786">
        <v>0</v>
      </c>
      <c r="C123" s="804">
        <v>0.01</v>
      </c>
      <c r="D123" s="804">
        <f t="shared" si="94"/>
        <v>0.01</v>
      </c>
      <c r="E123" s="803">
        <f t="shared" si="104"/>
        <v>0.01</v>
      </c>
      <c r="F123" s="800">
        <f t="shared" si="93"/>
        <v>2.6666666666666668E-2</v>
      </c>
      <c r="G123" s="829">
        <f t="shared" si="65"/>
        <v>-0.01</v>
      </c>
      <c r="H123" s="829">
        <f t="shared" si="53"/>
        <v>-0.01</v>
      </c>
      <c r="I123" s="829">
        <f t="shared" si="54"/>
        <v>-0.01</v>
      </c>
      <c r="J123" s="829">
        <f t="shared" si="55"/>
        <v>-2.6666666666666668E-2</v>
      </c>
      <c r="K123" s="813">
        <f t="shared" si="66"/>
        <v>2.6830000000000003</v>
      </c>
      <c r="L123" s="814">
        <f t="shared" si="67"/>
        <v>4.4960000000000004</v>
      </c>
      <c r="M123" s="810">
        <f t="shared" si="68"/>
        <v>1.8750000000000002</v>
      </c>
      <c r="N123" s="811">
        <f t="shared" si="69"/>
        <v>6.4266666666666676</v>
      </c>
      <c r="O123" s="806">
        <v>15</v>
      </c>
      <c r="P123" s="806">
        <v>15</v>
      </c>
      <c r="Q123" s="806">
        <v>4</v>
      </c>
      <c r="R123" s="806">
        <v>4</v>
      </c>
      <c r="S123" s="809">
        <f t="shared" si="70"/>
        <v>4024.5</v>
      </c>
      <c r="T123" s="809">
        <f t="shared" si="71"/>
        <v>6744</v>
      </c>
      <c r="U123" s="809">
        <f t="shared" si="72"/>
        <v>750</v>
      </c>
      <c r="V123" s="809">
        <f t="shared" si="73"/>
        <v>964</v>
      </c>
      <c r="W123" s="816">
        <f t="shared" si="103"/>
        <v>42376</v>
      </c>
      <c r="X123" s="817">
        <f t="shared" si="74"/>
        <v>4021.817</v>
      </c>
      <c r="Y123" s="460">
        <v>0</v>
      </c>
      <c r="Z123" s="818">
        <f t="shared" si="75"/>
        <v>0</v>
      </c>
      <c r="AA123" s="817">
        <f t="shared" si="56"/>
        <v>6739.5039999999999</v>
      </c>
      <c r="AB123" s="460">
        <v>27.485774125229693</v>
      </c>
      <c r="AC123" s="818">
        <f t="shared" si="76"/>
        <v>27.485774125229693</v>
      </c>
      <c r="AD123" s="817">
        <f t="shared" si="77"/>
        <v>748.125</v>
      </c>
      <c r="AE123" s="460">
        <v>248.53110000653098</v>
      </c>
      <c r="AF123" s="818">
        <f t="shared" si="78"/>
        <v>248.53110000653098</v>
      </c>
      <c r="AG123" s="817">
        <f t="shared" si="57"/>
        <v>957.57333333333338</v>
      </c>
      <c r="AH123" s="460"/>
      <c r="AI123" s="818">
        <f t="shared" si="79"/>
        <v>0</v>
      </c>
      <c r="AJ123" s="824"/>
      <c r="AK123" s="826">
        <f t="shared" si="80"/>
        <v>14.99</v>
      </c>
      <c r="AL123" s="458">
        <f t="shared" si="81"/>
        <v>0</v>
      </c>
      <c r="AM123" s="827">
        <f t="shared" si="82"/>
        <v>0</v>
      </c>
      <c r="AN123" s="836">
        <f t="shared" si="83"/>
        <v>14.99</v>
      </c>
      <c r="AO123" s="826">
        <f t="shared" si="84"/>
        <v>14.99</v>
      </c>
      <c r="AP123" s="458">
        <f t="shared" si="98"/>
        <v>6.1133839246507317E-2</v>
      </c>
      <c r="AQ123" s="827">
        <f t="shared" si="99"/>
        <v>6.1133839246507317E-2</v>
      </c>
      <c r="AR123" s="836">
        <f t="shared" si="87"/>
        <v>14.928866160753493</v>
      </c>
      <c r="AS123" s="826">
        <f t="shared" si="95"/>
        <v>3.9899999999999998</v>
      </c>
      <c r="AT123" s="458">
        <f t="shared" si="96"/>
        <v>1.325499200034832</v>
      </c>
      <c r="AU123" s="827">
        <f t="shared" si="97"/>
        <v>1.325499200034832</v>
      </c>
      <c r="AV123" s="836">
        <f t="shared" si="88"/>
        <v>2.6645007999651678</v>
      </c>
      <c r="AW123" s="817">
        <f t="shared" si="100"/>
        <v>0</v>
      </c>
      <c r="AX123" s="460"/>
      <c r="AY123" s="818">
        <f t="shared" si="101"/>
        <v>0</v>
      </c>
      <c r="AZ123" s="836">
        <f t="shared" si="89"/>
        <v>0</v>
      </c>
    </row>
    <row r="124" spans="1:52">
      <c r="A124" s="787">
        <f t="shared" si="102"/>
        <v>42377</v>
      </c>
      <c r="B124" s="786">
        <v>0</v>
      </c>
      <c r="C124" s="804">
        <v>0.01</v>
      </c>
      <c r="D124" s="804">
        <f t="shared" si="94"/>
        <v>0.01</v>
      </c>
      <c r="E124" s="803">
        <f t="shared" si="104"/>
        <v>0.01</v>
      </c>
      <c r="F124" s="800">
        <f t="shared" si="93"/>
        <v>2.6666666666666668E-2</v>
      </c>
      <c r="G124" s="829">
        <f t="shared" si="65"/>
        <v>-0.01</v>
      </c>
      <c r="H124" s="829">
        <f t="shared" si="53"/>
        <v>-0.01</v>
      </c>
      <c r="I124" s="829">
        <f t="shared" si="54"/>
        <v>-0.01</v>
      </c>
      <c r="J124" s="829">
        <f t="shared" si="55"/>
        <v>-2.6666666666666668E-2</v>
      </c>
      <c r="K124" s="813">
        <f t="shared" si="66"/>
        <v>2.6830000000000003</v>
      </c>
      <c r="L124" s="814">
        <f t="shared" si="67"/>
        <v>4.4960000000000004</v>
      </c>
      <c r="M124" s="810">
        <f t="shared" si="68"/>
        <v>1.8750000000000002</v>
      </c>
      <c r="N124" s="811">
        <f t="shared" si="69"/>
        <v>6.4266666666666676</v>
      </c>
      <c r="O124" s="806">
        <v>15</v>
      </c>
      <c r="P124" s="806">
        <v>15</v>
      </c>
      <c r="Q124" s="806">
        <v>4</v>
      </c>
      <c r="R124" s="806">
        <v>4</v>
      </c>
      <c r="S124" s="809">
        <f t="shared" si="70"/>
        <v>4024.5</v>
      </c>
      <c r="T124" s="809">
        <f t="shared" si="71"/>
        <v>6744</v>
      </c>
      <c r="U124" s="809">
        <f t="shared" si="72"/>
        <v>750</v>
      </c>
      <c r="V124" s="809">
        <f t="shared" si="73"/>
        <v>964</v>
      </c>
      <c r="W124" s="816">
        <f t="shared" si="103"/>
        <v>42377</v>
      </c>
      <c r="X124" s="817">
        <f t="shared" si="74"/>
        <v>4021.817</v>
      </c>
      <c r="Y124" s="460">
        <v>0</v>
      </c>
      <c r="Z124" s="818">
        <f t="shared" si="75"/>
        <v>0</v>
      </c>
      <c r="AA124" s="817">
        <f t="shared" si="56"/>
        <v>6739.5039999999999</v>
      </c>
      <c r="AB124" s="460">
        <v>22.28213951572517</v>
      </c>
      <c r="AC124" s="818">
        <f t="shared" si="76"/>
        <v>22.28213951572517</v>
      </c>
      <c r="AD124" s="817">
        <f t="shared" si="77"/>
        <v>748.125</v>
      </c>
      <c r="AE124" s="460">
        <v>233.46191385348644</v>
      </c>
      <c r="AF124" s="818">
        <f t="shared" si="78"/>
        <v>233.46191385348644</v>
      </c>
      <c r="AG124" s="817">
        <f t="shared" si="57"/>
        <v>957.57333333333338</v>
      </c>
      <c r="AH124" s="460"/>
      <c r="AI124" s="818">
        <f t="shared" si="79"/>
        <v>0</v>
      </c>
      <c r="AJ124" s="824"/>
      <c r="AK124" s="826">
        <f t="shared" si="80"/>
        <v>14.99</v>
      </c>
      <c r="AL124" s="458">
        <f t="shared" si="81"/>
        <v>0</v>
      </c>
      <c r="AM124" s="827">
        <f t="shared" si="82"/>
        <v>0</v>
      </c>
      <c r="AN124" s="836">
        <f t="shared" si="83"/>
        <v>14.99</v>
      </c>
      <c r="AO124" s="826">
        <f t="shared" si="84"/>
        <v>14.99</v>
      </c>
      <c r="AP124" s="458">
        <f t="shared" si="98"/>
        <v>4.9559918851701891E-2</v>
      </c>
      <c r="AQ124" s="827">
        <f t="shared" si="99"/>
        <v>4.9559918851701891E-2</v>
      </c>
      <c r="AR124" s="836">
        <f t="shared" si="87"/>
        <v>14.940440081148298</v>
      </c>
      <c r="AS124" s="826">
        <f t="shared" si="95"/>
        <v>3.9899999999999998</v>
      </c>
      <c r="AT124" s="458">
        <f t="shared" si="96"/>
        <v>1.2451302072185944</v>
      </c>
      <c r="AU124" s="827">
        <f t="shared" si="97"/>
        <v>1.2451302072185944</v>
      </c>
      <c r="AV124" s="836">
        <f t="shared" si="88"/>
        <v>2.7448697927814054</v>
      </c>
      <c r="AW124" s="817">
        <f t="shared" si="100"/>
        <v>0</v>
      </c>
      <c r="AX124" s="460"/>
      <c r="AY124" s="818">
        <f t="shared" si="101"/>
        <v>0</v>
      </c>
      <c r="AZ124" s="836">
        <f t="shared" si="89"/>
        <v>0</v>
      </c>
    </row>
    <row r="125" spans="1:52">
      <c r="A125" s="787">
        <f t="shared" si="102"/>
        <v>42378</v>
      </c>
      <c r="B125" s="786">
        <v>0</v>
      </c>
      <c r="C125" s="804">
        <v>0.01</v>
      </c>
      <c r="D125" s="804">
        <f t="shared" si="94"/>
        <v>0.01</v>
      </c>
      <c r="E125" s="803">
        <f t="shared" si="104"/>
        <v>0.01</v>
      </c>
      <c r="F125" s="800">
        <f t="shared" si="93"/>
        <v>2.6666666666666668E-2</v>
      </c>
      <c r="G125" s="829">
        <f t="shared" si="65"/>
        <v>-0.01</v>
      </c>
      <c r="H125" s="829">
        <f t="shared" si="53"/>
        <v>-0.01</v>
      </c>
      <c r="I125" s="829">
        <f t="shared" si="54"/>
        <v>-0.01</v>
      </c>
      <c r="J125" s="829">
        <f t="shared" si="55"/>
        <v>-2.6666666666666668E-2</v>
      </c>
      <c r="K125" s="813">
        <f t="shared" si="66"/>
        <v>2.6830000000000003</v>
      </c>
      <c r="L125" s="814">
        <f t="shared" si="67"/>
        <v>4.4960000000000004</v>
      </c>
      <c r="M125" s="810">
        <f t="shared" si="68"/>
        <v>1.8750000000000002</v>
      </c>
      <c r="N125" s="811">
        <f t="shared" si="69"/>
        <v>6.4266666666666676</v>
      </c>
      <c r="O125" s="806">
        <v>15</v>
      </c>
      <c r="P125" s="806">
        <v>15</v>
      </c>
      <c r="Q125" s="806">
        <v>4</v>
      </c>
      <c r="R125" s="806">
        <v>4</v>
      </c>
      <c r="S125" s="809">
        <f t="shared" si="70"/>
        <v>4024.5</v>
      </c>
      <c r="T125" s="809">
        <f t="shared" si="71"/>
        <v>6744</v>
      </c>
      <c r="U125" s="809">
        <f t="shared" si="72"/>
        <v>750</v>
      </c>
      <c r="V125" s="809">
        <f t="shared" si="73"/>
        <v>964</v>
      </c>
      <c r="W125" s="816">
        <f t="shared" si="103"/>
        <v>42378</v>
      </c>
      <c r="X125" s="817">
        <f t="shared" si="74"/>
        <v>4021.817</v>
      </c>
      <c r="Y125" s="460">
        <v>0</v>
      </c>
      <c r="Z125" s="818">
        <f t="shared" si="75"/>
        <v>0</v>
      </c>
      <c r="AA125" s="817">
        <f t="shared" si="56"/>
        <v>6739.5039999999999</v>
      </c>
      <c r="AB125" s="460">
        <v>10.802782427702917</v>
      </c>
      <c r="AC125" s="818">
        <f t="shared" si="76"/>
        <v>10.802782427702917</v>
      </c>
      <c r="AD125" s="817">
        <f t="shared" si="77"/>
        <v>748.125</v>
      </c>
      <c r="AE125" s="460">
        <v>222.72872440224907</v>
      </c>
      <c r="AF125" s="818">
        <f t="shared" si="78"/>
        <v>222.72872440224907</v>
      </c>
      <c r="AG125" s="817">
        <f t="shared" si="57"/>
        <v>957.57333333333338</v>
      </c>
      <c r="AH125" s="460"/>
      <c r="AI125" s="818">
        <f t="shared" si="79"/>
        <v>0</v>
      </c>
      <c r="AJ125" s="824"/>
      <c r="AK125" s="826">
        <f t="shared" si="80"/>
        <v>14.99</v>
      </c>
      <c r="AL125" s="458">
        <f t="shared" si="81"/>
        <v>0</v>
      </c>
      <c r="AM125" s="827">
        <f t="shared" si="82"/>
        <v>0</v>
      </c>
      <c r="AN125" s="836">
        <f t="shared" si="83"/>
        <v>14.99</v>
      </c>
      <c r="AO125" s="826">
        <f t="shared" si="84"/>
        <v>14.99</v>
      </c>
      <c r="AP125" s="458">
        <f t="shared" si="98"/>
        <v>2.4027540986883714E-2</v>
      </c>
      <c r="AQ125" s="827">
        <f t="shared" si="99"/>
        <v>2.4027540986883714E-2</v>
      </c>
      <c r="AR125" s="836">
        <f t="shared" si="87"/>
        <v>14.965972459013116</v>
      </c>
      <c r="AS125" s="826">
        <f t="shared" si="95"/>
        <v>3.9899999999999998</v>
      </c>
      <c r="AT125" s="458">
        <f t="shared" si="96"/>
        <v>1.1878865301453285</v>
      </c>
      <c r="AU125" s="827">
        <f t="shared" si="97"/>
        <v>1.1878865301453285</v>
      </c>
      <c r="AV125" s="836">
        <f t="shared" si="88"/>
        <v>2.802113469854671</v>
      </c>
      <c r="AW125" s="817">
        <f t="shared" si="100"/>
        <v>0</v>
      </c>
      <c r="AX125" s="460"/>
      <c r="AY125" s="818">
        <f t="shared" si="101"/>
        <v>0</v>
      </c>
      <c r="AZ125" s="836">
        <f t="shared" si="89"/>
        <v>0</v>
      </c>
    </row>
    <row r="126" spans="1:52">
      <c r="A126" s="787">
        <f t="shared" si="102"/>
        <v>42379</v>
      </c>
      <c r="B126" s="786">
        <v>0</v>
      </c>
      <c r="C126" s="804">
        <v>0.01</v>
      </c>
      <c r="D126" s="804">
        <f t="shared" si="94"/>
        <v>0.01</v>
      </c>
      <c r="E126" s="803">
        <f t="shared" si="104"/>
        <v>0.01</v>
      </c>
      <c r="F126" s="800">
        <f t="shared" si="93"/>
        <v>2.6666666666666668E-2</v>
      </c>
      <c r="G126" s="829">
        <f t="shared" si="65"/>
        <v>-0.01</v>
      </c>
      <c r="H126" s="829">
        <f t="shared" si="53"/>
        <v>-0.01</v>
      </c>
      <c r="I126" s="829">
        <f t="shared" si="54"/>
        <v>-0.01</v>
      </c>
      <c r="J126" s="829">
        <f t="shared" si="55"/>
        <v>-2.6666666666666668E-2</v>
      </c>
      <c r="K126" s="813">
        <f t="shared" si="66"/>
        <v>2.6830000000000003</v>
      </c>
      <c r="L126" s="814">
        <f t="shared" si="67"/>
        <v>4.4960000000000004</v>
      </c>
      <c r="M126" s="810">
        <f t="shared" si="68"/>
        <v>1.8750000000000002</v>
      </c>
      <c r="N126" s="811">
        <f t="shared" si="69"/>
        <v>6.4266666666666676</v>
      </c>
      <c r="O126" s="806">
        <v>15</v>
      </c>
      <c r="P126" s="806">
        <v>15</v>
      </c>
      <c r="Q126" s="806">
        <v>4</v>
      </c>
      <c r="R126" s="806">
        <v>4</v>
      </c>
      <c r="S126" s="809">
        <f t="shared" si="70"/>
        <v>4024.5</v>
      </c>
      <c r="T126" s="809">
        <f t="shared" si="71"/>
        <v>6744</v>
      </c>
      <c r="U126" s="809">
        <f t="shared" si="72"/>
        <v>750</v>
      </c>
      <c r="V126" s="809">
        <f t="shared" si="73"/>
        <v>964</v>
      </c>
      <c r="W126" s="816">
        <f t="shared" si="103"/>
        <v>42379</v>
      </c>
      <c r="X126" s="817">
        <f t="shared" si="74"/>
        <v>4021.817</v>
      </c>
      <c r="Y126" s="460">
        <v>0</v>
      </c>
      <c r="Z126" s="818">
        <f t="shared" si="75"/>
        <v>0</v>
      </c>
      <c r="AA126" s="817">
        <f t="shared" si="56"/>
        <v>6739.5039999999999</v>
      </c>
      <c r="AB126" s="460">
        <v>12.83591163160802</v>
      </c>
      <c r="AC126" s="818">
        <f t="shared" si="76"/>
        <v>12.83591163160802</v>
      </c>
      <c r="AD126" s="817">
        <f t="shared" si="77"/>
        <v>748.125</v>
      </c>
      <c r="AE126" s="460">
        <v>209.75669775616393</v>
      </c>
      <c r="AF126" s="818">
        <f t="shared" si="78"/>
        <v>209.75669775616393</v>
      </c>
      <c r="AG126" s="817">
        <f t="shared" si="57"/>
        <v>957.57333333333338</v>
      </c>
      <c r="AH126" s="460"/>
      <c r="AI126" s="818">
        <f t="shared" si="79"/>
        <v>0</v>
      </c>
      <c r="AJ126" s="824"/>
      <c r="AK126" s="826">
        <f t="shared" si="80"/>
        <v>14.99</v>
      </c>
      <c r="AL126" s="458">
        <f t="shared" si="81"/>
        <v>0</v>
      </c>
      <c r="AM126" s="827">
        <f t="shared" si="82"/>
        <v>0</v>
      </c>
      <c r="AN126" s="836">
        <f t="shared" si="83"/>
        <v>14.99</v>
      </c>
      <c r="AO126" s="826">
        <f t="shared" si="84"/>
        <v>14.99</v>
      </c>
      <c r="AP126" s="458">
        <f t="shared" si="98"/>
        <v>2.8549625515142393E-2</v>
      </c>
      <c r="AQ126" s="827">
        <f t="shared" si="99"/>
        <v>2.8549625515142393E-2</v>
      </c>
      <c r="AR126" s="836">
        <f t="shared" si="87"/>
        <v>14.961450374484858</v>
      </c>
      <c r="AS126" s="826">
        <f t="shared" si="95"/>
        <v>3.9899999999999998</v>
      </c>
      <c r="AT126" s="458">
        <f t="shared" si="96"/>
        <v>1.1187023880328744</v>
      </c>
      <c r="AU126" s="827">
        <f t="shared" si="97"/>
        <v>1.1187023880328744</v>
      </c>
      <c r="AV126" s="836">
        <f t="shared" si="88"/>
        <v>2.8712976119671252</v>
      </c>
      <c r="AW126" s="817">
        <f t="shared" si="100"/>
        <v>0</v>
      </c>
      <c r="AX126" s="460"/>
      <c r="AY126" s="818">
        <f t="shared" si="101"/>
        <v>0</v>
      </c>
      <c r="AZ126" s="836">
        <f t="shared" si="89"/>
        <v>0</v>
      </c>
    </row>
    <row r="127" spans="1:52">
      <c r="A127" s="787">
        <f t="shared" si="102"/>
        <v>42380</v>
      </c>
      <c r="B127" s="786">
        <v>0</v>
      </c>
      <c r="C127" s="804">
        <v>0.01</v>
      </c>
      <c r="D127" s="804">
        <f t="shared" si="94"/>
        <v>0.01</v>
      </c>
      <c r="E127" s="803">
        <f t="shared" si="104"/>
        <v>0.01</v>
      </c>
      <c r="G127" s="829">
        <f t="shared" si="65"/>
        <v>-0.01</v>
      </c>
      <c r="H127" s="829">
        <f t="shared" si="53"/>
        <v>-0.01</v>
      </c>
      <c r="I127" s="829">
        <f t="shared" si="54"/>
        <v>-0.01</v>
      </c>
      <c r="J127" s="829">
        <f t="shared" si="55"/>
        <v>0</v>
      </c>
      <c r="K127" s="813">
        <f t="shared" si="66"/>
        <v>2.6830000000000003</v>
      </c>
      <c r="L127" s="814">
        <f t="shared" si="67"/>
        <v>4.4960000000000004</v>
      </c>
      <c r="M127" s="810">
        <f t="shared" si="68"/>
        <v>1.8750000000000002</v>
      </c>
      <c r="N127" s="811">
        <f t="shared" si="69"/>
        <v>0</v>
      </c>
      <c r="O127" s="806">
        <v>15</v>
      </c>
      <c r="P127" s="806">
        <v>15</v>
      </c>
      <c r="Q127" s="806">
        <v>4</v>
      </c>
      <c r="R127" s="34">
        <v>0</v>
      </c>
      <c r="S127" s="809">
        <f t="shared" ref="S127:S161" si="105">O127/1000*C$1</f>
        <v>4024.5</v>
      </c>
      <c r="T127" s="809">
        <f t="shared" ref="T127:T161" si="106">P127/1000*C$2</f>
        <v>6744</v>
      </c>
      <c r="U127" s="809">
        <f t="shared" ref="U127:U161" si="107">Q127/1000*C$3</f>
        <v>750</v>
      </c>
      <c r="V127" s="809">
        <f t="shared" ref="V127:V161" si="108">R127/1000*C$4</f>
        <v>0</v>
      </c>
      <c r="W127" s="816">
        <f t="shared" si="103"/>
        <v>42380</v>
      </c>
      <c r="X127" s="817">
        <f t="shared" si="74"/>
        <v>4021.817</v>
      </c>
      <c r="Y127" s="460">
        <v>0</v>
      </c>
      <c r="Z127" s="818">
        <f t="shared" si="75"/>
        <v>0</v>
      </c>
      <c r="AA127" s="817">
        <f t="shared" si="56"/>
        <v>6739.5039999999999</v>
      </c>
      <c r="AB127" s="460">
        <v>7.4287615583534858</v>
      </c>
      <c r="AC127" s="818">
        <f t="shared" si="76"/>
        <v>7.4287615583534858</v>
      </c>
      <c r="AD127" s="817">
        <f t="shared" si="77"/>
        <v>748.125</v>
      </c>
      <c r="AE127" s="460">
        <v>194.66491820623929</v>
      </c>
      <c r="AF127" s="818">
        <f t="shared" si="78"/>
        <v>194.66491820623929</v>
      </c>
      <c r="AG127" s="817">
        <f t="shared" si="57"/>
        <v>0</v>
      </c>
      <c r="AH127" s="460"/>
      <c r="AI127" s="818">
        <f t="shared" si="79"/>
        <v>0</v>
      </c>
      <c r="AJ127" s="824"/>
      <c r="AK127" s="826">
        <f t="shared" si="80"/>
        <v>14.99</v>
      </c>
      <c r="AL127" s="458">
        <f t="shared" si="81"/>
        <v>0</v>
      </c>
      <c r="AM127" s="827">
        <f t="shared" si="82"/>
        <v>0</v>
      </c>
      <c r="AN127" s="836">
        <f t="shared" si="83"/>
        <v>14.99</v>
      </c>
      <c r="AO127" s="826">
        <f t="shared" si="84"/>
        <v>14.99</v>
      </c>
      <c r="AP127" s="458">
        <f t="shared" si="98"/>
        <v>1.6523046170715049E-2</v>
      </c>
      <c r="AQ127" s="827">
        <f t="shared" si="99"/>
        <v>1.6523046170715049E-2</v>
      </c>
      <c r="AR127" s="836">
        <f t="shared" si="87"/>
        <v>14.973476953829286</v>
      </c>
      <c r="AS127" s="826">
        <f t="shared" si="95"/>
        <v>3.9899999999999998</v>
      </c>
      <c r="AT127" s="458">
        <f t="shared" si="96"/>
        <v>1.0382128970999429</v>
      </c>
      <c r="AU127" s="827">
        <f t="shared" si="97"/>
        <v>1.0382128970999429</v>
      </c>
      <c r="AV127" s="836">
        <f t="shared" si="88"/>
        <v>2.9517871029000569</v>
      </c>
      <c r="AW127" s="817">
        <f t="shared" si="100"/>
        <v>0</v>
      </c>
      <c r="AX127" s="460"/>
      <c r="AY127" s="818">
        <f t="shared" si="101"/>
        <v>0</v>
      </c>
      <c r="AZ127" s="836">
        <f t="shared" si="89"/>
        <v>0</v>
      </c>
    </row>
    <row r="128" spans="1:52">
      <c r="A128" s="787">
        <f t="shared" si="102"/>
        <v>42381</v>
      </c>
      <c r="B128" s="786">
        <v>0</v>
      </c>
      <c r="C128" s="804">
        <v>0.01</v>
      </c>
      <c r="D128" s="804">
        <f t="shared" si="94"/>
        <v>0.01</v>
      </c>
      <c r="E128" s="803">
        <f t="shared" si="104"/>
        <v>0.01</v>
      </c>
      <c r="G128" s="829">
        <f t="shared" si="65"/>
        <v>-0.01</v>
      </c>
      <c r="H128" s="829">
        <f t="shared" si="53"/>
        <v>-0.01</v>
      </c>
      <c r="I128" s="829">
        <f t="shared" si="54"/>
        <v>-0.01</v>
      </c>
      <c r="J128" s="829">
        <f t="shared" si="55"/>
        <v>0</v>
      </c>
      <c r="K128" s="813">
        <f t="shared" si="66"/>
        <v>2.6830000000000003</v>
      </c>
      <c r="L128" s="814">
        <f t="shared" si="67"/>
        <v>4.4960000000000004</v>
      </c>
      <c r="M128" s="810">
        <f t="shared" si="68"/>
        <v>1.8750000000000002</v>
      </c>
      <c r="N128" s="811">
        <f t="shared" si="69"/>
        <v>0</v>
      </c>
      <c r="O128" s="806">
        <v>15</v>
      </c>
      <c r="P128" s="806">
        <v>15</v>
      </c>
      <c r="Q128" s="806">
        <v>4</v>
      </c>
      <c r="R128" s="34">
        <v>0</v>
      </c>
      <c r="S128" s="809">
        <f t="shared" si="105"/>
        <v>4024.5</v>
      </c>
      <c r="T128" s="809">
        <f t="shared" si="106"/>
        <v>6744</v>
      </c>
      <c r="U128" s="809">
        <f t="shared" si="107"/>
        <v>750</v>
      </c>
      <c r="V128" s="809">
        <f t="shared" si="108"/>
        <v>0</v>
      </c>
      <c r="W128" s="816">
        <f t="shared" si="103"/>
        <v>42381</v>
      </c>
      <c r="X128" s="817">
        <f t="shared" si="74"/>
        <v>4021.817</v>
      </c>
      <c r="Y128" s="460">
        <v>0</v>
      </c>
      <c r="Z128" s="818">
        <f t="shared" si="75"/>
        <v>0</v>
      </c>
      <c r="AA128" s="817">
        <f t="shared" si="56"/>
        <v>6739.5039999999999</v>
      </c>
      <c r="AB128" s="460"/>
      <c r="AC128" s="818">
        <f t="shared" si="76"/>
        <v>0</v>
      </c>
      <c r="AD128" s="817">
        <f t="shared" si="77"/>
        <v>748.125</v>
      </c>
      <c r="AE128" s="460">
        <v>178.52342422478756</v>
      </c>
      <c r="AF128" s="818">
        <f t="shared" si="78"/>
        <v>178.52342422478756</v>
      </c>
      <c r="AG128" s="817">
        <f t="shared" si="57"/>
        <v>0</v>
      </c>
      <c r="AH128" s="460"/>
      <c r="AI128" s="818">
        <f t="shared" si="79"/>
        <v>0</v>
      </c>
      <c r="AJ128" s="824"/>
      <c r="AK128" s="826">
        <f t="shared" si="80"/>
        <v>14.99</v>
      </c>
      <c r="AL128" s="458">
        <f t="shared" si="81"/>
        <v>0</v>
      </c>
      <c r="AM128" s="827">
        <f t="shared" si="82"/>
        <v>0</v>
      </c>
      <c r="AN128" s="836">
        <f t="shared" si="83"/>
        <v>14.99</v>
      </c>
      <c r="AO128" s="826">
        <f t="shared" si="84"/>
        <v>14.99</v>
      </c>
      <c r="AP128" s="459"/>
      <c r="AQ128" s="828">
        <f t="shared" ref="AQ128:AQ161" si="109">IF(AP128&gt;AO128,AO128,AP128)</f>
        <v>0</v>
      </c>
      <c r="AR128" s="836">
        <f t="shared" si="87"/>
        <v>14.99</v>
      </c>
      <c r="AS128" s="826">
        <f t="shared" si="95"/>
        <v>3.9899999999999998</v>
      </c>
      <c r="AT128" s="458">
        <f t="shared" si="96"/>
        <v>0.95212492919886693</v>
      </c>
      <c r="AU128" s="827">
        <f t="shared" si="97"/>
        <v>0.95212492919886693</v>
      </c>
      <c r="AV128" s="836">
        <f t="shared" si="88"/>
        <v>3.0378750708011326</v>
      </c>
      <c r="AW128" s="817">
        <f t="shared" si="100"/>
        <v>0</v>
      </c>
      <c r="AX128" s="460"/>
      <c r="AY128" s="818">
        <f t="shared" si="101"/>
        <v>0</v>
      </c>
      <c r="AZ128" s="836">
        <f t="shared" si="89"/>
        <v>0</v>
      </c>
    </row>
    <row r="129" spans="1:52">
      <c r="A129" s="787">
        <f t="shared" si="102"/>
        <v>42382</v>
      </c>
      <c r="B129" s="786">
        <v>0</v>
      </c>
      <c r="C129" s="804">
        <v>0.01</v>
      </c>
      <c r="D129" s="804">
        <f t="shared" si="94"/>
        <v>0.01</v>
      </c>
      <c r="E129" s="803">
        <f t="shared" si="104"/>
        <v>0.01</v>
      </c>
      <c r="G129" s="829">
        <f t="shared" si="65"/>
        <v>-0.01</v>
      </c>
      <c r="H129" s="829">
        <f t="shared" si="53"/>
        <v>-0.01</v>
      </c>
      <c r="I129" s="829">
        <f t="shared" si="54"/>
        <v>-0.01</v>
      </c>
      <c r="J129" s="829">
        <f t="shared" si="55"/>
        <v>0</v>
      </c>
      <c r="K129" s="813">
        <f t="shared" si="66"/>
        <v>2.6830000000000003</v>
      </c>
      <c r="L129" s="814">
        <f t="shared" si="67"/>
        <v>4.4960000000000004</v>
      </c>
      <c r="M129" s="810">
        <f t="shared" si="68"/>
        <v>1.8750000000000002</v>
      </c>
      <c r="N129" s="811">
        <f t="shared" si="69"/>
        <v>0</v>
      </c>
      <c r="O129" s="806">
        <v>15</v>
      </c>
      <c r="P129" s="806">
        <v>15</v>
      </c>
      <c r="Q129" s="806">
        <v>4</v>
      </c>
      <c r="R129" s="34">
        <v>0</v>
      </c>
      <c r="S129" s="809">
        <f t="shared" si="105"/>
        <v>4024.5</v>
      </c>
      <c r="T129" s="809">
        <f t="shared" si="106"/>
        <v>6744</v>
      </c>
      <c r="U129" s="809">
        <f t="shared" si="107"/>
        <v>750</v>
      </c>
      <c r="V129" s="809">
        <f t="shared" si="108"/>
        <v>0</v>
      </c>
      <c r="W129" s="816">
        <f t="shared" si="103"/>
        <v>42382</v>
      </c>
      <c r="X129" s="817">
        <f t="shared" si="74"/>
        <v>4021.817</v>
      </c>
      <c r="Y129" s="460">
        <v>0</v>
      </c>
      <c r="Z129" s="818">
        <f t="shared" si="75"/>
        <v>0</v>
      </c>
      <c r="AA129" s="817">
        <f t="shared" si="56"/>
        <v>6739.5039999999999</v>
      </c>
      <c r="AB129" s="460"/>
      <c r="AC129" s="818">
        <f t="shared" si="76"/>
        <v>0</v>
      </c>
      <c r="AD129" s="817">
        <f t="shared" si="77"/>
        <v>748.125</v>
      </c>
      <c r="AE129" s="460">
        <v>162.21616420427617</v>
      </c>
      <c r="AF129" s="818">
        <f t="shared" si="78"/>
        <v>162.21616420427617</v>
      </c>
      <c r="AG129" s="817">
        <f t="shared" si="57"/>
        <v>0</v>
      </c>
      <c r="AH129" s="460"/>
      <c r="AI129" s="818">
        <f t="shared" si="79"/>
        <v>0</v>
      </c>
      <c r="AJ129" s="824"/>
      <c r="AK129" s="826">
        <f t="shared" si="80"/>
        <v>14.99</v>
      </c>
      <c r="AL129" s="458">
        <f t="shared" si="81"/>
        <v>0</v>
      </c>
      <c r="AM129" s="827">
        <f t="shared" si="82"/>
        <v>0</v>
      </c>
      <c r="AN129" s="836">
        <f t="shared" si="83"/>
        <v>14.99</v>
      </c>
      <c r="AO129" s="826">
        <f t="shared" si="84"/>
        <v>14.99</v>
      </c>
      <c r="AP129" s="459"/>
      <c r="AQ129" s="828">
        <f t="shared" si="109"/>
        <v>0</v>
      </c>
      <c r="AR129" s="836">
        <f t="shared" si="87"/>
        <v>14.99</v>
      </c>
      <c r="AS129" s="826">
        <f t="shared" si="95"/>
        <v>3.9899999999999998</v>
      </c>
      <c r="AT129" s="458">
        <f t="shared" si="96"/>
        <v>0.86515287575613964</v>
      </c>
      <c r="AU129" s="827">
        <f t="shared" si="97"/>
        <v>0.86515287575613964</v>
      </c>
      <c r="AV129" s="836">
        <f t="shared" si="88"/>
        <v>3.12484712424386</v>
      </c>
      <c r="AW129" s="817">
        <f t="shared" si="100"/>
        <v>0</v>
      </c>
      <c r="AX129" s="460"/>
      <c r="AY129" s="818">
        <f t="shared" si="101"/>
        <v>0</v>
      </c>
      <c r="AZ129" s="836">
        <f t="shared" si="89"/>
        <v>0</v>
      </c>
    </row>
    <row r="130" spans="1:52">
      <c r="A130" s="787">
        <f t="shared" si="102"/>
        <v>42383</v>
      </c>
      <c r="B130" s="786">
        <v>0</v>
      </c>
      <c r="C130" s="804">
        <v>0.01</v>
      </c>
      <c r="D130" s="804">
        <f t="shared" si="94"/>
        <v>0.01</v>
      </c>
      <c r="E130" s="803">
        <f t="shared" si="104"/>
        <v>0.01</v>
      </c>
      <c r="G130" s="829">
        <f t="shared" si="65"/>
        <v>-0.01</v>
      </c>
      <c r="H130" s="829">
        <f t="shared" si="53"/>
        <v>-0.01</v>
      </c>
      <c r="I130" s="829">
        <f t="shared" si="54"/>
        <v>-0.01</v>
      </c>
      <c r="J130" s="829">
        <f t="shared" si="55"/>
        <v>0</v>
      </c>
      <c r="K130" s="813">
        <f t="shared" si="66"/>
        <v>2.6830000000000003</v>
      </c>
      <c r="L130" s="814">
        <f t="shared" si="67"/>
        <v>4.4960000000000004</v>
      </c>
      <c r="M130" s="810">
        <f t="shared" si="68"/>
        <v>1.8750000000000002</v>
      </c>
      <c r="N130" s="811">
        <f t="shared" si="69"/>
        <v>0</v>
      </c>
      <c r="O130" s="806">
        <v>15</v>
      </c>
      <c r="P130" s="806">
        <v>15</v>
      </c>
      <c r="Q130" s="806">
        <v>4</v>
      </c>
      <c r="R130" s="34">
        <v>0</v>
      </c>
      <c r="S130" s="809">
        <f t="shared" si="105"/>
        <v>4024.5</v>
      </c>
      <c r="T130" s="809">
        <f t="shared" si="106"/>
        <v>6744</v>
      </c>
      <c r="U130" s="809">
        <f t="shared" si="107"/>
        <v>750</v>
      </c>
      <c r="V130" s="809">
        <f t="shared" si="108"/>
        <v>0</v>
      </c>
      <c r="W130" s="816">
        <f t="shared" si="103"/>
        <v>42383</v>
      </c>
      <c r="X130" s="817">
        <f t="shared" si="74"/>
        <v>4021.817</v>
      </c>
      <c r="Y130" s="460">
        <v>0</v>
      </c>
      <c r="Z130" s="818">
        <f t="shared" si="75"/>
        <v>0</v>
      </c>
      <c r="AA130" s="817">
        <f t="shared" si="56"/>
        <v>6739.5039999999999</v>
      </c>
      <c r="AB130" s="460"/>
      <c r="AC130" s="818">
        <f t="shared" si="76"/>
        <v>0</v>
      </c>
      <c r="AD130" s="817">
        <f t="shared" si="77"/>
        <v>748.125</v>
      </c>
      <c r="AE130" s="460">
        <v>146.4719258965051</v>
      </c>
      <c r="AF130" s="818">
        <f t="shared" si="78"/>
        <v>146.4719258965051</v>
      </c>
      <c r="AG130" s="817">
        <f t="shared" si="57"/>
        <v>0</v>
      </c>
      <c r="AH130" s="460"/>
      <c r="AI130" s="818">
        <f t="shared" si="79"/>
        <v>0</v>
      </c>
      <c r="AJ130" s="824"/>
      <c r="AK130" s="826">
        <f t="shared" si="80"/>
        <v>14.99</v>
      </c>
      <c r="AL130" s="458">
        <f t="shared" si="81"/>
        <v>0</v>
      </c>
      <c r="AM130" s="827">
        <f t="shared" si="82"/>
        <v>0</v>
      </c>
      <c r="AN130" s="836">
        <f t="shared" si="83"/>
        <v>14.99</v>
      </c>
      <c r="AO130" s="826">
        <f t="shared" si="84"/>
        <v>14.99</v>
      </c>
      <c r="AP130" s="459"/>
      <c r="AQ130" s="828">
        <f t="shared" si="109"/>
        <v>0</v>
      </c>
      <c r="AR130" s="836">
        <f t="shared" si="87"/>
        <v>14.99</v>
      </c>
      <c r="AS130" s="826">
        <f t="shared" si="95"/>
        <v>3.9899999999999998</v>
      </c>
      <c r="AT130" s="458">
        <f t="shared" si="96"/>
        <v>0.78118360478136051</v>
      </c>
      <c r="AU130" s="827">
        <f t="shared" si="97"/>
        <v>0.78118360478136051</v>
      </c>
      <c r="AV130" s="836">
        <f t="shared" si="88"/>
        <v>3.2088163952186393</v>
      </c>
      <c r="AW130" s="817">
        <f t="shared" si="100"/>
        <v>0</v>
      </c>
      <c r="AX130" s="460"/>
      <c r="AY130" s="818">
        <f t="shared" si="101"/>
        <v>0</v>
      </c>
      <c r="AZ130" s="836">
        <f t="shared" si="89"/>
        <v>0</v>
      </c>
    </row>
    <row r="131" spans="1:52">
      <c r="A131" s="787">
        <f t="shared" si="102"/>
        <v>42384</v>
      </c>
      <c r="B131" s="790">
        <v>0</v>
      </c>
      <c r="C131" s="804">
        <v>0.01</v>
      </c>
      <c r="D131" s="804">
        <f t="shared" si="94"/>
        <v>0.01</v>
      </c>
      <c r="E131" s="803">
        <f t="shared" si="104"/>
        <v>0.01</v>
      </c>
      <c r="G131" s="829">
        <f t="shared" si="65"/>
        <v>-0.01</v>
      </c>
      <c r="H131" s="829">
        <f t="shared" si="53"/>
        <v>-0.01</v>
      </c>
      <c r="I131" s="829">
        <f t="shared" si="54"/>
        <v>-0.01</v>
      </c>
      <c r="J131" s="829">
        <f t="shared" si="55"/>
        <v>0</v>
      </c>
      <c r="K131" s="813">
        <f t="shared" si="66"/>
        <v>2.6830000000000003</v>
      </c>
      <c r="L131" s="814">
        <f t="shared" si="67"/>
        <v>4.4960000000000004</v>
      </c>
      <c r="M131" s="810">
        <f t="shared" si="68"/>
        <v>1.8750000000000002</v>
      </c>
      <c r="N131" s="811">
        <f t="shared" si="69"/>
        <v>0</v>
      </c>
      <c r="O131" s="806">
        <v>15</v>
      </c>
      <c r="P131" s="806">
        <v>15</v>
      </c>
      <c r="Q131" s="806">
        <v>4</v>
      </c>
      <c r="R131" s="34">
        <v>0</v>
      </c>
      <c r="S131" s="809">
        <f t="shared" si="105"/>
        <v>4024.5</v>
      </c>
      <c r="T131" s="809">
        <f t="shared" si="106"/>
        <v>6744</v>
      </c>
      <c r="U131" s="809">
        <f t="shared" si="107"/>
        <v>750</v>
      </c>
      <c r="V131" s="809">
        <f t="shared" si="108"/>
        <v>0</v>
      </c>
      <c r="W131" s="816">
        <f t="shared" si="103"/>
        <v>42384</v>
      </c>
      <c r="X131" s="817">
        <f t="shared" si="74"/>
        <v>4021.817</v>
      </c>
      <c r="Y131" s="460">
        <v>0</v>
      </c>
      <c r="Z131" s="818">
        <f t="shared" si="75"/>
        <v>0</v>
      </c>
      <c r="AA131" s="817">
        <f t="shared" si="56"/>
        <v>6739.5039999999999</v>
      </c>
      <c r="AB131" s="460"/>
      <c r="AC131" s="818">
        <f t="shared" si="76"/>
        <v>0</v>
      </c>
      <c r="AD131" s="817">
        <f t="shared" si="77"/>
        <v>748.125</v>
      </c>
      <c r="AE131" s="460">
        <v>131.89837886308973</v>
      </c>
      <c r="AF131" s="818">
        <f t="shared" si="78"/>
        <v>131.89837886308973</v>
      </c>
      <c r="AG131" s="817">
        <f t="shared" si="57"/>
        <v>0</v>
      </c>
      <c r="AH131" s="460"/>
      <c r="AI131" s="818">
        <f t="shared" si="79"/>
        <v>0</v>
      </c>
      <c r="AJ131" s="824"/>
      <c r="AK131" s="826">
        <f t="shared" si="80"/>
        <v>14.99</v>
      </c>
      <c r="AL131" s="458">
        <f t="shared" si="81"/>
        <v>0</v>
      </c>
      <c r="AM131" s="827">
        <f t="shared" si="82"/>
        <v>0</v>
      </c>
      <c r="AN131" s="836">
        <f t="shared" si="83"/>
        <v>14.99</v>
      </c>
      <c r="AO131" s="826">
        <f t="shared" si="84"/>
        <v>14.99</v>
      </c>
      <c r="AP131" s="459"/>
      <c r="AQ131" s="828">
        <f t="shared" si="109"/>
        <v>0</v>
      </c>
      <c r="AR131" s="836">
        <f t="shared" si="87"/>
        <v>14.99</v>
      </c>
      <c r="AS131" s="826">
        <f t="shared" si="95"/>
        <v>3.9899999999999998</v>
      </c>
      <c r="AT131" s="458">
        <f t="shared" si="96"/>
        <v>0.70345802060314533</v>
      </c>
      <c r="AU131" s="827">
        <f t="shared" si="97"/>
        <v>0.70345802060314533</v>
      </c>
      <c r="AV131" s="836">
        <f t="shared" si="88"/>
        <v>3.2865419793968544</v>
      </c>
      <c r="AW131" s="817">
        <f t="shared" si="100"/>
        <v>0</v>
      </c>
      <c r="AX131" s="460"/>
      <c r="AY131" s="818">
        <f t="shared" si="101"/>
        <v>0</v>
      </c>
      <c r="AZ131" s="836">
        <f t="shared" si="89"/>
        <v>0</v>
      </c>
    </row>
    <row r="132" spans="1:52">
      <c r="A132" s="787">
        <f t="shared" si="102"/>
        <v>42385</v>
      </c>
      <c r="B132" s="790">
        <v>0</v>
      </c>
      <c r="C132" s="803">
        <v>0</v>
      </c>
      <c r="D132" s="803">
        <f t="shared" ref="D132:D161" si="110">AVERAGE(B$132:B$161)</f>
        <v>0</v>
      </c>
      <c r="E132" s="803">
        <f t="shared" si="104"/>
        <v>0.01</v>
      </c>
      <c r="G132" s="829">
        <f t="shared" si="65"/>
        <v>0</v>
      </c>
      <c r="H132" s="829">
        <f t="shared" si="53"/>
        <v>0</v>
      </c>
      <c r="I132" s="829">
        <f t="shared" si="54"/>
        <v>-0.01</v>
      </c>
      <c r="J132" s="829">
        <f t="shared" si="55"/>
        <v>0</v>
      </c>
      <c r="K132" s="810">
        <f t="shared" si="66"/>
        <v>0</v>
      </c>
      <c r="L132" s="814">
        <f t="shared" si="67"/>
        <v>0</v>
      </c>
      <c r="M132" s="810">
        <f t="shared" si="68"/>
        <v>1.8750000000000002</v>
      </c>
      <c r="N132" s="811">
        <f t="shared" si="69"/>
        <v>0</v>
      </c>
      <c r="O132" s="806">
        <v>4</v>
      </c>
      <c r="P132" s="806">
        <v>4</v>
      </c>
      <c r="Q132" s="806">
        <v>4</v>
      </c>
      <c r="R132" s="34">
        <v>0</v>
      </c>
      <c r="S132" s="809">
        <f t="shared" si="105"/>
        <v>1073.2</v>
      </c>
      <c r="T132" s="809">
        <f t="shared" si="106"/>
        <v>1798.4</v>
      </c>
      <c r="U132" s="809">
        <f t="shared" si="107"/>
        <v>750</v>
      </c>
      <c r="V132" s="809">
        <f t="shared" si="108"/>
        <v>0</v>
      </c>
      <c r="W132" s="816">
        <f t="shared" si="103"/>
        <v>42385</v>
      </c>
      <c r="X132" s="817">
        <f t="shared" si="74"/>
        <v>1073.2</v>
      </c>
      <c r="Y132" s="460">
        <v>0</v>
      </c>
      <c r="Z132" s="818">
        <f t="shared" si="75"/>
        <v>0</v>
      </c>
      <c r="AA132" s="817">
        <f t="shared" si="56"/>
        <v>1798.4</v>
      </c>
      <c r="AB132" s="460"/>
      <c r="AC132" s="818">
        <f t="shared" si="76"/>
        <v>0</v>
      </c>
      <c r="AD132" s="817">
        <f t="shared" si="77"/>
        <v>748.125</v>
      </c>
      <c r="AE132" s="460">
        <v>115.9765722542778</v>
      </c>
      <c r="AF132" s="818">
        <f t="shared" si="78"/>
        <v>115.9765722542778</v>
      </c>
      <c r="AG132" s="817">
        <f t="shared" si="57"/>
        <v>0</v>
      </c>
      <c r="AH132" s="460"/>
      <c r="AI132" s="818">
        <f t="shared" si="79"/>
        <v>0</v>
      </c>
      <c r="AJ132" s="824"/>
      <c r="AK132" s="826">
        <f t="shared" si="80"/>
        <v>4</v>
      </c>
      <c r="AL132" s="458">
        <f t="shared" si="81"/>
        <v>0</v>
      </c>
      <c r="AM132" s="827">
        <f t="shared" si="82"/>
        <v>0</v>
      </c>
      <c r="AN132" s="836">
        <f t="shared" si="83"/>
        <v>4</v>
      </c>
      <c r="AO132" s="826">
        <f t="shared" si="84"/>
        <v>4</v>
      </c>
      <c r="AP132" s="459"/>
      <c r="AQ132" s="828">
        <f t="shared" si="109"/>
        <v>0</v>
      </c>
      <c r="AR132" s="836">
        <f t="shared" si="87"/>
        <v>4</v>
      </c>
      <c r="AS132" s="826">
        <f t="shared" si="95"/>
        <v>3.9899999999999998</v>
      </c>
      <c r="AT132" s="458">
        <f t="shared" si="96"/>
        <v>0.6185417186894816</v>
      </c>
      <c r="AU132" s="827">
        <f t="shared" si="97"/>
        <v>0.6185417186894816</v>
      </c>
      <c r="AV132" s="836">
        <f t="shared" si="88"/>
        <v>3.3714582813105181</v>
      </c>
      <c r="AW132" s="817">
        <f t="shared" si="100"/>
        <v>0</v>
      </c>
      <c r="AX132" s="460"/>
      <c r="AY132" s="818">
        <f t="shared" si="101"/>
        <v>0</v>
      </c>
      <c r="AZ132" s="836">
        <f t="shared" si="89"/>
        <v>0</v>
      </c>
    </row>
    <row r="133" spans="1:52">
      <c r="A133" s="787">
        <f t="shared" si="102"/>
        <v>42386</v>
      </c>
      <c r="B133" s="790">
        <v>0</v>
      </c>
      <c r="C133" s="803">
        <v>0</v>
      </c>
      <c r="D133" s="803">
        <f t="shared" si="110"/>
        <v>0</v>
      </c>
      <c r="E133" s="803">
        <f t="shared" si="104"/>
        <v>0.01</v>
      </c>
      <c r="G133" s="829">
        <f t="shared" si="65"/>
        <v>0</v>
      </c>
      <c r="H133" s="829">
        <f t="shared" si="53"/>
        <v>0</v>
      </c>
      <c r="I133" s="829">
        <f t="shared" si="54"/>
        <v>-0.01</v>
      </c>
      <c r="J133" s="829">
        <f t="shared" si="55"/>
        <v>0</v>
      </c>
      <c r="K133" s="810">
        <f t="shared" si="66"/>
        <v>0</v>
      </c>
      <c r="L133" s="814">
        <f t="shared" si="67"/>
        <v>0</v>
      </c>
      <c r="M133" s="810">
        <f t="shared" si="68"/>
        <v>1.8750000000000002</v>
      </c>
      <c r="N133" s="811">
        <f t="shared" si="69"/>
        <v>0</v>
      </c>
      <c r="O133" s="806">
        <v>4</v>
      </c>
      <c r="P133" s="806">
        <v>4</v>
      </c>
      <c r="Q133" s="806">
        <v>4</v>
      </c>
      <c r="R133" s="34">
        <v>0</v>
      </c>
      <c r="S133" s="809">
        <f t="shared" si="105"/>
        <v>1073.2</v>
      </c>
      <c r="T133" s="809">
        <f t="shared" si="106"/>
        <v>1798.4</v>
      </c>
      <c r="U133" s="809">
        <f t="shared" si="107"/>
        <v>750</v>
      </c>
      <c r="V133" s="809">
        <f t="shared" si="108"/>
        <v>0</v>
      </c>
      <c r="W133" s="816">
        <f t="shared" si="103"/>
        <v>42386</v>
      </c>
      <c r="X133" s="817">
        <f t="shared" si="74"/>
        <v>1073.2</v>
      </c>
      <c r="Y133" s="460">
        <v>0</v>
      </c>
      <c r="Z133" s="818">
        <f t="shared" si="75"/>
        <v>0</v>
      </c>
      <c r="AA133" s="817">
        <f t="shared" si="56"/>
        <v>1798.4</v>
      </c>
      <c r="AB133" s="460"/>
      <c r="AC133" s="818">
        <f t="shared" si="76"/>
        <v>0</v>
      </c>
      <c r="AD133" s="817">
        <f t="shared" si="77"/>
        <v>748.125</v>
      </c>
      <c r="AE133" s="460">
        <v>100.88961527494776</v>
      </c>
      <c r="AF133" s="818">
        <f t="shared" si="78"/>
        <v>100.88961527494776</v>
      </c>
      <c r="AG133" s="817">
        <f t="shared" si="57"/>
        <v>0</v>
      </c>
      <c r="AH133" s="460"/>
      <c r="AI133" s="818">
        <f t="shared" si="79"/>
        <v>0</v>
      </c>
      <c r="AJ133" s="824"/>
      <c r="AK133" s="826">
        <f t="shared" si="80"/>
        <v>4</v>
      </c>
      <c r="AL133" s="458">
        <f t="shared" si="81"/>
        <v>0</v>
      </c>
      <c r="AM133" s="827">
        <f t="shared" si="82"/>
        <v>0</v>
      </c>
      <c r="AN133" s="836">
        <f t="shared" si="83"/>
        <v>4</v>
      </c>
      <c r="AO133" s="826">
        <f t="shared" si="84"/>
        <v>4</v>
      </c>
      <c r="AP133" s="459"/>
      <c r="AQ133" s="828">
        <f t="shared" si="109"/>
        <v>0</v>
      </c>
      <c r="AR133" s="836">
        <f t="shared" si="87"/>
        <v>4</v>
      </c>
      <c r="AS133" s="826">
        <f t="shared" si="95"/>
        <v>3.9899999999999998</v>
      </c>
      <c r="AT133" s="458">
        <f t="shared" si="96"/>
        <v>0.53807794813305465</v>
      </c>
      <c r="AU133" s="827">
        <f t="shared" si="97"/>
        <v>0.53807794813305465</v>
      </c>
      <c r="AV133" s="836">
        <f t="shared" si="88"/>
        <v>3.4519220518669451</v>
      </c>
      <c r="AW133" s="817">
        <f t="shared" si="100"/>
        <v>0</v>
      </c>
      <c r="AX133" s="460"/>
      <c r="AY133" s="818">
        <f t="shared" si="101"/>
        <v>0</v>
      </c>
      <c r="AZ133" s="836">
        <f t="shared" si="89"/>
        <v>0</v>
      </c>
    </row>
    <row r="134" spans="1:52">
      <c r="A134" s="787">
        <f t="shared" si="102"/>
        <v>42387</v>
      </c>
      <c r="B134" s="790">
        <v>0</v>
      </c>
      <c r="C134" s="803">
        <v>0</v>
      </c>
      <c r="D134" s="803">
        <f t="shared" si="110"/>
        <v>0</v>
      </c>
      <c r="E134" s="803">
        <f t="shared" si="104"/>
        <v>0.01</v>
      </c>
      <c r="G134" s="829">
        <f t="shared" si="65"/>
        <v>0</v>
      </c>
      <c r="H134" s="829">
        <f t="shared" si="53"/>
        <v>0</v>
      </c>
      <c r="I134" s="829">
        <f t="shared" si="54"/>
        <v>-0.01</v>
      </c>
      <c r="J134" s="829">
        <f t="shared" si="55"/>
        <v>0</v>
      </c>
      <c r="K134" s="810">
        <f t="shared" si="66"/>
        <v>0</v>
      </c>
      <c r="L134" s="814">
        <f t="shared" si="67"/>
        <v>0</v>
      </c>
      <c r="M134" s="810">
        <f t="shared" si="68"/>
        <v>1.8750000000000002</v>
      </c>
      <c r="N134" s="811">
        <f t="shared" si="69"/>
        <v>0</v>
      </c>
      <c r="O134" s="806">
        <v>4</v>
      </c>
      <c r="P134" s="806">
        <v>4</v>
      </c>
      <c r="Q134" s="806">
        <v>4</v>
      </c>
      <c r="R134" s="34">
        <v>0</v>
      </c>
      <c r="S134" s="809">
        <f t="shared" si="105"/>
        <v>1073.2</v>
      </c>
      <c r="T134" s="809">
        <f t="shared" si="106"/>
        <v>1798.4</v>
      </c>
      <c r="U134" s="809">
        <f t="shared" si="107"/>
        <v>750</v>
      </c>
      <c r="V134" s="809">
        <f t="shared" si="108"/>
        <v>0</v>
      </c>
      <c r="W134" s="816">
        <f t="shared" si="103"/>
        <v>42387</v>
      </c>
      <c r="X134" s="817">
        <f t="shared" si="74"/>
        <v>1073.2</v>
      </c>
      <c r="Y134" s="460">
        <v>0</v>
      </c>
      <c r="Z134" s="818">
        <f t="shared" si="75"/>
        <v>0</v>
      </c>
      <c r="AA134" s="817">
        <f t="shared" si="56"/>
        <v>1798.4</v>
      </c>
      <c r="AB134" s="460"/>
      <c r="AC134" s="818">
        <f t="shared" si="76"/>
        <v>0</v>
      </c>
      <c r="AD134" s="817">
        <f t="shared" si="77"/>
        <v>748.125</v>
      </c>
      <c r="AE134" s="460">
        <v>87.739530493714327</v>
      </c>
      <c r="AF134" s="818">
        <f t="shared" si="78"/>
        <v>87.739530493714327</v>
      </c>
      <c r="AG134" s="817">
        <f t="shared" si="57"/>
        <v>0</v>
      </c>
      <c r="AH134" s="460"/>
      <c r="AI134" s="818">
        <f t="shared" si="79"/>
        <v>0</v>
      </c>
      <c r="AJ134" s="824"/>
      <c r="AK134" s="826">
        <f t="shared" si="80"/>
        <v>4</v>
      </c>
      <c r="AL134" s="458">
        <f t="shared" si="81"/>
        <v>0</v>
      </c>
      <c r="AM134" s="827">
        <f t="shared" si="82"/>
        <v>0</v>
      </c>
      <c r="AN134" s="836">
        <f t="shared" si="83"/>
        <v>4</v>
      </c>
      <c r="AO134" s="826">
        <f t="shared" si="84"/>
        <v>4</v>
      </c>
      <c r="AP134" s="459"/>
      <c r="AQ134" s="828">
        <f t="shared" si="109"/>
        <v>0</v>
      </c>
      <c r="AR134" s="836">
        <f t="shared" si="87"/>
        <v>4</v>
      </c>
      <c r="AS134" s="826">
        <f t="shared" si="95"/>
        <v>3.9899999999999998</v>
      </c>
      <c r="AT134" s="458">
        <f t="shared" si="96"/>
        <v>0.46794416263314309</v>
      </c>
      <c r="AU134" s="827">
        <f t="shared" si="97"/>
        <v>0.46794416263314309</v>
      </c>
      <c r="AV134" s="836">
        <f t="shared" si="88"/>
        <v>3.5220558373668567</v>
      </c>
      <c r="AW134" s="817">
        <f t="shared" si="100"/>
        <v>0</v>
      </c>
      <c r="AX134" s="460"/>
      <c r="AY134" s="818">
        <f t="shared" si="101"/>
        <v>0</v>
      </c>
      <c r="AZ134" s="836">
        <f t="shared" si="89"/>
        <v>0</v>
      </c>
    </row>
    <row r="135" spans="1:52">
      <c r="A135" s="787">
        <f t="shared" si="102"/>
        <v>42388</v>
      </c>
      <c r="B135" s="790">
        <v>0</v>
      </c>
      <c r="C135" s="803">
        <v>0</v>
      </c>
      <c r="D135" s="803">
        <f t="shared" si="110"/>
        <v>0</v>
      </c>
      <c r="E135" s="803">
        <f t="shared" si="104"/>
        <v>0.01</v>
      </c>
      <c r="G135" s="829">
        <f t="shared" si="65"/>
        <v>0</v>
      </c>
      <c r="H135" s="829">
        <f t="shared" ref="H135:H161" si="111">-D135</f>
        <v>0</v>
      </c>
      <c r="I135" s="829">
        <f t="shared" ref="I135:I161" si="112">-E135</f>
        <v>-0.01</v>
      </c>
      <c r="J135" s="829">
        <f t="shared" ref="J135:J161" si="113">-F135</f>
        <v>0</v>
      </c>
      <c r="K135" s="810">
        <f t="shared" si="66"/>
        <v>0</v>
      </c>
      <c r="L135" s="814">
        <f t="shared" si="67"/>
        <v>0</v>
      </c>
      <c r="M135" s="810">
        <f t="shared" si="68"/>
        <v>1.8750000000000002</v>
      </c>
      <c r="N135" s="811">
        <f t="shared" si="69"/>
        <v>0</v>
      </c>
      <c r="O135" s="806">
        <v>4</v>
      </c>
      <c r="P135" s="806">
        <v>4</v>
      </c>
      <c r="Q135" s="806">
        <v>4</v>
      </c>
      <c r="R135" s="34">
        <v>0</v>
      </c>
      <c r="S135" s="809">
        <f t="shared" si="105"/>
        <v>1073.2</v>
      </c>
      <c r="T135" s="809">
        <f t="shared" si="106"/>
        <v>1798.4</v>
      </c>
      <c r="U135" s="809">
        <f t="shared" si="107"/>
        <v>750</v>
      </c>
      <c r="V135" s="809">
        <f t="shared" si="108"/>
        <v>0</v>
      </c>
      <c r="W135" s="816">
        <f t="shared" si="103"/>
        <v>42388</v>
      </c>
      <c r="X135" s="817">
        <f t="shared" si="74"/>
        <v>1073.2</v>
      </c>
      <c r="Y135" s="460">
        <v>0</v>
      </c>
      <c r="Z135" s="818">
        <f t="shared" si="75"/>
        <v>0</v>
      </c>
      <c r="AA135" s="817">
        <f t="shared" ref="AA135:AA161" si="114">IF((T135-L135)&gt;0,(T135-L135),0)</f>
        <v>1798.4</v>
      </c>
      <c r="AB135" s="460"/>
      <c r="AC135" s="818">
        <f t="shared" si="76"/>
        <v>0</v>
      </c>
      <c r="AD135" s="817">
        <f t="shared" si="77"/>
        <v>748.125</v>
      </c>
      <c r="AE135" s="460">
        <v>74.470454727955271</v>
      </c>
      <c r="AF135" s="818">
        <f t="shared" si="78"/>
        <v>74.470454727955271</v>
      </c>
      <c r="AG135" s="817">
        <f t="shared" ref="AG135:AG161" si="115">IF((V135-N135)&gt;0,(V135-N135),0)</f>
        <v>0</v>
      </c>
      <c r="AH135" s="460"/>
      <c r="AI135" s="818">
        <f t="shared" si="79"/>
        <v>0</v>
      </c>
      <c r="AJ135" s="824"/>
      <c r="AK135" s="826">
        <f t="shared" si="80"/>
        <v>4</v>
      </c>
      <c r="AL135" s="458">
        <f t="shared" si="81"/>
        <v>0</v>
      </c>
      <c r="AM135" s="827">
        <f t="shared" si="82"/>
        <v>0</v>
      </c>
      <c r="AN135" s="836">
        <f t="shared" si="83"/>
        <v>4</v>
      </c>
      <c r="AO135" s="826">
        <f t="shared" si="84"/>
        <v>4</v>
      </c>
      <c r="AP135" s="459"/>
      <c r="AQ135" s="828">
        <f t="shared" si="109"/>
        <v>0</v>
      </c>
      <c r="AR135" s="836">
        <f t="shared" si="87"/>
        <v>4</v>
      </c>
      <c r="AS135" s="826">
        <f t="shared" ref="AS135:AS140" si="116">AD135/$C$3*1000</f>
        <v>3.9899999999999998</v>
      </c>
      <c r="AT135" s="458">
        <f t="shared" ref="AT135:AT140" si="117">AE135/$C$3*1000</f>
        <v>0.39717575854909476</v>
      </c>
      <c r="AU135" s="827">
        <f t="shared" ref="AU135:AU140" si="118">AF135/$C$3*1000</f>
        <v>0.39717575854909476</v>
      </c>
      <c r="AV135" s="836">
        <f t="shared" si="88"/>
        <v>3.5928242414509048</v>
      </c>
      <c r="AW135" s="817">
        <f t="shared" si="100"/>
        <v>0</v>
      </c>
      <c r="AX135" s="460"/>
      <c r="AY135" s="818">
        <f t="shared" si="101"/>
        <v>0</v>
      </c>
      <c r="AZ135" s="836">
        <f t="shared" si="89"/>
        <v>0</v>
      </c>
    </row>
    <row r="136" spans="1:52">
      <c r="A136" s="787">
        <f t="shared" si="102"/>
        <v>42389</v>
      </c>
      <c r="B136" s="790">
        <v>0</v>
      </c>
      <c r="C136" s="803">
        <v>0</v>
      </c>
      <c r="D136" s="803">
        <f t="shared" si="110"/>
        <v>0</v>
      </c>
      <c r="E136" s="803">
        <f t="shared" si="104"/>
        <v>0.01</v>
      </c>
      <c r="G136" s="829">
        <f t="shared" ref="G136:G161" si="119">-C136</f>
        <v>0</v>
      </c>
      <c r="H136" s="829">
        <f t="shared" si="111"/>
        <v>0</v>
      </c>
      <c r="I136" s="829">
        <f t="shared" si="112"/>
        <v>-0.01</v>
      </c>
      <c r="J136" s="829">
        <f t="shared" si="113"/>
        <v>0</v>
      </c>
      <c r="K136" s="810">
        <f t="shared" ref="K136:K161" si="120">C136/1000*C$1</f>
        <v>0</v>
      </c>
      <c r="L136" s="814">
        <f t="shared" ref="L136:L161" si="121">D136/1000*C$2</f>
        <v>0</v>
      </c>
      <c r="M136" s="810">
        <f t="shared" ref="M136:M161" si="122">E136/1000*C$3</f>
        <v>1.8750000000000002</v>
      </c>
      <c r="N136" s="811">
        <f t="shared" ref="N136:N161" si="123">F136/1000*C$4</f>
        <v>0</v>
      </c>
      <c r="O136" s="806">
        <v>4</v>
      </c>
      <c r="P136" s="806">
        <v>4</v>
      </c>
      <c r="Q136" s="806">
        <v>4</v>
      </c>
      <c r="R136" s="34">
        <v>0</v>
      </c>
      <c r="S136" s="809">
        <f t="shared" si="105"/>
        <v>1073.2</v>
      </c>
      <c r="T136" s="809">
        <f t="shared" si="106"/>
        <v>1798.4</v>
      </c>
      <c r="U136" s="809">
        <f t="shared" si="107"/>
        <v>750</v>
      </c>
      <c r="V136" s="809">
        <f t="shared" si="108"/>
        <v>0</v>
      </c>
      <c r="W136" s="816">
        <f t="shared" si="103"/>
        <v>42389</v>
      </c>
      <c r="X136" s="817">
        <f t="shared" ref="X136:X161" si="124">IF((S136-K136)&gt;0,(S136-K136),0)</f>
        <v>1073.2</v>
      </c>
      <c r="Y136" s="460">
        <v>0</v>
      </c>
      <c r="Z136" s="818">
        <f t="shared" ref="Z136:Z161" si="125">IF(Y136&gt;X136,X136,Y136)</f>
        <v>0</v>
      </c>
      <c r="AA136" s="817">
        <f t="shared" si="114"/>
        <v>1798.4</v>
      </c>
      <c r="AB136" s="460"/>
      <c r="AC136" s="818">
        <f t="shared" ref="AC136:AC161" si="126">IF(AB136&gt;AA136,AA136,AB136)</f>
        <v>0</v>
      </c>
      <c r="AD136" s="817">
        <f t="shared" ref="AD136:AD161" si="127">IF((U136-M136)&gt;0,(U136-M136),0)</f>
        <v>748.125</v>
      </c>
      <c r="AE136" s="460">
        <v>61.16203477000218</v>
      </c>
      <c r="AF136" s="818">
        <f t="shared" ref="AF136:AF161" si="128">IF(AE136&gt;AD136,AD136,AE136)</f>
        <v>61.16203477000218</v>
      </c>
      <c r="AG136" s="817">
        <f t="shared" si="115"/>
        <v>0</v>
      </c>
      <c r="AH136" s="460"/>
      <c r="AI136" s="818">
        <f t="shared" ref="AI136:AI161" si="129">IF(AH136&gt;AG136,AG136,AH136)</f>
        <v>0</v>
      </c>
      <c r="AJ136" s="824"/>
      <c r="AK136" s="826">
        <f t="shared" ref="AK136:AK161" si="130">X136/$C$1*1000</f>
        <v>4</v>
      </c>
      <c r="AL136" s="458">
        <f t="shared" ref="AL136:AL161" si="131">Y136/$C$1*1000</f>
        <v>0</v>
      </c>
      <c r="AM136" s="827">
        <f t="shared" ref="AM136:AM161" si="132">Z136/$C$1*1000</f>
        <v>0</v>
      </c>
      <c r="AN136" s="836">
        <f t="shared" ref="AN136:AN161" si="133">AK136-AM136</f>
        <v>4</v>
      </c>
      <c r="AO136" s="826">
        <f t="shared" ref="AO136:AO161" si="134">AA136/$C$2*1000</f>
        <v>4</v>
      </c>
      <c r="AP136" s="459"/>
      <c r="AQ136" s="828">
        <f t="shared" si="109"/>
        <v>0</v>
      </c>
      <c r="AR136" s="836">
        <f t="shared" ref="AR136:AR161" si="135">AO136-AQ136</f>
        <v>4</v>
      </c>
      <c r="AS136" s="826">
        <f t="shared" si="116"/>
        <v>3.9899999999999998</v>
      </c>
      <c r="AT136" s="458">
        <f t="shared" si="117"/>
        <v>0.32619751877334496</v>
      </c>
      <c r="AU136" s="827">
        <f t="shared" si="118"/>
        <v>0.32619751877334496</v>
      </c>
      <c r="AV136" s="836">
        <f t="shared" ref="AV136:AV161" si="136">AS136-AU136</f>
        <v>3.663802481226655</v>
      </c>
      <c r="AW136" s="817">
        <f t="shared" si="100"/>
        <v>0</v>
      </c>
      <c r="AX136" s="460"/>
      <c r="AY136" s="818">
        <f t="shared" ref="AY136:AY161" si="137">IF(AX136&gt;AW136,AW136,AX136)</f>
        <v>0</v>
      </c>
      <c r="AZ136" s="836">
        <f t="shared" ref="AZ136:AZ161" si="138">AW136-AY136</f>
        <v>0</v>
      </c>
    </row>
    <row r="137" spans="1:52">
      <c r="A137" s="787">
        <f t="shared" si="102"/>
        <v>42390</v>
      </c>
      <c r="B137" s="790">
        <v>0</v>
      </c>
      <c r="C137" s="803">
        <v>0</v>
      </c>
      <c r="D137" s="803">
        <f t="shared" si="110"/>
        <v>0</v>
      </c>
      <c r="E137" s="803">
        <f t="shared" si="104"/>
        <v>0.01</v>
      </c>
      <c r="G137" s="829">
        <f t="shared" si="119"/>
        <v>0</v>
      </c>
      <c r="H137" s="829">
        <f t="shared" si="111"/>
        <v>0</v>
      </c>
      <c r="I137" s="829">
        <f t="shared" si="112"/>
        <v>-0.01</v>
      </c>
      <c r="J137" s="829">
        <f t="shared" si="113"/>
        <v>0</v>
      </c>
      <c r="K137" s="810">
        <f t="shared" si="120"/>
        <v>0</v>
      </c>
      <c r="L137" s="814">
        <f t="shared" si="121"/>
        <v>0</v>
      </c>
      <c r="M137" s="810">
        <f t="shared" si="122"/>
        <v>1.8750000000000002</v>
      </c>
      <c r="N137" s="811">
        <f t="shared" si="123"/>
        <v>0</v>
      </c>
      <c r="O137" s="806">
        <v>4</v>
      </c>
      <c r="P137" s="806">
        <v>4</v>
      </c>
      <c r="Q137" s="806">
        <v>4</v>
      </c>
      <c r="R137" s="34">
        <v>0</v>
      </c>
      <c r="S137" s="809">
        <f t="shared" si="105"/>
        <v>1073.2</v>
      </c>
      <c r="T137" s="809">
        <f t="shared" si="106"/>
        <v>1798.4</v>
      </c>
      <c r="U137" s="809">
        <f t="shared" si="107"/>
        <v>750</v>
      </c>
      <c r="V137" s="809">
        <f t="shared" si="108"/>
        <v>0</v>
      </c>
      <c r="W137" s="816">
        <f t="shared" si="103"/>
        <v>42390</v>
      </c>
      <c r="X137" s="817">
        <f t="shared" si="124"/>
        <v>1073.2</v>
      </c>
      <c r="Y137" s="460">
        <v>0</v>
      </c>
      <c r="Z137" s="818">
        <f t="shared" si="125"/>
        <v>0</v>
      </c>
      <c r="AA137" s="817">
        <f t="shared" si="114"/>
        <v>1798.4</v>
      </c>
      <c r="AB137" s="460"/>
      <c r="AC137" s="818">
        <f t="shared" si="126"/>
        <v>0</v>
      </c>
      <c r="AD137" s="817">
        <f t="shared" si="127"/>
        <v>748.125</v>
      </c>
      <c r="AE137" s="460">
        <v>48.350404854606033</v>
      </c>
      <c r="AF137" s="818">
        <f t="shared" si="128"/>
        <v>48.350404854606033</v>
      </c>
      <c r="AG137" s="817">
        <f t="shared" si="115"/>
        <v>0</v>
      </c>
      <c r="AH137" s="460"/>
      <c r="AI137" s="818">
        <f t="shared" si="129"/>
        <v>0</v>
      </c>
      <c r="AJ137" s="824"/>
      <c r="AK137" s="826">
        <f t="shared" si="130"/>
        <v>4</v>
      </c>
      <c r="AL137" s="458">
        <f t="shared" si="131"/>
        <v>0</v>
      </c>
      <c r="AM137" s="827">
        <f t="shared" si="132"/>
        <v>0</v>
      </c>
      <c r="AN137" s="836">
        <f t="shared" si="133"/>
        <v>4</v>
      </c>
      <c r="AO137" s="826">
        <f t="shared" si="134"/>
        <v>4</v>
      </c>
      <c r="AP137" s="459"/>
      <c r="AQ137" s="828">
        <f t="shared" si="109"/>
        <v>0</v>
      </c>
      <c r="AR137" s="836">
        <f t="shared" si="135"/>
        <v>4</v>
      </c>
      <c r="AS137" s="826">
        <f t="shared" si="116"/>
        <v>3.9899999999999998</v>
      </c>
      <c r="AT137" s="458">
        <f t="shared" si="117"/>
        <v>0.25786882589123217</v>
      </c>
      <c r="AU137" s="827">
        <f t="shared" si="118"/>
        <v>0.25786882589123217</v>
      </c>
      <c r="AV137" s="836">
        <f t="shared" si="136"/>
        <v>3.7321311741087677</v>
      </c>
      <c r="AW137" s="817">
        <f t="shared" si="100"/>
        <v>0</v>
      </c>
      <c r="AX137" s="460"/>
      <c r="AY137" s="818">
        <f t="shared" si="137"/>
        <v>0</v>
      </c>
      <c r="AZ137" s="836">
        <f t="shared" si="138"/>
        <v>0</v>
      </c>
    </row>
    <row r="138" spans="1:52">
      <c r="A138" s="787">
        <f t="shared" si="102"/>
        <v>42391</v>
      </c>
      <c r="B138" s="790">
        <v>0</v>
      </c>
      <c r="C138" s="803">
        <v>0</v>
      </c>
      <c r="D138" s="803">
        <f t="shared" si="110"/>
        <v>0</v>
      </c>
      <c r="E138" s="803">
        <f t="shared" si="104"/>
        <v>0.01</v>
      </c>
      <c r="G138" s="829">
        <f t="shared" si="119"/>
        <v>0</v>
      </c>
      <c r="H138" s="829">
        <f t="shared" si="111"/>
        <v>0</v>
      </c>
      <c r="I138" s="829">
        <f t="shared" si="112"/>
        <v>-0.01</v>
      </c>
      <c r="J138" s="829">
        <f t="shared" si="113"/>
        <v>0</v>
      </c>
      <c r="K138" s="810">
        <f t="shared" si="120"/>
        <v>0</v>
      </c>
      <c r="L138" s="814">
        <f t="shared" si="121"/>
        <v>0</v>
      </c>
      <c r="M138" s="810">
        <f t="shared" si="122"/>
        <v>1.8750000000000002</v>
      </c>
      <c r="N138" s="811">
        <f t="shared" si="123"/>
        <v>0</v>
      </c>
      <c r="O138" s="806">
        <v>4</v>
      </c>
      <c r="P138" s="806">
        <v>4</v>
      </c>
      <c r="Q138" s="806">
        <v>4</v>
      </c>
      <c r="R138" s="34">
        <v>0</v>
      </c>
      <c r="S138" s="809">
        <f t="shared" si="105"/>
        <v>1073.2</v>
      </c>
      <c r="T138" s="809">
        <f t="shared" si="106"/>
        <v>1798.4</v>
      </c>
      <c r="U138" s="809">
        <f t="shared" si="107"/>
        <v>750</v>
      </c>
      <c r="V138" s="809">
        <f t="shared" si="108"/>
        <v>0</v>
      </c>
      <c r="W138" s="816">
        <f t="shared" si="103"/>
        <v>42391</v>
      </c>
      <c r="X138" s="817">
        <f t="shared" si="124"/>
        <v>1073.2</v>
      </c>
      <c r="Y138" s="460">
        <v>0</v>
      </c>
      <c r="Z138" s="818">
        <f t="shared" si="125"/>
        <v>0</v>
      </c>
      <c r="AA138" s="817">
        <f t="shared" si="114"/>
        <v>1798.4</v>
      </c>
      <c r="AB138" s="460"/>
      <c r="AC138" s="818">
        <f t="shared" si="126"/>
        <v>0</v>
      </c>
      <c r="AD138" s="817">
        <f t="shared" si="127"/>
        <v>748.125</v>
      </c>
      <c r="AE138" s="460">
        <v>34.691581476796486</v>
      </c>
      <c r="AF138" s="818">
        <f t="shared" si="128"/>
        <v>34.691581476796486</v>
      </c>
      <c r="AG138" s="817">
        <f t="shared" si="115"/>
        <v>0</v>
      </c>
      <c r="AH138" s="460"/>
      <c r="AI138" s="818">
        <f t="shared" si="129"/>
        <v>0</v>
      </c>
      <c r="AJ138" s="824"/>
      <c r="AK138" s="826">
        <f t="shared" si="130"/>
        <v>4</v>
      </c>
      <c r="AL138" s="458">
        <f t="shared" si="131"/>
        <v>0</v>
      </c>
      <c r="AM138" s="827">
        <f t="shared" si="132"/>
        <v>0</v>
      </c>
      <c r="AN138" s="836">
        <f t="shared" si="133"/>
        <v>4</v>
      </c>
      <c r="AO138" s="826">
        <f t="shared" si="134"/>
        <v>4</v>
      </c>
      <c r="AP138" s="459"/>
      <c r="AQ138" s="828">
        <f t="shared" si="109"/>
        <v>0</v>
      </c>
      <c r="AR138" s="836">
        <f t="shared" si="135"/>
        <v>4</v>
      </c>
      <c r="AS138" s="826">
        <f t="shared" si="116"/>
        <v>3.9899999999999998</v>
      </c>
      <c r="AT138" s="458">
        <f t="shared" si="117"/>
        <v>0.18502176787624791</v>
      </c>
      <c r="AU138" s="827">
        <f t="shared" si="118"/>
        <v>0.18502176787624791</v>
      </c>
      <c r="AV138" s="836">
        <f t="shared" si="136"/>
        <v>3.804978232123752</v>
      </c>
      <c r="AW138" s="817">
        <f t="shared" si="100"/>
        <v>0</v>
      </c>
      <c r="AX138" s="460"/>
      <c r="AY138" s="818">
        <f t="shared" si="137"/>
        <v>0</v>
      </c>
      <c r="AZ138" s="836">
        <f t="shared" si="138"/>
        <v>0</v>
      </c>
    </row>
    <row r="139" spans="1:52">
      <c r="A139" s="787">
        <f t="shared" si="102"/>
        <v>42392</v>
      </c>
      <c r="B139" s="790">
        <v>0</v>
      </c>
      <c r="C139" s="803">
        <v>0</v>
      </c>
      <c r="D139" s="803">
        <f t="shared" si="110"/>
        <v>0</v>
      </c>
      <c r="G139" s="829">
        <f t="shared" si="119"/>
        <v>0</v>
      </c>
      <c r="H139" s="829">
        <f t="shared" si="111"/>
        <v>0</v>
      </c>
      <c r="I139" s="829">
        <f t="shared" si="112"/>
        <v>0</v>
      </c>
      <c r="J139" s="829">
        <f t="shared" si="113"/>
        <v>0</v>
      </c>
      <c r="K139" s="810">
        <f t="shared" si="120"/>
        <v>0</v>
      </c>
      <c r="L139" s="814">
        <f t="shared" si="121"/>
        <v>0</v>
      </c>
      <c r="M139" s="810">
        <f t="shared" si="122"/>
        <v>0</v>
      </c>
      <c r="N139" s="811">
        <f t="shared" si="123"/>
        <v>0</v>
      </c>
      <c r="O139" s="806">
        <v>4</v>
      </c>
      <c r="P139" s="806">
        <v>4</v>
      </c>
      <c r="Q139" s="34">
        <v>0</v>
      </c>
      <c r="R139" s="34">
        <v>0</v>
      </c>
      <c r="S139" s="809">
        <f t="shared" si="105"/>
        <v>1073.2</v>
      </c>
      <c r="T139" s="809">
        <f t="shared" si="106"/>
        <v>1798.4</v>
      </c>
      <c r="U139" s="809">
        <f t="shared" si="107"/>
        <v>0</v>
      </c>
      <c r="V139" s="809">
        <f t="shared" si="108"/>
        <v>0</v>
      </c>
      <c r="W139" s="816">
        <f t="shared" si="103"/>
        <v>42392</v>
      </c>
      <c r="X139" s="817">
        <f t="shared" si="124"/>
        <v>1073.2</v>
      </c>
      <c r="Y139" s="460">
        <v>0</v>
      </c>
      <c r="Z139" s="818">
        <f t="shared" si="125"/>
        <v>0</v>
      </c>
      <c r="AA139" s="817">
        <f t="shared" si="114"/>
        <v>1798.4</v>
      </c>
      <c r="AB139" s="460"/>
      <c r="AC139" s="818">
        <f t="shared" si="126"/>
        <v>0</v>
      </c>
      <c r="AD139" s="817">
        <f t="shared" si="127"/>
        <v>0</v>
      </c>
      <c r="AE139" s="460">
        <v>21.739134376347128</v>
      </c>
      <c r="AF139" s="818">
        <f t="shared" si="128"/>
        <v>0</v>
      </c>
      <c r="AG139" s="817">
        <f t="shared" si="115"/>
        <v>0</v>
      </c>
      <c r="AH139" s="460"/>
      <c r="AI139" s="818">
        <f t="shared" si="129"/>
        <v>0</v>
      </c>
      <c r="AJ139" s="824"/>
      <c r="AK139" s="826">
        <f t="shared" si="130"/>
        <v>4</v>
      </c>
      <c r="AL139" s="458">
        <f t="shared" si="131"/>
        <v>0</v>
      </c>
      <c r="AM139" s="827">
        <f t="shared" si="132"/>
        <v>0</v>
      </c>
      <c r="AN139" s="836">
        <f t="shared" si="133"/>
        <v>4</v>
      </c>
      <c r="AO139" s="826">
        <f t="shared" si="134"/>
        <v>4</v>
      </c>
      <c r="AP139" s="459"/>
      <c r="AQ139" s="828">
        <f t="shared" si="109"/>
        <v>0</v>
      </c>
      <c r="AR139" s="836">
        <f t="shared" si="135"/>
        <v>4</v>
      </c>
      <c r="AS139" s="826">
        <f t="shared" si="116"/>
        <v>0</v>
      </c>
      <c r="AT139" s="458">
        <f t="shared" si="117"/>
        <v>0.11594205000718469</v>
      </c>
      <c r="AU139" s="827">
        <f t="shared" si="118"/>
        <v>0</v>
      </c>
      <c r="AV139" s="836">
        <f t="shared" si="136"/>
        <v>0</v>
      </c>
      <c r="AW139" s="817">
        <f t="shared" si="100"/>
        <v>0</v>
      </c>
      <c r="AX139" s="460"/>
      <c r="AY139" s="818">
        <f t="shared" si="137"/>
        <v>0</v>
      </c>
      <c r="AZ139" s="836">
        <f t="shared" si="138"/>
        <v>0</v>
      </c>
    </row>
    <row r="140" spans="1:52">
      <c r="A140" s="787">
        <f t="shared" si="102"/>
        <v>42393</v>
      </c>
      <c r="B140" s="790">
        <v>0</v>
      </c>
      <c r="C140" s="803">
        <v>0</v>
      </c>
      <c r="D140" s="803">
        <f t="shared" si="110"/>
        <v>0</v>
      </c>
      <c r="G140" s="829">
        <f t="shared" si="119"/>
        <v>0</v>
      </c>
      <c r="H140" s="829">
        <f t="shared" si="111"/>
        <v>0</v>
      </c>
      <c r="I140" s="829">
        <f t="shared" si="112"/>
        <v>0</v>
      </c>
      <c r="J140" s="829">
        <f t="shared" si="113"/>
        <v>0</v>
      </c>
      <c r="K140" s="810">
        <f t="shared" si="120"/>
        <v>0</v>
      </c>
      <c r="L140" s="814">
        <f t="shared" si="121"/>
        <v>0</v>
      </c>
      <c r="M140" s="810">
        <f t="shared" si="122"/>
        <v>0</v>
      </c>
      <c r="N140" s="811">
        <f t="shared" si="123"/>
        <v>0</v>
      </c>
      <c r="O140" s="806">
        <v>4</v>
      </c>
      <c r="P140" s="806">
        <v>4</v>
      </c>
      <c r="Q140" s="34">
        <v>0</v>
      </c>
      <c r="R140" s="34">
        <v>0</v>
      </c>
      <c r="S140" s="809">
        <f t="shared" si="105"/>
        <v>1073.2</v>
      </c>
      <c r="T140" s="809">
        <f t="shared" si="106"/>
        <v>1798.4</v>
      </c>
      <c r="U140" s="809">
        <f t="shared" si="107"/>
        <v>0</v>
      </c>
      <c r="V140" s="809">
        <f t="shared" si="108"/>
        <v>0</v>
      </c>
      <c r="W140" s="816">
        <f t="shared" si="103"/>
        <v>42393</v>
      </c>
      <c r="X140" s="817">
        <f t="shared" si="124"/>
        <v>1073.2</v>
      </c>
      <c r="Y140" s="460">
        <v>0</v>
      </c>
      <c r="Z140" s="818">
        <f t="shared" si="125"/>
        <v>0</v>
      </c>
      <c r="AA140" s="817">
        <f t="shared" si="114"/>
        <v>1798.4</v>
      </c>
      <c r="AB140" s="460"/>
      <c r="AC140" s="818">
        <f t="shared" si="126"/>
        <v>0</v>
      </c>
      <c r="AD140" s="817">
        <f t="shared" si="127"/>
        <v>0</v>
      </c>
      <c r="AE140" s="460">
        <v>9.3614326135882315</v>
      </c>
      <c r="AF140" s="818">
        <f t="shared" si="128"/>
        <v>0</v>
      </c>
      <c r="AG140" s="817">
        <f t="shared" si="115"/>
        <v>0</v>
      </c>
      <c r="AH140" s="460"/>
      <c r="AI140" s="818">
        <f t="shared" si="129"/>
        <v>0</v>
      </c>
      <c r="AJ140" s="824"/>
      <c r="AK140" s="826">
        <f t="shared" si="130"/>
        <v>4</v>
      </c>
      <c r="AL140" s="458">
        <f t="shared" si="131"/>
        <v>0</v>
      </c>
      <c r="AM140" s="827">
        <f t="shared" si="132"/>
        <v>0</v>
      </c>
      <c r="AN140" s="836">
        <f t="shared" si="133"/>
        <v>4</v>
      </c>
      <c r="AO140" s="826">
        <f t="shared" si="134"/>
        <v>4</v>
      </c>
      <c r="AP140" s="459"/>
      <c r="AQ140" s="828">
        <f t="shared" si="109"/>
        <v>0</v>
      </c>
      <c r="AR140" s="836">
        <f t="shared" si="135"/>
        <v>4</v>
      </c>
      <c r="AS140" s="826">
        <f t="shared" si="116"/>
        <v>0</v>
      </c>
      <c r="AT140" s="458">
        <f t="shared" si="117"/>
        <v>4.9927640605803902E-2</v>
      </c>
      <c r="AU140" s="827">
        <f t="shared" si="118"/>
        <v>0</v>
      </c>
      <c r="AV140" s="836">
        <f t="shared" si="136"/>
        <v>0</v>
      </c>
      <c r="AW140" s="817">
        <f t="shared" ref="AW140:AW161" si="139">IF((AH140-Z140)&gt;0,(AH140-Z140),0)</f>
        <v>0</v>
      </c>
      <c r="AX140" s="460"/>
      <c r="AY140" s="818">
        <f t="shared" si="137"/>
        <v>0</v>
      </c>
      <c r="AZ140" s="836">
        <f t="shared" si="138"/>
        <v>0</v>
      </c>
    </row>
    <row r="141" spans="1:52">
      <c r="A141" s="787">
        <f t="shared" si="102"/>
        <v>42394</v>
      </c>
      <c r="B141" s="790">
        <v>0</v>
      </c>
      <c r="C141" s="803">
        <v>0</v>
      </c>
      <c r="D141" s="803">
        <f t="shared" si="110"/>
        <v>0</v>
      </c>
      <c r="G141" s="829">
        <f t="shared" si="119"/>
        <v>0</v>
      </c>
      <c r="H141" s="829">
        <f t="shared" si="111"/>
        <v>0</v>
      </c>
      <c r="I141" s="829">
        <f t="shared" si="112"/>
        <v>0</v>
      </c>
      <c r="J141" s="829">
        <f t="shared" si="113"/>
        <v>0</v>
      </c>
      <c r="K141" s="810">
        <f t="shared" si="120"/>
        <v>0</v>
      </c>
      <c r="L141" s="814">
        <f t="shared" si="121"/>
        <v>0</v>
      </c>
      <c r="M141" s="810">
        <f t="shared" si="122"/>
        <v>0</v>
      </c>
      <c r="N141" s="811">
        <f t="shared" si="123"/>
        <v>0</v>
      </c>
      <c r="O141" s="806">
        <v>4</v>
      </c>
      <c r="P141" s="806">
        <v>4</v>
      </c>
      <c r="Q141" s="34">
        <v>0</v>
      </c>
      <c r="R141" s="34">
        <v>0</v>
      </c>
      <c r="S141" s="809">
        <f t="shared" si="105"/>
        <v>1073.2</v>
      </c>
      <c r="T141" s="809">
        <f t="shared" si="106"/>
        <v>1798.4</v>
      </c>
      <c r="U141" s="809">
        <f t="shared" si="107"/>
        <v>0</v>
      </c>
      <c r="V141" s="809">
        <f t="shared" si="108"/>
        <v>0</v>
      </c>
      <c r="W141" s="816">
        <f t="shared" si="103"/>
        <v>42394</v>
      </c>
      <c r="X141" s="817">
        <f t="shared" si="124"/>
        <v>1073.2</v>
      </c>
      <c r="Y141" s="460">
        <v>0</v>
      </c>
      <c r="Z141" s="818">
        <f t="shared" si="125"/>
        <v>0</v>
      </c>
      <c r="AA141" s="817">
        <f t="shared" si="114"/>
        <v>1798.4</v>
      </c>
      <c r="AB141" s="460"/>
      <c r="AC141" s="818">
        <f t="shared" si="126"/>
        <v>0</v>
      </c>
      <c r="AD141" s="817">
        <f t="shared" si="127"/>
        <v>0</v>
      </c>
      <c r="AE141" s="460"/>
      <c r="AF141" s="818">
        <f t="shared" si="128"/>
        <v>0</v>
      </c>
      <c r="AG141" s="817">
        <f t="shared" si="115"/>
        <v>0</v>
      </c>
      <c r="AH141" s="460"/>
      <c r="AI141" s="818">
        <f t="shared" si="129"/>
        <v>0</v>
      </c>
      <c r="AJ141" s="824"/>
      <c r="AK141" s="826">
        <f t="shared" si="130"/>
        <v>4</v>
      </c>
      <c r="AL141" s="458">
        <f t="shared" si="131"/>
        <v>0</v>
      </c>
      <c r="AM141" s="827">
        <f t="shared" si="132"/>
        <v>0</v>
      </c>
      <c r="AN141" s="836">
        <f t="shared" si="133"/>
        <v>4</v>
      </c>
      <c r="AO141" s="826">
        <f t="shared" si="134"/>
        <v>4</v>
      </c>
      <c r="AP141" s="459"/>
      <c r="AQ141" s="828">
        <f t="shared" si="109"/>
        <v>0</v>
      </c>
      <c r="AR141" s="836">
        <f t="shared" si="135"/>
        <v>4</v>
      </c>
      <c r="AS141" s="826">
        <f t="shared" ref="AS141:AS161" si="140">IF((AG141-Y141)&gt;0,(AG141-Y141),0)</f>
        <v>0</v>
      </c>
      <c r="AT141" s="460"/>
      <c r="AU141" s="827">
        <f t="shared" ref="AU141:AU161" si="141">AF141/$C$3*1000</f>
        <v>0</v>
      </c>
      <c r="AV141" s="836">
        <f t="shared" si="136"/>
        <v>0</v>
      </c>
      <c r="AW141" s="817">
        <f t="shared" si="139"/>
        <v>0</v>
      </c>
      <c r="AX141" s="460"/>
      <c r="AY141" s="818">
        <f t="shared" si="137"/>
        <v>0</v>
      </c>
      <c r="AZ141" s="836">
        <f t="shared" si="138"/>
        <v>0</v>
      </c>
    </row>
    <row r="142" spans="1:52">
      <c r="A142" s="787">
        <f t="shared" si="102"/>
        <v>42395</v>
      </c>
      <c r="B142" s="790">
        <v>0</v>
      </c>
      <c r="C142" s="803">
        <v>0</v>
      </c>
      <c r="D142" s="803">
        <f t="shared" si="110"/>
        <v>0</v>
      </c>
      <c r="G142" s="829">
        <f t="shared" si="119"/>
        <v>0</v>
      </c>
      <c r="H142" s="829">
        <f t="shared" si="111"/>
        <v>0</v>
      </c>
      <c r="I142" s="829">
        <f t="shared" si="112"/>
        <v>0</v>
      </c>
      <c r="J142" s="829">
        <f t="shared" si="113"/>
        <v>0</v>
      </c>
      <c r="K142" s="810">
        <f t="shared" si="120"/>
        <v>0</v>
      </c>
      <c r="L142" s="814">
        <f t="shared" si="121"/>
        <v>0</v>
      </c>
      <c r="M142" s="810">
        <f t="shared" si="122"/>
        <v>0</v>
      </c>
      <c r="N142" s="811">
        <f t="shared" si="123"/>
        <v>0</v>
      </c>
      <c r="O142" s="806">
        <v>4</v>
      </c>
      <c r="P142" s="806">
        <v>4</v>
      </c>
      <c r="Q142" s="34">
        <v>0</v>
      </c>
      <c r="R142" s="34">
        <v>0</v>
      </c>
      <c r="S142" s="809">
        <f t="shared" si="105"/>
        <v>1073.2</v>
      </c>
      <c r="T142" s="809">
        <f t="shared" si="106"/>
        <v>1798.4</v>
      </c>
      <c r="U142" s="809">
        <f t="shared" si="107"/>
        <v>0</v>
      </c>
      <c r="V142" s="809">
        <f t="shared" si="108"/>
        <v>0</v>
      </c>
      <c r="W142" s="816">
        <f t="shared" si="103"/>
        <v>42395</v>
      </c>
      <c r="X142" s="817">
        <f t="shared" si="124"/>
        <v>1073.2</v>
      </c>
      <c r="Y142" s="460">
        <v>0</v>
      </c>
      <c r="Z142" s="818">
        <f t="shared" si="125"/>
        <v>0</v>
      </c>
      <c r="AA142" s="817">
        <f t="shared" si="114"/>
        <v>1798.4</v>
      </c>
      <c r="AB142" s="460"/>
      <c r="AC142" s="818">
        <f t="shared" si="126"/>
        <v>0</v>
      </c>
      <c r="AD142" s="817">
        <f t="shared" si="127"/>
        <v>0</v>
      </c>
      <c r="AE142" s="460"/>
      <c r="AF142" s="818">
        <f t="shared" si="128"/>
        <v>0</v>
      </c>
      <c r="AG142" s="817">
        <f t="shared" si="115"/>
        <v>0</v>
      </c>
      <c r="AH142" s="460"/>
      <c r="AI142" s="818">
        <f t="shared" si="129"/>
        <v>0</v>
      </c>
      <c r="AJ142" s="824"/>
      <c r="AK142" s="826">
        <f t="shared" si="130"/>
        <v>4</v>
      </c>
      <c r="AL142" s="458">
        <f t="shared" si="131"/>
        <v>0</v>
      </c>
      <c r="AM142" s="827">
        <f t="shared" si="132"/>
        <v>0</v>
      </c>
      <c r="AN142" s="836">
        <f t="shared" si="133"/>
        <v>4</v>
      </c>
      <c r="AO142" s="826">
        <f t="shared" si="134"/>
        <v>4</v>
      </c>
      <c r="AP142" s="459"/>
      <c r="AQ142" s="828">
        <f t="shared" si="109"/>
        <v>0</v>
      </c>
      <c r="AR142" s="836">
        <f t="shared" si="135"/>
        <v>4</v>
      </c>
      <c r="AS142" s="826">
        <f t="shared" si="140"/>
        <v>0</v>
      </c>
      <c r="AT142" s="460"/>
      <c r="AU142" s="827">
        <f t="shared" si="141"/>
        <v>0</v>
      </c>
      <c r="AV142" s="836">
        <f t="shared" si="136"/>
        <v>0</v>
      </c>
      <c r="AW142" s="817">
        <f t="shared" si="139"/>
        <v>0</v>
      </c>
      <c r="AX142" s="460"/>
      <c r="AY142" s="818">
        <f t="shared" si="137"/>
        <v>0</v>
      </c>
      <c r="AZ142" s="836">
        <f t="shared" si="138"/>
        <v>0</v>
      </c>
    </row>
    <row r="143" spans="1:52">
      <c r="A143" s="787">
        <f t="shared" si="102"/>
        <v>42396</v>
      </c>
      <c r="B143" s="790">
        <v>0</v>
      </c>
      <c r="C143" s="803">
        <v>0</v>
      </c>
      <c r="D143" s="803">
        <f t="shared" si="110"/>
        <v>0</v>
      </c>
      <c r="G143" s="829">
        <f t="shared" si="119"/>
        <v>0</v>
      </c>
      <c r="H143" s="829">
        <f t="shared" si="111"/>
        <v>0</v>
      </c>
      <c r="I143" s="829">
        <f t="shared" si="112"/>
        <v>0</v>
      </c>
      <c r="J143" s="829">
        <f t="shared" si="113"/>
        <v>0</v>
      </c>
      <c r="K143" s="810">
        <f t="shared" si="120"/>
        <v>0</v>
      </c>
      <c r="L143" s="814">
        <f t="shared" si="121"/>
        <v>0</v>
      </c>
      <c r="M143" s="810">
        <f t="shared" si="122"/>
        <v>0</v>
      </c>
      <c r="N143" s="811">
        <f t="shared" si="123"/>
        <v>0</v>
      </c>
      <c r="O143" s="806">
        <v>4</v>
      </c>
      <c r="P143" s="806">
        <v>4</v>
      </c>
      <c r="Q143" s="34">
        <v>0</v>
      </c>
      <c r="R143" s="34">
        <v>0</v>
      </c>
      <c r="S143" s="809">
        <f t="shared" si="105"/>
        <v>1073.2</v>
      </c>
      <c r="T143" s="809">
        <f t="shared" si="106"/>
        <v>1798.4</v>
      </c>
      <c r="U143" s="809">
        <f t="shared" si="107"/>
        <v>0</v>
      </c>
      <c r="V143" s="809">
        <f t="shared" si="108"/>
        <v>0</v>
      </c>
      <c r="W143" s="816">
        <f t="shared" si="103"/>
        <v>42396</v>
      </c>
      <c r="X143" s="817">
        <f t="shared" si="124"/>
        <v>1073.2</v>
      </c>
      <c r="Y143" s="460">
        <v>0</v>
      </c>
      <c r="Z143" s="818">
        <f t="shared" si="125"/>
        <v>0</v>
      </c>
      <c r="AA143" s="817">
        <f t="shared" si="114"/>
        <v>1798.4</v>
      </c>
      <c r="AB143" s="460"/>
      <c r="AC143" s="818">
        <f t="shared" si="126"/>
        <v>0</v>
      </c>
      <c r="AD143" s="817">
        <f t="shared" si="127"/>
        <v>0</v>
      </c>
      <c r="AE143" s="460"/>
      <c r="AF143" s="818">
        <f t="shared" si="128"/>
        <v>0</v>
      </c>
      <c r="AG143" s="817">
        <f t="shared" si="115"/>
        <v>0</v>
      </c>
      <c r="AH143" s="460"/>
      <c r="AI143" s="818">
        <f t="shared" si="129"/>
        <v>0</v>
      </c>
      <c r="AJ143" s="824"/>
      <c r="AK143" s="826">
        <f t="shared" si="130"/>
        <v>4</v>
      </c>
      <c r="AL143" s="458">
        <f t="shared" si="131"/>
        <v>0</v>
      </c>
      <c r="AM143" s="827">
        <f t="shared" si="132"/>
        <v>0</v>
      </c>
      <c r="AN143" s="836">
        <f t="shared" si="133"/>
        <v>4</v>
      </c>
      <c r="AO143" s="826">
        <f t="shared" si="134"/>
        <v>4</v>
      </c>
      <c r="AP143" s="459"/>
      <c r="AQ143" s="828">
        <f t="shared" si="109"/>
        <v>0</v>
      </c>
      <c r="AR143" s="836">
        <f t="shared" si="135"/>
        <v>4</v>
      </c>
      <c r="AS143" s="826">
        <f t="shared" si="140"/>
        <v>0</v>
      </c>
      <c r="AT143" s="460"/>
      <c r="AU143" s="827">
        <f t="shared" si="141"/>
        <v>0</v>
      </c>
      <c r="AV143" s="836">
        <f t="shared" si="136"/>
        <v>0</v>
      </c>
      <c r="AW143" s="817">
        <f t="shared" si="139"/>
        <v>0</v>
      </c>
      <c r="AX143" s="460"/>
      <c r="AY143" s="818">
        <f t="shared" si="137"/>
        <v>0</v>
      </c>
      <c r="AZ143" s="836">
        <f t="shared" si="138"/>
        <v>0</v>
      </c>
    </row>
    <row r="144" spans="1:52">
      <c r="A144" s="787">
        <f t="shared" si="102"/>
        <v>42397</v>
      </c>
      <c r="B144" s="790">
        <v>0</v>
      </c>
      <c r="C144" s="803">
        <v>0</v>
      </c>
      <c r="D144" s="803">
        <f t="shared" si="110"/>
        <v>0</v>
      </c>
      <c r="G144" s="829">
        <f t="shared" si="119"/>
        <v>0</v>
      </c>
      <c r="H144" s="829">
        <f t="shared" si="111"/>
        <v>0</v>
      </c>
      <c r="I144" s="829">
        <f t="shared" si="112"/>
        <v>0</v>
      </c>
      <c r="J144" s="829">
        <f t="shared" si="113"/>
        <v>0</v>
      </c>
      <c r="K144" s="810">
        <f t="shared" si="120"/>
        <v>0</v>
      </c>
      <c r="L144" s="814">
        <f t="shared" si="121"/>
        <v>0</v>
      </c>
      <c r="M144" s="810">
        <f t="shared" si="122"/>
        <v>0</v>
      </c>
      <c r="N144" s="811">
        <f t="shared" si="123"/>
        <v>0</v>
      </c>
      <c r="O144" s="806">
        <v>4</v>
      </c>
      <c r="P144" s="806">
        <v>4</v>
      </c>
      <c r="Q144" s="34">
        <v>0</v>
      </c>
      <c r="R144" s="34">
        <v>0</v>
      </c>
      <c r="S144" s="809">
        <f t="shared" si="105"/>
        <v>1073.2</v>
      </c>
      <c r="T144" s="809">
        <f t="shared" si="106"/>
        <v>1798.4</v>
      </c>
      <c r="U144" s="809">
        <f t="shared" si="107"/>
        <v>0</v>
      </c>
      <c r="V144" s="809">
        <f t="shared" si="108"/>
        <v>0</v>
      </c>
      <c r="W144" s="816">
        <f t="shared" si="103"/>
        <v>42397</v>
      </c>
      <c r="X144" s="817">
        <f t="shared" si="124"/>
        <v>1073.2</v>
      </c>
      <c r="Y144" s="460">
        <v>0</v>
      </c>
      <c r="Z144" s="818">
        <f t="shared" si="125"/>
        <v>0</v>
      </c>
      <c r="AA144" s="817">
        <f t="shared" si="114"/>
        <v>1798.4</v>
      </c>
      <c r="AB144" s="460"/>
      <c r="AC144" s="818">
        <f t="shared" si="126"/>
        <v>0</v>
      </c>
      <c r="AD144" s="817">
        <f t="shared" si="127"/>
        <v>0</v>
      </c>
      <c r="AE144" s="460"/>
      <c r="AF144" s="818">
        <f t="shared" si="128"/>
        <v>0</v>
      </c>
      <c r="AG144" s="817">
        <f t="shared" si="115"/>
        <v>0</v>
      </c>
      <c r="AH144" s="460"/>
      <c r="AI144" s="818">
        <f t="shared" si="129"/>
        <v>0</v>
      </c>
      <c r="AJ144" s="824"/>
      <c r="AK144" s="826">
        <f t="shared" si="130"/>
        <v>4</v>
      </c>
      <c r="AL144" s="458">
        <f t="shared" si="131"/>
        <v>0</v>
      </c>
      <c r="AM144" s="827">
        <f t="shared" si="132"/>
        <v>0</v>
      </c>
      <c r="AN144" s="836">
        <f t="shared" si="133"/>
        <v>4</v>
      </c>
      <c r="AO144" s="826">
        <f t="shared" si="134"/>
        <v>4</v>
      </c>
      <c r="AP144" s="459"/>
      <c r="AQ144" s="828">
        <f t="shared" si="109"/>
        <v>0</v>
      </c>
      <c r="AR144" s="836">
        <f t="shared" si="135"/>
        <v>4</v>
      </c>
      <c r="AS144" s="826">
        <f t="shared" si="140"/>
        <v>0</v>
      </c>
      <c r="AT144" s="460"/>
      <c r="AU144" s="827">
        <f t="shared" si="141"/>
        <v>0</v>
      </c>
      <c r="AV144" s="836">
        <f t="shared" si="136"/>
        <v>0</v>
      </c>
      <c r="AW144" s="817">
        <f t="shared" si="139"/>
        <v>0</v>
      </c>
      <c r="AX144" s="460"/>
      <c r="AY144" s="818">
        <f t="shared" si="137"/>
        <v>0</v>
      </c>
      <c r="AZ144" s="836">
        <f t="shared" si="138"/>
        <v>0</v>
      </c>
    </row>
    <row r="145" spans="1:52">
      <c r="A145" s="787">
        <f t="shared" si="102"/>
        <v>42398</v>
      </c>
      <c r="B145" s="790">
        <v>0</v>
      </c>
      <c r="C145" s="803">
        <v>0</v>
      </c>
      <c r="D145" s="803">
        <f t="shared" si="110"/>
        <v>0</v>
      </c>
      <c r="G145" s="829">
        <f t="shared" si="119"/>
        <v>0</v>
      </c>
      <c r="H145" s="829">
        <f t="shared" si="111"/>
        <v>0</v>
      </c>
      <c r="I145" s="829">
        <f t="shared" si="112"/>
        <v>0</v>
      </c>
      <c r="J145" s="829">
        <f t="shared" si="113"/>
        <v>0</v>
      </c>
      <c r="K145" s="810">
        <f t="shared" si="120"/>
        <v>0</v>
      </c>
      <c r="L145" s="814">
        <f t="shared" si="121"/>
        <v>0</v>
      </c>
      <c r="M145" s="810">
        <f t="shared" si="122"/>
        <v>0</v>
      </c>
      <c r="N145" s="811">
        <f t="shared" si="123"/>
        <v>0</v>
      </c>
      <c r="O145" s="806">
        <v>4</v>
      </c>
      <c r="P145" s="806">
        <v>4</v>
      </c>
      <c r="Q145" s="34">
        <v>0</v>
      </c>
      <c r="R145" s="34">
        <v>0</v>
      </c>
      <c r="S145" s="809">
        <f t="shared" si="105"/>
        <v>1073.2</v>
      </c>
      <c r="T145" s="809">
        <f t="shared" si="106"/>
        <v>1798.4</v>
      </c>
      <c r="U145" s="809">
        <f t="shared" si="107"/>
        <v>0</v>
      </c>
      <c r="V145" s="809">
        <f t="shared" si="108"/>
        <v>0</v>
      </c>
      <c r="W145" s="816">
        <f t="shared" si="103"/>
        <v>42398</v>
      </c>
      <c r="X145" s="817">
        <f t="shared" si="124"/>
        <v>1073.2</v>
      </c>
      <c r="Y145" s="460">
        <v>0</v>
      </c>
      <c r="Z145" s="818">
        <f t="shared" si="125"/>
        <v>0</v>
      </c>
      <c r="AA145" s="817">
        <f t="shared" si="114"/>
        <v>1798.4</v>
      </c>
      <c r="AB145" s="460"/>
      <c r="AC145" s="818">
        <f t="shared" si="126"/>
        <v>0</v>
      </c>
      <c r="AD145" s="817">
        <f t="shared" si="127"/>
        <v>0</v>
      </c>
      <c r="AE145" s="460"/>
      <c r="AF145" s="818">
        <f t="shared" si="128"/>
        <v>0</v>
      </c>
      <c r="AG145" s="817">
        <f t="shared" si="115"/>
        <v>0</v>
      </c>
      <c r="AH145" s="460"/>
      <c r="AI145" s="818">
        <f t="shared" si="129"/>
        <v>0</v>
      </c>
      <c r="AJ145" s="824"/>
      <c r="AK145" s="826">
        <f t="shared" si="130"/>
        <v>4</v>
      </c>
      <c r="AL145" s="458">
        <f t="shared" si="131"/>
        <v>0</v>
      </c>
      <c r="AM145" s="827">
        <f t="shared" si="132"/>
        <v>0</v>
      </c>
      <c r="AN145" s="836">
        <f t="shared" si="133"/>
        <v>4</v>
      </c>
      <c r="AO145" s="826">
        <f t="shared" si="134"/>
        <v>4</v>
      </c>
      <c r="AP145" s="459"/>
      <c r="AQ145" s="828">
        <f t="shared" si="109"/>
        <v>0</v>
      </c>
      <c r="AR145" s="836">
        <f t="shared" si="135"/>
        <v>4</v>
      </c>
      <c r="AS145" s="826">
        <f t="shared" si="140"/>
        <v>0</v>
      </c>
      <c r="AT145" s="460"/>
      <c r="AU145" s="827">
        <f t="shared" si="141"/>
        <v>0</v>
      </c>
      <c r="AV145" s="836">
        <f t="shared" si="136"/>
        <v>0</v>
      </c>
      <c r="AW145" s="817">
        <f t="shared" si="139"/>
        <v>0</v>
      </c>
      <c r="AX145" s="460"/>
      <c r="AY145" s="818">
        <f t="shared" si="137"/>
        <v>0</v>
      </c>
      <c r="AZ145" s="836">
        <f t="shared" si="138"/>
        <v>0</v>
      </c>
    </row>
    <row r="146" spans="1:52">
      <c r="A146" s="787">
        <f t="shared" si="102"/>
        <v>42399</v>
      </c>
      <c r="B146" s="790">
        <v>0</v>
      </c>
      <c r="C146" s="803">
        <v>0</v>
      </c>
      <c r="D146" s="803">
        <f t="shared" si="110"/>
        <v>0</v>
      </c>
      <c r="G146" s="829">
        <f t="shared" si="119"/>
        <v>0</v>
      </c>
      <c r="H146" s="829">
        <f t="shared" si="111"/>
        <v>0</v>
      </c>
      <c r="I146" s="829">
        <f t="shared" si="112"/>
        <v>0</v>
      </c>
      <c r="J146" s="829">
        <f t="shared" si="113"/>
        <v>0</v>
      </c>
      <c r="K146" s="810">
        <f t="shared" si="120"/>
        <v>0</v>
      </c>
      <c r="L146" s="814">
        <f t="shared" si="121"/>
        <v>0</v>
      </c>
      <c r="M146" s="810">
        <f t="shared" si="122"/>
        <v>0</v>
      </c>
      <c r="N146" s="811">
        <f t="shared" si="123"/>
        <v>0</v>
      </c>
      <c r="O146" s="806">
        <v>4</v>
      </c>
      <c r="P146" s="806">
        <v>4</v>
      </c>
      <c r="Q146" s="34">
        <v>0</v>
      </c>
      <c r="R146" s="34">
        <v>0</v>
      </c>
      <c r="S146" s="809">
        <f t="shared" si="105"/>
        <v>1073.2</v>
      </c>
      <c r="T146" s="809">
        <f t="shared" si="106"/>
        <v>1798.4</v>
      </c>
      <c r="U146" s="809">
        <f t="shared" si="107"/>
        <v>0</v>
      </c>
      <c r="V146" s="809">
        <f t="shared" si="108"/>
        <v>0</v>
      </c>
      <c r="W146" s="816">
        <f t="shared" si="103"/>
        <v>42399</v>
      </c>
      <c r="X146" s="817">
        <f t="shared" si="124"/>
        <v>1073.2</v>
      </c>
      <c r="Y146" s="460">
        <v>0</v>
      </c>
      <c r="Z146" s="818">
        <f t="shared" si="125"/>
        <v>0</v>
      </c>
      <c r="AA146" s="817">
        <f t="shared" si="114"/>
        <v>1798.4</v>
      </c>
      <c r="AB146" s="460"/>
      <c r="AC146" s="818">
        <f t="shared" si="126"/>
        <v>0</v>
      </c>
      <c r="AD146" s="817">
        <f t="shared" si="127"/>
        <v>0</v>
      </c>
      <c r="AE146" s="460"/>
      <c r="AF146" s="818">
        <f t="shared" si="128"/>
        <v>0</v>
      </c>
      <c r="AG146" s="817">
        <f t="shared" si="115"/>
        <v>0</v>
      </c>
      <c r="AH146" s="460"/>
      <c r="AI146" s="818">
        <f t="shared" si="129"/>
        <v>0</v>
      </c>
      <c r="AJ146" s="824"/>
      <c r="AK146" s="826">
        <f t="shared" si="130"/>
        <v>4</v>
      </c>
      <c r="AL146" s="458">
        <f t="shared" si="131"/>
        <v>0</v>
      </c>
      <c r="AM146" s="827">
        <f t="shared" si="132"/>
        <v>0</v>
      </c>
      <c r="AN146" s="836">
        <f t="shared" si="133"/>
        <v>4</v>
      </c>
      <c r="AO146" s="826">
        <f t="shared" si="134"/>
        <v>4</v>
      </c>
      <c r="AP146" s="459"/>
      <c r="AQ146" s="828">
        <f t="shared" si="109"/>
        <v>0</v>
      </c>
      <c r="AR146" s="836">
        <f t="shared" si="135"/>
        <v>4</v>
      </c>
      <c r="AS146" s="826">
        <f t="shared" si="140"/>
        <v>0</v>
      </c>
      <c r="AT146" s="460"/>
      <c r="AU146" s="827">
        <f t="shared" si="141"/>
        <v>0</v>
      </c>
      <c r="AV146" s="836">
        <f t="shared" si="136"/>
        <v>0</v>
      </c>
      <c r="AW146" s="817">
        <f t="shared" si="139"/>
        <v>0</v>
      </c>
      <c r="AX146" s="460"/>
      <c r="AY146" s="818">
        <f t="shared" si="137"/>
        <v>0</v>
      </c>
      <c r="AZ146" s="836">
        <f t="shared" si="138"/>
        <v>0</v>
      </c>
    </row>
    <row r="147" spans="1:52">
      <c r="A147" s="787">
        <f t="shared" si="102"/>
        <v>42400</v>
      </c>
      <c r="B147" s="790">
        <v>0</v>
      </c>
      <c r="C147" s="803">
        <v>0</v>
      </c>
      <c r="D147" s="803">
        <f t="shared" si="110"/>
        <v>0</v>
      </c>
      <c r="G147" s="829">
        <f t="shared" si="119"/>
        <v>0</v>
      </c>
      <c r="H147" s="829">
        <f t="shared" si="111"/>
        <v>0</v>
      </c>
      <c r="I147" s="829">
        <f t="shared" si="112"/>
        <v>0</v>
      </c>
      <c r="J147" s="829">
        <f t="shared" si="113"/>
        <v>0</v>
      </c>
      <c r="K147" s="810">
        <f t="shared" si="120"/>
        <v>0</v>
      </c>
      <c r="L147" s="814">
        <f t="shared" si="121"/>
        <v>0</v>
      </c>
      <c r="M147" s="810">
        <f t="shared" si="122"/>
        <v>0</v>
      </c>
      <c r="N147" s="811">
        <f t="shared" si="123"/>
        <v>0</v>
      </c>
      <c r="O147" s="806">
        <v>4</v>
      </c>
      <c r="P147" s="806">
        <v>4</v>
      </c>
      <c r="Q147" s="34">
        <v>0</v>
      </c>
      <c r="R147" s="34">
        <v>0</v>
      </c>
      <c r="S147" s="809">
        <f t="shared" si="105"/>
        <v>1073.2</v>
      </c>
      <c r="T147" s="809">
        <f t="shared" si="106"/>
        <v>1798.4</v>
      </c>
      <c r="U147" s="809">
        <f t="shared" si="107"/>
        <v>0</v>
      </c>
      <c r="V147" s="809">
        <f t="shared" si="108"/>
        <v>0</v>
      </c>
      <c r="W147" s="816">
        <f t="shared" si="103"/>
        <v>42400</v>
      </c>
      <c r="X147" s="817">
        <f t="shared" si="124"/>
        <v>1073.2</v>
      </c>
      <c r="Y147" s="460">
        <v>0</v>
      </c>
      <c r="Z147" s="818">
        <f t="shared" si="125"/>
        <v>0</v>
      </c>
      <c r="AA147" s="817">
        <f t="shared" si="114"/>
        <v>1798.4</v>
      </c>
      <c r="AB147" s="460"/>
      <c r="AC147" s="818">
        <f t="shared" si="126"/>
        <v>0</v>
      </c>
      <c r="AD147" s="817">
        <f t="shared" si="127"/>
        <v>0</v>
      </c>
      <c r="AE147" s="460"/>
      <c r="AF147" s="818">
        <f t="shared" si="128"/>
        <v>0</v>
      </c>
      <c r="AG147" s="817">
        <f t="shared" si="115"/>
        <v>0</v>
      </c>
      <c r="AH147" s="460"/>
      <c r="AI147" s="818">
        <f t="shared" si="129"/>
        <v>0</v>
      </c>
      <c r="AJ147" s="824"/>
      <c r="AK147" s="826">
        <f t="shared" si="130"/>
        <v>4</v>
      </c>
      <c r="AL147" s="458">
        <f t="shared" si="131"/>
        <v>0</v>
      </c>
      <c r="AM147" s="827">
        <f t="shared" si="132"/>
        <v>0</v>
      </c>
      <c r="AN147" s="836">
        <f t="shared" si="133"/>
        <v>4</v>
      </c>
      <c r="AO147" s="826">
        <f t="shared" si="134"/>
        <v>4</v>
      </c>
      <c r="AP147" s="459"/>
      <c r="AQ147" s="828">
        <f t="shared" si="109"/>
        <v>0</v>
      </c>
      <c r="AR147" s="836">
        <f t="shared" si="135"/>
        <v>4</v>
      </c>
      <c r="AS147" s="826">
        <f t="shared" si="140"/>
        <v>0</v>
      </c>
      <c r="AT147" s="460"/>
      <c r="AU147" s="827">
        <f t="shared" si="141"/>
        <v>0</v>
      </c>
      <c r="AV147" s="836">
        <f t="shared" si="136"/>
        <v>0</v>
      </c>
      <c r="AW147" s="817">
        <f t="shared" si="139"/>
        <v>0</v>
      </c>
      <c r="AX147" s="460"/>
      <c r="AY147" s="818">
        <f t="shared" si="137"/>
        <v>0</v>
      </c>
      <c r="AZ147" s="836">
        <f t="shared" si="138"/>
        <v>0</v>
      </c>
    </row>
    <row r="148" spans="1:52">
      <c r="A148" s="787">
        <f t="shared" si="102"/>
        <v>42401</v>
      </c>
      <c r="B148" s="790">
        <v>0</v>
      </c>
      <c r="C148" s="803">
        <v>0</v>
      </c>
      <c r="D148" s="803">
        <f t="shared" si="110"/>
        <v>0</v>
      </c>
      <c r="G148" s="829">
        <f t="shared" si="119"/>
        <v>0</v>
      </c>
      <c r="H148" s="829">
        <f t="shared" si="111"/>
        <v>0</v>
      </c>
      <c r="I148" s="829">
        <f t="shared" si="112"/>
        <v>0</v>
      </c>
      <c r="J148" s="829">
        <f t="shared" si="113"/>
        <v>0</v>
      </c>
      <c r="K148" s="810">
        <f t="shared" si="120"/>
        <v>0</v>
      </c>
      <c r="L148" s="814">
        <f t="shared" si="121"/>
        <v>0</v>
      </c>
      <c r="M148" s="810">
        <f t="shared" si="122"/>
        <v>0</v>
      </c>
      <c r="N148" s="811">
        <f t="shared" si="123"/>
        <v>0</v>
      </c>
      <c r="O148" s="806">
        <v>4</v>
      </c>
      <c r="P148" s="806">
        <v>4</v>
      </c>
      <c r="Q148" s="34">
        <v>0</v>
      </c>
      <c r="R148" s="34">
        <v>0</v>
      </c>
      <c r="S148" s="809">
        <f t="shared" si="105"/>
        <v>1073.2</v>
      </c>
      <c r="T148" s="809">
        <f t="shared" si="106"/>
        <v>1798.4</v>
      </c>
      <c r="U148" s="809">
        <f t="shared" si="107"/>
        <v>0</v>
      </c>
      <c r="V148" s="809">
        <f t="shared" si="108"/>
        <v>0</v>
      </c>
      <c r="W148" s="816">
        <f t="shared" si="103"/>
        <v>42401</v>
      </c>
      <c r="X148" s="817">
        <f t="shared" si="124"/>
        <v>1073.2</v>
      </c>
      <c r="Y148" s="460">
        <v>0</v>
      </c>
      <c r="Z148" s="818">
        <f t="shared" si="125"/>
        <v>0</v>
      </c>
      <c r="AA148" s="817">
        <f t="shared" si="114"/>
        <v>1798.4</v>
      </c>
      <c r="AB148" s="460"/>
      <c r="AC148" s="818">
        <f t="shared" si="126"/>
        <v>0</v>
      </c>
      <c r="AD148" s="817">
        <f t="shared" si="127"/>
        <v>0</v>
      </c>
      <c r="AE148" s="460"/>
      <c r="AF148" s="818">
        <f t="shared" si="128"/>
        <v>0</v>
      </c>
      <c r="AG148" s="817">
        <f t="shared" si="115"/>
        <v>0</v>
      </c>
      <c r="AH148" s="460"/>
      <c r="AI148" s="818">
        <f t="shared" si="129"/>
        <v>0</v>
      </c>
      <c r="AJ148" s="824"/>
      <c r="AK148" s="826">
        <f t="shared" si="130"/>
        <v>4</v>
      </c>
      <c r="AL148" s="458">
        <f t="shared" si="131"/>
        <v>0</v>
      </c>
      <c r="AM148" s="827">
        <f t="shared" si="132"/>
        <v>0</v>
      </c>
      <c r="AN148" s="836">
        <f t="shared" si="133"/>
        <v>4</v>
      </c>
      <c r="AO148" s="826">
        <f t="shared" si="134"/>
        <v>4</v>
      </c>
      <c r="AP148" s="459"/>
      <c r="AQ148" s="828">
        <f t="shared" si="109"/>
        <v>0</v>
      </c>
      <c r="AR148" s="836">
        <f t="shared" si="135"/>
        <v>4</v>
      </c>
      <c r="AS148" s="826">
        <f t="shared" si="140"/>
        <v>0</v>
      </c>
      <c r="AT148" s="460"/>
      <c r="AU148" s="827">
        <f t="shared" si="141"/>
        <v>0</v>
      </c>
      <c r="AV148" s="836">
        <f t="shared" si="136"/>
        <v>0</v>
      </c>
      <c r="AW148" s="817">
        <f t="shared" si="139"/>
        <v>0</v>
      </c>
      <c r="AX148" s="460"/>
      <c r="AY148" s="818">
        <f t="shared" si="137"/>
        <v>0</v>
      </c>
      <c r="AZ148" s="836">
        <f t="shared" si="138"/>
        <v>0</v>
      </c>
    </row>
    <row r="149" spans="1:52">
      <c r="A149" s="787">
        <f t="shared" si="102"/>
        <v>42402</v>
      </c>
      <c r="B149" s="790">
        <v>0</v>
      </c>
      <c r="C149" s="803">
        <v>0</v>
      </c>
      <c r="D149" s="803">
        <f t="shared" si="110"/>
        <v>0</v>
      </c>
      <c r="G149" s="829">
        <f t="shared" si="119"/>
        <v>0</v>
      </c>
      <c r="H149" s="829">
        <f t="shared" si="111"/>
        <v>0</v>
      </c>
      <c r="I149" s="829">
        <f t="shared" si="112"/>
        <v>0</v>
      </c>
      <c r="J149" s="829">
        <f t="shared" si="113"/>
        <v>0</v>
      </c>
      <c r="K149" s="810">
        <f t="shared" si="120"/>
        <v>0</v>
      </c>
      <c r="L149" s="814">
        <f t="shared" si="121"/>
        <v>0</v>
      </c>
      <c r="M149" s="810">
        <f t="shared" si="122"/>
        <v>0</v>
      </c>
      <c r="N149" s="811">
        <f t="shared" si="123"/>
        <v>0</v>
      </c>
      <c r="O149" s="806">
        <v>4</v>
      </c>
      <c r="P149" s="806">
        <v>4</v>
      </c>
      <c r="Q149" s="34">
        <v>0</v>
      </c>
      <c r="R149" s="34">
        <v>0</v>
      </c>
      <c r="S149" s="809">
        <f t="shared" si="105"/>
        <v>1073.2</v>
      </c>
      <c r="T149" s="809">
        <f t="shared" si="106"/>
        <v>1798.4</v>
      </c>
      <c r="U149" s="809">
        <f t="shared" si="107"/>
        <v>0</v>
      </c>
      <c r="V149" s="809">
        <f t="shared" si="108"/>
        <v>0</v>
      </c>
      <c r="W149" s="816">
        <f t="shared" si="103"/>
        <v>42402</v>
      </c>
      <c r="X149" s="817">
        <f t="shared" si="124"/>
        <v>1073.2</v>
      </c>
      <c r="Y149" s="460">
        <v>0</v>
      </c>
      <c r="Z149" s="818">
        <f t="shared" si="125"/>
        <v>0</v>
      </c>
      <c r="AA149" s="817">
        <f t="shared" si="114"/>
        <v>1798.4</v>
      </c>
      <c r="AB149" s="460"/>
      <c r="AC149" s="818">
        <f t="shared" si="126"/>
        <v>0</v>
      </c>
      <c r="AD149" s="817">
        <f t="shared" si="127"/>
        <v>0</v>
      </c>
      <c r="AE149" s="460"/>
      <c r="AF149" s="818">
        <f t="shared" si="128"/>
        <v>0</v>
      </c>
      <c r="AG149" s="817">
        <f t="shared" si="115"/>
        <v>0</v>
      </c>
      <c r="AH149" s="460"/>
      <c r="AI149" s="818">
        <f t="shared" si="129"/>
        <v>0</v>
      </c>
      <c r="AJ149" s="824"/>
      <c r="AK149" s="826">
        <f t="shared" si="130"/>
        <v>4</v>
      </c>
      <c r="AL149" s="458">
        <f t="shared" si="131"/>
        <v>0</v>
      </c>
      <c r="AM149" s="827">
        <f t="shared" si="132"/>
        <v>0</v>
      </c>
      <c r="AN149" s="836">
        <f t="shared" si="133"/>
        <v>4</v>
      </c>
      <c r="AO149" s="826">
        <f t="shared" si="134"/>
        <v>4</v>
      </c>
      <c r="AP149" s="459"/>
      <c r="AQ149" s="828">
        <f t="shared" si="109"/>
        <v>0</v>
      </c>
      <c r="AR149" s="836">
        <f t="shared" si="135"/>
        <v>4</v>
      </c>
      <c r="AS149" s="826">
        <f t="shared" si="140"/>
        <v>0</v>
      </c>
      <c r="AT149" s="460"/>
      <c r="AU149" s="827">
        <f t="shared" si="141"/>
        <v>0</v>
      </c>
      <c r="AV149" s="836">
        <f t="shared" si="136"/>
        <v>0</v>
      </c>
      <c r="AW149" s="817">
        <f t="shared" si="139"/>
        <v>0</v>
      </c>
      <c r="AX149" s="460"/>
      <c r="AY149" s="818">
        <f t="shared" si="137"/>
        <v>0</v>
      </c>
      <c r="AZ149" s="836">
        <f t="shared" si="138"/>
        <v>0</v>
      </c>
    </row>
    <row r="150" spans="1:52">
      <c r="A150" s="787">
        <f t="shared" si="102"/>
        <v>42403</v>
      </c>
      <c r="B150" s="790">
        <v>0</v>
      </c>
      <c r="C150" s="803">
        <v>0</v>
      </c>
      <c r="D150" s="803">
        <f t="shared" si="110"/>
        <v>0</v>
      </c>
      <c r="G150" s="829">
        <f t="shared" si="119"/>
        <v>0</v>
      </c>
      <c r="H150" s="829">
        <f t="shared" si="111"/>
        <v>0</v>
      </c>
      <c r="I150" s="829">
        <f t="shared" si="112"/>
        <v>0</v>
      </c>
      <c r="J150" s="829">
        <f t="shared" si="113"/>
        <v>0</v>
      </c>
      <c r="K150" s="810">
        <f t="shared" si="120"/>
        <v>0</v>
      </c>
      <c r="L150" s="814">
        <f t="shared" si="121"/>
        <v>0</v>
      </c>
      <c r="M150" s="810">
        <f t="shared" si="122"/>
        <v>0</v>
      </c>
      <c r="N150" s="811">
        <f t="shared" si="123"/>
        <v>0</v>
      </c>
      <c r="O150" s="806">
        <v>4</v>
      </c>
      <c r="P150" s="806">
        <v>4</v>
      </c>
      <c r="Q150" s="34">
        <v>0</v>
      </c>
      <c r="R150" s="34">
        <v>0</v>
      </c>
      <c r="S150" s="809">
        <f t="shared" si="105"/>
        <v>1073.2</v>
      </c>
      <c r="T150" s="809">
        <f t="shared" si="106"/>
        <v>1798.4</v>
      </c>
      <c r="U150" s="809">
        <f t="shared" si="107"/>
        <v>0</v>
      </c>
      <c r="V150" s="809">
        <f t="shared" si="108"/>
        <v>0</v>
      </c>
      <c r="W150" s="816">
        <f t="shared" si="103"/>
        <v>42403</v>
      </c>
      <c r="X150" s="817">
        <f t="shared" si="124"/>
        <v>1073.2</v>
      </c>
      <c r="Y150" s="460">
        <v>0</v>
      </c>
      <c r="Z150" s="818">
        <f t="shared" si="125"/>
        <v>0</v>
      </c>
      <c r="AA150" s="817">
        <f t="shared" si="114"/>
        <v>1798.4</v>
      </c>
      <c r="AB150" s="460"/>
      <c r="AC150" s="818">
        <f t="shared" si="126"/>
        <v>0</v>
      </c>
      <c r="AD150" s="817">
        <f t="shared" si="127"/>
        <v>0</v>
      </c>
      <c r="AE150" s="460"/>
      <c r="AF150" s="818">
        <f t="shared" si="128"/>
        <v>0</v>
      </c>
      <c r="AG150" s="817">
        <f t="shared" si="115"/>
        <v>0</v>
      </c>
      <c r="AH150" s="460"/>
      <c r="AI150" s="818">
        <f t="shared" si="129"/>
        <v>0</v>
      </c>
      <c r="AJ150" s="824"/>
      <c r="AK150" s="826">
        <f t="shared" si="130"/>
        <v>4</v>
      </c>
      <c r="AL150" s="458">
        <f t="shared" si="131"/>
        <v>0</v>
      </c>
      <c r="AM150" s="827">
        <f t="shared" si="132"/>
        <v>0</v>
      </c>
      <c r="AN150" s="836">
        <f t="shared" si="133"/>
        <v>4</v>
      </c>
      <c r="AO150" s="826">
        <f t="shared" si="134"/>
        <v>4</v>
      </c>
      <c r="AP150" s="459"/>
      <c r="AQ150" s="828">
        <f t="shared" si="109"/>
        <v>0</v>
      </c>
      <c r="AR150" s="836">
        <f t="shared" si="135"/>
        <v>4</v>
      </c>
      <c r="AS150" s="826">
        <f t="shared" si="140"/>
        <v>0</v>
      </c>
      <c r="AT150" s="460"/>
      <c r="AU150" s="827">
        <f t="shared" si="141"/>
        <v>0</v>
      </c>
      <c r="AV150" s="836">
        <f t="shared" si="136"/>
        <v>0</v>
      </c>
      <c r="AW150" s="817">
        <f t="shared" si="139"/>
        <v>0</v>
      </c>
      <c r="AX150" s="460"/>
      <c r="AY150" s="818">
        <f t="shared" si="137"/>
        <v>0</v>
      </c>
      <c r="AZ150" s="836">
        <f t="shared" si="138"/>
        <v>0</v>
      </c>
    </row>
    <row r="151" spans="1:52">
      <c r="A151" s="787">
        <f t="shared" si="102"/>
        <v>42404</v>
      </c>
      <c r="B151" s="790">
        <v>0</v>
      </c>
      <c r="C151" s="803">
        <v>0</v>
      </c>
      <c r="D151" s="803">
        <f t="shared" si="110"/>
        <v>0</v>
      </c>
      <c r="G151" s="829">
        <f t="shared" si="119"/>
        <v>0</v>
      </c>
      <c r="H151" s="829">
        <f t="shared" si="111"/>
        <v>0</v>
      </c>
      <c r="I151" s="829">
        <f t="shared" si="112"/>
        <v>0</v>
      </c>
      <c r="J151" s="829">
        <f t="shared" si="113"/>
        <v>0</v>
      </c>
      <c r="K151" s="810">
        <f t="shared" si="120"/>
        <v>0</v>
      </c>
      <c r="L151" s="814">
        <f t="shared" si="121"/>
        <v>0</v>
      </c>
      <c r="M151" s="810">
        <f t="shared" si="122"/>
        <v>0</v>
      </c>
      <c r="N151" s="811">
        <f t="shared" si="123"/>
        <v>0</v>
      </c>
      <c r="O151" s="806">
        <v>4</v>
      </c>
      <c r="P151" s="806">
        <v>4</v>
      </c>
      <c r="Q151" s="34">
        <v>0</v>
      </c>
      <c r="R151" s="34">
        <v>0</v>
      </c>
      <c r="S151" s="809">
        <f t="shared" si="105"/>
        <v>1073.2</v>
      </c>
      <c r="T151" s="809">
        <f t="shared" si="106"/>
        <v>1798.4</v>
      </c>
      <c r="U151" s="809">
        <f t="shared" si="107"/>
        <v>0</v>
      </c>
      <c r="V151" s="809">
        <f t="shared" si="108"/>
        <v>0</v>
      </c>
      <c r="W151" s="816">
        <f t="shared" si="103"/>
        <v>42404</v>
      </c>
      <c r="X151" s="817">
        <f t="shared" si="124"/>
        <v>1073.2</v>
      </c>
      <c r="Y151" s="460">
        <v>0</v>
      </c>
      <c r="Z151" s="818">
        <f t="shared" si="125"/>
        <v>0</v>
      </c>
      <c r="AA151" s="817">
        <f t="shared" si="114"/>
        <v>1798.4</v>
      </c>
      <c r="AB151" s="460"/>
      <c r="AC151" s="818">
        <f t="shared" si="126"/>
        <v>0</v>
      </c>
      <c r="AD151" s="817">
        <f t="shared" si="127"/>
        <v>0</v>
      </c>
      <c r="AE151" s="460"/>
      <c r="AF151" s="818">
        <f t="shared" si="128"/>
        <v>0</v>
      </c>
      <c r="AG151" s="817">
        <f t="shared" si="115"/>
        <v>0</v>
      </c>
      <c r="AH151" s="460"/>
      <c r="AI151" s="818">
        <f t="shared" si="129"/>
        <v>0</v>
      </c>
      <c r="AJ151" s="824"/>
      <c r="AK151" s="826">
        <f t="shared" si="130"/>
        <v>4</v>
      </c>
      <c r="AL151" s="458">
        <f t="shared" si="131"/>
        <v>0</v>
      </c>
      <c r="AM151" s="827">
        <f t="shared" si="132"/>
        <v>0</v>
      </c>
      <c r="AN151" s="836">
        <f t="shared" si="133"/>
        <v>4</v>
      </c>
      <c r="AO151" s="826">
        <f t="shared" si="134"/>
        <v>4</v>
      </c>
      <c r="AP151" s="459"/>
      <c r="AQ151" s="828">
        <f t="shared" si="109"/>
        <v>0</v>
      </c>
      <c r="AR151" s="836">
        <f t="shared" si="135"/>
        <v>4</v>
      </c>
      <c r="AS151" s="826">
        <f t="shared" si="140"/>
        <v>0</v>
      </c>
      <c r="AT151" s="460"/>
      <c r="AU151" s="827">
        <f t="shared" si="141"/>
        <v>0</v>
      </c>
      <c r="AV151" s="836">
        <f t="shared" si="136"/>
        <v>0</v>
      </c>
      <c r="AW151" s="817">
        <f t="shared" si="139"/>
        <v>0</v>
      </c>
      <c r="AX151" s="460"/>
      <c r="AY151" s="818">
        <f t="shared" si="137"/>
        <v>0</v>
      </c>
      <c r="AZ151" s="836">
        <f t="shared" si="138"/>
        <v>0</v>
      </c>
    </row>
    <row r="152" spans="1:52">
      <c r="A152" s="787">
        <f t="shared" si="102"/>
        <v>42405</v>
      </c>
      <c r="B152" s="790">
        <v>0</v>
      </c>
      <c r="C152" s="803">
        <v>0</v>
      </c>
      <c r="D152" s="803">
        <f t="shared" si="110"/>
        <v>0</v>
      </c>
      <c r="G152" s="829">
        <f t="shared" si="119"/>
        <v>0</v>
      </c>
      <c r="H152" s="829">
        <f t="shared" si="111"/>
        <v>0</v>
      </c>
      <c r="I152" s="829">
        <f t="shared" si="112"/>
        <v>0</v>
      </c>
      <c r="J152" s="829">
        <f t="shared" si="113"/>
        <v>0</v>
      </c>
      <c r="K152" s="810">
        <f t="shared" si="120"/>
        <v>0</v>
      </c>
      <c r="L152" s="814">
        <f t="shared" si="121"/>
        <v>0</v>
      </c>
      <c r="M152" s="810">
        <f t="shared" si="122"/>
        <v>0</v>
      </c>
      <c r="N152" s="811">
        <f t="shared" si="123"/>
        <v>0</v>
      </c>
      <c r="O152" s="806">
        <v>4</v>
      </c>
      <c r="P152" s="806">
        <v>4</v>
      </c>
      <c r="Q152" s="34">
        <v>0</v>
      </c>
      <c r="R152" s="34">
        <v>0</v>
      </c>
      <c r="S152" s="809">
        <f t="shared" si="105"/>
        <v>1073.2</v>
      </c>
      <c r="T152" s="809">
        <f t="shared" si="106"/>
        <v>1798.4</v>
      </c>
      <c r="U152" s="809">
        <f t="shared" si="107"/>
        <v>0</v>
      </c>
      <c r="V152" s="809">
        <f t="shared" si="108"/>
        <v>0</v>
      </c>
      <c r="W152" s="816">
        <f t="shared" si="103"/>
        <v>42405</v>
      </c>
      <c r="X152" s="817">
        <f t="shared" si="124"/>
        <v>1073.2</v>
      </c>
      <c r="Y152" s="460">
        <v>0</v>
      </c>
      <c r="Z152" s="818">
        <f t="shared" si="125"/>
        <v>0</v>
      </c>
      <c r="AA152" s="817">
        <f t="shared" si="114"/>
        <v>1798.4</v>
      </c>
      <c r="AB152" s="460"/>
      <c r="AC152" s="818">
        <f t="shared" si="126"/>
        <v>0</v>
      </c>
      <c r="AD152" s="817">
        <f t="shared" si="127"/>
        <v>0</v>
      </c>
      <c r="AE152" s="460"/>
      <c r="AF152" s="818">
        <f t="shared" si="128"/>
        <v>0</v>
      </c>
      <c r="AG152" s="817">
        <f t="shared" si="115"/>
        <v>0</v>
      </c>
      <c r="AH152" s="460"/>
      <c r="AI152" s="818">
        <f t="shared" si="129"/>
        <v>0</v>
      </c>
      <c r="AJ152" s="824"/>
      <c r="AK152" s="826">
        <f t="shared" si="130"/>
        <v>4</v>
      </c>
      <c r="AL152" s="458">
        <f t="shared" si="131"/>
        <v>0</v>
      </c>
      <c r="AM152" s="827">
        <f t="shared" si="132"/>
        <v>0</v>
      </c>
      <c r="AN152" s="836">
        <f t="shared" si="133"/>
        <v>4</v>
      </c>
      <c r="AO152" s="826">
        <f t="shared" si="134"/>
        <v>4</v>
      </c>
      <c r="AP152" s="459"/>
      <c r="AQ152" s="828">
        <f t="shared" si="109"/>
        <v>0</v>
      </c>
      <c r="AR152" s="836">
        <f t="shared" si="135"/>
        <v>4</v>
      </c>
      <c r="AS152" s="826">
        <f t="shared" si="140"/>
        <v>0</v>
      </c>
      <c r="AT152" s="460"/>
      <c r="AU152" s="827">
        <f t="shared" si="141"/>
        <v>0</v>
      </c>
      <c r="AV152" s="836">
        <f t="shared" si="136"/>
        <v>0</v>
      </c>
      <c r="AW152" s="817">
        <f t="shared" si="139"/>
        <v>0</v>
      </c>
      <c r="AX152" s="460"/>
      <c r="AY152" s="818">
        <f t="shared" si="137"/>
        <v>0</v>
      </c>
      <c r="AZ152" s="836">
        <f t="shared" si="138"/>
        <v>0</v>
      </c>
    </row>
    <row r="153" spans="1:52">
      <c r="A153" s="787">
        <f t="shared" si="102"/>
        <v>42406</v>
      </c>
      <c r="B153" s="790">
        <v>0</v>
      </c>
      <c r="C153" s="803">
        <v>0</v>
      </c>
      <c r="D153" s="803">
        <f t="shared" si="110"/>
        <v>0</v>
      </c>
      <c r="G153" s="829">
        <f t="shared" si="119"/>
        <v>0</v>
      </c>
      <c r="H153" s="829">
        <f t="shared" si="111"/>
        <v>0</v>
      </c>
      <c r="I153" s="829">
        <f t="shared" si="112"/>
        <v>0</v>
      </c>
      <c r="J153" s="829">
        <f t="shared" si="113"/>
        <v>0</v>
      </c>
      <c r="K153" s="810">
        <f t="shared" si="120"/>
        <v>0</v>
      </c>
      <c r="L153" s="814">
        <f t="shared" si="121"/>
        <v>0</v>
      </c>
      <c r="M153" s="810">
        <f t="shared" si="122"/>
        <v>0</v>
      </c>
      <c r="N153" s="811">
        <f t="shared" si="123"/>
        <v>0</v>
      </c>
      <c r="O153" s="806">
        <v>4</v>
      </c>
      <c r="P153" s="806">
        <v>4</v>
      </c>
      <c r="Q153" s="34">
        <v>0</v>
      </c>
      <c r="R153" s="34">
        <v>0</v>
      </c>
      <c r="S153" s="809">
        <f t="shared" si="105"/>
        <v>1073.2</v>
      </c>
      <c r="T153" s="809">
        <f t="shared" si="106"/>
        <v>1798.4</v>
      </c>
      <c r="U153" s="809">
        <f t="shared" si="107"/>
        <v>0</v>
      </c>
      <c r="V153" s="809">
        <f t="shared" si="108"/>
        <v>0</v>
      </c>
      <c r="W153" s="816">
        <f t="shared" si="103"/>
        <v>42406</v>
      </c>
      <c r="X153" s="817">
        <f t="shared" si="124"/>
        <v>1073.2</v>
      </c>
      <c r="Y153" s="460">
        <v>0</v>
      </c>
      <c r="Z153" s="818">
        <f t="shared" si="125"/>
        <v>0</v>
      </c>
      <c r="AA153" s="817">
        <f t="shared" si="114"/>
        <v>1798.4</v>
      </c>
      <c r="AB153" s="460"/>
      <c r="AC153" s="818">
        <f t="shared" si="126"/>
        <v>0</v>
      </c>
      <c r="AD153" s="817">
        <f t="shared" si="127"/>
        <v>0</v>
      </c>
      <c r="AE153" s="460"/>
      <c r="AF153" s="818">
        <f t="shared" si="128"/>
        <v>0</v>
      </c>
      <c r="AG153" s="817">
        <f t="shared" si="115"/>
        <v>0</v>
      </c>
      <c r="AH153" s="460"/>
      <c r="AI153" s="818">
        <f t="shared" si="129"/>
        <v>0</v>
      </c>
      <c r="AJ153" s="824"/>
      <c r="AK153" s="826">
        <f t="shared" si="130"/>
        <v>4</v>
      </c>
      <c r="AL153" s="458">
        <f t="shared" si="131"/>
        <v>0</v>
      </c>
      <c r="AM153" s="827">
        <f t="shared" si="132"/>
        <v>0</v>
      </c>
      <c r="AN153" s="836">
        <f t="shared" si="133"/>
        <v>4</v>
      </c>
      <c r="AO153" s="826">
        <f t="shared" si="134"/>
        <v>4</v>
      </c>
      <c r="AP153" s="459"/>
      <c r="AQ153" s="828">
        <f t="shared" si="109"/>
        <v>0</v>
      </c>
      <c r="AR153" s="836">
        <f t="shared" si="135"/>
        <v>4</v>
      </c>
      <c r="AS153" s="826">
        <f t="shared" si="140"/>
        <v>0</v>
      </c>
      <c r="AT153" s="460"/>
      <c r="AU153" s="827">
        <f t="shared" si="141"/>
        <v>0</v>
      </c>
      <c r="AV153" s="836">
        <f t="shared" si="136"/>
        <v>0</v>
      </c>
      <c r="AW153" s="817">
        <f t="shared" si="139"/>
        <v>0</v>
      </c>
      <c r="AX153" s="460"/>
      <c r="AY153" s="818">
        <f t="shared" si="137"/>
        <v>0</v>
      </c>
      <c r="AZ153" s="836">
        <f t="shared" si="138"/>
        <v>0</v>
      </c>
    </row>
    <row r="154" spans="1:52">
      <c r="A154" s="787">
        <f t="shared" si="102"/>
        <v>42407</v>
      </c>
      <c r="B154" s="790">
        <v>0</v>
      </c>
      <c r="C154" s="803">
        <v>0</v>
      </c>
      <c r="D154" s="803">
        <f t="shared" si="110"/>
        <v>0</v>
      </c>
      <c r="G154" s="829">
        <f t="shared" si="119"/>
        <v>0</v>
      </c>
      <c r="H154" s="829">
        <f t="shared" si="111"/>
        <v>0</v>
      </c>
      <c r="I154" s="829">
        <f t="shared" si="112"/>
        <v>0</v>
      </c>
      <c r="J154" s="829">
        <f t="shared" si="113"/>
        <v>0</v>
      </c>
      <c r="K154" s="810">
        <f t="shared" si="120"/>
        <v>0</v>
      </c>
      <c r="L154" s="814">
        <f t="shared" si="121"/>
        <v>0</v>
      </c>
      <c r="M154" s="810">
        <f t="shared" si="122"/>
        <v>0</v>
      </c>
      <c r="N154" s="811">
        <f t="shared" si="123"/>
        <v>0</v>
      </c>
      <c r="O154" s="806">
        <v>4</v>
      </c>
      <c r="P154" s="806">
        <v>4</v>
      </c>
      <c r="Q154" s="34">
        <v>0</v>
      </c>
      <c r="R154" s="34">
        <v>0</v>
      </c>
      <c r="S154" s="809">
        <f t="shared" si="105"/>
        <v>1073.2</v>
      </c>
      <c r="T154" s="809">
        <f t="shared" si="106"/>
        <v>1798.4</v>
      </c>
      <c r="U154" s="809">
        <f t="shared" si="107"/>
        <v>0</v>
      </c>
      <c r="V154" s="809">
        <f t="shared" si="108"/>
        <v>0</v>
      </c>
      <c r="W154" s="816">
        <f t="shared" si="103"/>
        <v>42407</v>
      </c>
      <c r="X154" s="817">
        <f t="shared" si="124"/>
        <v>1073.2</v>
      </c>
      <c r="Y154" s="460">
        <v>0</v>
      </c>
      <c r="Z154" s="818">
        <f t="shared" si="125"/>
        <v>0</v>
      </c>
      <c r="AA154" s="817">
        <f t="shared" si="114"/>
        <v>1798.4</v>
      </c>
      <c r="AB154" s="460"/>
      <c r="AC154" s="818">
        <f t="shared" si="126"/>
        <v>0</v>
      </c>
      <c r="AD154" s="817">
        <f t="shared" si="127"/>
        <v>0</v>
      </c>
      <c r="AE154" s="460"/>
      <c r="AF154" s="818">
        <f t="shared" si="128"/>
        <v>0</v>
      </c>
      <c r="AG154" s="817">
        <f t="shared" si="115"/>
        <v>0</v>
      </c>
      <c r="AH154" s="460"/>
      <c r="AI154" s="818">
        <f t="shared" si="129"/>
        <v>0</v>
      </c>
      <c r="AJ154" s="824"/>
      <c r="AK154" s="826">
        <f t="shared" si="130"/>
        <v>4</v>
      </c>
      <c r="AL154" s="458">
        <f t="shared" si="131"/>
        <v>0</v>
      </c>
      <c r="AM154" s="827">
        <f t="shared" si="132"/>
        <v>0</v>
      </c>
      <c r="AN154" s="836">
        <f t="shared" si="133"/>
        <v>4</v>
      </c>
      <c r="AO154" s="826">
        <f t="shared" si="134"/>
        <v>4</v>
      </c>
      <c r="AP154" s="459"/>
      <c r="AQ154" s="828">
        <f t="shared" si="109"/>
        <v>0</v>
      </c>
      <c r="AR154" s="836">
        <f t="shared" si="135"/>
        <v>4</v>
      </c>
      <c r="AS154" s="826">
        <f t="shared" si="140"/>
        <v>0</v>
      </c>
      <c r="AT154" s="460"/>
      <c r="AU154" s="827">
        <f t="shared" si="141"/>
        <v>0</v>
      </c>
      <c r="AV154" s="836">
        <f t="shared" si="136"/>
        <v>0</v>
      </c>
      <c r="AW154" s="817">
        <f t="shared" si="139"/>
        <v>0</v>
      </c>
      <c r="AX154" s="460"/>
      <c r="AY154" s="818">
        <f t="shared" si="137"/>
        <v>0</v>
      </c>
      <c r="AZ154" s="836">
        <f t="shared" si="138"/>
        <v>0</v>
      </c>
    </row>
    <row r="155" spans="1:52">
      <c r="A155" s="787">
        <f t="shared" si="102"/>
        <v>42408</v>
      </c>
      <c r="B155" s="790">
        <v>0</v>
      </c>
      <c r="C155" s="803">
        <v>0</v>
      </c>
      <c r="D155" s="803">
        <f t="shared" si="110"/>
        <v>0</v>
      </c>
      <c r="G155" s="829">
        <f t="shared" si="119"/>
        <v>0</v>
      </c>
      <c r="H155" s="829">
        <f t="shared" si="111"/>
        <v>0</v>
      </c>
      <c r="I155" s="829">
        <f t="shared" si="112"/>
        <v>0</v>
      </c>
      <c r="J155" s="829">
        <f t="shared" si="113"/>
        <v>0</v>
      </c>
      <c r="K155" s="810">
        <f t="shared" si="120"/>
        <v>0</v>
      </c>
      <c r="L155" s="814">
        <f t="shared" si="121"/>
        <v>0</v>
      </c>
      <c r="M155" s="810">
        <f t="shared" si="122"/>
        <v>0</v>
      </c>
      <c r="N155" s="811">
        <f t="shared" si="123"/>
        <v>0</v>
      </c>
      <c r="O155" s="806">
        <v>4</v>
      </c>
      <c r="P155" s="806">
        <v>4</v>
      </c>
      <c r="Q155" s="34">
        <v>0</v>
      </c>
      <c r="R155" s="34">
        <v>0</v>
      </c>
      <c r="S155" s="809">
        <f t="shared" si="105"/>
        <v>1073.2</v>
      </c>
      <c r="T155" s="809">
        <f t="shared" si="106"/>
        <v>1798.4</v>
      </c>
      <c r="U155" s="809">
        <f t="shared" si="107"/>
        <v>0</v>
      </c>
      <c r="V155" s="809">
        <f t="shared" si="108"/>
        <v>0</v>
      </c>
      <c r="W155" s="816">
        <f t="shared" si="103"/>
        <v>42408</v>
      </c>
      <c r="X155" s="817">
        <f t="shared" si="124"/>
        <v>1073.2</v>
      </c>
      <c r="Y155" s="460">
        <v>0</v>
      </c>
      <c r="Z155" s="818">
        <f t="shared" si="125"/>
        <v>0</v>
      </c>
      <c r="AA155" s="817">
        <f t="shared" si="114"/>
        <v>1798.4</v>
      </c>
      <c r="AB155" s="460"/>
      <c r="AC155" s="818">
        <f t="shared" si="126"/>
        <v>0</v>
      </c>
      <c r="AD155" s="817">
        <f t="shared" si="127"/>
        <v>0</v>
      </c>
      <c r="AE155" s="460"/>
      <c r="AF155" s="818">
        <f t="shared" si="128"/>
        <v>0</v>
      </c>
      <c r="AG155" s="817">
        <f t="shared" si="115"/>
        <v>0</v>
      </c>
      <c r="AH155" s="460"/>
      <c r="AI155" s="818">
        <f t="shared" si="129"/>
        <v>0</v>
      </c>
      <c r="AJ155" s="824"/>
      <c r="AK155" s="826">
        <f t="shared" si="130"/>
        <v>4</v>
      </c>
      <c r="AL155" s="458">
        <f t="shared" si="131"/>
        <v>0</v>
      </c>
      <c r="AM155" s="827">
        <f t="shared" si="132"/>
        <v>0</v>
      </c>
      <c r="AN155" s="836">
        <f t="shared" si="133"/>
        <v>4</v>
      </c>
      <c r="AO155" s="826">
        <f t="shared" si="134"/>
        <v>4</v>
      </c>
      <c r="AP155" s="459"/>
      <c r="AQ155" s="828">
        <f t="shared" si="109"/>
        <v>0</v>
      </c>
      <c r="AR155" s="836">
        <f t="shared" si="135"/>
        <v>4</v>
      </c>
      <c r="AS155" s="826">
        <f t="shared" si="140"/>
        <v>0</v>
      </c>
      <c r="AT155" s="460"/>
      <c r="AU155" s="827">
        <f t="shared" si="141"/>
        <v>0</v>
      </c>
      <c r="AV155" s="836">
        <f t="shared" si="136"/>
        <v>0</v>
      </c>
      <c r="AW155" s="817">
        <f t="shared" si="139"/>
        <v>0</v>
      </c>
      <c r="AX155" s="460"/>
      <c r="AY155" s="818">
        <f t="shared" si="137"/>
        <v>0</v>
      </c>
      <c r="AZ155" s="836">
        <f t="shared" si="138"/>
        <v>0</v>
      </c>
    </row>
    <row r="156" spans="1:52">
      <c r="A156" s="787">
        <f t="shared" si="102"/>
        <v>42409</v>
      </c>
      <c r="B156" s="790">
        <v>0</v>
      </c>
      <c r="C156" s="803">
        <v>0</v>
      </c>
      <c r="D156" s="803">
        <f t="shared" si="110"/>
        <v>0</v>
      </c>
      <c r="G156" s="829">
        <f t="shared" si="119"/>
        <v>0</v>
      </c>
      <c r="H156" s="829">
        <f t="shared" si="111"/>
        <v>0</v>
      </c>
      <c r="I156" s="829">
        <f t="shared" si="112"/>
        <v>0</v>
      </c>
      <c r="J156" s="829">
        <f t="shared" si="113"/>
        <v>0</v>
      </c>
      <c r="K156" s="810">
        <f t="shared" si="120"/>
        <v>0</v>
      </c>
      <c r="L156" s="814">
        <f t="shared" si="121"/>
        <v>0</v>
      </c>
      <c r="M156" s="810">
        <f t="shared" si="122"/>
        <v>0</v>
      </c>
      <c r="N156" s="811">
        <f t="shared" si="123"/>
        <v>0</v>
      </c>
      <c r="O156" s="806">
        <v>4</v>
      </c>
      <c r="P156" s="806">
        <v>4</v>
      </c>
      <c r="Q156" s="34">
        <v>0</v>
      </c>
      <c r="R156" s="34">
        <v>0</v>
      </c>
      <c r="S156" s="809">
        <f t="shared" si="105"/>
        <v>1073.2</v>
      </c>
      <c r="T156" s="809">
        <f t="shared" si="106"/>
        <v>1798.4</v>
      </c>
      <c r="U156" s="809">
        <f t="shared" si="107"/>
        <v>0</v>
      </c>
      <c r="V156" s="809">
        <f t="shared" si="108"/>
        <v>0</v>
      </c>
      <c r="W156" s="816">
        <f t="shared" si="103"/>
        <v>42409</v>
      </c>
      <c r="X156" s="817">
        <f t="shared" si="124"/>
        <v>1073.2</v>
      </c>
      <c r="Y156" s="460">
        <v>0</v>
      </c>
      <c r="Z156" s="818">
        <f t="shared" si="125"/>
        <v>0</v>
      </c>
      <c r="AA156" s="817">
        <f t="shared" si="114"/>
        <v>1798.4</v>
      </c>
      <c r="AB156" s="460"/>
      <c r="AC156" s="818">
        <f t="shared" si="126"/>
        <v>0</v>
      </c>
      <c r="AD156" s="817">
        <f t="shared" si="127"/>
        <v>0</v>
      </c>
      <c r="AE156" s="460"/>
      <c r="AF156" s="818">
        <f t="shared" si="128"/>
        <v>0</v>
      </c>
      <c r="AG156" s="817">
        <f t="shared" si="115"/>
        <v>0</v>
      </c>
      <c r="AH156" s="460"/>
      <c r="AI156" s="818">
        <f t="shared" si="129"/>
        <v>0</v>
      </c>
      <c r="AJ156" s="824"/>
      <c r="AK156" s="826">
        <f t="shared" si="130"/>
        <v>4</v>
      </c>
      <c r="AL156" s="458">
        <f t="shared" si="131"/>
        <v>0</v>
      </c>
      <c r="AM156" s="827">
        <f t="shared" si="132"/>
        <v>0</v>
      </c>
      <c r="AN156" s="836">
        <f t="shared" si="133"/>
        <v>4</v>
      </c>
      <c r="AO156" s="826">
        <f t="shared" si="134"/>
        <v>4</v>
      </c>
      <c r="AP156" s="459"/>
      <c r="AQ156" s="828">
        <f t="shared" si="109"/>
        <v>0</v>
      </c>
      <c r="AR156" s="836">
        <f t="shared" si="135"/>
        <v>4</v>
      </c>
      <c r="AS156" s="826">
        <f t="shared" si="140"/>
        <v>0</v>
      </c>
      <c r="AT156" s="460"/>
      <c r="AU156" s="827">
        <f t="shared" si="141"/>
        <v>0</v>
      </c>
      <c r="AV156" s="836">
        <f t="shared" si="136"/>
        <v>0</v>
      </c>
      <c r="AW156" s="817">
        <f t="shared" si="139"/>
        <v>0</v>
      </c>
      <c r="AX156" s="460"/>
      <c r="AY156" s="818">
        <f t="shared" si="137"/>
        <v>0</v>
      </c>
      <c r="AZ156" s="836">
        <f t="shared" si="138"/>
        <v>0</v>
      </c>
    </row>
    <row r="157" spans="1:52">
      <c r="A157" s="787">
        <f t="shared" si="102"/>
        <v>42410</v>
      </c>
      <c r="B157" s="790">
        <v>0</v>
      </c>
      <c r="C157" s="803">
        <v>0</v>
      </c>
      <c r="D157" s="803">
        <f t="shared" si="110"/>
        <v>0</v>
      </c>
      <c r="G157" s="829">
        <f t="shared" si="119"/>
        <v>0</v>
      </c>
      <c r="H157" s="829">
        <f t="shared" si="111"/>
        <v>0</v>
      </c>
      <c r="I157" s="829">
        <f t="shared" si="112"/>
        <v>0</v>
      </c>
      <c r="J157" s="829">
        <f t="shared" si="113"/>
        <v>0</v>
      </c>
      <c r="K157" s="810">
        <f t="shared" si="120"/>
        <v>0</v>
      </c>
      <c r="L157" s="814">
        <f t="shared" si="121"/>
        <v>0</v>
      </c>
      <c r="M157" s="810">
        <f t="shared" si="122"/>
        <v>0</v>
      </c>
      <c r="N157" s="811">
        <f t="shared" si="123"/>
        <v>0</v>
      </c>
      <c r="O157" s="806">
        <v>4</v>
      </c>
      <c r="P157" s="806">
        <v>4</v>
      </c>
      <c r="Q157" s="34">
        <v>0</v>
      </c>
      <c r="R157" s="34">
        <v>0</v>
      </c>
      <c r="S157" s="809">
        <f t="shared" si="105"/>
        <v>1073.2</v>
      </c>
      <c r="T157" s="809">
        <f t="shared" si="106"/>
        <v>1798.4</v>
      </c>
      <c r="U157" s="809">
        <f t="shared" si="107"/>
        <v>0</v>
      </c>
      <c r="V157" s="809">
        <f t="shared" si="108"/>
        <v>0</v>
      </c>
      <c r="W157" s="816">
        <f t="shared" si="103"/>
        <v>42410</v>
      </c>
      <c r="X157" s="817">
        <f t="shared" si="124"/>
        <v>1073.2</v>
      </c>
      <c r="Y157" s="460">
        <v>0</v>
      </c>
      <c r="Z157" s="818">
        <f t="shared" si="125"/>
        <v>0</v>
      </c>
      <c r="AA157" s="817">
        <f t="shared" si="114"/>
        <v>1798.4</v>
      </c>
      <c r="AB157" s="460"/>
      <c r="AC157" s="818">
        <f t="shared" si="126"/>
        <v>0</v>
      </c>
      <c r="AD157" s="817">
        <f t="shared" si="127"/>
        <v>0</v>
      </c>
      <c r="AE157" s="460"/>
      <c r="AF157" s="818">
        <f t="shared" si="128"/>
        <v>0</v>
      </c>
      <c r="AG157" s="817">
        <f t="shared" si="115"/>
        <v>0</v>
      </c>
      <c r="AH157" s="460"/>
      <c r="AI157" s="818">
        <f t="shared" si="129"/>
        <v>0</v>
      </c>
      <c r="AJ157" s="824"/>
      <c r="AK157" s="826">
        <f t="shared" si="130"/>
        <v>4</v>
      </c>
      <c r="AL157" s="458">
        <f t="shared" si="131"/>
        <v>0</v>
      </c>
      <c r="AM157" s="827">
        <f t="shared" si="132"/>
        <v>0</v>
      </c>
      <c r="AN157" s="836">
        <f t="shared" si="133"/>
        <v>4</v>
      </c>
      <c r="AO157" s="826">
        <f t="shared" si="134"/>
        <v>4</v>
      </c>
      <c r="AP157" s="459"/>
      <c r="AQ157" s="828">
        <f t="shared" si="109"/>
        <v>0</v>
      </c>
      <c r="AR157" s="836">
        <f t="shared" si="135"/>
        <v>4</v>
      </c>
      <c r="AS157" s="826">
        <f t="shared" si="140"/>
        <v>0</v>
      </c>
      <c r="AT157" s="460"/>
      <c r="AU157" s="827">
        <f t="shared" si="141"/>
        <v>0</v>
      </c>
      <c r="AV157" s="836">
        <f t="shared" si="136"/>
        <v>0</v>
      </c>
      <c r="AW157" s="817">
        <f t="shared" si="139"/>
        <v>0</v>
      </c>
      <c r="AX157" s="460"/>
      <c r="AY157" s="818">
        <f t="shared" si="137"/>
        <v>0</v>
      </c>
      <c r="AZ157" s="836">
        <f t="shared" si="138"/>
        <v>0</v>
      </c>
    </row>
    <row r="158" spans="1:52">
      <c r="A158" s="787">
        <f t="shared" si="102"/>
        <v>42411</v>
      </c>
      <c r="B158" s="790">
        <v>0</v>
      </c>
      <c r="C158" s="803">
        <v>0</v>
      </c>
      <c r="D158" s="803">
        <f t="shared" si="110"/>
        <v>0</v>
      </c>
      <c r="G158" s="829">
        <f t="shared" si="119"/>
        <v>0</v>
      </c>
      <c r="H158" s="829">
        <f t="shared" si="111"/>
        <v>0</v>
      </c>
      <c r="I158" s="829">
        <f t="shared" si="112"/>
        <v>0</v>
      </c>
      <c r="J158" s="829">
        <f t="shared" si="113"/>
        <v>0</v>
      </c>
      <c r="K158" s="810">
        <f t="shared" si="120"/>
        <v>0</v>
      </c>
      <c r="L158" s="814">
        <f t="shared" si="121"/>
        <v>0</v>
      </c>
      <c r="M158" s="810">
        <f t="shared" si="122"/>
        <v>0</v>
      </c>
      <c r="N158" s="811">
        <f t="shared" si="123"/>
        <v>0</v>
      </c>
      <c r="O158" s="806">
        <v>4</v>
      </c>
      <c r="P158" s="806">
        <v>4</v>
      </c>
      <c r="Q158" s="34">
        <v>0</v>
      </c>
      <c r="R158" s="34">
        <v>0</v>
      </c>
      <c r="S158" s="809">
        <f t="shared" si="105"/>
        <v>1073.2</v>
      </c>
      <c r="T158" s="809">
        <f t="shared" si="106"/>
        <v>1798.4</v>
      </c>
      <c r="U158" s="809">
        <f t="shared" si="107"/>
        <v>0</v>
      </c>
      <c r="V158" s="809">
        <f t="shared" si="108"/>
        <v>0</v>
      </c>
      <c r="W158" s="816">
        <f t="shared" si="103"/>
        <v>42411</v>
      </c>
      <c r="X158" s="817">
        <f t="shared" si="124"/>
        <v>1073.2</v>
      </c>
      <c r="Y158" s="460">
        <v>0</v>
      </c>
      <c r="Z158" s="818">
        <f t="shared" si="125"/>
        <v>0</v>
      </c>
      <c r="AA158" s="817">
        <f t="shared" si="114"/>
        <v>1798.4</v>
      </c>
      <c r="AB158" s="460"/>
      <c r="AC158" s="818">
        <f t="shared" si="126"/>
        <v>0</v>
      </c>
      <c r="AD158" s="817">
        <f t="shared" si="127"/>
        <v>0</v>
      </c>
      <c r="AE158" s="460"/>
      <c r="AF158" s="818">
        <f t="shared" si="128"/>
        <v>0</v>
      </c>
      <c r="AG158" s="817">
        <f t="shared" si="115"/>
        <v>0</v>
      </c>
      <c r="AH158" s="460"/>
      <c r="AI158" s="818">
        <f t="shared" si="129"/>
        <v>0</v>
      </c>
      <c r="AJ158" s="824"/>
      <c r="AK158" s="826">
        <f t="shared" si="130"/>
        <v>4</v>
      </c>
      <c r="AL158" s="458">
        <f t="shared" si="131"/>
        <v>0</v>
      </c>
      <c r="AM158" s="827">
        <f t="shared" si="132"/>
        <v>0</v>
      </c>
      <c r="AN158" s="836">
        <f t="shared" si="133"/>
        <v>4</v>
      </c>
      <c r="AO158" s="826">
        <f t="shared" si="134"/>
        <v>4</v>
      </c>
      <c r="AP158" s="459"/>
      <c r="AQ158" s="828">
        <f t="shared" si="109"/>
        <v>0</v>
      </c>
      <c r="AR158" s="836">
        <f t="shared" si="135"/>
        <v>4</v>
      </c>
      <c r="AS158" s="826">
        <f t="shared" si="140"/>
        <v>0</v>
      </c>
      <c r="AT158" s="460"/>
      <c r="AU158" s="827">
        <f t="shared" si="141"/>
        <v>0</v>
      </c>
      <c r="AV158" s="836">
        <f t="shared" si="136"/>
        <v>0</v>
      </c>
      <c r="AW158" s="817">
        <f t="shared" si="139"/>
        <v>0</v>
      </c>
      <c r="AX158" s="460"/>
      <c r="AY158" s="818">
        <f t="shared" si="137"/>
        <v>0</v>
      </c>
      <c r="AZ158" s="836">
        <f t="shared" si="138"/>
        <v>0</v>
      </c>
    </row>
    <row r="159" spans="1:52">
      <c r="A159" s="787">
        <f t="shared" si="102"/>
        <v>42412</v>
      </c>
      <c r="B159" s="790">
        <v>0</v>
      </c>
      <c r="C159" s="803">
        <v>0</v>
      </c>
      <c r="D159" s="803">
        <f t="shared" si="110"/>
        <v>0</v>
      </c>
      <c r="G159" s="829">
        <f t="shared" si="119"/>
        <v>0</v>
      </c>
      <c r="H159" s="829">
        <f t="shared" si="111"/>
        <v>0</v>
      </c>
      <c r="I159" s="829">
        <f t="shared" si="112"/>
        <v>0</v>
      </c>
      <c r="J159" s="829">
        <f t="shared" si="113"/>
        <v>0</v>
      </c>
      <c r="K159" s="810">
        <f t="shared" si="120"/>
        <v>0</v>
      </c>
      <c r="L159" s="814">
        <f t="shared" si="121"/>
        <v>0</v>
      </c>
      <c r="M159" s="810">
        <f t="shared" si="122"/>
        <v>0</v>
      </c>
      <c r="N159" s="811">
        <f t="shared" si="123"/>
        <v>0</v>
      </c>
      <c r="O159" s="806">
        <v>4</v>
      </c>
      <c r="P159" s="806">
        <v>4</v>
      </c>
      <c r="Q159" s="34">
        <v>0</v>
      </c>
      <c r="R159" s="34">
        <v>0</v>
      </c>
      <c r="S159" s="809">
        <f t="shared" si="105"/>
        <v>1073.2</v>
      </c>
      <c r="T159" s="809">
        <f t="shared" si="106"/>
        <v>1798.4</v>
      </c>
      <c r="U159" s="809">
        <f t="shared" si="107"/>
        <v>0</v>
      </c>
      <c r="V159" s="809">
        <f t="shared" si="108"/>
        <v>0</v>
      </c>
      <c r="W159" s="816">
        <f t="shared" si="103"/>
        <v>42412</v>
      </c>
      <c r="X159" s="817">
        <f t="shared" si="124"/>
        <v>1073.2</v>
      </c>
      <c r="Y159" s="460">
        <v>0</v>
      </c>
      <c r="Z159" s="818">
        <f t="shared" si="125"/>
        <v>0</v>
      </c>
      <c r="AA159" s="817">
        <f t="shared" si="114"/>
        <v>1798.4</v>
      </c>
      <c r="AB159" s="460"/>
      <c r="AC159" s="818">
        <f t="shared" si="126"/>
        <v>0</v>
      </c>
      <c r="AD159" s="817">
        <f t="shared" si="127"/>
        <v>0</v>
      </c>
      <c r="AE159" s="460"/>
      <c r="AF159" s="818">
        <f t="shared" si="128"/>
        <v>0</v>
      </c>
      <c r="AG159" s="817">
        <f t="shared" si="115"/>
        <v>0</v>
      </c>
      <c r="AH159" s="460"/>
      <c r="AI159" s="818">
        <f t="shared" si="129"/>
        <v>0</v>
      </c>
      <c r="AJ159" s="824"/>
      <c r="AK159" s="826">
        <f t="shared" si="130"/>
        <v>4</v>
      </c>
      <c r="AL159" s="458">
        <f t="shared" si="131"/>
        <v>0</v>
      </c>
      <c r="AM159" s="827">
        <f t="shared" si="132"/>
        <v>0</v>
      </c>
      <c r="AN159" s="836">
        <f t="shared" si="133"/>
        <v>4</v>
      </c>
      <c r="AO159" s="826">
        <f t="shared" si="134"/>
        <v>4</v>
      </c>
      <c r="AP159" s="459"/>
      <c r="AQ159" s="828">
        <f t="shared" si="109"/>
        <v>0</v>
      </c>
      <c r="AR159" s="836">
        <f t="shared" si="135"/>
        <v>4</v>
      </c>
      <c r="AS159" s="826">
        <f t="shared" si="140"/>
        <v>0</v>
      </c>
      <c r="AT159" s="460"/>
      <c r="AU159" s="827">
        <f t="shared" si="141"/>
        <v>0</v>
      </c>
      <c r="AV159" s="836">
        <f t="shared" si="136"/>
        <v>0</v>
      </c>
      <c r="AW159" s="817">
        <f t="shared" si="139"/>
        <v>0</v>
      </c>
      <c r="AX159" s="460"/>
      <c r="AY159" s="818">
        <f t="shared" si="137"/>
        <v>0</v>
      </c>
      <c r="AZ159" s="836">
        <f t="shared" si="138"/>
        <v>0</v>
      </c>
    </row>
    <row r="160" spans="1:52">
      <c r="A160" s="787">
        <f t="shared" si="102"/>
        <v>42413</v>
      </c>
      <c r="B160" s="790">
        <v>0</v>
      </c>
      <c r="C160" s="803">
        <v>0</v>
      </c>
      <c r="D160" s="803">
        <f t="shared" si="110"/>
        <v>0</v>
      </c>
      <c r="G160" s="829">
        <f t="shared" si="119"/>
        <v>0</v>
      </c>
      <c r="H160" s="829">
        <f t="shared" si="111"/>
        <v>0</v>
      </c>
      <c r="I160" s="829">
        <f t="shared" si="112"/>
        <v>0</v>
      </c>
      <c r="J160" s="829">
        <f t="shared" si="113"/>
        <v>0</v>
      </c>
      <c r="K160" s="810">
        <f t="shared" si="120"/>
        <v>0</v>
      </c>
      <c r="L160" s="814">
        <f t="shared" si="121"/>
        <v>0</v>
      </c>
      <c r="M160" s="810">
        <f t="shared" si="122"/>
        <v>0</v>
      </c>
      <c r="N160" s="811">
        <f t="shared" si="123"/>
        <v>0</v>
      </c>
      <c r="O160" s="806">
        <v>4</v>
      </c>
      <c r="P160" s="806">
        <v>4</v>
      </c>
      <c r="Q160" s="34">
        <v>0</v>
      </c>
      <c r="R160" s="34">
        <v>0</v>
      </c>
      <c r="S160" s="809">
        <f t="shared" si="105"/>
        <v>1073.2</v>
      </c>
      <c r="T160" s="809">
        <f t="shared" si="106"/>
        <v>1798.4</v>
      </c>
      <c r="U160" s="809">
        <f t="shared" si="107"/>
        <v>0</v>
      </c>
      <c r="V160" s="809">
        <f t="shared" si="108"/>
        <v>0</v>
      </c>
      <c r="W160" s="816">
        <f t="shared" si="103"/>
        <v>42413</v>
      </c>
      <c r="X160" s="817">
        <f t="shared" si="124"/>
        <v>1073.2</v>
      </c>
      <c r="Y160" s="460">
        <v>0</v>
      </c>
      <c r="Z160" s="818">
        <f t="shared" si="125"/>
        <v>0</v>
      </c>
      <c r="AA160" s="817">
        <f t="shared" si="114"/>
        <v>1798.4</v>
      </c>
      <c r="AB160" s="460"/>
      <c r="AC160" s="818">
        <f t="shared" si="126"/>
        <v>0</v>
      </c>
      <c r="AD160" s="817">
        <f t="shared" si="127"/>
        <v>0</v>
      </c>
      <c r="AE160" s="460"/>
      <c r="AF160" s="818">
        <f t="shared" si="128"/>
        <v>0</v>
      </c>
      <c r="AG160" s="817">
        <f t="shared" si="115"/>
        <v>0</v>
      </c>
      <c r="AH160" s="460"/>
      <c r="AI160" s="818">
        <f t="shared" si="129"/>
        <v>0</v>
      </c>
      <c r="AJ160" s="824"/>
      <c r="AK160" s="826">
        <f t="shared" si="130"/>
        <v>4</v>
      </c>
      <c r="AL160" s="458">
        <f t="shared" si="131"/>
        <v>0</v>
      </c>
      <c r="AM160" s="827">
        <f t="shared" si="132"/>
        <v>0</v>
      </c>
      <c r="AN160" s="836">
        <f t="shared" si="133"/>
        <v>4</v>
      </c>
      <c r="AO160" s="826">
        <f t="shared" si="134"/>
        <v>4</v>
      </c>
      <c r="AP160" s="459"/>
      <c r="AQ160" s="828">
        <f t="shared" si="109"/>
        <v>0</v>
      </c>
      <c r="AR160" s="836">
        <f t="shared" si="135"/>
        <v>4</v>
      </c>
      <c r="AS160" s="826">
        <f t="shared" si="140"/>
        <v>0</v>
      </c>
      <c r="AT160" s="460"/>
      <c r="AU160" s="827">
        <f t="shared" si="141"/>
        <v>0</v>
      </c>
      <c r="AV160" s="836">
        <f t="shared" si="136"/>
        <v>0</v>
      </c>
      <c r="AW160" s="817">
        <f t="shared" si="139"/>
        <v>0</v>
      </c>
      <c r="AX160" s="460"/>
      <c r="AY160" s="818">
        <f t="shared" si="137"/>
        <v>0</v>
      </c>
      <c r="AZ160" s="836">
        <f t="shared" si="138"/>
        <v>0</v>
      </c>
    </row>
    <row r="161" spans="1:52">
      <c r="A161" s="787">
        <f t="shared" si="102"/>
        <v>42414</v>
      </c>
      <c r="B161" s="790">
        <v>0</v>
      </c>
      <c r="C161" s="803">
        <v>0</v>
      </c>
      <c r="D161" s="803">
        <f t="shared" si="110"/>
        <v>0</v>
      </c>
      <c r="G161" s="829">
        <f t="shared" si="119"/>
        <v>0</v>
      </c>
      <c r="H161" s="829">
        <f t="shared" si="111"/>
        <v>0</v>
      </c>
      <c r="I161" s="829">
        <f t="shared" si="112"/>
        <v>0</v>
      </c>
      <c r="J161" s="829">
        <f t="shared" si="113"/>
        <v>0</v>
      </c>
      <c r="K161" s="810">
        <f t="shared" si="120"/>
        <v>0</v>
      </c>
      <c r="L161" s="814">
        <f t="shared" si="121"/>
        <v>0</v>
      </c>
      <c r="M161" s="810">
        <f t="shared" si="122"/>
        <v>0</v>
      </c>
      <c r="N161" s="811">
        <f t="shared" si="123"/>
        <v>0</v>
      </c>
      <c r="O161" s="806">
        <v>4</v>
      </c>
      <c r="P161" s="806">
        <v>4</v>
      </c>
      <c r="Q161" s="34">
        <v>0</v>
      </c>
      <c r="R161" s="34">
        <v>0</v>
      </c>
      <c r="S161" s="809">
        <f t="shared" si="105"/>
        <v>1073.2</v>
      </c>
      <c r="T161" s="809">
        <f t="shared" si="106"/>
        <v>1798.4</v>
      </c>
      <c r="U161" s="809">
        <f t="shared" si="107"/>
        <v>0</v>
      </c>
      <c r="V161" s="809">
        <f t="shared" si="108"/>
        <v>0</v>
      </c>
      <c r="W161" s="816">
        <f t="shared" si="103"/>
        <v>42414</v>
      </c>
      <c r="X161" s="817">
        <f t="shared" si="124"/>
        <v>1073.2</v>
      </c>
      <c r="Y161" s="460">
        <v>0</v>
      </c>
      <c r="Z161" s="818">
        <f t="shared" si="125"/>
        <v>0</v>
      </c>
      <c r="AA161" s="817">
        <f t="shared" si="114"/>
        <v>1798.4</v>
      </c>
      <c r="AB161" s="460"/>
      <c r="AC161" s="818">
        <f t="shared" si="126"/>
        <v>0</v>
      </c>
      <c r="AD161" s="817">
        <f t="shared" si="127"/>
        <v>0</v>
      </c>
      <c r="AE161" s="460"/>
      <c r="AF161" s="818">
        <f t="shared" si="128"/>
        <v>0</v>
      </c>
      <c r="AG161" s="817">
        <f t="shared" si="115"/>
        <v>0</v>
      </c>
      <c r="AH161" s="460"/>
      <c r="AI161" s="818">
        <f t="shared" si="129"/>
        <v>0</v>
      </c>
      <c r="AJ161" s="824"/>
      <c r="AK161" s="826">
        <f t="shared" si="130"/>
        <v>4</v>
      </c>
      <c r="AL161" s="458">
        <f t="shared" si="131"/>
        <v>0</v>
      </c>
      <c r="AM161" s="827">
        <f t="shared" si="132"/>
        <v>0</v>
      </c>
      <c r="AN161" s="836">
        <f t="shared" si="133"/>
        <v>4</v>
      </c>
      <c r="AO161" s="826">
        <f t="shared" si="134"/>
        <v>4</v>
      </c>
      <c r="AP161" s="459"/>
      <c r="AQ161" s="828">
        <f t="shared" si="109"/>
        <v>0</v>
      </c>
      <c r="AR161" s="836">
        <f t="shared" si="135"/>
        <v>4</v>
      </c>
      <c r="AS161" s="826">
        <f t="shared" si="140"/>
        <v>0</v>
      </c>
      <c r="AT161" s="460"/>
      <c r="AU161" s="827">
        <f t="shared" si="141"/>
        <v>0</v>
      </c>
      <c r="AV161" s="836">
        <f t="shared" si="136"/>
        <v>0</v>
      </c>
      <c r="AW161" s="817">
        <f t="shared" si="139"/>
        <v>0</v>
      </c>
      <c r="AX161" s="460"/>
      <c r="AY161" s="818">
        <f t="shared" si="137"/>
        <v>0</v>
      </c>
      <c r="AZ161" s="836">
        <f t="shared" si="138"/>
        <v>0</v>
      </c>
    </row>
    <row r="162" spans="1:52">
      <c r="A162" s="787">
        <f t="shared" si="102"/>
        <v>42415</v>
      </c>
      <c r="B162" s="790">
        <v>0</v>
      </c>
      <c r="O162" s="283"/>
      <c r="S162" s="283"/>
      <c r="W162" s="816">
        <f t="shared" si="103"/>
        <v>42415</v>
      </c>
      <c r="AK162" s="837">
        <f t="shared" ref="AK162:AZ162" si="142">SUM(AK7:AK161)</f>
        <v>995.9166666666672</v>
      </c>
      <c r="AL162" s="837">
        <f t="shared" si="142"/>
        <v>570.39893471895937</v>
      </c>
      <c r="AM162" s="837">
        <f t="shared" si="142"/>
        <v>282.98002596960362</v>
      </c>
      <c r="AN162" s="837">
        <f t="shared" si="142"/>
        <v>712.93664069706335</v>
      </c>
      <c r="AO162" s="837">
        <f t="shared" si="142"/>
        <v>995.9166666666672</v>
      </c>
      <c r="AP162" s="837">
        <f t="shared" si="142"/>
        <v>326.09324202732068</v>
      </c>
      <c r="AQ162" s="837">
        <f t="shared" si="142"/>
        <v>210.01614895346134</v>
      </c>
      <c r="AR162" s="837">
        <f t="shared" si="142"/>
        <v>785.9005177132052</v>
      </c>
      <c r="AS162" s="837">
        <f t="shared" si="142"/>
        <v>872.17083333333346</v>
      </c>
      <c r="AT162" s="837">
        <f t="shared" si="142"/>
        <v>390.79506970234644</v>
      </c>
      <c r="AU162" s="837">
        <f t="shared" si="142"/>
        <v>332.38592885603697</v>
      </c>
      <c r="AV162" s="837">
        <f t="shared" si="142"/>
        <v>539.78490447729655</v>
      </c>
      <c r="AW162" s="837">
        <f t="shared" si="142"/>
        <v>752.34333333333223</v>
      </c>
      <c r="AX162" s="837">
        <f t="shared" si="142"/>
        <v>861.55973268030732</v>
      </c>
      <c r="AY162" s="837">
        <f t="shared" si="142"/>
        <v>516.71965981931942</v>
      </c>
      <c r="AZ162" s="837">
        <f t="shared" si="142"/>
        <v>235.62367351401232</v>
      </c>
    </row>
    <row r="163" spans="1:52">
      <c r="A163" s="787">
        <f t="shared" si="102"/>
        <v>42416</v>
      </c>
      <c r="B163" s="789">
        <v>0.03</v>
      </c>
      <c r="O163" s="283"/>
      <c r="S163" s="283"/>
      <c r="W163" s="816">
        <f t="shared" si="103"/>
        <v>42416</v>
      </c>
      <c r="AL163" s="838">
        <f>SUM(AM162:AM163)</f>
        <v>570.39893471895937</v>
      </c>
      <c r="AM163" s="838">
        <f>AL162-AM162</f>
        <v>287.41890874935575</v>
      </c>
      <c r="AP163" s="838">
        <f>SUM(AQ162:AQ163)</f>
        <v>326.09324202732068</v>
      </c>
      <c r="AQ163" s="838">
        <f>AP162-AQ162</f>
        <v>116.07709307385934</v>
      </c>
      <c r="AT163" s="838">
        <f>SUM(AU162:AU163)</f>
        <v>390.79506970234644</v>
      </c>
      <c r="AU163" s="838">
        <f>AT162-AU162</f>
        <v>58.409140846309469</v>
      </c>
      <c r="AX163" s="838">
        <f>SUM(AY162:AY163)</f>
        <v>861.55973268030732</v>
      </c>
      <c r="AY163" s="838">
        <f>AX162-AY162</f>
        <v>344.8400728609879</v>
      </c>
    </row>
    <row r="164" spans="1:52">
      <c r="A164" s="787">
        <f t="shared" si="102"/>
        <v>42417</v>
      </c>
      <c r="B164" s="790">
        <v>0</v>
      </c>
      <c r="O164" s="283"/>
      <c r="S164" s="283"/>
      <c r="W164" s="816">
        <f t="shared" si="103"/>
        <v>42417</v>
      </c>
    </row>
    <row r="165" spans="1:52">
      <c r="A165" s="787">
        <f t="shared" si="102"/>
        <v>42418</v>
      </c>
      <c r="B165" s="791">
        <v>0</v>
      </c>
      <c r="O165" s="283"/>
      <c r="S165" s="283"/>
      <c r="W165" s="816">
        <f t="shared" si="103"/>
        <v>42418</v>
      </c>
    </row>
    <row r="166" spans="1:52">
      <c r="A166" s="787">
        <f t="shared" si="102"/>
        <v>42419</v>
      </c>
      <c r="B166" s="792">
        <v>0</v>
      </c>
      <c r="O166" s="283"/>
      <c r="S166" s="283"/>
      <c r="W166" s="816">
        <f t="shared" si="103"/>
        <v>42419</v>
      </c>
    </row>
    <row r="167" spans="1:52">
      <c r="A167" s="787">
        <f t="shared" si="102"/>
        <v>42420</v>
      </c>
      <c r="B167" s="793">
        <v>0</v>
      </c>
      <c r="O167" s="283"/>
      <c r="S167" s="283"/>
      <c r="W167" s="816">
        <f t="shared" si="103"/>
        <v>42420</v>
      </c>
    </row>
    <row r="168" spans="1:52">
      <c r="A168" s="787">
        <f t="shared" si="102"/>
        <v>42421</v>
      </c>
      <c r="B168" s="790">
        <v>0</v>
      </c>
      <c r="O168" s="283"/>
      <c r="S168" s="283"/>
      <c r="W168" s="816">
        <f t="shared" si="103"/>
        <v>42421</v>
      </c>
    </row>
    <row r="169" spans="1:52">
      <c r="A169" s="787">
        <f t="shared" si="102"/>
        <v>42422</v>
      </c>
      <c r="B169" s="791">
        <v>0</v>
      </c>
      <c r="O169" s="283"/>
      <c r="S169" s="283"/>
      <c r="W169" s="816">
        <f t="shared" si="103"/>
        <v>42422</v>
      </c>
    </row>
    <row r="170" spans="1:52">
      <c r="A170" s="787">
        <f t="shared" si="102"/>
        <v>42423</v>
      </c>
      <c r="B170" s="792">
        <v>0</v>
      </c>
      <c r="O170" s="283"/>
      <c r="S170" s="283"/>
      <c r="W170" s="816">
        <f t="shared" si="103"/>
        <v>42423</v>
      </c>
    </row>
    <row r="171" spans="1:52">
      <c r="A171" s="787">
        <f t="shared" si="102"/>
        <v>42424</v>
      </c>
      <c r="B171" s="794">
        <v>1.3</v>
      </c>
      <c r="O171" s="283"/>
      <c r="S171" s="283"/>
      <c r="W171" s="816">
        <f t="shared" si="103"/>
        <v>42424</v>
      </c>
    </row>
    <row r="172" spans="1:52">
      <c r="A172" s="787">
        <f t="shared" si="102"/>
        <v>42425</v>
      </c>
      <c r="B172" s="790">
        <v>0</v>
      </c>
      <c r="O172" s="283"/>
      <c r="S172" s="283"/>
      <c r="W172" s="816">
        <f t="shared" si="103"/>
        <v>42425</v>
      </c>
    </row>
    <row r="173" spans="1:52">
      <c r="A173" s="787">
        <f t="shared" ref="A173:A207" si="143">A172+1</f>
        <v>42426</v>
      </c>
      <c r="B173" s="791">
        <v>0</v>
      </c>
      <c r="O173" s="283"/>
      <c r="S173" s="283"/>
      <c r="W173" s="816">
        <f t="shared" ref="W173:W207" si="144">W172+1</f>
        <v>42426</v>
      </c>
    </row>
    <row r="174" spans="1:52">
      <c r="A174" s="787">
        <f t="shared" si="143"/>
        <v>42427</v>
      </c>
      <c r="B174" s="792">
        <v>0</v>
      </c>
      <c r="O174" s="283"/>
      <c r="S174" s="283"/>
      <c r="W174" s="816">
        <f t="shared" si="144"/>
        <v>42427</v>
      </c>
    </row>
    <row r="175" spans="1:52">
      <c r="A175" s="787">
        <f t="shared" si="143"/>
        <v>42428</v>
      </c>
      <c r="B175" s="795">
        <v>0</v>
      </c>
      <c r="O175" s="283"/>
      <c r="S175" s="283"/>
      <c r="W175" s="816">
        <f t="shared" si="144"/>
        <v>42428</v>
      </c>
    </row>
    <row r="176" spans="1:52">
      <c r="A176" s="787">
        <f t="shared" si="143"/>
        <v>42429</v>
      </c>
      <c r="B176" s="796">
        <v>0</v>
      </c>
      <c r="O176" s="283"/>
      <c r="S176" s="283"/>
      <c r="W176" s="816">
        <f t="shared" si="144"/>
        <v>42429</v>
      </c>
    </row>
    <row r="177" spans="1:23">
      <c r="A177" s="787">
        <f t="shared" si="143"/>
        <v>42430</v>
      </c>
      <c r="B177" s="797">
        <v>0</v>
      </c>
      <c r="O177" s="283"/>
      <c r="S177" s="283"/>
      <c r="W177" s="816">
        <f t="shared" si="144"/>
        <v>42430</v>
      </c>
    </row>
    <row r="178" spans="1:23">
      <c r="A178" s="787">
        <f t="shared" si="143"/>
        <v>42431</v>
      </c>
      <c r="B178" s="798">
        <v>0</v>
      </c>
      <c r="O178" s="283"/>
      <c r="S178" s="283"/>
      <c r="W178" s="816">
        <f t="shared" si="144"/>
        <v>42431</v>
      </c>
    </row>
    <row r="179" spans="1:23">
      <c r="A179" s="787">
        <f t="shared" si="143"/>
        <v>42432</v>
      </c>
      <c r="B179" s="793">
        <v>0</v>
      </c>
      <c r="O179" s="283"/>
      <c r="S179" s="283"/>
      <c r="W179" s="816">
        <f t="shared" si="144"/>
        <v>42432</v>
      </c>
    </row>
    <row r="180" spans="1:23">
      <c r="A180" s="787">
        <f t="shared" si="143"/>
        <v>42433</v>
      </c>
      <c r="B180" s="791">
        <v>0.05</v>
      </c>
      <c r="O180" s="283"/>
      <c r="S180" s="283"/>
      <c r="W180" s="816">
        <f t="shared" si="144"/>
        <v>42433</v>
      </c>
    </row>
    <row r="181" spans="1:23">
      <c r="A181" s="787">
        <f t="shared" si="143"/>
        <v>42434</v>
      </c>
      <c r="B181" s="797">
        <v>0</v>
      </c>
      <c r="O181" s="283"/>
      <c r="S181" s="283"/>
      <c r="W181" s="816">
        <f t="shared" si="144"/>
        <v>42434</v>
      </c>
    </row>
    <row r="182" spans="1:23">
      <c r="A182" s="787">
        <f t="shared" si="143"/>
        <v>42435</v>
      </c>
      <c r="B182" s="798">
        <v>0</v>
      </c>
      <c r="O182" s="283"/>
      <c r="S182" s="283"/>
      <c r="W182" s="816">
        <f t="shared" si="144"/>
        <v>42435</v>
      </c>
    </row>
    <row r="183" spans="1:23">
      <c r="A183" s="787">
        <f t="shared" si="143"/>
        <v>42436</v>
      </c>
      <c r="B183" s="793">
        <v>0</v>
      </c>
      <c r="O183" s="283"/>
      <c r="S183" s="283"/>
      <c r="W183" s="816">
        <f t="shared" si="144"/>
        <v>42436</v>
      </c>
    </row>
    <row r="184" spans="1:23">
      <c r="A184" s="787">
        <f t="shared" si="143"/>
        <v>42437</v>
      </c>
      <c r="B184" s="791">
        <v>0</v>
      </c>
      <c r="O184" s="283"/>
      <c r="S184" s="283"/>
      <c r="W184" s="816">
        <f t="shared" si="144"/>
        <v>42437</v>
      </c>
    </row>
    <row r="185" spans="1:23">
      <c r="A185" s="787">
        <f t="shared" si="143"/>
        <v>42438</v>
      </c>
      <c r="B185" s="797">
        <v>0</v>
      </c>
      <c r="O185" s="283"/>
      <c r="S185" s="283"/>
      <c r="W185" s="816">
        <f t="shared" si="144"/>
        <v>42438</v>
      </c>
    </row>
    <row r="186" spans="1:23">
      <c r="A186" s="787">
        <f t="shared" si="143"/>
        <v>42439</v>
      </c>
      <c r="B186" s="798">
        <v>0</v>
      </c>
      <c r="O186" s="283"/>
      <c r="S186" s="283"/>
      <c r="W186" s="816">
        <f t="shared" si="144"/>
        <v>42439</v>
      </c>
    </row>
    <row r="187" spans="1:23">
      <c r="A187" s="787">
        <f t="shared" si="143"/>
        <v>42440</v>
      </c>
      <c r="B187" s="793">
        <v>0</v>
      </c>
      <c r="W187" s="816">
        <f t="shared" si="144"/>
        <v>42440</v>
      </c>
    </row>
    <row r="188" spans="1:23">
      <c r="A188" s="787">
        <f t="shared" si="143"/>
        <v>42441</v>
      </c>
      <c r="B188" s="791">
        <v>0</v>
      </c>
      <c r="W188" s="816">
        <f t="shared" si="144"/>
        <v>42441</v>
      </c>
    </row>
    <row r="189" spans="1:23">
      <c r="A189" s="787">
        <f t="shared" si="143"/>
        <v>42442</v>
      </c>
      <c r="B189" s="797">
        <v>0</v>
      </c>
      <c r="W189" s="816">
        <f t="shared" si="144"/>
        <v>42442</v>
      </c>
    </row>
    <row r="190" spans="1:23">
      <c r="A190" s="787">
        <f t="shared" si="143"/>
        <v>42443</v>
      </c>
      <c r="B190" s="798">
        <v>0</v>
      </c>
      <c r="W190" s="816">
        <f t="shared" si="144"/>
        <v>42443</v>
      </c>
    </row>
    <row r="191" spans="1:23">
      <c r="A191" s="787">
        <f t="shared" si="143"/>
        <v>42444</v>
      </c>
      <c r="B191" s="793">
        <v>0</v>
      </c>
      <c r="W191" s="816">
        <f t="shared" si="144"/>
        <v>42444</v>
      </c>
    </row>
    <row r="192" spans="1:23">
      <c r="A192" s="787">
        <f t="shared" si="143"/>
        <v>42445</v>
      </c>
      <c r="B192" s="791">
        <v>0</v>
      </c>
      <c r="W192" s="816">
        <f t="shared" si="144"/>
        <v>42445</v>
      </c>
    </row>
    <row r="193" spans="1:23">
      <c r="A193" s="787">
        <f t="shared" si="143"/>
        <v>42446</v>
      </c>
      <c r="B193" s="797">
        <v>0</v>
      </c>
      <c r="W193" s="816">
        <f t="shared" si="144"/>
        <v>42446</v>
      </c>
    </row>
    <row r="194" spans="1:23">
      <c r="A194" s="787">
        <f t="shared" si="143"/>
        <v>42447</v>
      </c>
      <c r="B194" s="798">
        <v>0</v>
      </c>
      <c r="W194" s="816">
        <f t="shared" si="144"/>
        <v>42447</v>
      </c>
    </row>
    <row r="195" spans="1:23">
      <c r="A195" s="787">
        <f t="shared" si="143"/>
        <v>42448</v>
      </c>
      <c r="B195" s="793">
        <v>0</v>
      </c>
      <c r="W195" s="816">
        <f t="shared" si="144"/>
        <v>42448</v>
      </c>
    </row>
    <row r="196" spans="1:23">
      <c r="A196" s="787">
        <f t="shared" si="143"/>
        <v>42449</v>
      </c>
      <c r="B196" s="791">
        <v>0</v>
      </c>
      <c r="W196" s="816">
        <f t="shared" si="144"/>
        <v>42449</v>
      </c>
    </row>
    <row r="197" spans="1:23">
      <c r="A197" s="787">
        <f t="shared" si="143"/>
        <v>42450</v>
      </c>
      <c r="B197" s="797">
        <v>0</v>
      </c>
      <c r="W197" s="816">
        <f t="shared" si="144"/>
        <v>42450</v>
      </c>
    </row>
    <row r="198" spans="1:23">
      <c r="A198" s="787">
        <f t="shared" si="143"/>
        <v>42451</v>
      </c>
      <c r="B198" s="798">
        <v>0</v>
      </c>
      <c r="W198" s="816">
        <f t="shared" si="144"/>
        <v>42451</v>
      </c>
    </row>
    <row r="199" spans="1:23">
      <c r="A199" s="787">
        <f t="shared" si="143"/>
        <v>42452</v>
      </c>
      <c r="B199" s="793">
        <v>0</v>
      </c>
      <c r="W199" s="816">
        <f t="shared" si="144"/>
        <v>42452</v>
      </c>
    </row>
    <row r="200" spans="1:23">
      <c r="A200" s="787">
        <f t="shared" si="143"/>
        <v>42453</v>
      </c>
      <c r="B200" s="791">
        <v>0</v>
      </c>
      <c r="W200" s="816">
        <f t="shared" si="144"/>
        <v>42453</v>
      </c>
    </row>
    <row r="201" spans="1:23">
      <c r="A201" s="787">
        <f t="shared" si="143"/>
        <v>42454</v>
      </c>
      <c r="B201" s="797">
        <v>0</v>
      </c>
      <c r="W201" s="816">
        <f t="shared" si="144"/>
        <v>42454</v>
      </c>
    </row>
    <row r="202" spans="1:23">
      <c r="A202" s="787">
        <f t="shared" si="143"/>
        <v>42455</v>
      </c>
      <c r="B202" s="798">
        <v>0</v>
      </c>
      <c r="W202" s="816">
        <f t="shared" si="144"/>
        <v>42455</v>
      </c>
    </row>
    <row r="203" spans="1:23">
      <c r="A203" s="787">
        <f t="shared" si="143"/>
        <v>42456</v>
      </c>
      <c r="B203" s="793">
        <v>0</v>
      </c>
      <c r="W203" s="816">
        <f t="shared" si="144"/>
        <v>42456</v>
      </c>
    </row>
    <row r="204" spans="1:23">
      <c r="A204" s="787">
        <f t="shared" si="143"/>
        <v>42457</v>
      </c>
      <c r="B204" s="791">
        <v>0</v>
      </c>
      <c r="W204" s="816">
        <f t="shared" si="144"/>
        <v>42457</v>
      </c>
    </row>
    <row r="205" spans="1:23">
      <c r="A205" s="787">
        <f t="shared" si="143"/>
        <v>42458</v>
      </c>
      <c r="B205" s="797">
        <v>0</v>
      </c>
      <c r="W205" s="816">
        <f t="shared" si="144"/>
        <v>42458</v>
      </c>
    </row>
    <row r="206" spans="1:23">
      <c r="A206" s="787">
        <f t="shared" si="143"/>
        <v>42459</v>
      </c>
      <c r="B206" s="795">
        <v>0</v>
      </c>
      <c r="W206" s="816">
        <f t="shared" si="144"/>
        <v>42459</v>
      </c>
    </row>
    <row r="207" spans="1:23">
      <c r="A207" s="787">
        <f t="shared" si="143"/>
        <v>42460</v>
      </c>
      <c r="W207" s="816">
        <f t="shared" si="144"/>
        <v>42460</v>
      </c>
    </row>
  </sheetData>
  <mergeCells count="13">
    <mergeCell ref="C5:F5"/>
    <mergeCell ref="K5:N5"/>
    <mergeCell ref="X4:Z4"/>
    <mergeCell ref="AA4:AC4"/>
    <mergeCell ref="AD4:AF4"/>
    <mergeCell ref="G5:J5"/>
    <mergeCell ref="AK4:AM4"/>
    <mergeCell ref="AO4:AQ4"/>
    <mergeCell ref="AS4:AU4"/>
    <mergeCell ref="AW4:AY4"/>
    <mergeCell ref="X3:AI3"/>
    <mergeCell ref="AK3:AY3"/>
    <mergeCell ref="AG4:AI4"/>
  </mergeCells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Tank Data</vt:lpstr>
      <vt:lpstr>Plots</vt:lpstr>
      <vt:lpstr>Sluice vs Recharge</vt:lpstr>
      <vt:lpstr>Tank 4 Recharge</vt:lpstr>
      <vt:lpstr>Comparison</vt:lpstr>
      <vt:lpstr>Recalculation_MS Data</vt:lpstr>
      <vt:lpstr>DSLR</vt:lpstr>
      <vt:lpstr>GE_WL</vt:lpstr>
      <vt:lpstr>Tank Data (2)</vt:lpstr>
      <vt:lpstr>Fig 5 WL Plot</vt:lpstr>
      <vt:lpstr>Water Balance Summary</vt:lpstr>
      <vt:lpstr>Figs 6 &amp; 7</vt:lpstr>
      <vt:lpstr>MLR</vt:lpstr>
      <vt:lpstr>Stacked Water Balance</vt:lpstr>
      <vt:lpstr>Crop Water Requirement</vt:lpstr>
      <vt:lpstr>'Figs 6 &amp; 7'!ET_Plots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Kimberly Van Meter</dc:creator>
  <cp:lastModifiedBy>Kim Van Meter</cp:lastModifiedBy>
  <dcterms:created xsi:type="dcterms:W3CDTF">2014-12-18T20:06:02Z</dcterms:created>
  <dcterms:modified xsi:type="dcterms:W3CDTF">2018-10-04T17:12:42Z</dcterms:modified>
</cp:coreProperties>
</file>